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7A2D7E96-6E34-419A-AE5F-296B3A7E7977}"/>
  <workbookPr filterPrivacy="1" codeName="EstaPasta_de_trabalho" defaultThemeVersion="124226"/>
  <workbookProtection workbookAlgorithmName="SHA-512" workbookHashValue="XE/O1oXRj0OIQ/LbknM2V9FVAi+f5fE3e2de1PfQh90mJTDRLuIzWLysP2XM1FbW7ILCmXOnUxoXMZaQNeGKIQ==" workbookSaltValue="BHIJKBbXJhcCq0vQ3dYRTA==" workbookSpinCount="100000" lockStructure="1"/>
  <bookViews>
    <workbookView xWindow="0" yWindow="0" windowWidth="24000" windowHeight="9735" tabRatio="788" firstSheet="11" activeTab="11"/>
  </bookViews>
  <sheets>
    <sheet name="REGRAS RPPS" sheetId="8" state="hidden" r:id="rId1"/>
    <sheet name="IPCA" sheetId="7" state="hidden" r:id="rId2"/>
    <sheet name="Tabua(fem)" sheetId="10" state="hidden" r:id="rId3"/>
    <sheet name="Tabua(masc)" sheetId="11" state="hidden" r:id="rId4"/>
    <sheet name="PREMISSAS" sheetId="1" state="hidden" r:id="rId5"/>
    <sheet name="ELEGIBILIDADE" sheetId="2" state="hidden" r:id="rId6"/>
    <sheet name="CÁLCULO RPPS" sheetId="3" state="hidden" r:id="rId7"/>
    <sheet name="CÁLCULO RPPS ESPECIAL" sheetId="19" state="hidden" r:id="rId8"/>
    <sheet name="CÁLCULO FUNPRESP" sheetId="4" state="hidden" r:id="rId9"/>
    <sheet name="RESULTADOS" sheetId="5" state="hidden" r:id="rId10"/>
    <sheet name="Info GRaf" sheetId="20" state="hidden" r:id="rId11"/>
    <sheet name="Painel" sheetId="16" r:id="rId12"/>
    <sheet name="Histórico de Remunerações" sheetId="18" r:id="rId13"/>
  </sheets>
  <externalReferences>
    <externalReference r:id="rId14"/>
  </externalReferences>
  <definedNames>
    <definedName name="_xlnm._FilterDatabase" localSheetId="12" hidden="1">'Histórico de Remunerações'!$D$6:$E$656</definedName>
    <definedName name="_xlnm.Print_Area" localSheetId="11">Painel!$C$2:$O$125</definedName>
    <definedName name="CFG_AM_BEN_SUP">#REF!</definedName>
    <definedName name="CFG_AM_INSS">#REF!</definedName>
    <definedName name="CFG_CTB_FAC">#REF!</definedName>
    <definedName name="CFG_CTB_PCT_FAC">#REF!</definedName>
    <definedName name="CFG_DT_ING_ORG">#REF!</definedName>
    <definedName name="CFG_DT_ING_SRV_PUB">#REF!</definedName>
    <definedName name="CFG_DT_NASCIMENTO">#REF!</definedName>
    <definedName name="CFG_IDD_APOS">#REF!</definedName>
    <definedName name="CFG_IDD_MIN_APOS">#REF!</definedName>
    <definedName name="CFG_PCT_CTB">#REF!</definedName>
    <definedName name="CFG_PROF_N">#REF!</definedName>
    <definedName name="CFG_PROF_S">#REF!</definedName>
    <definedName name="CFG_REMUNERACAO">#REF!</definedName>
    <definedName name="CFG_SAL_PART">#REF!</definedName>
    <definedName name="CFG_SEXO">#REF!</definedName>
    <definedName name="CFG_TARGET_ANOMES">#REF!</definedName>
    <definedName name="CFG_TARGET_DT">#REF!</definedName>
    <definedName name="CFG_TARGET_MONEY">#REF!</definedName>
    <definedName name="CFG_TXT_APOS">#REF!</definedName>
    <definedName name="CFG_TXT_FAC">#REF!</definedName>
    <definedName name="CTB_REMUNERACAO">[1]CONFIG!$C$23</definedName>
    <definedName name="graficoteste">#REF!</definedName>
    <definedName name="LST_PCT_CTB">#REF!</definedName>
    <definedName name="PREMISSA_TETO">PREMISSAS!$C$13</definedName>
    <definedName name="PREMISSA_URP">PREMISSAS!$C$38</definedName>
    <definedName name="TabFem">'Tabua(fem)'!$C$3:$NJ$90</definedName>
    <definedName name="TabMasc">'Tabua(masc)'!$C$3:$NJ$90</definedName>
    <definedName name="_xlnm.Print_Titles" localSheetId="12">'Histórico de Remunerações'!$1:$6</definedName>
    <definedName name="_xlnm.Print_Titles" localSheetId="11">Painel!$2:$4</definedName>
  </definedNames>
  <calcPr calcId="152511"/>
</workbook>
</file>

<file path=xl/calcChain.xml><?xml version="1.0" encoding="utf-8"?>
<calcChain xmlns="http://schemas.openxmlformats.org/spreadsheetml/2006/main">
  <c r="C296" i="7" l="1"/>
  <c r="C290" i="7"/>
  <c r="D290" i="7" s="1"/>
  <c r="C291" i="7"/>
  <c r="C292" i="7"/>
  <c r="C293" i="7"/>
  <c r="C294" i="7"/>
  <c r="C295" i="7"/>
  <c r="D295" i="7" l="1"/>
  <c r="D293" i="7"/>
  <c r="D291" i="7"/>
  <c r="D294" i="7"/>
  <c r="D292" i="7"/>
  <c r="L15" i="5" l="1"/>
  <c r="D289" i="7" l="1"/>
  <c r="C289" i="7"/>
  <c r="C288" i="7"/>
  <c r="D287" i="7" l="1"/>
  <c r="D288" i="7"/>
  <c r="C285" i="7" l="1"/>
  <c r="C286" i="7"/>
  <c r="C287" i="7"/>
  <c r="D284" i="7" l="1"/>
  <c r="D280" i="7"/>
  <c r="D276" i="7"/>
  <c r="D272" i="7"/>
  <c r="D268" i="7"/>
  <c r="D264" i="7"/>
  <c r="D260" i="7"/>
  <c r="D256" i="7"/>
  <c r="D252" i="7"/>
  <c r="D248" i="7"/>
  <c r="D244" i="7"/>
  <c r="D240" i="7"/>
  <c r="D236" i="7"/>
  <c r="D232" i="7"/>
  <c r="D228" i="7"/>
  <c r="D224" i="7"/>
  <c r="D220" i="7"/>
  <c r="D216" i="7"/>
  <c r="D212" i="7"/>
  <c r="D208" i="7"/>
  <c r="D204" i="7"/>
  <c r="D200" i="7"/>
  <c r="D196" i="7"/>
  <c r="D192" i="7"/>
  <c r="D188" i="7"/>
  <c r="D184" i="7"/>
  <c r="D180" i="7"/>
  <c r="D176" i="7"/>
  <c r="D172" i="7"/>
  <c r="D168" i="7"/>
  <c r="D164" i="7"/>
  <c r="D160" i="7"/>
  <c r="D156" i="7"/>
  <c r="D152" i="7"/>
  <c r="D148" i="7"/>
  <c r="D144" i="7"/>
  <c r="D140" i="7"/>
  <c r="D136" i="7"/>
  <c r="D132" i="7"/>
  <c r="D128" i="7"/>
  <c r="D124" i="7"/>
  <c r="D120" i="7"/>
  <c r="D116" i="7"/>
  <c r="D112" i="7"/>
  <c r="D108" i="7"/>
  <c r="D104" i="7"/>
  <c r="D100" i="7"/>
  <c r="D96" i="7"/>
  <c r="D92" i="7"/>
  <c r="D88" i="7"/>
  <c r="D84" i="7"/>
  <c r="D80" i="7"/>
  <c r="D76" i="7"/>
  <c r="D72" i="7"/>
  <c r="D68" i="7"/>
  <c r="D64" i="7"/>
  <c r="D60" i="7"/>
  <c r="D56" i="7"/>
  <c r="D52" i="7"/>
  <c r="D48" i="7"/>
  <c r="D44" i="7"/>
  <c r="D40" i="7"/>
  <c r="D36" i="7"/>
  <c r="D32" i="7"/>
  <c r="D28" i="7"/>
  <c r="D24" i="7"/>
  <c r="D20" i="7"/>
  <c r="D16" i="7"/>
  <c r="D283" i="7"/>
  <c r="D279" i="7"/>
  <c r="D275" i="7"/>
  <c r="D271" i="7"/>
  <c r="D267" i="7"/>
  <c r="D263" i="7"/>
  <c r="D259" i="7"/>
  <c r="D255" i="7"/>
  <c r="D251" i="7"/>
  <c r="D247" i="7"/>
  <c r="D243" i="7"/>
  <c r="D239" i="7"/>
  <c r="D235" i="7"/>
  <c r="D231" i="7"/>
  <c r="D227" i="7"/>
  <c r="D223" i="7"/>
  <c r="D219" i="7"/>
  <c r="D215" i="7"/>
  <c r="D211" i="7"/>
  <c r="D207" i="7"/>
  <c r="D203" i="7"/>
  <c r="D199" i="7"/>
  <c r="D195" i="7"/>
  <c r="D191" i="7"/>
  <c r="D187" i="7"/>
  <c r="D183" i="7"/>
  <c r="D179" i="7"/>
  <c r="D175" i="7"/>
  <c r="D171" i="7"/>
  <c r="D167" i="7"/>
  <c r="D163" i="7"/>
  <c r="D159" i="7"/>
  <c r="D155" i="7"/>
  <c r="D151" i="7"/>
  <c r="D147" i="7"/>
  <c r="D143" i="7"/>
  <c r="D139" i="7"/>
  <c r="D135" i="7"/>
  <c r="D131" i="7"/>
  <c r="D127" i="7"/>
  <c r="D123" i="7"/>
  <c r="D119" i="7"/>
  <c r="D115" i="7"/>
  <c r="D111" i="7"/>
  <c r="D107" i="7"/>
  <c r="D103" i="7"/>
  <c r="D99" i="7"/>
  <c r="D95" i="7"/>
  <c r="D91" i="7"/>
  <c r="D87" i="7"/>
  <c r="D83" i="7"/>
  <c r="D79" i="7"/>
  <c r="D75" i="7"/>
  <c r="D71" i="7"/>
  <c r="D67" i="7"/>
  <c r="D63" i="7"/>
  <c r="D59" i="7"/>
  <c r="D55" i="7"/>
  <c r="D51" i="7"/>
  <c r="D47" i="7"/>
  <c r="D43" i="7"/>
  <c r="D39" i="7"/>
  <c r="D35" i="7"/>
  <c r="D31" i="7"/>
  <c r="D27" i="7"/>
  <c r="D23" i="7"/>
  <c r="D19" i="7"/>
  <c r="D15" i="7"/>
  <c r="D11" i="7"/>
  <c r="D7" i="7"/>
  <c r="D3" i="7"/>
  <c r="D134" i="7"/>
  <c r="D130" i="7"/>
  <c r="D126" i="7"/>
  <c r="D122" i="7"/>
  <c r="D118" i="7"/>
  <c r="D114" i="7"/>
  <c r="D110" i="7"/>
  <c r="D106" i="7"/>
  <c r="D102" i="7"/>
  <c r="D98" i="7"/>
  <c r="D94" i="7"/>
  <c r="D90" i="7"/>
  <c r="D86" i="7"/>
  <c r="D286" i="7"/>
  <c r="D282" i="7"/>
  <c r="D278" i="7"/>
  <c r="D274" i="7"/>
  <c r="D270" i="7"/>
  <c r="D266" i="7"/>
  <c r="D262" i="7"/>
  <c r="D258" i="7"/>
  <c r="D254" i="7"/>
  <c r="D250" i="7"/>
  <c r="D246" i="7"/>
  <c r="D242" i="7"/>
  <c r="D238" i="7"/>
  <c r="D234" i="7"/>
  <c r="D230" i="7"/>
  <c r="D226" i="7"/>
  <c r="D222" i="7"/>
  <c r="D218" i="7"/>
  <c r="D214" i="7"/>
  <c r="D210" i="7"/>
  <c r="D206" i="7"/>
  <c r="D202" i="7"/>
  <c r="D198" i="7"/>
  <c r="D194" i="7"/>
  <c r="D190" i="7"/>
  <c r="D186" i="7"/>
  <c r="D182" i="7"/>
  <c r="D178" i="7"/>
  <c r="D174" i="7"/>
  <c r="D170" i="7"/>
  <c r="D166" i="7"/>
  <c r="D162" i="7"/>
  <c r="D158" i="7"/>
  <c r="D154" i="7"/>
  <c r="D150" i="7"/>
  <c r="D146" i="7"/>
  <c r="D142" i="7"/>
  <c r="D138" i="7"/>
  <c r="D285" i="7"/>
  <c r="D269" i="7"/>
  <c r="D253" i="7"/>
  <c r="D237" i="7"/>
  <c r="D221" i="7"/>
  <c r="D205" i="7"/>
  <c r="D189" i="7"/>
  <c r="D173" i="7"/>
  <c r="D157" i="7"/>
  <c r="D141" i="7"/>
  <c r="D125" i="7"/>
  <c r="D109" i="7"/>
  <c r="D93" i="7"/>
  <c r="D81" i="7"/>
  <c r="D73" i="7"/>
  <c r="D65" i="7"/>
  <c r="D57" i="7"/>
  <c r="D49" i="7"/>
  <c r="D41" i="7"/>
  <c r="D33" i="7"/>
  <c r="D25" i="7"/>
  <c r="D17" i="7"/>
  <c r="D10" i="7"/>
  <c r="D5" i="7"/>
  <c r="D281" i="7"/>
  <c r="D265" i="7"/>
  <c r="D249" i="7"/>
  <c r="D233" i="7"/>
  <c r="D217" i="7"/>
  <c r="D201" i="7"/>
  <c r="D185" i="7"/>
  <c r="D169" i="7"/>
  <c r="D153" i="7"/>
  <c r="D137" i="7"/>
  <c r="D121" i="7"/>
  <c r="D105" i="7"/>
  <c r="D89" i="7"/>
  <c r="D78" i="7"/>
  <c r="D62" i="7"/>
  <c r="D54" i="7"/>
  <c r="D38" i="7"/>
  <c r="D22" i="7"/>
  <c r="D9" i="7"/>
  <c r="D277" i="7"/>
  <c r="D261" i="7"/>
  <c r="D245" i="7"/>
  <c r="D229" i="7"/>
  <c r="D197" i="7"/>
  <c r="D165" i="7"/>
  <c r="D133" i="7"/>
  <c r="D101" i="7"/>
  <c r="D77" i="7"/>
  <c r="D53" i="7"/>
  <c r="D37" i="7"/>
  <c r="D13" i="7"/>
  <c r="D225" i="7"/>
  <c r="D193" i="7"/>
  <c r="D145" i="7"/>
  <c r="D97" i="7"/>
  <c r="D66" i="7"/>
  <c r="D42" i="7"/>
  <c r="D18" i="7"/>
  <c r="D70" i="7"/>
  <c r="D46" i="7"/>
  <c r="D30" i="7"/>
  <c r="D14" i="7"/>
  <c r="D4" i="7"/>
  <c r="D213" i="7"/>
  <c r="D181" i="7"/>
  <c r="D149" i="7"/>
  <c r="D117" i="7"/>
  <c r="D85" i="7"/>
  <c r="D61" i="7"/>
  <c r="D45" i="7"/>
  <c r="D21" i="7"/>
  <c r="D273" i="7"/>
  <c r="D257" i="7"/>
  <c r="D241" i="7"/>
  <c r="D209" i="7"/>
  <c r="D161" i="7"/>
  <c r="D113" i="7"/>
  <c r="D74" i="7"/>
  <c r="D50" i="7"/>
  <c r="D26" i="7"/>
  <c r="D6" i="7"/>
  <c r="D69" i="7"/>
  <c r="D29" i="7"/>
  <c r="D8" i="7"/>
  <c r="D177" i="7"/>
  <c r="D129" i="7"/>
  <c r="D82" i="7"/>
  <c r="D58" i="7"/>
  <c r="D34" i="7"/>
  <c r="D12" i="7"/>
  <c r="P188" i="5"/>
  <c r="N125" i="16"/>
  <c r="E101" i="16"/>
  <c r="J91" i="16"/>
  <c r="E91" i="16"/>
  <c r="N62" i="16"/>
  <c r="K54" i="16"/>
  <c r="D12" i="20"/>
  <c r="D10" i="20"/>
  <c r="B2" i="20"/>
  <c r="P654" i="5"/>
  <c r="P653" i="5"/>
  <c r="P652" i="5"/>
  <c r="P651" i="5"/>
  <c r="P650" i="5"/>
  <c r="P649" i="5"/>
  <c r="P648" i="5"/>
  <c r="P647" i="5"/>
  <c r="P646" i="5"/>
  <c r="P645" i="5"/>
  <c r="P644" i="5"/>
  <c r="P643" i="5"/>
  <c r="P642" i="5"/>
  <c r="P641" i="5"/>
  <c r="P640" i="5"/>
  <c r="P639" i="5"/>
  <c r="P638" i="5"/>
  <c r="P637" i="5"/>
  <c r="P636" i="5"/>
  <c r="P635" i="5"/>
  <c r="P634" i="5"/>
  <c r="P633" i="5"/>
  <c r="P632" i="5"/>
  <c r="P631" i="5"/>
  <c r="P630" i="5"/>
  <c r="P629" i="5"/>
  <c r="P628" i="5"/>
  <c r="P627" i="5"/>
  <c r="P626" i="5"/>
  <c r="P625" i="5"/>
  <c r="P624" i="5"/>
  <c r="P623" i="5"/>
  <c r="P622" i="5"/>
  <c r="P621" i="5"/>
  <c r="P620" i="5"/>
  <c r="P619" i="5"/>
  <c r="P618" i="5"/>
  <c r="P617" i="5"/>
  <c r="P616" i="5"/>
  <c r="P615" i="5"/>
  <c r="P614" i="5"/>
  <c r="P613" i="5"/>
  <c r="P612" i="5"/>
  <c r="P611" i="5"/>
  <c r="P610" i="5"/>
  <c r="P609" i="5"/>
  <c r="P608" i="5"/>
  <c r="P607" i="5"/>
  <c r="P606" i="5"/>
  <c r="P605" i="5"/>
  <c r="P604" i="5"/>
  <c r="P603" i="5"/>
  <c r="P602" i="5"/>
  <c r="P601" i="5"/>
  <c r="P600" i="5"/>
  <c r="P599" i="5"/>
  <c r="P598" i="5"/>
  <c r="P597" i="5"/>
  <c r="P596" i="5"/>
  <c r="P595" i="5"/>
  <c r="P594" i="5"/>
  <c r="P593" i="5"/>
  <c r="P592" i="5"/>
  <c r="P591" i="5"/>
  <c r="P590" i="5"/>
  <c r="P589" i="5"/>
  <c r="P588" i="5"/>
  <c r="P587" i="5"/>
  <c r="P586" i="5"/>
  <c r="P585" i="5"/>
  <c r="P584" i="5"/>
  <c r="P583" i="5"/>
  <c r="P582" i="5"/>
  <c r="P581" i="5"/>
  <c r="P580" i="5"/>
  <c r="P579" i="5"/>
  <c r="P578" i="5"/>
  <c r="P577" i="5"/>
  <c r="P576" i="5"/>
  <c r="P575" i="5"/>
  <c r="P574" i="5"/>
  <c r="P573" i="5"/>
  <c r="P572" i="5"/>
  <c r="P571" i="5"/>
  <c r="P570" i="5"/>
  <c r="P569" i="5"/>
  <c r="P568" i="5"/>
  <c r="P567" i="5"/>
  <c r="P566" i="5"/>
  <c r="P565" i="5"/>
  <c r="P564" i="5"/>
  <c r="P563" i="5"/>
  <c r="P562" i="5"/>
  <c r="P561" i="5"/>
  <c r="P560" i="5"/>
  <c r="P559" i="5"/>
  <c r="P558" i="5"/>
  <c r="P557" i="5"/>
  <c r="P556" i="5"/>
  <c r="P555" i="5"/>
  <c r="P554" i="5"/>
  <c r="P553" i="5"/>
  <c r="P552" i="5"/>
  <c r="P551" i="5"/>
  <c r="P550" i="5"/>
  <c r="P549" i="5"/>
  <c r="P548" i="5"/>
  <c r="P547" i="5"/>
  <c r="P546" i="5"/>
  <c r="P545" i="5"/>
  <c r="P544" i="5"/>
  <c r="P543" i="5"/>
  <c r="P542" i="5"/>
  <c r="P541" i="5"/>
  <c r="P540" i="5"/>
  <c r="P539" i="5"/>
  <c r="P538" i="5"/>
  <c r="P537" i="5"/>
  <c r="P536" i="5"/>
  <c r="P535" i="5"/>
  <c r="P534" i="5"/>
  <c r="P533" i="5"/>
  <c r="P532" i="5"/>
  <c r="P531" i="5"/>
  <c r="P530" i="5"/>
  <c r="P529" i="5"/>
  <c r="P528" i="5"/>
  <c r="P527" i="5"/>
  <c r="P526" i="5"/>
  <c r="P525" i="5"/>
  <c r="P524" i="5"/>
  <c r="P523" i="5"/>
  <c r="P522" i="5"/>
  <c r="P521" i="5"/>
  <c r="P520" i="5"/>
  <c r="P519" i="5"/>
  <c r="P518" i="5"/>
  <c r="P517" i="5"/>
  <c r="P516" i="5"/>
  <c r="P515" i="5"/>
  <c r="P514" i="5"/>
  <c r="P513" i="5"/>
  <c r="P512" i="5"/>
  <c r="P511" i="5"/>
  <c r="P510" i="5"/>
  <c r="P509" i="5"/>
  <c r="P508" i="5"/>
  <c r="P507" i="5"/>
  <c r="P506" i="5"/>
  <c r="P505" i="5"/>
  <c r="P504" i="5"/>
  <c r="P503" i="5"/>
  <c r="P502" i="5"/>
  <c r="P501" i="5"/>
  <c r="P500" i="5"/>
  <c r="P499" i="5"/>
  <c r="P498" i="5"/>
  <c r="P497" i="5"/>
  <c r="P496" i="5"/>
  <c r="P495" i="5"/>
  <c r="P494" i="5"/>
  <c r="P493" i="5"/>
  <c r="P492" i="5"/>
  <c r="P491" i="5"/>
  <c r="P490" i="5"/>
  <c r="P489" i="5"/>
  <c r="P488" i="5"/>
  <c r="P487" i="5"/>
  <c r="P486" i="5"/>
  <c r="P485" i="5"/>
  <c r="P484" i="5"/>
  <c r="P483" i="5"/>
  <c r="P482" i="5"/>
  <c r="P481" i="5"/>
  <c r="P480" i="5"/>
  <c r="P479" i="5"/>
  <c r="P478" i="5"/>
  <c r="P477" i="5"/>
  <c r="P476" i="5"/>
  <c r="P475" i="5"/>
  <c r="P474" i="5"/>
  <c r="P473" i="5"/>
  <c r="P472" i="5"/>
  <c r="P471" i="5"/>
  <c r="P470" i="5"/>
  <c r="P469" i="5"/>
  <c r="P468" i="5"/>
  <c r="P467" i="5"/>
  <c r="P466" i="5"/>
  <c r="P465" i="5"/>
  <c r="P464" i="5"/>
  <c r="P463" i="5"/>
  <c r="P462" i="5"/>
  <c r="P461" i="5"/>
  <c r="P460" i="5"/>
  <c r="P459" i="5"/>
  <c r="P458" i="5"/>
  <c r="P457" i="5"/>
  <c r="P456" i="5"/>
  <c r="P455" i="5"/>
  <c r="P454" i="5"/>
  <c r="P453" i="5"/>
  <c r="P452" i="5"/>
  <c r="P451" i="5"/>
  <c r="P450" i="5"/>
  <c r="P449" i="5"/>
  <c r="P448" i="5"/>
  <c r="P447" i="5"/>
  <c r="P446" i="5"/>
  <c r="P445" i="5"/>
  <c r="P444" i="5"/>
  <c r="P443" i="5"/>
  <c r="P442" i="5"/>
  <c r="P441" i="5"/>
  <c r="P440" i="5"/>
  <c r="P439" i="5"/>
  <c r="P438" i="5"/>
  <c r="P437" i="5"/>
  <c r="P436" i="5"/>
  <c r="P435" i="5"/>
  <c r="P434" i="5"/>
  <c r="P433" i="5"/>
  <c r="P432" i="5"/>
  <c r="P431" i="5"/>
  <c r="P430" i="5"/>
  <c r="P429" i="5"/>
  <c r="P428" i="5"/>
  <c r="P427" i="5"/>
  <c r="P426" i="5"/>
  <c r="P425" i="5"/>
  <c r="P424" i="5"/>
  <c r="P423" i="5"/>
  <c r="P422" i="5"/>
  <c r="P421" i="5"/>
  <c r="P420" i="5"/>
  <c r="P419" i="5"/>
  <c r="P418" i="5"/>
  <c r="P417" i="5"/>
  <c r="P416" i="5"/>
  <c r="P415" i="5"/>
  <c r="P414" i="5"/>
  <c r="P413" i="5"/>
  <c r="P412" i="5"/>
  <c r="P411" i="5"/>
  <c r="P410" i="5"/>
  <c r="P409" i="5"/>
  <c r="P408" i="5"/>
  <c r="P407" i="5"/>
  <c r="P406" i="5"/>
  <c r="P405" i="5"/>
  <c r="P404" i="5"/>
  <c r="P403" i="5"/>
  <c r="P402" i="5"/>
  <c r="P401" i="5"/>
  <c r="P400" i="5"/>
  <c r="P399" i="5"/>
  <c r="P398" i="5"/>
  <c r="P397" i="5"/>
  <c r="P396" i="5"/>
  <c r="P395" i="5"/>
  <c r="P394" i="5"/>
  <c r="P393" i="5"/>
  <c r="P392" i="5"/>
  <c r="P391" i="5"/>
  <c r="P390" i="5"/>
  <c r="P389" i="5"/>
  <c r="P388" i="5"/>
  <c r="P387" i="5"/>
  <c r="P386" i="5"/>
  <c r="P385" i="5"/>
  <c r="P384" i="5"/>
  <c r="P383" i="5"/>
  <c r="P382" i="5"/>
  <c r="P381" i="5"/>
  <c r="P380" i="5"/>
  <c r="P379" i="5"/>
  <c r="P378" i="5"/>
  <c r="P377" i="5"/>
  <c r="P376" i="5"/>
  <c r="P375" i="5"/>
  <c r="P374" i="5"/>
  <c r="P373" i="5"/>
  <c r="P372" i="5"/>
  <c r="P371" i="5"/>
  <c r="P370" i="5"/>
  <c r="P369" i="5"/>
  <c r="P368" i="5"/>
  <c r="P367" i="5"/>
  <c r="P366" i="5"/>
  <c r="P365" i="5"/>
  <c r="P364" i="5"/>
  <c r="P363" i="5"/>
  <c r="P362" i="5"/>
  <c r="P361" i="5"/>
  <c r="P360" i="5"/>
  <c r="P359" i="5"/>
  <c r="P358" i="5"/>
  <c r="P357" i="5"/>
  <c r="P356" i="5"/>
  <c r="P355" i="5"/>
  <c r="P354" i="5"/>
  <c r="P353" i="5"/>
  <c r="P352" i="5"/>
  <c r="P351" i="5"/>
  <c r="P350" i="5"/>
  <c r="P349" i="5"/>
  <c r="P348" i="5"/>
  <c r="P347" i="5"/>
  <c r="P346" i="5"/>
  <c r="P345" i="5"/>
  <c r="P344" i="5"/>
  <c r="P343" i="5"/>
  <c r="P342" i="5"/>
  <c r="P341" i="5"/>
  <c r="P340" i="5"/>
  <c r="P339" i="5"/>
  <c r="P338" i="5"/>
  <c r="P337" i="5"/>
  <c r="P336" i="5"/>
  <c r="P335" i="5"/>
  <c r="P334" i="5"/>
  <c r="P333" i="5"/>
  <c r="P332" i="5"/>
  <c r="P331" i="5"/>
  <c r="P330" i="5"/>
  <c r="P329" i="5"/>
  <c r="P328" i="5"/>
  <c r="P327" i="5"/>
  <c r="P326" i="5"/>
  <c r="P325" i="5"/>
  <c r="P324" i="5"/>
  <c r="P323" i="5"/>
  <c r="P322" i="5"/>
  <c r="P321" i="5"/>
  <c r="P320" i="5"/>
  <c r="P319" i="5"/>
  <c r="P318" i="5"/>
  <c r="P317" i="5"/>
  <c r="P316" i="5"/>
  <c r="P315" i="5"/>
  <c r="P314" i="5"/>
  <c r="P313" i="5"/>
  <c r="P312" i="5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6" i="5"/>
  <c r="P183" i="5"/>
  <c r="P175" i="5"/>
  <c r="P171" i="5"/>
  <c r="P163" i="5"/>
  <c r="P162" i="5"/>
  <c r="P154" i="5"/>
  <c r="P151" i="5"/>
  <c r="P143" i="5"/>
  <c r="P139" i="5"/>
  <c r="P131" i="5"/>
  <c r="P130" i="5"/>
  <c r="P123" i="5"/>
  <c r="P122" i="5"/>
  <c r="P119" i="5"/>
  <c r="P115" i="5"/>
  <c r="P114" i="5"/>
  <c r="P113" i="5"/>
  <c r="P110" i="5"/>
  <c r="P109" i="5"/>
  <c r="P108" i="5"/>
  <c r="P106" i="5"/>
  <c r="P105" i="5"/>
  <c r="P104" i="5"/>
  <c r="P102" i="5"/>
  <c r="P101" i="5"/>
  <c r="P100" i="5"/>
  <c r="P98" i="5"/>
  <c r="P97" i="5"/>
  <c r="P96" i="5"/>
  <c r="P94" i="5"/>
  <c r="P93" i="5"/>
  <c r="P92" i="5"/>
  <c r="P90" i="5"/>
  <c r="P89" i="5"/>
  <c r="P88" i="5"/>
  <c r="P86" i="5"/>
  <c r="P85" i="5"/>
  <c r="P84" i="5"/>
  <c r="P82" i="5"/>
  <c r="P81" i="5"/>
  <c r="P80" i="5"/>
  <c r="P78" i="5"/>
  <c r="P77" i="5"/>
  <c r="P76" i="5"/>
  <c r="P74" i="5"/>
  <c r="P73" i="5"/>
  <c r="P72" i="5"/>
  <c r="P70" i="5"/>
  <c r="P69" i="5"/>
  <c r="P68" i="5"/>
  <c r="P66" i="5"/>
  <c r="P65" i="5"/>
  <c r="P64" i="5"/>
  <c r="P62" i="5"/>
  <c r="P61" i="5"/>
  <c r="P60" i="5"/>
  <c r="P58" i="5"/>
  <c r="P57" i="5"/>
  <c r="P56" i="5"/>
  <c r="P54" i="5"/>
  <c r="P53" i="5"/>
  <c r="P52" i="5"/>
  <c r="P50" i="5"/>
  <c r="P49" i="5"/>
  <c r="P48" i="5"/>
  <c r="P47" i="5"/>
  <c r="P46" i="5"/>
  <c r="P45" i="5"/>
  <c r="P44" i="5"/>
  <c r="P43" i="5"/>
  <c r="P42" i="5"/>
  <c r="P41" i="5"/>
  <c r="P36" i="5"/>
  <c r="P23" i="5"/>
  <c r="L16" i="5"/>
  <c r="C16" i="5"/>
  <c r="C15" i="5"/>
  <c r="C14" i="5"/>
  <c r="C13" i="5"/>
  <c r="C12" i="5"/>
  <c r="P10" i="5"/>
  <c r="C10" i="5"/>
  <c r="C8" i="5"/>
  <c r="C23" i="2" s="1"/>
  <c r="C6" i="5"/>
  <c r="C5" i="5"/>
  <c r="C3" i="5"/>
  <c r="C3" i="1" s="1"/>
  <c r="C57" i="1"/>
  <c r="C45" i="1"/>
  <c r="C44" i="1"/>
  <c r="C43" i="1"/>
  <c r="C42" i="1"/>
  <c r="C17" i="1"/>
  <c r="C18" i="1" s="1"/>
  <c r="C16" i="1"/>
  <c r="KS5" i="11"/>
  <c r="KS6" i="11" s="1"/>
  <c r="KS7" i="11" s="1"/>
  <c r="KS8" i="11" s="1"/>
  <c r="KS9" i="11" s="1"/>
  <c r="KS10" i="11" s="1"/>
  <c r="KS11" i="11" s="1"/>
  <c r="KS12" i="11" s="1"/>
  <c r="KS13" i="11" s="1"/>
  <c r="KS14" i="11" s="1"/>
  <c r="KS15" i="11" s="1"/>
  <c r="KS16" i="11" s="1"/>
  <c r="KS17" i="11" s="1"/>
  <c r="KS18" i="11" s="1"/>
  <c r="KS19" i="11" s="1"/>
  <c r="KS20" i="11" s="1"/>
  <c r="KS21" i="11" s="1"/>
  <c r="KS22" i="11" s="1"/>
  <c r="KS23" i="11" s="1"/>
  <c r="KS24" i="11" s="1"/>
  <c r="KS25" i="11" s="1"/>
  <c r="KS26" i="11" s="1"/>
  <c r="KS27" i="11" s="1"/>
  <c r="KS28" i="11" s="1"/>
  <c r="KS29" i="11" s="1"/>
  <c r="KS30" i="11" s="1"/>
  <c r="KS31" i="11" s="1"/>
  <c r="KS32" i="11" s="1"/>
  <c r="KS33" i="11" s="1"/>
  <c r="KS34" i="11" s="1"/>
  <c r="KS35" i="11" s="1"/>
  <c r="KS36" i="11" s="1"/>
  <c r="KS37" i="11" s="1"/>
  <c r="KS38" i="11" s="1"/>
  <c r="KS39" i="11" s="1"/>
  <c r="KS40" i="11" s="1"/>
  <c r="KS41" i="11" s="1"/>
  <c r="KS42" i="11" s="1"/>
  <c r="KS43" i="11" s="1"/>
  <c r="KS44" i="11" s="1"/>
  <c r="KS45" i="11" s="1"/>
  <c r="KS46" i="11" s="1"/>
  <c r="KS47" i="11" s="1"/>
  <c r="KS48" i="11" s="1"/>
  <c r="KS49" i="11" s="1"/>
  <c r="KS50" i="11" s="1"/>
  <c r="KS51" i="11" s="1"/>
  <c r="KS52" i="11" s="1"/>
  <c r="KS53" i="11" s="1"/>
  <c r="KS54" i="11" s="1"/>
  <c r="KS55" i="11" s="1"/>
  <c r="KS56" i="11" s="1"/>
  <c r="KS57" i="11" s="1"/>
  <c r="KS58" i="11" s="1"/>
  <c r="KS59" i="11" s="1"/>
  <c r="KS60" i="11" s="1"/>
  <c r="KS61" i="11" s="1"/>
  <c r="KS62" i="11" s="1"/>
  <c r="KS63" i="11" s="1"/>
  <c r="KR5" i="11"/>
  <c r="KR6" i="11" s="1"/>
  <c r="KR7" i="11" s="1"/>
  <c r="KR8" i="11" s="1"/>
  <c r="KR9" i="11" s="1"/>
  <c r="KR10" i="11" s="1"/>
  <c r="KR11" i="11" s="1"/>
  <c r="KR12" i="11" s="1"/>
  <c r="KR13" i="11" s="1"/>
  <c r="KR14" i="11" s="1"/>
  <c r="KR15" i="11" s="1"/>
  <c r="KR16" i="11" s="1"/>
  <c r="KR17" i="11" s="1"/>
  <c r="KR18" i="11" s="1"/>
  <c r="KR19" i="11" s="1"/>
  <c r="KR20" i="11" s="1"/>
  <c r="KR21" i="11" s="1"/>
  <c r="KR22" i="11" s="1"/>
  <c r="KR23" i="11" s="1"/>
  <c r="KR24" i="11" s="1"/>
  <c r="KR25" i="11" s="1"/>
  <c r="KR26" i="11" s="1"/>
  <c r="KR27" i="11" s="1"/>
  <c r="KR28" i="11" s="1"/>
  <c r="KR29" i="11" s="1"/>
  <c r="KR30" i="11" s="1"/>
  <c r="KR31" i="11" s="1"/>
  <c r="KR32" i="11" s="1"/>
  <c r="KR33" i="11" s="1"/>
  <c r="KR34" i="11" s="1"/>
  <c r="KR35" i="11" s="1"/>
  <c r="KR36" i="11" s="1"/>
  <c r="KR37" i="11" s="1"/>
  <c r="KR38" i="11" s="1"/>
  <c r="KR39" i="11" s="1"/>
  <c r="KR40" i="11" s="1"/>
  <c r="KR41" i="11" s="1"/>
  <c r="KR42" i="11" s="1"/>
  <c r="KR43" i="11" s="1"/>
  <c r="KR44" i="11" s="1"/>
  <c r="KR45" i="11" s="1"/>
  <c r="KR46" i="11" s="1"/>
  <c r="KR47" i="11" s="1"/>
  <c r="KR48" i="11" s="1"/>
  <c r="KR49" i="11" s="1"/>
  <c r="KR50" i="11" s="1"/>
  <c r="KR51" i="11" s="1"/>
  <c r="KR52" i="11" s="1"/>
  <c r="KR53" i="11" s="1"/>
  <c r="KR54" i="11" s="1"/>
  <c r="KR55" i="11" s="1"/>
  <c r="KR56" i="11" s="1"/>
  <c r="KR57" i="11" s="1"/>
  <c r="KR58" i="11" s="1"/>
  <c r="KR59" i="11" s="1"/>
  <c r="KR60" i="11" s="1"/>
  <c r="KR61" i="11" s="1"/>
  <c r="KR62" i="11" s="1"/>
  <c r="KR63" i="11" s="1"/>
  <c r="MY4" i="11"/>
  <c r="MY5" i="11" s="1"/>
  <c r="MY6" i="11" s="1"/>
  <c r="MY7" i="11" s="1"/>
  <c r="MY8" i="11" s="1"/>
  <c r="MY9" i="11" s="1"/>
  <c r="MY10" i="11" s="1"/>
  <c r="MY11" i="11" s="1"/>
  <c r="MY12" i="11" s="1"/>
  <c r="MY13" i="11" s="1"/>
  <c r="MY14" i="11" s="1"/>
  <c r="MY15" i="11" s="1"/>
  <c r="MY16" i="11" s="1"/>
  <c r="MY17" i="11" s="1"/>
  <c r="MY18" i="11" s="1"/>
  <c r="MY19" i="11" s="1"/>
  <c r="MY20" i="11" s="1"/>
  <c r="MY21" i="11" s="1"/>
  <c r="MY22" i="11" s="1"/>
  <c r="MY23" i="11" s="1"/>
  <c r="MY24" i="11" s="1"/>
  <c r="MY25" i="11" s="1"/>
  <c r="MY26" i="11" s="1"/>
  <c r="MY27" i="11" s="1"/>
  <c r="MY28" i="11" s="1"/>
  <c r="MY29" i="11" s="1"/>
  <c r="MY30" i="11" s="1"/>
  <c r="MY31" i="11" s="1"/>
  <c r="MY32" i="11" s="1"/>
  <c r="MY33" i="11" s="1"/>
  <c r="MY34" i="11" s="1"/>
  <c r="MY35" i="11" s="1"/>
  <c r="MY36" i="11" s="1"/>
  <c r="MY37" i="11" s="1"/>
  <c r="MY38" i="11" s="1"/>
  <c r="MY39" i="11" s="1"/>
  <c r="MY40" i="11" s="1"/>
  <c r="MY41" i="11" s="1"/>
  <c r="MY42" i="11" s="1"/>
  <c r="MY43" i="11" s="1"/>
  <c r="MY44" i="11" s="1"/>
  <c r="MY45" i="11" s="1"/>
  <c r="MY46" i="11" s="1"/>
  <c r="MY47" i="11" s="1"/>
  <c r="MY48" i="11" s="1"/>
  <c r="MY49" i="11" s="1"/>
  <c r="MY50" i="11" s="1"/>
  <c r="MY51" i="11" s="1"/>
  <c r="MY52" i="11" s="1"/>
  <c r="MY53" i="11" s="1"/>
  <c r="MY54" i="11" s="1"/>
  <c r="MY55" i="11" s="1"/>
  <c r="MY56" i="11" s="1"/>
  <c r="MY57" i="11" s="1"/>
  <c r="MY58" i="11" s="1"/>
  <c r="MY59" i="11" s="1"/>
  <c r="MY60" i="11" s="1"/>
  <c r="MY61" i="11" s="1"/>
  <c r="MY62" i="11" s="1"/>
  <c r="MY63" i="11" s="1"/>
  <c r="MX4" i="11"/>
  <c r="MX5" i="11" s="1"/>
  <c r="MX6" i="11" s="1"/>
  <c r="MX7" i="11" s="1"/>
  <c r="MX8" i="11" s="1"/>
  <c r="MX9" i="11" s="1"/>
  <c r="MX10" i="11" s="1"/>
  <c r="MX11" i="11" s="1"/>
  <c r="MX12" i="11" s="1"/>
  <c r="MX13" i="11" s="1"/>
  <c r="MX14" i="11" s="1"/>
  <c r="MX15" i="11" s="1"/>
  <c r="MX16" i="11" s="1"/>
  <c r="MX17" i="11" s="1"/>
  <c r="MX18" i="11" s="1"/>
  <c r="MX19" i="11" s="1"/>
  <c r="MX20" i="11" s="1"/>
  <c r="MX21" i="11" s="1"/>
  <c r="MX22" i="11" s="1"/>
  <c r="MX23" i="11" s="1"/>
  <c r="MX24" i="11" s="1"/>
  <c r="MX25" i="11" s="1"/>
  <c r="MX26" i="11" s="1"/>
  <c r="MX27" i="11" s="1"/>
  <c r="MX28" i="11" s="1"/>
  <c r="MX29" i="11" s="1"/>
  <c r="MX30" i="11" s="1"/>
  <c r="MX31" i="11" s="1"/>
  <c r="MX32" i="11" s="1"/>
  <c r="MX33" i="11" s="1"/>
  <c r="MX34" i="11" s="1"/>
  <c r="MX35" i="11" s="1"/>
  <c r="MX36" i="11" s="1"/>
  <c r="MX37" i="11" s="1"/>
  <c r="MX38" i="11" s="1"/>
  <c r="MX39" i="11" s="1"/>
  <c r="MX40" i="11" s="1"/>
  <c r="MX41" i="11" s="1"/>
  <c r="MX42" i="11" s="1"/>
  <c r="MX43" i="11" s="1"/>
  <c r="MX44" i="11" s="1"/>
  <c r="MX45" i="11" s="1"/>
  <c r="MX46" i="11" s="1"/>
  <c r="MX47" i="11" s="1"/>
  <c r="MX48" i="11" s="1"/>
  <c r="MX49" i="11" s="1"/>
  <c r="MX50" i="11" s="1"/>
  <c r="MX51" i="11" s="1"/>
  <c r="MX52" i="11" s="1"/>
  <c r="MX53" i="11" s="1"/>
  <c r="MX54" i="11" s="1"/>
  <c r="MX55" i="11" s="1"/>
  <c r="MX56" i="11" s="1"/>
  <c r="MX57" i="11" s="1"/>
  <c r="MX58" i="11" s="1"/>
  <c r="MX59" i="11" s="1"/>
  <c r="MX60" i="11" s="1"/>
  <c r="MX61" i="11" s="1"/>
  <c r="MX62" i="11" s="1"/>
  <c r="MX63" i="11" s="1"/>
  <c r="MW4" i="11"/>
  <c r="MW5" i="11" s="1"/>
  <c r="MW6" i="11" s="1"/>
  <c r="MW7" i="11" s="1"/>
  <c r="MW8" i="11" s="1"/>
  <c r="MW9" i="11" s="1"/>
  <c r="MW10" i="11" s="1"/>
  <c r="MW11" i="11" s="1"/>
  <c r="MW12" i="11" s="1"/>
  <c r="MW13" i="11" s="1"/>
  <c r="MW14" i="11" s="1"/>
  <c r="MW15" i="11" s="1"/>
  <c r="MW16" i="11" s="1"/>
  <c r="MW17" i="11" s="1"/>
  <c r="MW18" i="11" s="1"/>
  <c r="MW19" i="11" s="1"/>
  <c r="MW20" i="11" s="1"/>
  <c r="MW21" i="11" s="1"/>
  <c r="MW22" i="11" s="1"/>
  <c r="MW23" i="11" s="1"/>
  <c r="MW24" i="11" s="1"/>
  <c r="MW25" i="11" s="1"/>
  <c r="MW26" i="11" s="1"/>
  <c r="MW27" i="11" s="1"/>
  <c r="MW28" i="11" s="1"/>
  <c r="MW29" i="11" s="1"/>
  <c r="MW30" i="11" s="1"/>
  <c r="MW31" i="11" s="1"/>
  <c r="MW32" i="11" s="1"/>
  <c r="MW33" i="11" s="1"/>
  <c r="MW34" i="11" s="1"/>
  <c r="MW35" i="11" s="1"/>
  <c r="MW36" i="11" s="1"/>
  <c r="MW37" i="11" s="1"/>
  <c r="MW38" i="11" s="1"/>
  <c r="MW39" i="11" s="1"/>
  <c r="MW40" i="11" s="1"/>
  <c r="MW41" i="11" s="1"/>
  <c r="MW42" i="11" s="1"/>
  <c r="MW43" i="11" s="1"/>
  <c r="MW44" i="11" s="1"/>
  <c r="MW45" i="11" s="1"/>
  <c r="MW46" i="11" s="1"/>
  <c r="MW47" i="11" s="1"/>
  <c r="MW48" i="11" s="1"/>
  <c r="MW49" i="11" s="1"/>
  <c r="MW50" i="11" s="1"/>
  <c r="MW51" i="11" s="1"/>
  <c r="MW52" i="11" s="1"/>
  <c r="MW53" i="11" s="1"/>
  <c r="MW54" i="11" s="1"/>
  <c r="MW55" i="11" s="1"/>
  <c r="MW56" i="11" s="1"/>
  <c r="MW57" i="11" s="1"/>
  <c r="MW58" i="11" s="1"/>
  <c r="MW59" i="11" s="1"/>
  <c r="MW60" i="11" s="1"/>
  <c r="MW61" i="11" s="1"/>
  <c r="MW62" i="11" s="1"/>
  <c r="MW63" i="11" s="1"/>
  <c r="MV4" i="11"/>
  <c r="MV5" i="11" s="1"/>
  <c r="MV6" i="11" s="1"/>
  <c r="MV7" i="11" s="1"/>
  <c r="MV8" i="11" s="1"/>
  <c r="MV9" i="11" s="1"/>
  <c r="MV10" i="11" s="1"/>
  <c r="MV11" i="11" s="1"/>
  <c r="MV12" i="11" s="1"/>
  <c r="MV13" i="11" s="1"/>
  <c r="MV14" i="11" s="1"/>
  <c r="MV15" i="11" s="1"/>
  <c r="MV16" i="11" s="1"/>
  <c r="MV17" i="11" s="1"/>
  <c r="MV18" i="11" s="1"/>
  <c r="MV19" i="11" s="1"/>
  <c r="MV20" i="11" s="1"/>
  <c r="MV21" i="11" s="1"/>
  <c r="MV22" i="11" s="1"/>
  <c r="MV23" i="11" s="1"/>
  <c r="MV24" i="11" s="1"/>
  <c r="MV25" i="11" s="1"/>
  <c r="MV26" i="11" s="1"/>
  <c r="MV27" i="11" s="1"/>
  <c r="MV28" i="11" s="1"/>
  <c r="MV29" i="11" s="1"/>
  <c r="MV30" i="11" s="1"/>
  <c r="MV31" i="11" s="1"/>
  <c r="MV32" i="11" s="1"/>
  <c r="MV33" i="11" s="1"/>
  <c r="MV34" i="11" s="1"/>
  <c r="MV35" i="11" s="1"/>
  <c r="MV36" i="11" s="1"/>
  <c r="MV37" i="11" s="1"/>
  <c r="MV38" i="11" s="1"/>
  <c r="MV39" i="11" s="1"/>
  <c r="MV40" i="11" s="1"/>
  <c r="MV41" i="11" s="1"/>
  <c r="MV42" i="11" s="1"/>
  <c r="MV43" i="11" s="1"/>
  <c r="MV44" i="11" s="1"/>
  <c r="MV45" i="11" s="1"/>
  <c r="MV46" i="11" s="1"/>
  <c r="MV47" i="11" s="1"/>
  <c r="MV48" i="11" s="1"/>
  <c r="MV49" i="11" s="1"/>
  <c r="MV50" i="11" s="1"/>
  <c r="MV51" i="11" s="1"/>
  <c r="MV52" i="11" s="1"/>
  <c r="MV53" i="11" s="1"/>
  <c r="MV54" i="11" s="1"/>
  <c r="MV55" i="11" s="1"/>
  <c r="MV56" i="11" s="1"/>
  <c r="MV57" i="11" s="1"/>
  <c r="MV58" i="11" s="1"/>
  <c r="MV59" i="11" s="1"/>
  <c r="MV60" i="11" s="1"/>
  <c r="MV61" i="11" s="1"/>
  <c r="MV62" i="11" s="1"/>
  <c r="MV63" i="11" s="1"/>
  <c r="MU4" i="11"/>
  <c r="MU5" i="11" s="1"/>
  <c r="MU6" i="11" s="1"/>
  <c r="MU7" i="11" s="1"/>
  <c r="MU8" i="11" s="1"/>
  <c r="MU9" i="11" s="1"/>
  <c r="MU10" i="11" s="1"/>
  <c r="MU11" i="11" s="1"/>
  <c r="MU12" i="11" s="1"/>
  <c r="MU13" i="11" s="1"/>
  <c r="MU14" i="11" s="1"/>
  <c r="MU15" i="11" s="1"/>
  <c r="MU16" i="11" s="1"/>
  <c r="MU17" i="11" s="1"/>
  <c r="MU18" i="11" s="1"/>
  <c r="MU19" i="11" s="1"/>
  <c r="MU20" i="11" s="1"/>
  <c r="MU21" i="11" s="1"/>
  <c r="MU22" i="11" s="1"/>
  <c r="MU23" i="11" s="1"/>
  <c r="MU24" i="11" s="1"/>
  <c r="MU25" i="11" s="1"/>
  <c r="MU26" i="11" s="1"/>
  <c r="MU27" i="11" s="1"/>
  <c r="MU28" i="11" s="1"/>
  <c r="MU29" i="11" s="1"/>
  <c r="MU30" i="11" s="1"/>
  <c r="MU31" i="11" s="1"/>
  <c r="MU32" i="11" s="1"/>
  <c r="MU33" i="11" s="1"/>
  <c r="MU34" i="11" s="1"/>
  <c r="MU35" i="11" s="1"/>
  <c r="MU36" i="11" s="1"/>
  <c r="MU37" i="11" s="1"/>
  <c r="MU38" i="11" s="1"/>
  <c r="MU39" i="11" s="1"/>
  <c r="MU40" i="11" s="1"/>
  <c r="MU41" i="11" s="1"/>
  <c r="MU42" i="11" s="1"/>
  <c r="MU43" i="11" s="1"/>
  <c r="MU44" i="11" s="1"/>
  <c r="MU45" i="11" s="1"/>
  <c r="MU46" i="11" s="1"/>
  <c r="MU47" i="11" s="1"/>
  <c r="MU48" i="11" s="1"/>
  <c r="MU49" i="11" s="1"/>
  <c r="MU50" i="11" s="1"/>
  <c r="MU51" i="11" s="1"/>
  <c r="MU52" i="11" s="1"/>
  <c r="MU53" i="11" s="1"/>
  <c r="MU54" i="11" s="1"/>
  <c r="MU55" i="11" s="1"/>
  <c r="MU56" i="11" s="1"/>
  <c r="MU57" i="11" s="1"/>
  <c r="MU58" i="11" s="1"/>
  <c r="MU59" i="11" s="1"/>
  <c r="MU60" i="11" s="1"/>
  <c r="MU61" i="11" s="1"/>
  <c r="MU62" i="11" s="1"/>
  <c r="MU63" i="11" s="1"/>
  <c r="MT4" i="11"/>
  <c r="MT5" i="11" s="1"/>
  <c r="MT6" i="11" s="1"/>
  <c r="MT7" i="11" s="1"/>
  <c r="MT8" i="11" s="1"/>
  <c r="MT9" i="11" s="1"/>
  <c r="MT10" i="11" s="1"/>
  <c r="MT11" i="11" s="1"/>
  <c r="MT12" i="11" s="1"/>
  <c r="MT13" i="11" s="1"/>
  <c r="MT14" i="11" s="1"/>
  <c r="MT15" i="11" s="1"/>
  <c r="MT16" i="11" s="1"/>
  <c r="MT17" i="11" s="1"/>
  <c r="MT18" i="11" s="1"/>
  <c r="MT19" i="11" s="1"/>
  <c r="MT20" i="11" s="1"/>
  <c r="MT21" i="11" s="1"/>
  <c r="MT22" i="11" s="1"/>
  <c r="MT23" i="11" s="1"/>
  <c r="MT24" i="11" s="1"/>
  <c r="MT25" i="11" s="1"/>
  <c r="MT26" i="11" s="1"/>
  <c r="MT27" i="11" s="1"/>
  <c r="MT28" i="11" s="1"/>
  <c r="MT29" i="11" s="1"/>
  <c r="MT30" i="11" s="1"/>
  <c r="MT31" i="11" s="1"/>
  <c r="MT32" i="11" s="1"/>
  <c r="MT33" i="11" s="1"/>
  <c r="MT34" i="11" s="1"/>
  <c r="MT35" i="11" s="1"/>
  <c r="MT36" i="11" s="1"/>
  <c r="MT37" i="11" s="1"/>
  <c r="MT38" i="11" s="1"/>
  <c r="MT39" i="11" s="1"/>
  <c r="MT40" i="11" s="1"/>
  <c r="MT41" i="11" s="1"/>
  <c r="MT42" i="11" s="1"/>
  <c r="MT43" i="11" s="1"/>
  <c r="MT44" i="11" s="1"/>
  <c r="MT45" i="11" s="1"/>
  <c r="MT46" i="11" s="1"/>
  <c r="MT47" i="11" s="1"/>
  <c r="MT48" i="11" s="1"/>
  <c r="MT49" i="11" s="1"/>
  <c r="MT50" i="11" s="1"/>
  <c r="MT51" i="11" s="1"/>
  <c r="MT52" i="11" s="1"/>
  <c r="MT53" i="11" s="1"/>
  <c r="MT54" i="11" s="1"/>
  <c r="MT55" i="11" s="1"/>
  <c r="MT56" i="11" s="1"/>
  <c r="MT57" i="11" s="1"/>
  <c r="MT58" i="11" s="1"/>
  <c r="MT59" i="11" s="1"/>
  <c r="MT60" i="11" s="1"/>
  <c r="MT61" i="11" s="1"/>
  <c r="MT62" i="11" s="1"/>
  <c r="MT63" i="11" s="1"/>
  <c r="MS4" i="11"/>
  <c r="MS5" i="11" s="1"/>
  <c r="MS6" i="11" s="1"/>
  <c r="MS7" i="11" s="1"/>
  <c r="MS8" i="11" s="1"/>
  <c r="MS9" i="11" s="1"/>
  <c r="MS10" i="11" s="1"/>
  <c r="MS11" i="11" s="1"/>
  <c r="MS12" i="11" s="1"/>
  <c r="MS13" i="11" s="1"/>
  <c r="MS14" i="11" s="1"/>
  <c r="MS15" i="11" s="1"/>
  <c r="MS16" i="11" s="1"/>
  <c r="MS17" i="11" s="1"/>
  <c r="MS18" i="11" s="1"/>
  <c r="MS19" i="11" s="1"/>
  <c r="MS20" i="11" s="1"/>
  <c r="MS21" i="11" s="1"/>
  <c r="MS22" i="11" s="1"/>
  <c r="MS23" i="11" s="1"/>
  <c r="MS24" i="11" s="1"/>
  <c r="MS25" i="11" s="1"/>
  <c r="MS26" i="11" s="1"/>
  <c r="MS27" i="11" s="1"/>
  <c r="MS28" i="11" s="1"/>
  <c r="MS29" i="11" s="1"/>
  <c r="MS30" i="11" s="1"/>
  <c r="MS31" i="11" s="1"/>
  <c r="MS32" i="11" s="1"/>
  <c r="MS33" i="11" s="1"/>
  <c r="MS34" i="11" s="1"/>
  <c r="MS35" i="11" s="1"/>
  <c r="MS36" i="11" s="1"/>
  <c r="MS37" i="11" s="1"/>
  <c r="MS38" i="11" s="1"/>
  <c r="MS39" i="11" s="1"/>
  <c r="MS40" i="11" s="1"/>
  <c r="MS41" i="11" s="1"/>
  <c r="MS42" i="11" s="1"/>
  <c r="MS43" i="11" s="1"/>
  <c r="MS44" i="11" s="1"/>
  <c r="MS45" i="11" s="1"/>
  <c r="MS46" i="11" s="1"/>
  <c r="MS47" i="11" s="1"/>
  <c r="MS48" i="11" s="1"/>
  <c r="MS49" i="11" s="1"/>
  <c r="MS50" i="11" s="1"/>
  <c r="MS51" i="11" s="1"/>
  <c r="MS52" i="11" s="1"/>
  <c r="MS53" i="11" s="1"/>
  <c r="MS54" i="11" s="1"/>
  <c r="MS55" i="11" s="1"/>
  <c r="MS56" i="11" s="1"/>
  <c r="MS57" i="11" s="1"/>
  <c r="MS58" i="11" s="1"/>
  <c r="MS59" i="11" s="1"/>
  <c r="MS60" i="11" s="1"/>
  <c r="MS61" i="11" s="1"/>
  <c r="MS62" i="11" s="1"/>
  <c r="MS63" i="11" s="1"/>
  <c r="MR4" i="11"/>
  <c r="MR5" i="11" s="1"/>
  <c r="MR6" i="11" s="1"/>
  <c r="MR7" i="11" s="1"/>
  <c r="MR8" i="11" s="1"/>
  <c r="MR9" i="11" s="1"/>
  <c r="MR10" i="11" s="1"/>
  <c r="MR11" i="11" s="1"/>
  <c r="MR12" i="11" s="1"/>
  <c r="MR13" i="11" s="1"/>
  <c r="MR14" i="11" s="1"/>
  <c r="MR15" i="11" s="1"/>
  <c r="MR16" i="11" s="1"/>
  <c r="MR17" i="11" s="1"/>
  <c r="MR18" i="11" s="1"/>
  <c r="MR19" i="11" s="1"/>
  <c r="MR20" i="11" s="1"/>
  <c r="MR21" i="11" s="1"/>
  <c r="MR22" i="11" s="1"/>
  <c r="MR23" i="11" s="1"/>
  <c r="MR24" i="11" s="1"/>
  <c r="MR25" i="11" s="1"/>
  <c r="MR26" i="11" s="1"/>
  <c r="MR27" i="11" s="1"/>
  <c r="MR28" i="11" s="1"/>
  <c r="MR29" i="11" s="1"/>
  <c r="MR30" i="11" s="1"/>
  <c r="MR31" i="11" s="1"/>
  <c r="MR32" i="11" s="1"/>
  <c r="MR33" i="11" s="1"/>
  <c r="MR34" i="11" s="1"/>
  <c r="MR35" i="11" s="1"/>
  <c r="MR36" i="11" s="1"/>
  <c r="MR37" i="11" s="1"/>
  <c r="MR38" i="11" s="1"/>
  <c r="MR39" i="11" s="1"/>
  <c r="MR40" i="11" s="1"/>
  <c r="MR41" i="11" s="1"/>
  <c r="MR42" i="11" s="1"/>
  <c r="MR43" i="11" s="1"/>
  <c r="MR44" i="11" s="1"/>
  <c r="MR45" i="11" s="1"/>
  <c r="MR46" i="11" s="1"/>
  <c r="MR47" i="11" s="1"/>
  <c r="MR48" i="11" s="1"/>
  <c r="MR49" i="11" s="1"/>
  <c r="MR50" i="11" s="1"/>
  <c r="MR51" i="11" s="1"/>
  <c r="MR52" i="11" s="1"/>
  <c r="MR53" i="11" s="1"/>
  <c r="MR54" i="11" s="1"/>
  <c r="MR55" i="11" s="1"/>
  <c r="MR56" i="11" s="1"/>
  <c r="MR57" i="11" s="1"/>
  <c r="MR58" i="11" s="1"/>
  <c r="MR59" i="11" s="1"/>
  <c r="MR60" i="11" s="1"/>
  <c r="MR61" i="11" s="1"/>
  <c r="MR62" i="11" s="1"/>
  <c r="MR63" i="11" s="1"/>
  <c r="MQ4" i="11"/>
  <c r="MQ5" i="11" s="1"/>
  <c r="MQ6" i="11" s="1"/>
  <c r="MQ7" i="11" s="1"/>
  <c r="MQ8" i="11" s="1"/>
  <c r="MQ9" i="11" s="1"/>
  <c r="MQ10" i="11" s="1"/>
  <c r="MQ11" i="11" s="1"/>
  <c r="MQ12" i="11" s="1"/>
  <c r="MQ13" i="11" s="1"/>
  <c r="MQ14" i="11" s="1"/>
  <c r="MQ15" i="11" s="1"/>
  <c r="MQ16" i="11" s="1"/>
  <c r="MQ17" i="11" s="1"/>
  <c r="MQ18" i="11" s="1"/>
  <c r="MQ19" i="11" s="1"/>
  <c r="MQ20" i="11" s="1"/>
  <c r="MQ21" i="11" s="1"/>
  <c r="MQ22" i="11" s="1"/>
  <c r="MQ23" i="11" s="1"/>
  <c r="MQ24" i="11" s="1"/>
  <c r="MQ25" i="11" s="1"/>
  <c r="MQ26" i="11" s="1"/>
  <c r="MQ27" i="11" s="1"/>
  <c r="MQ28" i="11" s="1"/>
  <c r="MQ29" i="11" s="1"/>
  <c r="MQ30" i="11" s="1"/>
  <c r="MQ31" i="11" s="1"/>
  <c r="MQ32" i="11" s="1"/>
  <c r="MQ33" i="11" s="1"/>
  <c r="MQ34" i="11" s="1"/>
  <c r="MQ35" i="11" s="1"/>
  <c r="MQ36" i="11" s="1"/>
  <c r="MQ37" i="11" s="1"/>
  <c r="MQ38" i="11" s="1"/>
  <c r="MQ39" i="11" s="1"/>
  <c r="MQ40" i="11" s="1"/>
  <c r="MQ41" i="11" s="1"/>
  <c r="MQ42" i="11" s="1"/>
  <c r="MQ43" i="11" s="1"/>
  <c r="MQ44" i="11" s="1"/>
  <c r="MQ45" i="11" s="1"/>
  <c r="MQ46" i="11" s="1"/>
  <c r="MQ47" i="11" s="1"/>
  <c r="MQ48" i="11" s="1"/>
  <c r="MQ49" i="11" s="1"/>
  <c r="MQ50" i="11" s="1"/>
  <c r="MQ51" i="11" s="1"/>
  <c r="MQ52" i="11" s="1"/>
  <c r="MQ53" i="11" s="1"/>
  <c r="MQ54" i="11" s="1"/>
  <c r="MQ55" i="11" s="1"/>
  <c r="MQ56" i="11" s="1"/>
  <c r="MQ57" i="11" s="1"/>
  <c r="MQ58" i="11" s="1"/>
  <c r="MQ59" i="11" s="1"/>
  <c r="MQ60" i="11" s="1"/>
  <c r="MQ61" i="11" s="1"/>
  <c r="MQ62" i="11" s="1"/>
  <c r="MQ63" i="11" s="1"/>
  <c r="MP4" i="11"/>
  <c r="MP5" i="11" s="1"/>
  <c r="MP6" i="11" s="1"/>
  <c r="MP7" i="11" s="1"/>
  <c r="MP8" i="11" s="1"/>
  <c r="MP9" i="11" s="1"/>
  <c r="MP10" i="11" s="1"/>
  <c r="MP11" i="11" s="1"/>
  <c r="MP12" i="11" s="1"/>
  <c r="MP13" i="11" s="1"/>
  <c r="MP14" i="11" s="1"/>
  <c r="MP15" i="11" s="1"/>
  <c r="MP16" i="11" s="1"/>
  <c r="MP17" i="11" s="1"/>
  <c r="MP18" i="11" s="1"/>
  <c r="MP19" i="11" s="1"/>
  <c r="MP20" i="11" s="1"/>
  <c r="MP21" i="11" s="1"/>
  <c r="MP22" i="11" s="1"/>
  <c r="MP23" i="11" s="1"/>
  <c r="MP24" i="11" s="1"/>
  <c r="MP25" i="11" s="1"/>
  <c r="MP26" i="11" s="1"/>
  <c r="MP27" i="11" s="1"/>
  <c r="MP28" i="11" s="1"/>
  <c r="MP29" i="11" s="1"/>
  <c r="MP30" i="11" s="1"/>
  <c r="MP31" i="11" s="1"/>
  <c r="MP32" i="11" s="1"/>
  <c r="MP33" i="11" s="1"/>
  <c r="MP34" i="11" s="1"/>
  <c r="MP35" i="11" s="1"/>
  <c r="MP36" i="11" s="1"/>
  <c r="MP37" i="11" s="1"/>
  <c r="MP38" i="11" s="1"/>
  <c r="MP39" i="11" s="1"/>
  <c r="MP40" i="11" s="1"/>
  <c r="MP41" i="11" s="1"/>
  <c r="MP42" i="11" s="1"/>
  <c r="MP43" i="11" s="1"/>
  <c r="MP44" i="11" s="1"/>
  <c r="MP45" i="11" s="1"/>
  <c r="MP46" i="11" s="1"/>
  <c r="MP47" i="11" s="1"/>
  <c r="MP48" i="11" s="1"/>
  <c r="MP49" i="11" s="1"/>
  <c r="MP50" i="11" s="1"/>
  <c r="MP51" i="11" s="1"/>
  <c r="MP52" i="11" s="1"/>
  <c r="MP53" i="11" s="1"/>
  <c r="MP54" i="11" s="1"/>
  <c r="MP55" i="11" s="1"/>
  <c r="MP56" i="11" s="1"/>
  <c r="MP57" i="11" s="1"/>
  <c r="MP58" i="11" s="1"/>
  <c r="MP59" i="11" s="1"/>
  <c r="MP60" i="11" s="1"/>
  <c r="MP61" i="11" s="1"/>
  <c r="MP62" i="11" s="1"/>
  <c r="MP63" i="11" s="1"/>
  <c r="MO4" i="11"/>
  <c r="MO5" i="11" s="1"/>
  <c r="MO6" i="11" s="1"/>
  <c r="MO7" i="11" s="1"/>
  <c r="MO8" i="11" s="1"/>
  <c r="MO9" i="11" s="1"/>
  <c r="MO10" i="11" s="1"/>
  <c r="MO11" i="11" s="1"/>
  <c r="MO12" i="11" s="1"/>
  <c r="MO13" i="11" s="1"/>
  <c r="MO14" i="11" s="1"/>
  <c r="MO15" i="11" s="1"/>
  <c r="MO16" i="11" s="1"/>
  <c r="MO17" i="11" s="1"/>
  <c r="MO18" i="11" s="1"/>
  <c r="MO19" i="11" s="1"/>
  <c r="MO20" i="11" s="1"/>
  <c r="MO21" i="11" s="1"/>
  <c r="MO22" i="11" s="1"/>
  <c r="MO23" i="11" s="1"/>
  <c r="MO24" i="11" s="1"/>
  <c r="MO25" i="11" s="1"/>
  <c r="MO26" i="11" s="1"/>
  <c r="MO27" i="11" s="1"/>
  <c r="MO28" i="11" s="1"/>
  <c r="MO29" i="11" s="1"/>
  <c r="MO30" i="11" s="1"/>
  <c r="MO31" i="11" s="1"/>
  <c r="MO32" i="11" s="1"/>
  <c r="MO33" i="11" s="1"/>
  <c r="MO34" i="11" s="1"/>
  <c r="MO35" i="11" s="1"/>
  <c r="MO36" i="11" s="1"/>
  <c r="MO37" i="11" s="1"/>
  <c r="MO38" i="11" s="1"/>
  <c r="MO39" i="11" s="1"/>
  <c r="MO40" i="11" s="1"/>
  <c r="MO41" i="11" s="1"/>
  <c r="MO42" i="11" s="1"/>
  <c r="MO43" i="11" s="1"/>
  <c r="MO44" i="11" s="1"/>
  <c r="MO45" i="11" s="1"/>
  <c r="MO46" i="11" s="1"/>
  <c r="MO47" i="11" s="1"/>
  <c r="MO48" i="11" s="1"/>
  <c r="MO49" i="11" s="1"/>
  <c r="MO50" i="11" s="1"/>
  <c r="MO51" i="11" s="1"/>
  <c r="MO52" i="11" s="1"/>
  <c r="MO53" i="11" s="1"/>
  <c r="MO54" i="11" s="1"/>
  <c r="MO55" i="11" s="1"/>
  <c r="MO56" i="11" s="1"/>
  <c r="MO57" i="11" s="1"/>
  <c r="MO58" i="11" s="1"/>
  <c r="MO59" i="11" s="1"/>
  <c r="MO60" i="11" s="1"/>
  <c r="MO61" i="11" s="1"/>
  <c r="MO62" i="11" s="1"/>
  <c r="MO63" i="11" s="1"/>
  <c r="MN4" i="11"/>
  <c r="MN5" i="11" s="1"/>
  <c r="MN6" i="11" s="1"/>
  <c r="MN7" i="11" s="1"/>
  <c r="MN8" i="11" s="1"/>
  <c r="MN9" i="11" s="1"/>
  <c r="MN10" i="11" s="1"/>
  <c r="MN11" i="11" s="1"/>
  <c r="MN12" i="11" s="1"/>
  <c r="MN13" i="11" s="1"/>
  <c r="MN14" i="11" s="1"/>
  <c r="MN15" i="11" s="1"/>
  <c r="MN16" i="11" s="1"/>
  <c r="MN17" i="11" s="1"/>
  <c r="MN18" i="11" s="1"/>
  <c r="MN19" i="11" s="1"/>
  <c r="MN20" i="11" s="1"/>
  <c r="MN21" i="11" s="1"/>
  <c r="MN22" i="11" s="1"/>
  <c r="MN23" i="11" s="1"/>
  <c r="MN24" i="11" s="1"/>
  <c r="MN25" i="11" s="1"/>
  <c r="MN26" i="11" s="1"/>
  <c r="MN27" i="11" s="1"/>
  <c r="MN28" i="11" s="1"/>
  <c r="MN29" i="11" s="1"/>
  <c r="MN30" i="11" s="1"/>
  <c r="MN31" i="11" s="1"/>
  <c r="MN32" i="11" s="1"/>
  <c r="MN33" i="11" s="1"/>
  <c r="MN34" i="11" s="1"/>
  <c r="MN35" i="11" s="1"/>
  <c r="MN36" i="11" s="1"/>
  <c r="MN37" i="11" s="1"/>
  <c r="MN38" i="11" s="1"/>
  <c r="MN39" i="11" s="1"/>
  <c r="MN40" i="11" s="1"/>
  <c r="MN41" i="11" s="1"/>
  <c r="MN42" i="11" s="1"/>
  <c r="MN43" i="11" s="1"/>
  <c r="MN44" i="11" s="1"/>
  <c r="MN45" i="11" s="1"/>
  <c r="MN46" i="11" s="1"/>
  <c r="MN47" i="11" s="1"/>
  <c r="MN48" i="11" s="1"/>
  <c r="MN49" i="11" s="1"/>
  <c r="MN50" i="11" s="1"/>
  <c r="MN51" i="11" s="1"/>
  <c r="MN52" i="11" s="1"/>
  <c r="MN53" i="11" s="1"/>
  <c r="MN54" i="11" s="1"/>
  <c r="MN55" i="11" s="1"/>
  <c r="MN56" i="11" s="1"/>
  <c r="MN57" i="11" s="1"/>
  <c r="MN58" i="11" s="1"/>
  <c r="MN59" i="11" s="1"/>
  <c r="MN60" i="11" s="1"/>
  <c r="MN61" i="11" s="1"/>
  <c r="MN62" i="11" s="1"/>
  <c r="MN63" i="11" s="1"/>
  <c r="MM4" i="11"/>
  <c r="MM5" i="11" s="1"/>
  <c r="MM6" i="11" s="1"/>
  <c r="MM7" i="11" s="1"/>
  <c r="MM8" i="11" s="1"/>
  <c r="MM9" i="11" s="1"/>
  <c r="MM10" i="11" s="1"/>
  <c r="MM11" i="11" s="1"/>
  <c r="MM12" i="11" s="1"/>
  <c r="MM13" i="11" s="1"/>
  <c r="MM14" i="11" s="1"/>
  <c r="MM15" i="11" s="1"/>
  <c r="MM16" i="11" s="1"/>
  <c r="MM17" i="11" s="1"/>
  <c r="MM18" i="11" s="1"/>
  <c r="MM19" i="11" s="1"/>
  <c r="MM20" i="11" s="1"/>
  <c r="MM21" i="11" s="1"/>
  <c r="MM22" i="11" s="1"/>
  <c r="MM23" i="11" s="1"/>
  <c r="MM24" i="11" s="1"/>
  <c r="MM25" i="11" s="1"/>
  <c r="MM26" i="11" s="1"/>
  <c r="MM27" i="11" s="1"/>
  <c r="MM28" i="11" s="1"/>
  <c r="MM29" i="11" s="1"/>
  <c r="MM30" i="11" s="1"/>
  <c r="MM31" i="11" s="1"/>
  <c r="MM32" i="11" s="1"/>
  <c r="MM33" i="11" s="1"/>
  <c r="MM34" i="11" s="1"/>
  <c r="MM35" i="11" s="1"/>
  <c r="MM36" i="11" s="1"/>
  <c r="MM37" i="11" s="1"/>
  <c r="MM38" i="11" s="1"/>
  <c r="MM39" i="11" s="1"/>
  <c r="MM40" i="11" s="1"/>
  <c r="MM41" i="11" s="1"/>
  <c r="MM42" i="11" s="1"/>
  <c r="MM43" i="11" s="1"/>
  <c r="MM44" i="11" s="1"/>
  <c r="MM45" i="11" s="1"/>
  <c r="MM46" i="11" s="1"/>
  <c r="MM47" i="11" s="1"/>
  <c r="MM48" i="11" s="1"/>
  <c r="MM49" i="11" s="1"/>
  <c r="MM50" i="11" s="1"/>
  <c r="MM51" i="11" s="1"/>
  <c r="MM52" i="11" s="1"/>
  <c r="MM53" i="11" s="1"/>
  <c r="MM54" i="11" s="1"/>
  <c r="MM55" i="11" s="1"/>
  <c r="MM56" i="11" s="1"/>
  <c r="MM57" i="11" s="1"/>
  <c r="MM58" i="11" s="1"/>
  <c r="MM59" i="11" s="1"/>
  <c r="MM60" i="11" s="1"/>
  <c r="MM61" i="11" s="1"/>
  <c r="MM62" i="11" s="1"/>
  <c r="MM63" i="11" s="1"/>
  <c r="ML4" i="11"/>
  <c r="ML5" i="11" s="1"/>
  <c r="ML6" i="11" s="1"/>
  <c r="ML7" i="11" s="1"/>
  <c r="ML8" i="11" s="1"/>
  <c r="ML9" i="11" s="1"/>
  <c r="ML10" i="11" s="1"/>
  <c r="ML11" i="11" s="1"/>
  <c r="ML12" i="11" s="1"/>
  <c r="ML13" i="11" s="1"/>
  <c r="ML14" i="11" s="1"/>
  <c r="ML15" i="11" s="1"/>
  <c r="ML16" i="11" s="1"/>
  <c r="ML17" i="11" s="1"/>
  <c r="ML18" i="11" s="1"/>
  <c r="ML19" i="11" s="1"/>
  <c r="ML20" i="11" s="1"/>
  <c r="ML21" i="11" s="1"/>
  <c r="ML22" i="11" s="1"/>
  <c r="ML23" i="11" s="1"/>
  <c r="ML24" i="11" s="1"/>
  <c r="ML25" i="11" s="1"/>
  <c r="ML26" i="11" s="1"/>
  <c r="ML27" i="11" s="1"/>
  <c r="ML28" i="11" s="1"/>
  <c r="ML29" i="11" s="1"/>
  <c r="ML30" i="11" s="1"/>
  <c r="ML31" i="11" s="1"/>
  <c r="ML32" i="11" s="1"/>
  <c r="ML33" i="11" s="1"/>
  <c r="ML34" i="11" s="1"/>
  <c r="ML35" i="11" s="1"/>
  <c r="ML36" i="11" s="1"/>
  <c r="ML37" i="11" s="1"/>
  <c r="ML38" i="11" s="1"/>
  <c r="ML39" i="11" s="1"/>
  <c r="ML40" i="11" s="1"/>
  <c r="ML41" i="11" s="1"/>
  <c r="ML42" i="11" s="1"/>
  <c r="ML43" i="11" s="1"/>
  <c r="ML44" i="11" s="1"/>
  <c r="ML45" i="11" s="1"/>
  <c r="ML46" i="11" s="1"/>
  <c r="ML47" i="11" s="1"/>
  <c r="ML48" i="11" s="1"/>
  <c r="ML49" i="11" s="1"/>
  <c r="ML50" i="11" s="1"/>
  <c r="ML51" i="11" s="1"/>
  <c r="ML52" i="11" s="1"/>
  <c r="ML53" i="11" s="1"/>
  <c r="ML54" i="11" s="1"/>
  <c r="ML55" i="11" s="1"/>
  <c r="ML56" i="11" s="1"/>
  <c r="ML57" i="11" s="1"/>
  <c r="ML58" i="11" s="1"/>
  <c r="ML59" i="11" s="1"/>
  <c r="ML60" i="11" s="1"/>
  <c r="ML61" i="11" s="1"/>
  <c r="ML62" i="11" s="1"/>
  <c r="ML63" i="11" s="1"/>
  <c r="MK4" i="11"/>
  <c r="MK5" i="11" s="1"/>
  <c r="MK6" i="11" s="1"/>
  <c r="MK7" i="11" s="1"/>
  <c r="MK8" i="11" s="1"/>
  <c r="MK9" i="11" s="1"/>
  <c r="MK10" i="11" s="1"/>
  <c r="MK11" i="11" s="1"/>
  <c r="MK12" i="11" s="1"/>
  <c r="MK13" i="11" s="1"/>
  <c r="MK14" i="11" s="1"/>
  <c r="MK15" i="11" s="1"/>
  <c r="MK16" i="11" s="1"/>
  <c r="MK17" i="11" s="1"/>
  <c r="MK18" i="11" s="1"/>
  <c r="MK19" i="11" s="1"/>
  <c r="MK20" i="11" s="1"/>
  <c r="MK21" i="11" s="1"/>
  <c r="MK22" i="11" s="1"/>
  <c r="MK23" i="11" s="1"/>
  <c r="MK24" i="11" s="1"/>
  <c r="MK25" i="11" s="1"/>
  <c r="MK26" i="11" s="1"/>
  <c r="MK27" i="11" s="1"/>
  <c r="MK28" i="11" s="1"/>
  <c r="MK29" i="11" s="1"/>
  <c r="MK30" i="11" s="1"/>
  <c r="MK31" i="11" s="1"/>
  <c r="MK32" i="11" s="1"/>
  <c r="MK33" i="11" s="1"/>
  <c r="MK34" i="11" s="1"/>
  <c r="MK35" i="11" s="1"/>
  <c r="MK36" i="11" s="1"/>
  <c r="MK37" i="11" s="1"/>
  <c r="MK38" i="11" s="1"/>
  <c r="MK39" i="11" s="1"/>
  <c r="MK40" i="11" s="1"/>
  <c r="MK41" i="11" s="1"/>
  <c r="MK42" i="11" s="1"/>
  <c r="MK43" i="11" s="1"/>
  <c r="MK44" i="11" s="1"/>
  <c r="MK45" i="11" s="1"/>
  <c r="MK46" i="11" s="1"/>
  <c r="MK47" i="11" s="1"/>
  <c r="MK48" i="11" s="1"/>
  <c r="MK49" i="11" s="1"/>
  <c r="MK50" i="11" s="1"/>
  <c r="MK51" i="11" s="1"/>
  <c r="MK52" i="11" s="1"/>
  <c r="MK53" i="11" s="1"/>
  <c r="MK54" i="11" s="1"/>
  <c r="MK55" i="11" s="1"/>
  <c r="MK56" i="11" s="1"/>
  <c r="MK57" i="11" s="1"/>
  <c r="MK58" i="11" s="1"/>
  <c r="MK59" i="11" s="1"/>
  <c r="MK60" i="11" s="1"/>
  <c r="MK61" i="11" s="1"/>
  <c r="MK62" i="11" s="1"/>
  <c r="MK63" i="11" s="1"/>
  <c r="MJ4" i="11"/>
  <c r="MJ5" i="11" s="1"/>
  <c r="MJ6" i="11" s="1"/>
  <c r="MJ7" i="11" s="1"/>
  <c r="MJ8" i="11" s="1"/>
  <c r="MJ9" i="11" s="1"/>
  <c r="MJ10" i="11" s="1"/>
  <c r="MJ11" i="11" s="1"/>
  <c r="MJ12" i="11" s="1"/>
  <c r="MJ13" i="11" s="1"/>
  <c r="MJ14" i="11" s="1"/>
  <c r="MJ15" i="11" s="1"/>
  <c r="MJ16" i="11" s="1"/>
  <c r="MJ17" i="11" s="1"/>
  <c r="MJ18" i="11" s="1"/>
  <c r="MJ19" i="11" s="1"/>
  <c r="MJ20" i="11" s="1"/>
  <c r="MJ21" i="11" s="1"/>
  <c r="MJ22" i="11" s="1"/>
  <c r="MJ23" i="11" s="1"/>
  <c r="MJ24" i="11" s="1"/>
  <c r="MJ25" i="11" s="1"/>
  <c r="MJ26" i="11" s="1"/>
  <c r="MJ27" i="11" s="1"/>
  <c r="MJ28" i="11" s="1"/>
  <c r="MJ29" i="11" s="1"/>
  <c r="MJ30" i="11" s="1"/>
  <c r="MJ31" i="11" s="1"/>
  <c r="MJ32" i="11" s="1"/>
  <c r="MJ33" i="11" s="1"/>
  <c r="MJ34" i="11" s="1"/>
  <c r="MJ35" i="11" s="1"/>
  <c r="MJ36" i="11" s="1"/>
  <c r="MJ37" i="11" s="1"/>
  <c r="MJ38" i="11" s="1"/>
  <c r="MJ39" i="11" s="1"/>
  <c r="MJ40" i="11" s="1"/>
  <c r="MJ41" i="11" s="1"/>
  <c r="MJ42" i="11" s="1"/>
  <c r="MJ43" i="11" s="1"/>
  <c r="MJ44" i="11" s="1"/>
  <c r="MJ45" i="11" s="1"/>
  <c r="MJ46" i="11" s="1"/>
  <c r="MJ47" i="11" s="1"/>
  <c r="MJ48" i="11" s="1"/>
  <c r="MJ49" i="11" s="1"/>
  <c r="MJ50" i="11" s="1"/>
  <c r="MJ51" i="11" s="1"/>
  <c r="MJ52" i="11" s="1"/>
  <c r="MJ53" i="11" s="1"/>
  <c r="MJ54" i="11" s="1"/>
  <c r="MJ55" i="11" s="1"/>
  <c r="MJ56" i="11" s="1"/>
  <c r="MJ57" i="11" s="1"/>
  <c r="MJ58" i="11" s="1"/>
  <c r="MJ59" i="11" s="1"/>
  <c r="MJ60" i="11" s="1"/>
  <c r="MJ61" i="11" s="1"/>
  <c r="MJ62" i="11" s="1"/>
  <c r="MJ63" i="11" s="1"/>
  <c r="MI4" i="11"/>
  <c r="MI5" i="11" s="1"/>
  <c r="MI6" i="11" s="1"/>
  <c r="MI7" i="11" s="1"/>
  <c r="MI8" i="11" s="1"/>
  <c r="MI9" i="11" s="1"/>
  <c r="MI10" i="11" s="1"/>
  <c r="MI11" i="11" s="1"/>
  <c r="MI12" i="11" s="1"/>
  <c r="MI13" i="11" s="1"/>
  <c r="MI14" i="11" s="1"/>
  <c r="MI15" i="11" s="1"/>
  <c r="MI16" i="11" s="1"/>
  <c r="MI17" i="11" s="1"/>
  <c r="MI18" i="11" s="1"/>
  <c r="MI19" i="11" s="1"/>
  <c r="MI20" i="11" s="1"/>
  <c r="MI21" i="11" s="1"/>
  <c r="MI22" i="11" s="1"/>
  <c r="MI23" i="11" s="1"/>
  <c r="MI24" i="11" s="1"/>
  <c r="MI25" i="11" s="1"/>
  <c r="MI26" i="11" s="1"/>
  <c r="MI27" i="11" s="1"/>
  <c r="MI28" i="11" s="1"/>
  <c r="MI29" i="11" s="1"/>
  <c r="MI30" i="11" s="1"/>
  <c r="MI31" i="11" s="1"/>
  <c r="MI32" i="11" s="1"/>
  <c r="MI33" i="11" s="1"/>
  <c r="MI34" i="11" s="1"/>
  <c r="MI35" i="11" s="1"/>
  <c r="MI36" i="11" s="1"/>
  <c r="MI37" i="11" s="1"/>
  <c r="MI38" i="11" s="1"/>
  <c r="MI39" i="11" s="1"/>
  <c r="MI40" i="11" s="1"/>
  <c r="MI41" i="11" s="1"/>
  <c r="MI42" i="11" s="1"/>
  <c r="MI43" i="11" s="1"/>
  <c r="MI44" i="11" s="1"/>
  <c r="MI45" i="11" s="1"/>
  <c r="MI46" i="11" s="1"/>
  <c r="MI47" i="11" s="1"/>
  <c r="MI48" i="11" s="1"/>
  <c r="MI49" i="11" s="1"/>
  <c r="MI50" i="11" s="1"/>
  <c r="MI51" i="11" s="1"/>
  <c r="MI52" i="11" s="1"/>
  <c r="MI53" i="11" s="1"/>
  <c r="MI54" i="11" s="1"/>
  <c r="MI55" i="11" s="1"/>
  <c r="MI56" i="11" s="1"/>
  <c r="MI57" i="11" s="1"/>
  <c r="MI58" i="11" s="1"/>
  <c r="MI59" i="11" s="1"/>
  <c r="MI60" i="11" s="1"/>
  <c r="MI61" i="11" s="1"/>
  <c r="MI62" i="11" s="1"/>
  <c r="MI63" i="11" s="1"/>
  <c r="MH4" i="11"/>
  <c r="MH5" i="11" s="1"/>
  <c r="MH6" i="11" s="1"/>
  <c r="MH7" i="11" s="1"/>
  <c r="MH8" i="11" s="1"/>
  <c r="MH9" i="11" s="1"/>
  <c r="MH10" i="11" s="1"/>
  <c r="MH11" i="11" s="1"/>
  <c r="MH12" i="11" s="1"/>
  <c r="MH13" i="11" s="1"/>
  <c r="MH14" i="11" s="1"/>
  <c r="MH15" i="11" s="1"/>
  <c r="MH16" i="11" s="1"/>
  <c r="MH17" i="11" s="1"/>
  <c r="MH18" i="11" s="1"/>
  <c r="MH19" i="11" s="1"/>
  <c r="MH20" i="11" s="1"/>
  <c r="MH21" i="11" s="1"/>
  <c r="MH22" i="11" s="1"/>
  <c r="MH23" i="11" s="1"/>
  <c r="MH24" i="11" s="1"/>
  <c r="MH25" i="11" s="1"/>
  <c r="MH26" i="11" s="1"/>
  <c r="MH27" i="11" s="1"/>
  <c r="MH28" i="11" s="1"/>
  <c r="MH29" i="11" s="1"/>
  <c r="MH30" i="11" s="1"/>
  <c r="MH31" i="11" s="1"/>
  <c r="MH32" i="11" s="1"/>
  <c r="MH33" i="11" s="1"/>
  <c r="MH34" i="11" s="1"/>
  <c r="MH35" i="11" s="1"/>
  <c r="MH36" i="11" s="1"/>
  <c r="MH37" i="11" s="1"/>
  <c r="MH38" i="11" s="1"/>
  <c r="MH39" i="11" s="1"/>
  <c r="MH40" i="11" s="1"/>
  <c r="MH41" i="11" s="1"/>
  <c r="MH42" i="11" s="1"/>
  <c r="MH43" i="11" s="1"/>
  <c r="MH44" i="11" s="1"/>
  <c r="MH45" i="11" s="1"/>
  <c r="MH46" i="11" s="1"/>
  <c r="MH47" i="11" s="1"/>
  <c r="MH48" i="11" s="1"/>
  <c r="MH49" i="11" s="1"/>
  <c r="MH50" i="11" s="1"/>
  <c r="MH51" i="11" s="1"/>
  <c r="MH52" i="11" s="1"/>
  <c r="MH53" i="11" s="1"/>
  <c r="MH54" i="11" s="1"/>
  <c r="MH55" i="11" s="1"/>
  <c r="MH56" i="11" s="1"/>
  <c r="MH57" i="11" s="1"/>
  <c r="MH58" i="11" s="1"/>
  <c r="MH59" i="11" s="1"/>
  <c r="MH60" i="11" s="1"/>
  <c r="MH61" i="11" s="1"/>
  <c r="MH62" i="11" s="1"/>
  <c r="MH63" i="11" s="1"/>
  <c r="MG4" i="11"/>
  <c r="MG5" i="11" s="1"/>
  <c r="MG6" i="11" s="1"/>
  <c r="MG7" i="11" s="1"/>
  <c r="MG8" i="11" s="1"/>
  <c r="MG9" i="11" s="1"/>
  <c r="MG10" i="11" s="1"/>
  <c r="MG11" i="11" s="1"/>
  <c r="MG12" i="11" s="1"/>
  <c r="MG13" i="11" s="1"/>
  <c r="MG14" i="11" s="1"/>
  <c r="MG15" i="11" s="1"/>
  <c r="MG16" i="11" s="1"/>
  <c r="MG17" i="11" s="1"/>
  <c r="MG18" i="11" s="1"/>
  <c r="MG19" i="11" s="1"/>
  <c r="MG20" i="11" s="1"/>
  <c r="MG21" i="11" s="1"/>
  <c r="MG22" i="11" s="1"/>
  <c r="MG23" i="11" s="1"/>
  <c r="MG24" i="11" s="1"/>
  <c r="MG25" i="11" s="1"/>
  <c r="MG26" i="11" s="1"/>
  <c r="MG27" i="11" s="1"/>
  <c r="MG28" i="11" s="1"/>
  <c r="MG29" i="11" s="1"/>
  <c r="MG30" i="11" s="1"/>
  <c r="MG31" i="11" s="1"/>
  <c r="MG32" i="11" s="1"/>
  <c r="MG33" i="11" s="1"/>
  <c r="MG34" i="11" s="1"/>
  <c r="MG35" i="11" s="1"/>
  <c r="MG36" i="11" s="1"/>
  <c r="MG37" i="11" s="1"/>
  <c r="MG38" i="11" s="1"/>
  <c r="MG39" i="11" s="1"/>
  <c r="MG40" i="11" s="1"/>
  <c r="MG41" i="11" s="1"/>
  <c r="MG42" i="11" s="1"/>
  <c r="MG43" i="11" s="1"/>
  <c r="MG44" i="11" s="1"/>
  <c r="MG45" i="11" s="1"/>
  <c r="MG46" i="11" s="1"/>
  <c r="MG47" i="11" s="1"/>
  <c r="MG48" i="11" s="1"/>
  <c r="MG49" i="11" s="1"/>
  <c r="MG50" i="11" s="1"/>
  <c r="MG51" i="11" s="1"/>
  <c r="MG52" i="11" s="1"/>
  <c r="MG53" i="11" s="1"/>
  <c r="MG54" i="11" s="1"/>
  <c r="MG55" i="11" s="1"/>
  <c r="MG56" i="11" s="1"/>
  <c r="MG57" i="11" s="1"/>
  <c r="MG58" i="11" s="1"/>
  <c r="MG59" i="11" s="1"/>
  <c r="MG60" i="11" s="1"/>
  <c r="MG61" i="11" s="1"/>
  <c r="MG62" i="11" s="1"/>
  <c r="MG63" i="11" s="1"/>
  <c r="MF4" i="11"/>
  <c r="MF5" i="11" s="1"/>
  <c r="MF6" i="11" s="1"/>
  <c r="MF7" i="11" s="1"/>
  <c r="MF8" i="11" s="1"/>
  <c r="MF9" i="11" s="1"/>
  <c r="MF10" i="11" s="1"/>
  <c r="MF11" i="11" s="1"/>
  <c r="MF12" i="11" s="1"/>
  <c r="MF13" i="11" s="1"/>
  <c r="MF14" i="11" s="1"/>
  <c r="MF15" i="11" s="1"/>
  <c r="MF16" i="11" s="1"/>
  <c r="MF17" i="11" s="1"/>
  <c r="MF18" i="11" s="1"/>
  <c r="MF19" i="11" s="1"/>
  <c r="MF20" i="11" s="1"/>
  <c r="MF21" i="11" s="1"/>
  <c r="MF22" i="11" s="1"/>
  <c r="MF23" i="11" s="1"/>
  <c r="MF24" i="11" s="1"/>
  <c r="MF25" i="11" s="1"/>
  <c r="MF26" i="11" s="1"/>
  <c r="MF27" i="11" s="1"/>
  <c r="MF28" i="11" s="1"/>
  <c r="MF29" i="11" s="1"/>
  <c r="MF30" i="11" s="1"/>
  <c r="MF31" i="11" s="1"/>
  <c r="MF32" i="11" s="1"/>
  <c r="MF33" i="11" s="1"/>
  <c r="MF34" i="11" s="1"/>
  <c r="MF35" i="11" s="1"/>
  <c r="MF36" i="11" s="1"/>
  <c r="MF37" i="11" s="1"/>
  <c r="MF38" i="11" s="1"/>
  <c r="MF39" i="11" s="1"/>
  <c r="MF40" i="11" s="1"/>
  <c r="MF41" i="11" s="1"/>
  <c r="MF42" i="11" s="1"/>
  <c r="MF43" i="11" s="1"/>
  <c r="MF44" i="11" s="1"/>
  <c r="MF45" i="11" s="1"/>
  <c r="MF46" i="11" s="1"/>
  <c r="MF47" i="11" s="1"/>
  <c r="MF48" i="11" s="1"/>
  <c r="MF49" i="11" s="1"/>
  <c r="MF50" i="11" s="1"/>
  <c r="MF51" i="11" s="1"/>
  <c r="MF52" i="11" s="1"/>
  <c r="MF53" i="11" s="1"/>
  <c r="MF54" i="11" s="1"/>
  <c r="MF55" i="11" s="1"/>
  <c r="MF56" i="11" s="1"/>
  <c r="MF57" i="11" s="1"/>
  <c r="MF58" i="11" s="1"/>
  <c r="MF59" i="11" s="1"/>
  <c r="MF60" i="11" s="1"/>
  <c r="MF61" i="11" s="1"/>
  <c r="MF62" i="11" s="1"/>
  <c r="MF63" i="11" s="1"/>
  <c r="ME4" i="11"/>
  <c r="ME5" i="11" s="1"/>
  <c r="ME6" i="11" s="1"/>
  <c r="ME7" i="11" s="1"/>
  <c r="ME8" i="11" s="1"/>
  <c r="ME9" i="11" s="1"/>
  <c r="ME10" i="11" s="1"/>
  <c r="ME11" i="11" s="1"/>
  <c r="ME12" i="11" s="1"/>
  <c r="ME13" i="11" s="1"/>
  <c r="ME14" i="11" s="1"/>
  <c r="ME15" i="11" s="1"/>
  <c r="ME16" i="11" s="1"/>
  <c r="ME17" i="11" s="1"/>
  <c r="ME18" i="11" s="1"/>
  <c r="ME19" i="11" s="1"/>
  <c r="ME20" i="11" s="1"/>
  <c r="ME21" i="11" s="1"/>
  <c r="ME22" i="11" s="1"/>
  <c r="ME23" i="11" s="1"/>
  <c r="ME24" i="11" s="1"/>
  <c r="ME25" i="11" s="1"/>
  <c r="ME26" i="11" s="1"/>
  <c r="ME27" i="11" s="1"/>
  <c r="ME28" i="11" s="1"/>
  <c r="ME29" i="11" s="1"/>
  <c r="ME30" i="11" s="1"/>
  <c r="ME31" i="11" s="1"/>
  <c r="ME32" i="11" s="1"/>
  <c r="ME33" i="11" s="1"/>
  <c r="ME34" i="11" s="1"/>
  <c r="ME35" i="11" s="1"/>
  <c r="ME36" i="11" s="1"/>
  <c r="ME37" i="11" s="1"/>
  <c r="ME38" i="11" s="1"/>
  <c r="ME39" i="11" s="1"/>
  <c r="ME40" i="11" s="1"/>
  <c r="ME41" i="11" s="1"/>
  <c r="ME42" i="11" s="1"/>
  <c r="ME43" i="11" s="1"/>
  <c r="ME44" i="11" s="1"/>
  <c r="ME45" i="11" s="1"/>
  <c r="ME46" i="11" s="1"/>
  <c r="ME47" i="11" s="1"/>
  <c r="ME48" i="11" s="1"/>
  <c r="ME49" i="11" s="1"/>
  <c r="ME50" i="11" s="1"/>
  <c r="ME51" i="11" s="1"/>
  <c r="ME52" i="11" s="1"/>
  <c r="ME53" i="11" s="1"/>
  <c r="ME54" i="11" s="1"/>
  <c r="ME55" i="11" s="1"/>
  <c r="ME56" i="11" s="1"/>
  <c r="ME57" i="11" s="1"/>
  <c r="ME58" i="11" s="1"/>
  <c r="ME59" i="11" s="1"/>
  <c r="ME60" i="11" s="1"/>
  <c r="ME61" i="11" s="1"/>
  <c r="ME62" i="11" s="1"/>
  <c r="ME63" i="11" s="1"/>
  <c r="MD4" i="11"/>
  <c r="MD5" i="11" s="1"/>
  <c r="MD6" i="11" s="1"/>
  <c r="MD7" i="11" s="1"/>
  <c r="MD8" i="11" s="1"/>
  <c r="MD9" i="11" s="1"/>
  <c r="MD10" i="11" s="1"/>
  <c r="MD11" i="11" s="1"/>
  <c r="MD12" i="11" s="1"/>
  <c r="MD13" i="11" s="1"/>
  <c r="MD14" i="11" s="1"/>
  <c r="MD15" i="11" s="1"/>
  <c r="MD16" i="11" s="1"/>
  <c r="MD17" i="11" s="1"/>
  <c r="MD18" i="11" s="1"/>
  <c r="MD19" i="11" s="1"/>
  <c r="MD20" i="11" s="1"/>
  <c r="MD21" i="11" s="1"/>
  <c r="MD22" i="11" s="1"/>
  <c r="MD23" i="11" s="1"/>
  <c r="MD24" i="11" s="1"/>
  <c r="MD25" i="11" s="1"/>
  <c r="MD26" i="11" s="1"/>
  <c r="MD27" i="11" s="1"/>
  <c r="MD28" i="11" s="1"/>
  <c r="MD29" i="11" s="1"/>
  <c r="MD30" i="11" s="1"/>
  <c r="MD31" i="11" s="1"/>
  <c r="MD32" i="11" s="1"/>
  <c r="MD33" i="11" s="1"/>
  <c r="MD34" i="11" s="1"/>
  <c r="MD35" i="11" s="1"/>
  <c r="MD36" i="11" s="1"/>
  <c r="MD37" i="11" s="1"/>
  <c r="MD38" i="11" s="1"/>
  <c r="MD39" i="11" s="1"/>
  <c r="MD40" i="11" s="1"/>
  <c r="MD41" i="11" s="1"/>
  <c r="MD42" i="11" s="1"/>
  <c r="MD43" i="11" s="1"/>
  <c r="MD44" i="11" s="1"/>
  <c r="MD45" i="11" s="1"/>
  <c r="MD46" i="11" s="1"/>
  <c r="MD47" i="11" s="1"/>
  <c r="MD48" i="11" s="1"/>
  <c r="MD49" i="11" s="1"/>
  <c r="MD50" i="11" s="1"/>
  <c r="MD51" i="11" s="1"/>
  <c r="MD52" i="11" s="1"/>
  <c r="MD53" i="11" s="1"/>
  <c r="MD54" i="11" s="1"/>
  <c r="MD55" i="11" s="1"/>
  <c r="MD56" i="11" s="1"/>
  <c r="MD57" i="11" s="1"/>
  <c r="MD58" i="11" s="1"/>
  <c r="MD59" i="11" s="1"/>
  <c r="MD60" i="11" s="1"/>
  <c r="MD61" i="11" s="1"/>
  <c r="MD62" i="11" s="1"/>
  <c r="MD63" i="11" s="1"/>
  <c r="MC4" i="11"/>
  <c r="MC5" i="11" s="1"/>
  <c r="MC6" i="11" s="1"/>
  <c r="MC7" i="11" s="1"/>
  <c r="MC8" i="11" s="1"/>
  <c r="MC9" i="11" s="1"/>
  <c r="MC10" i="11" s="1"/>
  <c r="MC11" i="11" s="1"/>
  <c r="MC12" i="11" s="1"/>
  <c r="MC13" i="11" s="1"/>
  <c r="MC14" i="11" s="1"/>
  <c r="MC15" i="11" s="1"/>
  <c r="MC16" i="11" s="1"/>
  <c r="MC17" i="11" s="1"/>
  <c r="MC18" i="11" s="1"/>
  <c r="MC19" i="11" s="1"/>
  <c r="MC20" i="11" s="1"/>
  <c r="MC21" i="11" s="1"/>
  <c r="MC22" i="11" s="1"/>
  <c r="MC23" i="11" s="1"/>
  <c r="MC24" i="11" s="1"/>
  <c r="MC25" i="11" s="1"/>
  <c r="MC26" i="11" s="1"/>
  <c r="MC27" i="11" s="1"/>
  <c r="MC28" i="11" s="1"/>
  <c r="MC29" i="11" s="1"/>
  <c r="MC30" i="11" s="1"/>
  <c r="MC31" i="11" s="1"/>
  <c r="MC32" i="11" s="1"/>
  <c r="MC33" i="11" s="1"/>
  <c r="MC34" i="11" s="1"/>
  <c r="MC35" i="11" s="1"/>
  <c r="MC36" i="11" s="1"/>
  <c r="MC37" i="11" s="1"/>
  <c r="MC38" i="11" s="1"/>
  <c r="MC39" i="11" s="1"/>
  <c r="MC40" i="11" s="1"/>
  <c r="MC41" i="11" s="1"/>
  <c r="MC42" i="11" s="1"/>
  <c r="MC43" i="11" s="1"/>
  <c r="MC44" i="11" s="1"/>
  <c r="MC45" i="11" s="1"/>
  <c r="MC46" i="11" s="1"/>
  <c r="MC47" i="11" s="1"/>
  <c r="MC48" i="11" s="1"/>
  <c r="MC49" i="11" s="1"/>
  <c r="MC50" i="11" s="1"/>
  <c r="MC51" i="11" s="1"/>
  <c r="MC52" i="11" s="1"/>
  <c r="MC53" i="11" s="1"/>
  <c r="MC54" i="11" s="1"/>
  <c r="MC55" i="11" s="1"/>
  <c r="MC56" i="11" s="1"/>
  <c r="MC57" i="11" s="1"/>
  <c r="MC58" i="11" s="1"/>
  <c r="MC59" i="11" s="1"/>
  <c r="MC60" i="11" s="1"/>
  <c r="MC61" i="11" s="1"/>
  <c r="MC62" i="11" s="1"/>
  <c r="MC63" i="11" s="1"/>
  <c r="MB4" i="11"/>
  <c r="MB5" i="11" s="1"/>
  <c r="MB6" i="11" s="1"/>
  <c r="MB7" i="11" s="1"/>
  <c r="MB8" i="11" s="1"/>
  <c r="MB9" i="11" s="1"/>
  <c r="MB10" i="11" s="1"/>
  <c r="MB11" i="11" s="1"/>
  <c r="MB12" i="11" s="1"/>
  <c r="MB13" i="11" s="1"/>
  <c r="MB14" i="11" s="1"/>
  <c r="MB15" i="11" s="1"/>
  <c r="MB16" i="11" s="1"/>
  <c r="MB17" i="11" s="1"/>
  <c r="MB18" i="11" s="1"/>
  <c r="MB19" i="11" s="1"/>
  <c r="MB20" i="11" s="1"/>
  <c r="MB21" i="11" s="1"/>
  <c r="MB22" i="11" s="1"/>
  <c r="MB23" i="11" s="1"/>
  <c r="MB24" i="11" s="1"/>
  <c r="MB25" i="11" s="1"/>
  <c r="MB26" i="11" s="1"/>
  <c r="MB27" i="11" s="1"/>
  <c r="MB28" i="11" s="1"/>
  <c r="MB29" i="11" s="1"/>
  <c r="MB30" i="11" s="1"/>
  <c r="MB31" i="11" s="1"/>
  <c r="MB32" i="11" s="1"/>
  <c r="MB33" i="11" s="1"/>
  <c r="MB34" i="11" s="1"/>
  <c r="MB35" i="11" s="1"/>
  <c r="MB36" i="11" s="1"/>
  <c r="MB37" i="11" s="1"/>
  <c r="MB38" i="11" s="1"/>
  <c r="MB39" i="11" s="1"/>
  <c r="MB40" i="11" s="1"/>
  <c r="MB41" i="11" s="1"/>
  <c r="MB42" i="11" s="1"/>
  <c r="MB43" i="11" s="1"/>
  <c r="MB44" i="11" s="1"/>
  <c r="MB45" i="11" s="1"/>
  <c r="MB46" i="11" s="1"/>
  <c r="MB47" i="11" s="1"/>
  <c r="MB48" i="11" s="1"/>
  <c r="MB49" i="11" s="1"/>
  <c r="MB50" i="11" s="1"/>
  <c r="MB51" i="11" s="1"/>
  <c r="MB52" i="11" s="1"/>
  <c r="MB53" i="11" s="1"/>
  <c r="MB54" i="11" s="1"/>
  <c r="MB55" i="11" s="1"/>
  <c r="MB56" i="11" s="1"/>
  <c r="MB57" i="11" s="1"/>
  <c r="MB58" i="11" s="1"/>
  <c r="MB59" i="11" s="1"/>
  <c r="MB60" i="11" s="1"/>
  <c r="MB61" i="11" s="1"/>
  <c r="MB62" i="11" s="1"/>
  <c r="MB63" i="11" s="1"/>
  <c r="MA4" i="11"/>
  <c r="MA5" i="11" s="1"/>
  <c r="MA6" i="11" s="1"/>
  <c r="MA7" i="11" s="1"/>
  <c r="MA8" i="11" s="1"/>
  <c r="MA9" i="11" s="1"/>
  <c r="MA10" i="11" s="1"/>
  <c r="MA11" i="11" s="1"/>
  <c r="MA12" i="11" s="1"/>
  <c r="MA13" i="11" s="1"/>
  <c r="MA14" i="11" s="1"/>
  <c r="MA15" i="11" s="1"/>
  <c r="MA16" i="11" s="1"/>
  <c r="MA17" i="11" s="1"/>
  <c r="MA18" i="11" s="1"/>
  <c r="MA19" i="11" s="1"/>
  <c r="MA20" i="11" s="1"/>
  <c r="MA21" i="11" s="1"/>
  <c r="MA22" i="11" s="1"/>
  <c r="MA23" i="11" s="1"/>
  <c r="MA24" i="11" s="1"/>
  <c r="MA25" i="11" s="1"/>
  <c r="MA26" i="11" s="1"/>
  <c r="MA27" i="11" s="1"/>
  <c r="MA28" i="11" s="1"/>
  <c r="MA29" i="11" s="1"/>
  <c r="MA30" i="11" s="1"/>
  <c r="MA31" i="11" s="1"/>
  <c r="MA32" i="11" s="1"/>
  <c r="MA33" i="11" s="1"/>
  <c r="MA34" i="11" s="1"/>
  <c r="MA35" i="11" s="1"/>
  <c r="MA36" i="11" s="1"/>
  <c r="MA37" i="11" s="1"/>
  <c r="MA38" i="11" s="1"/>
  <c r="MA39" i="11" s="1"/>
  <c r="MA40" i="11" s="1"/>
  <c r="MA41" i="11" s="1"/>
  <c r="MA42" i="11" s="1"/>
  <c r="MA43" i="11" s="1"/>
  <c r="MA44" i="11" s="1"/>
  <c r="MA45" i="11" s="1"/>
  <c r="MA46" i="11" s="1"/>
  <c r="MA47" i="11" s="1"/>
  <c r="MA48" i="11" s="1"/>
  <c r="MA49" i="11" s="1"/>
  <c r="MA50" i="11" s="1"/>
  <c r="MA51" i="11" s="1"/>
  <c r="MA52" i="11" s="1"/>
  <c r="MA53" i="11" s="1"/>
  <c r="MA54" i="11" s="1"/>
  <c r="MA55" i="11" s="1"/>
  <c r="MA56" i="11" s="1"/>
  <c r="MA57" i="11" s="1"/>
  <c r="MA58" i="11" s="1"/>
  <c r="MA59" i="11" s="1"/>
  <c r="MA60" i="11" s="1"/>
  <c r="MA61" i="11" s="1"/>
  <c r="MA62" i="11" s="1"/>
  <c r="MA63" i="11" s="1"/>
  <c r="LZ4" i="11"/>
  <c r="LZ5" i="11" s="1"/>
  <c r="LZ6" i="11" s="1"/>
  <c r="LZ7" i="11" s="1"/>
  <c r="LZ8" i="11" s="1"/>
  <c r="LZ9" i="11" s="1"/>
  <c r="LZ10" i="11" s="1"/>
  <c r="LZ11" i="11" s="1"/>
  <c r="LZ12" i="11" s="1"/>
  <c r="LZ13" i="11" s="1"/>
  <c r="LZ14" i="11" s="1"/>
  <c r="LZ15" i="11" s="1"/>
  <c r="LZ16" i="11" s="1"/>
  <c r="LZ17" i="11" s="1"/>
  <c r="LZ18" i="11" s="1"/>
  <c r="LZ19" i="11" s="1"/>
  <c r="LZ20" i="11" s="1"/>
  <c r="LZ21" i="11" s="1"/>
  <c r="LZ22" i="11" s="1"/>
  <c r="LZ23" i="11" s="1"/>
  <c r="LZ24" i="11" s="1"/>
  <c r="LZ25" i="11" s="1"/>
  <c r="LZ26" i="11" s="1"/>
  <c r="LZ27" i="11" s="1"/>
  <c r="LZ28" i="11" s="1"/>
  <c r="LZ29" i="11" s="1"/>
  <c r="LZ30" i="11" s="1"/>
  <c r="LZ31" i="11" s="1"/>
  <c r="LZ32" i="11" s="1"/>
  <c r="LZ33" i="11" s="1"/>
  <c r="LZ34" i="11" s="1"/>
  <c r="LZ35" i="11" s="1"/>
  <c r="LZ36" i="11" s="1"/>
  <c r="LZ37" i="11" s="1"/>
  <c r="LZ38" i="11" s="1"/>
  <c r="LZ39" i="11" s="1"/>
  <c r="LZ40" i="11" s="1"/>
  <c r="LZ41" i="11" s="1"/>
  <c r="LZ42" i="11" s="1"/>
  <c r="LZ43" i="11" s="1"/>
  <c r="LZ44" i="11" s="1"/>
  <c r="LZ45" i="11" s="1"/>
  <c r="LZ46" i="11" s="1"/>
  <c r="LZ47" i="11" s="1"/>
  <c r="LZ48" i="11" s="1"/>
  <c r="LZ49" i="11" s="1"/>
  <c r="LZ50" i="11" s="1"/>
  <c r="LZ51" i="11" s="1"/>
  <c r="LZ52" i="11" s="1"/>
  <c r="LZ53" i="11" s="1"/>
  <c r="LZ54" i="11" s="1"/>
  <c r="LZ55" i="11" s="1"/>
  <c r="LZ56" i="11" s="1"/>
  <c r="LZ57" i="11" s="1"/>
  <c r="LZ58" i="11" s="1"/>
  <c r="LZ59" i="11" s="1"/>
  <c r="LZ60" i="11" s="1"/>
  <c r="LZ61" i="11" s="1"/>
  <c r="LZ62" i="11" s="1"/>
  <c r="LZ63" i="11" s="1"/>
  <c r="LY4" i="11"/>
  <c r="LY5" i="11" s="1"/>
  <c r="LY6" i="11" s="1"/>
  <c r="LY7" i="11" s="1"/>
  <c r="LY8" i="11" s="1"/>
  <c r="LY9" i="11" s="1"/>
  <c r="LY10" i="11" s="1"/>
  <c r="LY11" i="11" s="1"/>
  <c r="LY12" i="11" s="1"/>
  <c r="LY13" i="11" s="1"/>
  <c r="LY14" i="11" s="1"/>
  <c r="LY15" i="11" s="1"/>
  <c r="LY16" i="11" s="1"/>
  <c r="LY17" i="11" s="1"/>
  <c r="LY18" i="11" s="1"/>
  <c r="LY19" i="11" s="1"/>
  <c r="LY20" i="11" s="1"/>
  <c r="LY21" i="11" s="1"/>
  <c r="LY22" i="11" s="1"/>
  <c r="LY23" i="11" s="1"/>
  <c r="LY24" i="11" s="1"/>
  <c r="LY25" i="11" s="1"/>
  <c r="LY26" i="11" s="1"/>
  <c r="LY27" i="11" s="1"/>
  <c r="LY28" i="11" s="1"/>
  <c r="LY29" i="11" s="1"/>
  <c r="LY30" i="11" s="1"/>
  <c r="LY31" i="11" s="1"/>
  <c r="LY32" i="11" s="1"/>
  <c r="LY33" i="11" s="1"/>
  <c r="LY34" i="11" s="1"/>
  <c r="LY35" i="11" s="1"/>
  <c r="LY36" i="11" s="1"/>
  <c r="LY37" i="11" s="1"/>
  <c r="LY38" i="11" s="1"/>
  <c r="LY39" i="11" s="1"/>
  <c r="LY40" i="11" s="1"/>
  <c r="LY41" i="11" s="1"/>
  <c r="LY42" i="11" s="1"/>
  <c r="LY43" i="11" s="1"/>
  <c r="LY44" i="11" s="1"/>
  <c r="LY45" i="11" s="1"/>
  <c r="LY46" i="11" s="1"/>
  <c r="LY47" i="11" s="1"/>
  <c r="LY48" i="11" s="1"/>
  <c r="LY49" i="11" s="1"/>
  <c r="LY50" i="11" s="1"/>
  <c r="LY51" i="11" s="1"/>
  <c r="LY52" i="11" s="1"/>
  <c r="LY53" i="11" s="1"/>
  <c r="LY54" i="11" s="1"/>
  <c r="LY55" i="11" s="1"/>
  <c r="LY56" i="11" s="1"/>
  <c r="LY57" i="11" s="1"/>
  <c r="LY58" i="11" s="1"/>
  <c r="LY59" i="11" s="1"/>
  <c r="LY60" i="11" s="1"/>
  <c r="LY61" i="11" s="1"/>
  <c r="LY62" i="11" s="1"/>
  <c r="LY63" i="11" s="1"/>
  <c r="LX4" i="11"/>
  <c r="LX5" i="11" s="1"/>
  <c r="LX6" i="11" s="1"/>
  <c r="LX7" i="11" s="1"/>
  <c r="LX8" i="11" s="1"/>
  <c r="LX9" i="11" s="1"/>
  <c r="LX10" i="11" s="1"/>
  <c r="LX11" i="11" s="1"/>
  <c r="LX12" i="11" s="1"/>
  <c r="LX13" i="11" s="1"/>
  <c r="LX14" i="11" s="1"/>
  <c r="LX15" i="11" s="1"/>
  <c r="LX16" i="11" s="1"/>
  <c r="LX17" i="11" s="1"/>
  <c r="LX18" i="11" s="1"/>
  <c r="LX19" i="11" s="1"/>
  <c r="LX20" i="11" s="1"/>
  <c r="LX21" i="11" s="1"/>
  <c r="LX22" i="11" s="1"/>
  <c r="LX23" i="11" s="1"/>
  <c r="LX24" i="11" s="1"/>
  <c r="LX25" i="11" s="1"/>
  <c r="LX26" i="11" s="1"/>
  <c r="LX27" i="11" s="1"/>
  <c r="LX28" i="11" s="1"/>
  <c r="LX29" i="11" s="1"/>
  <c r="LX30" i="11" s="1"/>
  <c r="LX31" i="11" s="1"/>
  <c r="LX32" i="11" s="1"/>
  <c r="LX33" i="11" s="1"/>
  <c r="LX34" i="11" s="1"/>
  <c r="LX35" i="11" s="1"/>
  <c r="LX36" i="11" s="1"/>
  <c r="LX37" i="11" s="1"/>
  <c r="LX38" i="11" s="1"/>
  <c r="LX39" i="11" s="1"/>
  <c r="LX40" i="11" s="1"/>
  <c r="LX41" i="11" s="1"/>
  <c r="LX42" i="11" s="1"/>
  <c r="LX43" i="11" s="1"/>
  <c r="LX44" i="11" s="1"/>
  <c r="LX45" i="11" s="1"/>
  <c r="LX46" i="11" s="1"/>
  <c r="LX47" i="11" s="1"/>
  <c r="LX48" i="11" s="1"/>
  <c r="LX49" i="11" s="1"/>
  <c r="LX50" i="11" s="1"/>
  <c r="LX51" i="11" s="1"/>
  <c r="LX52" i="11" s="1"/>
  <c r="LX53" i="11" s="1"/>
  <c r="LX54" i="11" s="1"/>
  <c r="LX55" i="11" s="1"/>
  <c r="LX56" i="11" s="1"/>
  <c r="LX57" i="11" s="1"/>
  <c r="LX58" i="11" s="1"/>
  <c r="LX59" i="11" s="1"/>
  <c r="LX60" i="11" s="1"/>
  <c r="LX61" i="11" s="1"/>
  <c r="LX62" i="11" s="1"/>
  <c r="LX63" i="11" s="1"/>
  <c r="LW4" i="11"/>
  <c r="LW5" i="11" s="1"/>
  <c r="LW6" i="11" s="1"/>
  <c r="LW7" i="11" s="1"/>
  <c r="LW8" i="11" s="1"/>
  <c r="LW9" i="11" s="1"/>
  <c r="LW10" i="11" s="1"/>
  <c r="LW11" i="11" s="1"/>
  <c r="LW12" i="11" s="1"/>
  <c r="LW13" i="11" s="1"/>
  <c r="LW14" i="11" s="1"/>
  <c r="LW15" i="11" s="1"/>
  <c r="LW16" i="11" s="1"/>
  <c r="LW17" i="11" s="1"/>
  <c r="LW18" i="11" s="1"/>
  <c r="LW19" i="11" s="1"/>
  <c r="LW20" i="11" s="1"/>
  <c r="LW21" i="11" s="1"/>
  <c r="LW22" i="11" s="1"/>
  <c r="LW23" i="11" s="1"/>
  <c r="LW24" i="11" s="1"/>
  <c r="LW25" i="11" s="1"/>
  <c r="LW26" i="11" s="1"/>
  <c r="LW27" i="11" s="1"/>
  <c r="LW28" i="11" s="1"/>
  <c r="LW29" i="11" s="1"/>
  <c r="LW30" i="11" s="1"/>
  <c r="LW31" i="11" s="1"/>
  <c r="LW32" i="11" s="1"/>
  <c r="LW33" i="11" s="1"/>
  <c r="LW34" i="11" s="1"/>
  <c r="LW35" i="11" s="1"/>
  <c r="LW36" i="11" s="1"/>
  <c r="LW37" i="11" s="1"/>
  <c r="LW38" i="11" s="1"/>
  <c r="LW39" i="11" s="1"/>
  <c r="LW40" i="11" s="1"/>
  <c r="LW41" i="11" s="1"/>
  <c r="LW42" i="11" s="1"/>
  <c r="LW43" i="11" s="1"/>
  <c r="LW44" i="11" s="1"/>
  <c r="LW45" i="11" s="1"/>
  <c r="LW46" i="11" s="1"/>
  <c r="LW47" i="11" s="1"/>
  <c r="LW48" i="11" s="1"/>
  <c r="LW49" i="11" s="1"/>
  <c r="LW50" i="11" s="1"/>
  <c r="LW51" i="11" s="1"/>
  <c r="LW52" i="11" s="1"/>
  <c r="LW53" i="11" s="1"/>
  <c r="LW54" i="11" s="1"/>
  <c r="LW55" i="11" s="1"/>
  <c r="LW56" i="11" s="1"/>
  <c r="LW57" i="11" s="1"/>
  <c r="LW58" i="11" s="1"/>
  <c r="LW59" i="11" s="1"/>
  <c r="LW60" i="11" s="1"/>
  <c r="LW61" i="11" s="1"/>
  <c r="LW62" i="11" s="1"/>
  <c r="LW63" i="11" s="1"/>
  <c r="LV4" i="11"/>
  <c r="LV5" i="11" s="1"/>
  <c r="LV6" i="11" s="1"/>
  <c r="LV7" i="11" s="1"/>
  <c r="LV8" i="11" s="1"/>
  <c r="LV9" i="11" s="1"/>
  <c r="LV10" i="11" s="1"/>
  <c r="LV11" i="11" s="1"/>
  <c r="LV12" i="11" s="1"/>
  <c r="LV13" i="11" s="1"/>
  <c r="LV14" i="11" s="1"/>
  <c r="LV15" i="11" s="1"/>
  <c r="LV16" i="11" s="1"/>
  <c r="LV17" i="11" s="1"/>
  <c r="LV18" i="11" s="1"/>
  <c r="LV19" i="11" s="1"/>
  <c r="LV20" i="11" s="1"/>
  <c r="LV21" i="11" s="1"/>
  <c r="LV22" i="11" s="1"/>
  <c r="LV23" i="11" s="1"/>
  <c r="LV24" i="11" s="1"/>
  <c r="LV25" i="11" s="1"/>
  <c r="LV26" i="11" s="1"/>
  <c r="LV27" i="11" s="1"/>
  <c r="LV28" i="11" s="1"/>
  <c r="LV29" i="11" s="1"/>
  <c r="LV30" i="11" s="1"/>
  <c r="LV31" i="11" s="1"/>
  <c r="LV32" i="11" s="1"/>
  <c r="LV33" i="11" s="1"/>
  <c r="LV34" i="11" s="1"/>
  <c r="LV35" i="11" s="1"/>
  <c r="LV36" i="11" s="1"/>
  <c r="LV37" i="11" s="1"/>
  <c r="LV38" i="11" s="1"/>
  <c r="LV39" i="11" s="1"/>
  <c r="LV40" i="11" s="1"/>
  <c r="LV41" i="11" s="1"/>
  <c r="LV42" i="11" s="1"/>
  <c r="LV43" i="11" s="1"/>
  <c r="LV44" i="11" s="1"/>
  <c r="LV45" i="11" s="1"/>
  <c r="LV46" i="11" s="1"/>
  <c r="LV47" i="11" s="1"/>
  <c r="LV48" i="11" s="1"/>
  <c r="LV49" i="11" s="1"/>
  <c r="LV50" i="11" s="1"/>
  <c r="LV51" i="11" s="1"/>
  <c r="LV52" i="11" s="1"/>
  <c r="LV53" i="11" s="1"/>
  <c r="LV54" i="11" s="1"/>
  <c r="LV55" i="11" s="1"/>
  <c r="LV56" i="11" s="1"/>
  <c r="LV57" i="11" s="1"/>
  <c r="LV58" i="11" s="1"/>
  <c r="LV59" i="11" s="1"/>
  <c r="LV60" i="11" s="1"/>
  <c r="LV61" i="11" s="1"/>
  <c r="LV62" i="11" s="1"/>
  <c r="LV63" i="11" s="1"/>
  <c r="LU4" i="11"/>
  <c r="LU5" i="11" s="1"/>
  <c r="LU6" i="11" s="1"/>
  <c r="LU7" i="11" s="1"/>
  <c r="LU8" i="11" s="1"/>
  <c r="LU9" i="11" s="1"/>
  <c r="LU10" i="11" s="1"/>
  <c r="LU11" i="11" s="1"/>
  <c r="LU12" i="11" s="1"/>
  <c r="LU13" i="11" s="1"/>
  <c r="LU14" i="11" s="1"/>
  <c r="LU15" i="11" s="1"/>
  <c r="LU16" i="11" s="1"/>
  <c r="LU17" i="11" s="1"/>
  <c r="LU18" i="11" s="1"/>
  <c r="LU19" i="11" s="1"/>
  <c r="LU20" i="11" s="1"/>
  <c r="LU21" i="11" s="1"/>
  <c r="LU22" i="11" s="1"/>
  <c r="LU23" i="11" s="1"/>
  <c r="LU24" i="11" s="1"/>
  <c r="LU25" i="11" s="1"/>
  <c r="LU26" i="11" s="1"/>
  <c r="LU27" i="11" s="1"/>
  <c r="LU28" i="11" s="1"/>
  <c r="LU29" i="11" s="1"/>
  <c r="LU30" i="11" s="1"/>
  <c r="LU31" i="11" s="1"/>
  <c r="LU32" i="11" s="1"/>
  <c r="LU33" i="11" s="1"/>
  <c r="LU34" i="11" s="1"/>
  <c r="LU35" i="11" s="1"/>
  <c r="LU36" i="11" s="1"/>
  <c r="LU37" i="11" s="1"/>
  <c r="LU38" i="11" s="1"/>
  <c r="LU39" i="11" s="1"/>
  <c r="LU40" i="11" s="1"/>
  <c r="LU41" i="11" s="1"/>
  <c r="LU42" i="11" s="1"/>
  <c r="LU43" i="11" s="1"/>
  <c r="LU44" i="11" s="1"/>
  <c r="LU45" i="11" s="1"/>
  <c r="LU46" i="11" s="1"/>
  <c r="LU47" i="11" s="1"/>
  <c r="LU48" i="11" s="1"/>
  <c r="LU49" i="11" s="1"/>
  <c r="LU50" i="11" s="1"/>
  <c r="LU51" i="11" s="1"/>
  <c r="LU52" i="11" s="1"/>
  <c r="LU53" i="11" s="1"/>
  <c r="LU54" i="11" s="1"/>
  <c r="LU55" i="11" s="1"/>
  <c r="LU56" i="11" s="1"/>
  <c r="LU57" i="11" s="1"/>
  <c r="LU58" i="11" s="1"/>
  <c r="LU59" i="11" s="1"/>
  <c r="LU60" i="11" s="1"/>
  <c r="LU61" i="11" s="1"/>
  <c r="LU62" i="11" s="1"/>
  <c r="LU63" i="11" s="1"/>
  <c r="LT4" i="11"/>
  <c r="LT5" i="11" s="1"/>
  <c r="LT6" i="11" s="1"/>
  <c r="LT7" i="11" s="1"/>
  <c r="LT8" i="11" s="1"/>
  <c r="LT9" i="11" s="1"/>
  <c r="LT10" i="11" s="1"/>
  <c r="LT11" i="11" s="1"/>
  <c r="LT12" i="11" s="1"/>
  <c r="LT13" i="11" s="1"/>
  <c r="LT14" i="11" s="1"/>
  <c r="LT15" i="11" s="1"/>
  <c r="LT16" i="11" s="1"/>
  <c r="LT17" i="11" s="1"/>
  <c r="LT18" i="11" s="1"/>
  <c r="LT19" i="11" s="1"/>
  <c r="LT20" i="11" s="1"/>
  <c r="LT21" i="11" s="1"/>
  <c r="LT22" i="11" s="1"/>
  <c r="LT23" i="11" s="1"/>
  <c r="LT24" i="11" s="1"/>
  <c r="LT25" i="11" s="1"/>
  <c r="LT26" i="11" s="1"/>
  <c r="LT27" i="11" s="1"/>
  <c r="LT28" i="11" s="1"/>
  <c r="LT29" i="11" s="1"/>
  <c r="LT30" i="11" s="1"/>
  <c r="LT31" i="11" s="1"/>
  <c r="LT32" i="11" s="1"/>
  <c r="LT33" i="11" s="1"/>
  <c r="LT34" i="11" s="1"/>
  <c r="LT35" i="11" s="1"/>
  <c r="LT36" i="11" s="1"/>
  <c r="LT37" i="11" s="1"/>
  <c r="LT38" i="11" s="1"/>
  <c r="LT39" i="11" s="1"/>
  <c r="LT40" i="11" s="1"/>
  <c r="LT41" i="11" s="1"/>
  <c r="LT42" i="11" s="1"/>
  <c r="LT43" i="11" s="1"/>
  <c r="LT44" i="11" s="1"/>
  <c r="LT45" i="11" s="1"/>
  <c r="LT46" i="11" s="1"/>
  <c r="LT47" i="11" s="1"/>
  <c r="LT48" i="11" s="1"/>
  <c r="LT49" i="11" s="1"/>
  <c r="LT50" i="11" s="1"/>
  <c r="LT51" i="11" s="1"/>
  <c r="LT52" i="11" s="1"/>
  <c r="LT53" i="11" s="1"/>
  <c r="LT54" i="11" s="1"/>
  <c r="LT55" i="11" s="1"/>
  <c r="LT56" i="11" s="1"/>
  <c r="LT57" i="11" s="1"/>
  <c r="LT58" i="11" s="1"/>
  <c r="LT59" i="11" s="1"/>
  <c r="LT60" i="11" s="1"/>
  <c r="LT61" i="11" s="1"/>
  <c r="LT62" i="11" s="1"/>
  <c r="LT63" i="11" s="1"/>
  <c r="LS4" i="11"/>
  <c r="LS5" i="11" s="1"/>
  <c r="LS6" i="11" s="1"/>
  <c r="LS7" i="11" s="1"/>
  <c r="LS8" i="11" s="1"/>
  <c r="LS9" i="11" s="1"/>
  <c r="LS10" i="11" s="1"/>
  <c r="LS11" i="11" s="1"/>
  <c r="LS12" i="11" s="1"/>
  <c r="LS13" i="11" s="1"/>
  <c r="LS14" i="11" s="1"/>
  <c r="LS15" i="11" s="1"/>
  <c r="LS16" i="11" s="1"/>
  <c r="LS17" i="11" s="1"/>
  <c r="LS18" i="11" s="1"/>
  <c r="LS19" i="11" s="1"/>
  <c r="LS20" i="11" s="1"/>
  <c r="LS21" i="11" s="1"/>
  <c r="LS22" i="11" s="1"/>
  <c r="LS23" i="11" s="1"/>
  <c r="LS24" i="11" s="1"/>
  <c r="LS25" i="11" s="1"/>
  <c r="LS26" i="11" s="1"/>
  <c r="LS27" i="11" s="1"/>
  <c r="LS28" i="11" s="1"/>
  <c r="LS29" i="11" s="1"/>
  <c r="LS30" i="11" s="1"/>
  <c r="LS31" i="11" s="1"/>
  <c r="LS32" i="11" s="1"/>
  <c r="LS33" i="11" s="1"/>
  <c r="LS34" i="11" s="1"/>
  <c r="LS35" i="11" s="1"/>
  <c r="LS36" i="11" s="1"/>
  <c r="LS37" i="11" s="1"/>
  <c r="LS38" i="11" s="1"/>
  <c r="LS39" i="11" s="1"/>
  <c r="LS40" i="11" s="1"/>
  <c r="LS41" i="11" s="1"/>
  <c r="LS42" i="11" s="1"/>
  <c r="LS43" i="11" s="1"/>
  <c r="LS44" i="11" s="1"/>
  <c r="LS45" i="11" s="1"/>
  <c r="LS46" i="11" s="1"/>
  <c r="LS47" i="11" s="1"/>
  <c r="LS48" i="11" s="1"/>
  <c r="LS49" i="11" s="1"/>
  <c r="LS50" i="11" s="1"/>
  <c r="LS51" i="11" s="1"/>
  <c r="LS52" i="11" s="1"/>
  <c r="LS53" i="11" s="1"/>
  <c r="LS54" i="11" s="1"/>
  <c r="LS55" i="11" s="1"/>
  <c r="LS56" i="11" s="1"/>
  <c r="LS57" i="11" s="1"/>
  <c r="LS58" i="11" s="1"/>
  <c r="LS59" i="11" s="1"/>
  <c r="LS60" i="11" s="1"/>
  <c r="LS61" i="11" s="1"/>
  <c r="LS62" i="11" s="1"/>
  <c r="LS63" i="11" s="1"/>
  <c r="LR4" i="11"/>
  <c r="LR5" i="11" s="1"/>
  <c r="LR6" i="11" s="1"/>
  <c r="LR7" i="11" s="1"/>
  <c r="LR8" i="11" s="1"/>
  <c r="LR9" i="11" s="1"/>
  <c r="LR10" i="11" s="1"/>
  <c r="LR11" i="11" s="1"/>
  <c r="LR12" i="11" s="1"/>
  <c r="LR13" i="11" s="1"/>
  <c r="LR14" i="11" s="1"/>
  <c r="LR15" i="11" s="1"/>
  <c r="LR16" i="11" s="1"/>
  <c r="LR17" i="11" s="1"/>
  <c r="LR18" i="11" s="1"/>
  <c r="LR19" i="11" s="1"/>
  <c r="LR20" i="11" s="1"/>
  <c r="LR21" i="11" s="1"/>
  <c r="LR22" i="11" s="1"/>
  <c r="LR23" i="11" s="1"/>
  <c r="LR24" i="11" s="1"/>
  <c r="LR25" i="11" s="1"/>
  <c r="LR26" i="11" s="1"/>
  <c r="LR27" i="11" s="1"/>
  <c r="LR28" i="11" s="1"/>
  <c r="LR29" i="11" s="1"/>
  <c r="LR30" i="11" s="1"/>
  <c r="LR31" i="11" s="1"/>
  <c r="LR32" i="11" s="1"/>
  <c r="LR33" i="11" s="1"/>
  <c r="LR34" i="11" s="1"/>
  <c r="LR35" i="11" s="1"/>
  <c r="LR36" i="11" s="1"/>
  <c r="LR37" i="11" s="1"/>
  <c r="LR38" i="11" s="1"/>
  <c r="LR39" i="11" s="1"/>
  <c r="LR40" i="11" s="1"/>
  <c r="LR41" i="11" s="1"/>
  <c r="LR42" i="11" s="1"/>
  <c r="LR43" i="11" s="1"/>
  <c r="LR44" i="11" s="1"/>
  <c r="LR45" i="11" s="1"/>
  <c r="LR46" i="11" s="1"/>
  <c r="LR47" i="11" s="1"/>
  <c r="LR48" i="11" s="1"/>
  <c r="LR49" i="11" s="1"/>
  <c r="LR50" i="11" s="1"/>
  <c r="LR51" i="11" s="1"/>
  <c r="LR52" i="11" s="1"/>
  <c r="LR53" i="11" s="1"/>
  <c r="LR54" i="11" s="1"/>
  <c r="LR55" i="11" s="1"/>
  <c r="LR56" i="11" s="1"/>
  <c r="LR57" i="11" s="1"/>
  <c r="LR58" i="11" s="1"/>
  <c r="LR59" i="11" s="1"/>
  <c r="LR60" i="11" s="1"/>
  <c r="LR61" i="11" s="1"/>
  <c r="LR62" i="11" s="1"/>
  <c r="LR63" i="11" s="1"/>
  <c r="LQ4" i="11"/>
  <c r="LQ5" i="11" s="1"/>
  <c r="LQ6" i="11" s="1"/>
  <c r="LQ7" i="11" s="1"/>
  <c r="LQ8" i="11" s="1"/>
  <c r="LQ9" i="11" s="1"/>
  <c r="LQ10" i="11" s="1"/>
  <c r="LQ11" i="11" s="1"/>
  <c r="LQ12" i="11" s="1"/>
  <c r="LQ13" i="11" s="1"/>
  <c r="LQ14" i="11" s="1"/>
  <c r="LQ15" i="11" s="1"/>
  <c r="LQ16" i="11" s="1"/>
  <c r="LQ17" i="11" s="1"/>
  <c r="LQ18" i="11" s="1"/>
  <c r="LQ19" i="11" s="1"/>
  <c r="LQ20" i="11" s="1"/>
  <c r="LQ21" i="11" s="1"/>
  <c r="LQ22" i="11" s="1"/>
  <c r="LQ23" i="11" s="1"/>
  <c r="LQ24" i="11" s="1"/>
  <c r="LQ25" i="11" s="1"/>
  <c r="LQ26" i="11" s="1"/>
  <c r="LQ27" i="11" s="1"/>
  <c r="LQ28" i="11" s="1"/>
  <c r="LQ29" i="11" s="1"/>
  <c r="LQ30" i="11" s="1"/>
  <c r="LQ31" i="11" s="1"/>
  <c r="LQ32" i="11" s="1"/>
  <c r="LQ33" i="11" s="1"/>
  <c r="LQ34" i="11" s="1"/>
  <c r="LQ35" i="11" s="1"/>
  <c r="LQ36" i="11" s="1"/>
  <c r="LQ37" i="11" s="1"/>
  <c r="LQ38" i="11" s="1"/>
  <c r="LQ39" i="11" s="1"/>
  <c r="LQ40" i="11" s="1"/>
  <c r="LQ41" i="11" s="1"/>
  <c r="LQ42" i="11" s="1"/>
  <c r="LQ43" i="11" s="1"/>
  <c r="LQ44" i="11" s="1"/>
  <c r="LQ45" i="11" s="1"/>
  <c r="LQ46" i="11" s="1"/>
  <c r="LQ47" i="11" s="1"/>
  <c r="LQ48" i="11" s="1"/>
  <c r="LQ49" i="11" s="1"/>
  <c r="LQ50" i="11" s="1"/>
  <c r="LQ51" i="11" s="1"/>
  <c r="LQ52" i="11" s="1"/>
  <c r="LQ53" i="11" s="1"/>
  <c r="LQ54" i="11" s="1"/>
  <c r="LQ55" i="11" s="1"/>
  <c r="LQ56" i="11" s="1"/>
  <c r="LQ57" i="11" s="1"/>
  <c r="LQ58" i="11" s="1"/>
  <c r="LQ59" i="11" s="1"/>
  <c r="LQ60" i="11" s="1"/>
  <c r="LQ61" i="11" s="1"/>
  <c r="LQ62" i="11" s="1"/>
  <c r="LQ63" i="11" s="1"/>
  <c r="LP4" i="11"/>
  <c r="LP5" i="11" s="1"/>
  <c r="LP6" i="11" s="1"/>
  <c r="LP7" i="11" s="1"/>
  <c r="LP8" i="11" s="1"/>
  <c r="LP9" i="11" s="1"/>
  <c r="LP10" i="11" s="1"/>
  <c r="LP11" i="11" s="1"/>
  <c r="LP12" i="11" s="1"/>
  <c r="LP13" i="11" s="1"/>
  <c r="LP14" i="11" s="1"/>
  <c r="LP15" i="11" s="1"/>
  <c r="LP16" i="11" s="1"/>
  <c r="LP17" i="11" s="1"/>
  <c r="LP18" i="11" s="1"/>
  <c r="LP19" i="11" s="1"/>
  <c r="LP20" i="11" s="1"/>
  <c r="LP21" i="11" s="1"/>
  <c r="LP22" i="11" s="1"/>
  <c r="LP23" i="11" s="1"/>
  <c r="LP24" i="11" s="1"/>
  <c r="LP25" i="11" s="1"/>
  <c r="LP26" i="11" s="1"/>
  <c r="LP27" i="11" s="1"/>
  <c r="LP28" i="11" s="1"/>
  <c r="LP29" i="11" s="1"/>
  <c r="LP30" i="11" s="1"/>
  <c r="LP31" i="11" s="1"/>
  <c r="LP32" i="11" s="1"/>
  <c r="LP33" i="11" s="1"/>
  <c r="LP34" i="11" s="1"/>
  <c r="LP35" i="11" s="1"/>
  <c r="LP36" i="11" s="1"/>
  <c r="LP37" i="11" s="1"/>
  <c r="LP38" i="11" s="1"/>
  <c r="LP39" i="11" s="1"/>
  <c r="LP40" i="11" s="1"/>
  <c r="LP41" i="11" s="1"/>
  <c r="LP42" i="11" s="1"/>
  <c r="LP43" i="11" s="1"/>
  <c r="LP44" i="11" s="1"/>
  <c r="LP45" i="11" s="1"/>
  <c r="LP46" i="11" s="1"/>
  <c r="LP47" i="11" s="1"/>
  <c r="LP48" i="11" s="1"/>
  <c r="LP49" i="11" s="1"/>
  <c r="LP50" i="11" s="1"/>
  <c r="LP51" i="11" s="1"/>
  <c r="LP52" i="11" s="1"/>
  <c r="LP53" i="11" s="1"/>
  <c r="LP54" i="11" s="1"/>
  <c r="LP55" i="11" s="1"/>
  <c r="LP56" i="11" s="1"/>
  <c r="LP57" i="11" s="1"/>
  <c r="LP58" i="11" s="1"/>
  <c r="LP59" i="11" s="1"/>
  <c r="LP60" i="11" s="1"/>
  <c r="LP61" i="11" s="1"/>
  <c r="LP62" i="11" s="1"/>
  <c r="LP63" i="11" s="1"/>
  <c r="LO4" i="11"/>
  <c r="LO5" i="11" s="1"/>
  <c r="LO6" i="11" s="1"/>
  <c r="LO7" i="11" s="1"/>
  <c r="LO8" i="11" s="1"/>
  <c r="LO9" i="11" s="1"/>
  <c r="LO10" i="11" s="1"/>
  <c r="LO11" i="11" s="1"/>
  <c r="LO12" i="11" s="1"/>
  <c r="LO13" i="11" s="1"/>
  <c r="LO14" i="11" s="1"/>
  <c r="LO15" i="11" s="1"/>
  <c r="LO16" i="11" s="1"/>
  <c r="LO17" i="11" s="1"/>
  <c r="LO18" i="11" s="1"/>
  <c r="LO19" i="11" s="1"/>
  <c r="LO20" i="11" s="1"/>
  <c r="LO21" i="11" s="1"/>
  <c r="LO22" i="11" s="1"/>
  <c r="LO23" i="11" s="1"/>
  <c r="LO24" i="11" s="1"/>
  <c r="LO25" i="11" s="1"/>
  <c r="LO26" i="11" s="1"/>
  <c r="LO27" i="11" s="1"/>
  <c r="LO28" i="11" s="1"/>
  <c r="LO29" i="11" s="1"/>
  <c r="LO30" i="11" s="1"/>
  <c r="LO31" i="11" s="1"/>
  <c r="LO32" i="11" s="1"/>
  <c r="LO33" i="11" s="1"/>
  <c r="LO34" i="11" s="1"/>
  <c r="LO35" i="11" s="1"/>
  <c r="LO36" i="11" s="1"/>
  <c r="LO37" i="11" s="1"/>
  <c r="LO38" i="11" s="1"/>
  <c r="LO39" i="11" s="1"/>
  <c r="LO40" i="11" s="1"/>
  <c r="LO41" i="11" s="1"/>
  <c r="LO42" i="11" s="1"/>
  <c r="LO43" i="11" s="1"/>
  <c r="LO44" i="11" s="1"/>
  <c r="LO45" i="11" s="1"/>
  <c r="LO46" i="11" s="1"/>
  <c r="LO47" i="11" s="1"/>
  <c r="LO48" i="11" s="1"/>
  <c r="LO49" i="11" s="1"/>
  <c r="LO50" i="11" s="1"/>
  <c r="LO51" i="11" s="1"/>
  <c r="LO52" i="11" s="1"/>
  <c r="LO53" i="11" s="1"/>
  <c r="LO54" i="11" s="1"/>
  <c r="LO55" i="11" s="1"/>
  <c r="LO56" i="11" s="1"/>
  <c r="LO57" i="11" s="1"/>
  <c r="LO58" i="11" s="1"/>
  <c r="LO59" i="11" s="1"/>
  <c r="LO60" i="11" s="1"/>
  <c r="LO61" i="11" s="1"/>
  <c r="LO62" i="11" s="1"/>
  <c r="LO63" i="11" s="1"/>
  <c r="LN4" i="11"/>
  <c r="LN5" i="11" s="1"/>
  <c r="LN6" i="11" s="1"/>
  <c r="LN7" i="11" s="1"/>
  <c r="LN8" i="11" s="1"/>
  <c r="LN9" i="11" s="1"/>
  <c r="LN10" i="11" s="1"/>
  <c r="LN11" i="11" s="1"/>
  <c r="LN12" i="11" s="1"/>
  <c r="LN13" i="11" s="1"/>
  <c r="LN14" i="11" s="1"/>
  <c r="LN15" i="11" s="1"/>
  <c r="LN16" i="11" s="1"/>
  <c r="LN17" i="11" s="1"/>
  <c r="LN18" i="11" s="1"/>
  <c r="LN19" i="11" s="1"/>
  <c r="LN20" i="11" s="1"/>
  <c r="LN21" i="11" s="1"/>
  <c r="LN22" i="11" s="1"/>
  <c r="LN23" i="11" s="1"/>
  <c r="LN24" i="11" s="1"/>
  <c r="LN25" i="11" s="1"/>
  <c r="LN26" i="11" s="1"/>
  <c r="LN27" i="11" s="1"/>
  <c r="LN28" i="11" s="1"/>
  <c r="LN29" i="11" s="1"/>
  <c r="LN30" i="11" s="1"/>
  <c r="LN31" i="11" s="1"/>
  <c r="LN32" i="11" s="1"/>
  <c r="LN33" i="11" s="1"/>
  <c r="LN34" i="11" s="1"/>
  <c r="LN35" i="11" s="1"/>
  <c r="LN36" i="11" s="1"/>
  <c r="LN37" i="11" s="1"/>
  <c r="LN38" i="11" s="1"/>
  <c r="LN39" i="11" s="1"/>
  <c r="LN40" i="11" s="1"/>
  <c r="LN41" i="11" s="1"/>
  <c r="LN42" i="11" s="1"/>
  <c r="LN43" i="11" s="1"/>
  <c r="LN44" i="11" s="1"/>
  <c r="LN45" i="11" s="1"/>
  <c r="LN46" i="11" s="1"/>
  <c r="LN47" i="11" s="1"/>
  <c r="LN48" i="11" s="1"/>
  <c r="LN49" i="11" s="1"/>
  <c r="LN50" i="11" s="1"/>
  <c r="LN51" i="11" s="1"/>
  <c r="LN52" i="11" s="1"/>
  <c r="LN53" i="11" s="1"/>
  <c r="LN54" i="11" s="1"/>
  <c r="LN55" i="11" s="1"/>
  <c r="LN56" i="11" s="1"/>
  <c r="LN57" i="11" s="1"/>
  <c r="LN58" i="11" s="1"/>
  <c r="LN59" i="11" s="1"/>
  <c r="LN60" i="11" s="1"/>
  <c r="LN61" i="11" s="1"/>
  <c r="LN62" i="11" s="1"/>
  <c r="LN63" i="11" s="1"/>
  <c r="LM4" i="11"/>
  <c r="LM5" i="11" s="1"/>
  <c r="LM6" i="11" s="1"/>
  <c r="LM7" i="11" s="1"/>
  <c r="LM8" i="11" s="1"/>
  <c r="LM9" i="11" s="1"/>
  <c r="LM10" i="11" s="1"/>
  <c r="LM11" i="11" s="1"/>
  <c r="LM12" i="11" s="1"/>
  <c r="LM13" i="11" s="1"/>
  <c r="LM14" i="11" s="1"/>
  <c r="LM15" i="11" s="1"/>
  <c r="LM16" i="11" s="1"/>
  <c r="LM17" i="11" s="1"/>
  <c r="LM18" i="11" s="1"/>
  <c r="LM19" i="11" s="1"/>
  <c r="LM20" i="11" s="1"/>
  <c r="LM21" i="11" s="1"/>
  <c r="LM22" i="11" s="1"/>
  <c r="LM23" i="11" s="1"/>
  <c r="LM24" i="11" s="1"/>
  <c r="LM25" i="11" s="1"/>
  <c r="LM26" i="11" s="1"/>
  <c r="LM27" i="11" s="1"/>
  <c r="LM28" i="11" s="1"/>
  <c r="LM29" i="11" s="1"/>
  <c r="LM30" i="11" s="1"/>
  <c r="LM31" i="11" s="1"/>
  <c r="LM32" i="11" s="1"/>
  <c r="LM33" i="11" s="1"/>
  <c r="LM34" i="11" s="1"/>
  <c r="LM35" i="11" s="1"/>
  <c r="LM36" i="11" s="1"/>
  <c r="LM37" i="11" s="1"/>
  <c r="LM38" i="11" s="1"/>
  <c r="LM39" i="11" s="1"/>
  <c r="LM40" i="11" s="1"/>
  <c r="LM41" i="11" s="1"/>
  <c r="LM42" i="11" s="1"/>
  <c r="LM43" i="11" s="1"/>
  <c r="LM44" i="11" s="1"/>
  <c r="LM45" i="11" s="1"/>
  <c r="LM46" i="11" s="1"/>
  <c r="LM47" i="11" s="1"/>
  <c r="LM48" i="11" s="1"/>
  <c r="LM49" i="11" s="1"/>
  <c r="LM50" i="11" s="1"/>
  <c r="LM51" i="11" s="1"/>
  <c r="LM52" i="11" s="1"/>
  <c r="LM53" i="11" s="1"/>
  <c r="LM54" i="11" s="1"/>
  <c r="LM55" i="11" s="1"/>
  <c r="LM56" i="11" s="1"/>
  <c r="LM57" i="11" s="1"/>
  <c r="LM58" i="11" s="1"/>
  <c r="LM59" i="11" s="1"/>
  <c r="LM60" i="11" s="1"/>
  <c r="LM61" i="11" s="1"/>
  <c r="LM62" i="11" s="1"/>
  <c r="LM63" i="11" s="1"/>
  <c r="LL4" i="11"/>
  <c r="LL5" i="11" s="1"/>
  <c r="LL6" i="11" s="1"/>
  <c r="LL7" i="11" s="1"/>
  <c r="LL8" i="11" s="1"/>
  <c r="LL9" i="11" s="1"/>
  <c r="LL10" i="11" s="1"/>
  <c r="LL11" i="11" s="1"/>
  <c r="LL12" i="11" s="1"/>
  <c r="LL13" i="11" s="1"/>
  <c r="LL14" i="11" s="1"/>
  <c r="LL15" i="11" s="1"/>
  <c r="LL16" i="11" s="1"/>
  <c r="LL17" i="11" s="1"/>
  <c r="LL18" i="11" s="1"/>
  <c r="LL19" i="11" s="1"/>
  <c r="LL20" i="11" s="1"/>
  <c r="LL21" i="11" s="1"/>
  <c r="LL22" i="11" s="1"/>
  <c r="LL23" i="11" s="1"/>
  <c r="LL24" i="11" s="1"/>
  <c r="LL25" i="11" s="1"/>
  <c r="LL26" i="11" s="1"/>
  <c r="LL27" i="11" s="1"/>
  <c r="LL28" i="11" s="1"/>
  <c r="LL29" i="11" s="1"/>
  <c r="LL30" i="11" s="1"/>
  <c r="LL31" i="11" s="1"/>
  <c r="LL32" i="11" s="1"/>
  <c r="LL33" i="11" s="1"/>
  <c r="LL34" i="11" s="1"/>
  <c r="LL35" i="11" s="1"/>
  <c r="LL36" i="11" s="1"/>
  <c r="LL37" i="11" s="1"/>
  <c r="LL38" i="11" s="1"/>
  <c r="LL39" i="11" s="1"/>
  <c r="LL40" i="11" s="1"/>
  <c r="LL41" i="11" s="1"/>
  <c r="LL42" i="11" s="1"/>
  <c r="LL43" i="11" s="1"/>
  <c r="LL44" i="11" s="1"/>
  <c r="LL45" i="11" s="1"/>
  <c r="LL46" i="11" s="1"/>
  <c r="LL47" i="11" s="1"/>
  <c r="LL48" i="11" s="1"/>
  <c r="LL49" i="11" s="1"/>
  <c r="LL50" i="11" s="1"/>
  <c r="LL51" i="11" s="1"/>
  <c r="LL52" i="11" s="1"/>
  <c r="LL53" i="11" s="1"/>
  <c r="LL54" i="11" s="1"/>
  <c r="LL55" i="11" s="1"/>
  <c r="LL56" i="11" s="1"/>
  <c r="LL57" i="11" s="1"/>
  <c r="LL58" i="11" s="1"/>
  <c r="LL59" i="11" s="1"/>
  <c r="LL60" i="11" s="1"/>
  <c r="LL61" i="11" s="1"/>
  <c r="LL62" i="11" s="1"/>
  <c r="LL63" i="11" s="1"/>
  <c r="LK4" i="11"/>
  <c r="LK5" i="11" s="1"/>
  <c r="LK6" i="11" s="1"/>
  <c r="LK7" i="11" s="1"/>
  <c r="LK8" i="11" s="1"/>
  <c r="LK9" i="11" s="1"/>
  <c r="LK10" i="11" s="1"/>
  <c r="LK11" i="11" s="1"/>
  <c r="LK12" i="11" s="1"/>
  <c r="LK13" i="11" s="1"/>
  <c r="LK14" i="11" s="1"/>
  <c r="LK15" i="11" s="1"/>
  <c r="LK16" i="11" s="1"/>
  <c r="LK17" i="11" s="1"/>
  <c r="LK18" i="11" s="1"/>
  <c r="LK19" i="11" s="1"/>
  <c r="LK20" i="11" s="1"/>
  <c r="LK21" i="11" s="1"/>
  <c r="LK22" i="11" s="1"/>
  <c r="LK23" i="11" s="1"/>
  <c r="LK24" i="11" s="1"/>
  <c r="LK25" i="11" s="1"/>
  <c r="LK26" i="11" s="1"/>
  <c r="LK27" i="11" s="1"/>
  <c r="LK28" i="11" s="1"/>
  <c r="LK29" i="11" s="1"/>
  <c r="LK30" i="11" s="1"/>
  <c r="LK31" i="11" s="1"/>
  <c r="LK32" i="11" s="1"/>
  <c r="LK33" i="11" s="1"/>
  <c r="LK34" i="11" s="1"/>
  <c r="LK35" i="11" s="1"/>
  <c r="LK36" i="11" s="1"/>
  <c r="LK37" i="11" s="1"/>
  <c r="LK38" i="11" s="1"/>
  <c r="LK39" i="11" s="1"/>
  <c r="LK40" i="11" s="1"/>
  <c r="LK41" i="11" s="1"/>
  <c r="LK42" i="11" s="1"/>
  <c r="LK43" i="11" s="1"/>
  <c r="LK44" i="11" s="1"/>
  <c r="LK45" i="11" s="1"/>
  <c r="LK46" i="11" s="1"/>
  <c r="LK47" i="11" s="1"/>
  <c r="LK48" i="11" s="1"/>
  <c r="LK49" i="11" s="1"/>
  <c r="LK50" i="11" s="1"/>
  <c r="LK51" i="11" s="1"/>
  <c r="LK52" i="11" s="1"/>
  <c r="LK53" i="11" s="1"/>
  <c r="LK54" i="11" s="1"/>
  <c r="LK55" i="11" s="1"/>
  <c r="LK56" i="11" s="1"/>
  <c r="LK57" i="11" s="1"/>
  <c r="LK58" i="11" s="1"/>
  <c r="LK59" i="11" s="1"/>
  <c r="LK60" i="11" s="1"/>
  <c r="LK61" i="11" s="1"/>
  <c r="LK62" i="11" s="1"/>
  <c r="LK63" i="11" s="1"/>
  <c r="LJ4" i="11"/>
  <c r="LJ5" i="11" s="1"/>
  <c r="LJ6" i="11" s="1"/>
  <c r="LJ7" i="11" s="1"/>
  <c r="LJ8" i="11" s="1"/>
  <c r="LJ9" i="11" s="1"/>
  <c r="LJ10" i="11" s="1"/>
  <c r="LJ11" i="11" s="1"/>
  <c r="LJ12" i="11" s="1"/>
  <c r="LJ13" i="11" s="1"/>
  <c r="LJ14" i="11" s="1"/>
  <c r="LJ15" i="11" s="1"/>
  <c r="LJ16" i="11" s="1"/>
  <c r="LJ17" i="11" s="1"/>
  <c r="LJ18" i="11" s="1"/>
  <c r="LJ19" i="11" s="1"/>
  <c r="LJ20" i="11" s="1"/>
  <c r="LJ21" i="11" s="1"/>
  <c r="LJ22" i="11" s="1"/>
  <c r="LJ23" i="11" s="1"/>
  <c r="LJ24" i="11" s="1"/>
  <c r="LJ25" i="11" s="1"/>
  <c r="LJ26" i="11" s="1"/>
  <c r="LJ27" i="11" s="1"/>
  <c r="LJ28" i="11" s="1"/>
  <c r="LJ29" i="11" s="1"/>
  <c r="LJ30" i="11" s="1"/>
  <c r="LJ31" i="11" s="1"/>
  <c r="LJ32" i="11" s="1"/>
  <c r="LJ33" i="11" s="1"/>
  <c r="LJ34" i="11" s="1"/>
  <c r="LJ35" i="11" s="1"/>
  <c r="LJ36" i="11" s="1"/>
  <c r="LJ37" i="11" s="1"/>
  <c r="LJ38" i="11" s="1"/>
  <c r="LJ39" i="11" s="1"/>
  <c r="LJ40" i="11" s="1"/>
  <c r="LJ41" i="11" s="1"/>
  <c r="LJ42" i="11" s="1"/>
  <c r="LJ43" i="11" s="1"/>
  <c r="LJ44" i="11" s="1"/>
  <c r="LJ45" i="11" s="1"/>
  <c r="LJ46" i="11" s="1"/>
  <c r="LJ47" i="11" s="1"/>
  <c r="LJ48" i="11" s="1"/>
  <c r="LJ49" i="11" s="1"/>
  <c r="LJ50" i="11" s="1"/>
  <c r="LJ51" i="11" s="1"/>
  <c r="LJ52" i="11" s="1"/>
  <c r="LJ53" i="11" s="1"/>
  <c r="LJ54" i="11" s="1"/>
  <c r="LJ55" i="11" s="1"/>
  <c r="LJ56" i="11" s="1"/>
  <c r="LJ57" i="11" s="1"/>
  <c r="LJ58" i="11" s="1"/>
  <c r="LJ59" i="11" s="1"/>
  <c r="LJ60" i="11" s="1"/>
  <c r="LJ61" i="11" s="1"/>
  <c r="LJ62" i="11" s="1"/>
  <c r="LJ63" i="11" s="1"/>
  <c r="LI4" i="11"/>
  <c r="LI5" i="11" s="1"/>
  <c r="LI6" i="11" s="1"/>
  <c r="LI7" i="11" s="1"/>
  <c r="LI8" i="11" s="1"/>
  <c r="LI9" i="11" s="1"/>
  <c r="LI10" i="11" s="1"/>
  <c r="LI11" i="11" s="1"/>
  <c r="LI12" i="11" s="1"/>
  <c r="LI13" i="11" s="1"/>
  <c r="LI14" i="11" s="1"/>
  <c r="LI15" i="11" s="1"/>
  <c r="LI16" i="11" s="1"/>
  <c r="LI17" i="11" s="1"/>
  <c r="LI18" i="11" s="1"/>
  <c r="LI19" i="11" s="1"/>
  <c r="LI20" i="11" s="1"/>
  <c r="LI21" i="11" s="1"/>
  <c r="LI22" i="11" s="1"/>
  <c r="LI23" i="11" s="1"/>
  <c r="LI24" i="11" s="1"/>
  <c r="LI25" i="11" s="1"/>
  <c r="LI26" i="11" s="1"/>
  <c r="LI27" i="11" s="1"/>
  <c r="LI28" i="11" s="1"/>
  <c r="LI29" i="11" s="1"/>
  <c r="LI30" i="11" s="1"/>
  <c r="LI31" i="11" s="1"/>
  <c r="LI32" i="11" s="1"/>
  <c r="LI33" i="11" s="1"/>
  <c r="LI34" i="11" s="1"/>
  <c r="LI35" i="11" s="1"/>
  <c r="LI36" i="11" s="1"/>
  <c r="LI37" i="11" s="1"/>
  <c r="LI38" i="11" s="1"/>
  <c r="LI39" i="11" s="1"/>
  <c r="LI40" i="11" s="1"/>
  <c r="LI41" i="11" s="1"/>
  <c r="LI42" i="11" s="1"/>
  <c r="LI43" i="11" s="1"/>
  <c r="LI44" i="11" s="1"/>
  <c r="LI45" i="11" s="1"/>
  <c r="LI46" i="11" s="1"/>
  <c r="LI47" i="11" s="1"/>
  <c r="LI48" i="11" s="1"/>
  <c r="LI49" i="11" s="1"/>
  <c r="LI50" i="11" s="1"/>
  <c r="LI51" i="11" s="1"/>
  <c r="LI52" i="11" s="1"/>
  <c r="LI53" i="11" s="1"/>
  <c r="LI54" i="11" s="1"/>
  <c r="LI55" i="11" s="1"/>
  <c r="LI56" i="11" s="1"/>
  <c r="LI57" i="11" s="1"/>
  <c r="LI58" i="11" s="1"/>
  <c r="LI59" i="11" s="1"/>
  <c r="LI60" i="11" s="1"/>
  <c r="LI61" i="11" s="1"/>
  <c r="LI62" i="11" s="1"/>
  <c r="LI63" i="11" s="1"/>
  <c r="LH4" i="11"/>
  <c r="LH5" i="11" s="1"/>
  <c r="LH6" i="11" s="1"/>
  <c r="LH7" i="11" s="1"/>
  <c r="LH8" i="11" s="1"/>
  <c r="LH9" i="11" s="1"/>
  <c r="LH10" i="11" s="1"/>
  <c r="LH11" i="11" s="1"/>
  <c r="LH12" i="11" s="1"/>
  <c r="LH13" i="11" s="1"/>
  <c r="LH14" i="11" s="1"/>
  <c r="LH15" i="11" s="1"/>
  <c r="LH16" i="11" s="1"/>
  <c r="LH17" i="11" s="1"/>
  <c r="LH18" i="11" s="1"/>
  <c r="LH19" i="11" s="1"/>
  <c r="LH20" i="11" s="1"/>
  <c r="LH21" i="11" s="1"/>
  <c r="LH22" i="11" s="1"/>
  <c r="LH23" i="11" s="1"/>
  <c r="LH24" i="11" s="1"/>
  <c r="LH25" i="11" s="1"/>
  <c r="LH26" i="11" s="1"/>
  <c r="LH27" i="11" s="1"/>
  <c r="LH28" i="11" s="1"/>
  <c r="LH29" i="11" s="1"/>
  <c r="LH30" i="11" s="1"/>
  <c r="LH31" i="11" s="1"/>
  <c r="LH32" i="11" s="1"/>
  <c r="LH33" i="11" s="1"/>
  <c r="LH34" i="11" s="1"/>
  <c r="LH35" i="11" s="1"/>
  <c r="LH36" i="11" s="1"/>
  <c r="LH37" i="11" s="1"/>
  <c r="LH38" i="11" s="1"/>
  <c r="LH39" i="11" s="1"/>
  <c r="LH40" i="11" s="1"/>
  <c r="LH41" i="11" s="1"/>
  <c r="LH42" i="11" s="1"/>
  <c r="LH43" i="11" s="1"/>
  <c r="LH44" i="11" s="1"/>
  <c r="LH45" i="11" s="1"/>
  <c r="LH46" i="11" s="1"/>
  <c r="LH47" i="11" s="1"/>
  <c r="LH48" i="11" s="1"/>
  <c r="LH49" i="11" s="1"/>
  <c r="LH50" i="11" s="1"/>
  <c r="LH51" i="11" s="1"/>
  <c r="LH52" i="11" s="1"/>
  <c r="LH53" i="11" s="1"/>
  <c r="LH54" i="11" s="1"/>
  <c r="LH55" i="11" s="1"/>
  <c r="LH56" i="11" s="1"/>
  <c r="LH57" i="11" s="1"/>
  <c r="LH58" i="11" s="1"/>
  <c r="LH59" i="11" s="1"/>
  <c r="LH60" i="11" s="1"/>
  <c r="LH61" i="11" s="1"/>
  <c r="LH62" i="11" s="1"/>
  <c r="LH63" i="11" s="1"/>
  <c r="LG4" i="11"/>
  <c r="LG5" i="11" s="1"/>
  <c r="LG6" i="11" s="1"/>
  <c r="LG7" i="11" s="1"/>
  <c r="LG8" i="11" s="1"/>
  <c r="LG9" i="11" s="1"/>
  <c r="LG10" i="11" s="1"/>
  <c r="LG11" i="11" s="1"/>
  <c r="LG12" i="11" s="1"/>
  <c r="LG13" i="11" s="1"/>
  <c r="LG14" i="11" s="1"/>
  <c r="LG15" i="11" s="1"/>
  <c r="LG16" i="11" s="1"/>
  <c r="LG17" i="11" s="1"/>
  <c r="LG18" i="11" s="1"/>
  <c r="LG19" i="11" s="1"/>
  <c r="LG20" i="11" s="1"/>
  <c r="LG21" i="11" s="1"/>
  <c r="LG22" i="11" s="1"/>
  <c r="LG23" i="11" s="1"/>
  <c r="LG24" i="11" s="1"/>
  <c r="LG25" i="11" s="1"/>
  <c r="LG26" i="11" s="1"/>
  <c r="LG27" i="11" s="1"/>
  <c r="LG28" i="11" s="1"/>
  <c r="LG29" i="11" s="1"/>
  <c r="LG30" i="11" s="1"/>
  <c r="LG31" i="11" s="1"/>
  <c r="LG32" i="11" s="1"/>
  <c r="LG33" i="11" s="1"/>
  <c r="LG34" i="11" s="1"/>
  <c r="LG35" i="11" s="1"/>
  <c r="LG36" i="11" s="1"/>
  <c r="LG37" i="11" s="1"/>
  <c r="LG38" i="11" s="1"/>
  <c r="LG39" i="11" s="1"/>
  <c r="LG40" i="11" s="1"/>
  <c r="LG41" i="11" s="1"/>
  <c r="LG42" i="11" s="1"/>
  <c r="LG43" i="11" s="1"/>
  <c r="LG44" i="11" s="1"/>
  <c r="LG45" i="11" s="1"/>
  <c r="LG46" i="11" s="1"/>
  <c r="LG47" i="11" s="1"/>
  <c r="LG48" i="11" s="1"/>
  <c r="LG49" i="11" s="1"/>
  <c r="LG50" i="11" s="1"/>
  <c r="LG51" i="11" s="1"/>
  <c r="LG52" i="11" s="1"/>
  <c r="LG53" i="11" s="1"/>
  <c r="LG54" i="11" s="1"/>
  <c r="LG55" i="11" s="1"/>
  <c r="LG56" i="11" s="1"/>
  <c r="LG57" i="11" s="1"/>
  <c r="LG58" i="11" s="1"/>
  <c r="LG59" i="11" s="1"/>
  <c r="LG60" i="11" s="1"/>
  <c r="LG61" i="11" s="1"/>
  <c r="LG62" i="11" s="1"/>
  <c r="LG63" i="11" s="1"/>
  <c r="LF4" i="11"/>
  <c r="LF5" i="11" s="1"/>
  <c r="LF6" i="11" s="1"/>
  <c r="LF7" i="11" s="1"/>
  <c r="LF8" i="11" s="1"/>
  <c r="LF9" i="11" s="1"/>
  <c r="LF10" i="11" s="1"/>
  <c r="LF11" i="11" s="1"/>
  <c r="LF12" i="11" s="1"/>
  <c r="LF13" i="11" s="1"/>
  <c r="LF14" i="11" s="1"/>
  <c r="LF15" i="11" s="1"/>
  <c r="LF16" i="11" s="1"/>
  <c r="LF17" i="11" s="1"/>
  <c r="LF18" i="11" s="1"/>
  <c r="LF19" i="11" s="1"/>
  <c r="LF20" i="11" s="1"/>
  <c r="LF21" i="11" s="1"/>
  <c r="LF22" i="11" s="1"/>
  <c r="LF23" i="11" s="1"/>
  <c r="LF24" i="11" s="1"/>
  <c r="LF25" i="11" s="1"/>
  <c r="LF26" i="11" s="1"/>
  <c r="LF27" i="11" s="1"/>
  <c r="LF28" i="11" s="1"/>
  <c r="LF29" i="11" s="1"/>
  <c r="LF30" i="11" s="1"/>
  <c r="LF31" i="11" s="1"/>
  <c r="LF32" i="11" s="1"/>
  <c r="LF33" i="11" s="1"/>
  <c r="LF34" i="11" s="1"/>
  <c r="LF35" i="11" s="1"/>
  <c r="LF36" i="11" s="1"/>
  <c r="LF37" i="11" s="1"/>
  <c r="LF38" i="11" s="1"/>
  <c r="LF39" i="11" s="1"/>
  <c r="LF40" i="11" s="1"/>
  <c r="LF41" i="11" s="1"/>
  <c r="LF42" i="11" s="1"/>
  <c r="LF43" i="11" s="1"/>
  <c r="LF44" i="11" s="1"/>
  <c r="LF45" i="11" s="1"/>
  <c r="LF46" i="11" s="1"/>
  <c r="LF47" i="11" s="1"/>
  <c r="LF48" i="11" s="1"/>
  <c r="LF49" i="11" s="1"/>
  <c r="LF50" i="11" s="1"/>
  <c r="LF51" i="11" s="1"/>
  <c r="LF52" i="11" s="1"/>
  <c r="LF53" i="11" s="1"/>
  <c r="LF54" i="11" s="1"/>
  <c r="LF55" i="11" s="1"/>
  <c r="LF56" i="11" s="1"/>
  <c r="LF57" i="11" s="1"/>
  <c r="LF58" i="11" s="1"/>
  <c r="LF59" i="11" s="1"/>
  <c r="LF60" i="11" s="1"/>
  <c r="LF61" i="11" s="1"/>
  <c r="LF62" i="11" s="1"/>
  <c r="LF63" i="11" s="1"/>
  <c r="LE4" i="11"/>
  <c r="LE5" i="11" s="1"/>
  <c r="LE6" i="11" s="1"/>
  <c r="LE7" i="11" s="1"/>
  <c r="LE8" i="11" s="1"/>
  <c r="LE9" i="11" s="1"/>
  <c r="LE10" i="11" s="1"/>
  <c r="LE11" i="11" s="1"/>
  <c r="LE12" i="11" s="1"/>
  <c r="LE13" i="11" s="1"/>
  <c r="LE14" i="11" s="1"/>
  <c r="LE15" i="11" s="1"/>
  <c r="LE16" i="11" s="1"/>
  <c r="LE17" i="11" s="1"/>
  <c r="LE18" i="11" s="1"/>
  <c r="LE19" i="11" s="1"/>
  <c r="LE20" i="11" s="1"/>
  <c r="LE21" i="11" s="1"/>
  <c r="LE22" i="11" s="1"/>
  <c r="LE23" i="11" s="1"/>
  <c r="LE24" i="11" s="1"/>
  <c r="LE25" i="11" s="1"/>
  <c r="LE26" i="11" s="1"/>
  <c r="LE27" i="11" s="1"/>
  <c r="LE28" i="11" s="1"/>
  <c r="LE29" i="11" s="1"/>
  <c r="LE30" i="11" s="1"/>
  <c r="LE31" i="11" s="1"/>
  <c r="LE32" i="11" s="1"/>
  <c r="LE33" i="11" s="1"/>
  <c r="LE34" i="11" s="1"/>
  <c r="LE35" i="11" s="1"/>
  <c r="LE36" i="11" s="1"/>
  <c r="LE37" i="11" s="1"/>
  <c r="LE38" i="11" s="1"/>
  <c r="LE39" i="11" s="1"/>
  <c r="LE40" i="11" s="1"/>
  <c r="LE41" i="11" s="1"/>
  <c r="LE42" i="11" s="1"/>
  <c r="LE43" i="11" s="1"/>
  <c r="LE44" i="11" s="1"/>
  <c r="LE45" i="11" s="1"/>
  <c r="LE46" i="11" s="1"/>
  <c r="LE47" i="11" s="1"/>
  <c r="LE48" i="11" s="1"/>
  <c r="LE49" i="11" s="1"/>
  <c r="LE50" i="11" s="1"/>
  <c r="LE51" i="11" s="1"/>
  <c r="LE52" i="11" s="1"/>
  <c r="LE53" i="11" s="1"/>
  <c r="LE54" i="11" s="1"/>
  <c r="LE55" i="11" s="1"/>
  <c r="LE56" i="11" s="1"/>
  <c r="LE57" i="11" s="1"/>
  <c r="LE58" i="11" s="1"/>
  <c r="LE59" i="11" s="1"/>
  <c r="LE60" i="11" s="1"/>
  <c r="LE61" i="11" s="1"/>
  <c r="LE62" i="11" s="1"/>
  <c r="LE63" i="11" s="1"/>
  <c r="LD4" i="11"/>
  <c r="LD5" i="11" s="1"/>
  <c r="LD6" i="11" s="1"/>
  <c r="LD7" i="11" s="1"/>
  <c r="LD8" i="11" s="1"/>
  <c r="LD9" i="11" s="1"/>
  <c r="LD10" i="11" s="1"/>
  <c r="LD11" i="11" s="1"/>
  <c r="LD12" i="11" s="1"/>
  <c r="LD13" i="11" s="1"/>
  <c r="LD14" i="11" s="1"/>
  <c r="LD15" i="11" s="1"/>
  <c r="LD16" i="11" s="1"/>
  <c r="LD17" i="11" s="1"/>
  <c r="LD18" i="11" s="1"/>
  <c r="LD19" i="11" s="1"/>
  <c r="LD20" i="11" s="1"/>
  <c r="LD21" i="11" s="1"/>
  <c r="LD22" i="11" s="1"/>
  <c r="LD23" i="11" s="1"/>
  <c r="LD24" i="11" s="1"/>
  <c r="LD25" i="11" s="1"/>
  <c r="LD26" i="11" s="1"/>
  <c r="LD27" i="11" s="1"/>
  <c r="LD28" i="11" s="1"/>
  <c r="LD29" i="11" s="1"/>
  <c r="LD30" i="11" s="1"/>
  <c r="LD31" i="11" s="1"/>
  <c r="LD32" i="11" s="1"/>
  <c r="LD33" i="11" s="1"/>
  <c r="LD34" i="11" s="1"/>
  <c r="LD35" i="11" s="1"/>
  <c r="LD36" i="11" s="1"/>
  <c r="LD37" i="11" s="1"/>
  <c r="LD38" i="11" s="1"/>
  <c r="LD39" i="11" s="1"/>
  <c r="LD40" i="11" s="1"/>
  <c r="LD41" i="11" s="1"/>
  <c r="LD42" i="11" s="1"/>
  <c r="LD43" i="11" s="1"/>
  <c r="LD44" i="11" s="1"/>
  <c r="LD45" i="11" s="1"/>
  <c r="LD46" i="11" s="1"/>
  <c r="LD47" i="11" s="1"/>
  <c r="LD48" i="11" s="1"/>
  <c r="LD49" i="11" s="1"/>
  <c r="LD50" i="11" s="1"/>
  <c r="LD51" i="11" s="1"/>
  <c r="LD52" i="11" s="1"/>
  <c r="LD53" i="11" s="1"/>
  <c r="LD54" i="11" s="1"/>
  <c r="LD55" i="11" s="1"/>
  <c r="LD56" i="11" s="1"/>
  <c r="LD57" i="11" s="1"/>
  <c r="LD58" i="11" s="1"/>
  <c r="LD59" i="11" s="1"/>
  <c r="LD60" i="11" s="1"/>
  <c r="LD61" i="11" s="1"/>
  <c r="LD62" i="11" s="1"/>
  <c r="LD63" i="11" s="1"/>
  <c r="LC4" i="11"/>
  <c r="LC5" i="11" s="1"/>
  <c r="LC6" i="11" s="1"/>
  <c r="LC7" i="11" s="1"/>
  <c r="LC8" i="11" s="1"/>
  <c r="LC9" i="11" s="1"/>
  <c r="LC10" i="11" s="1"/>
  <c r="LC11" i="11" s="1"/>
  <c r="LC12" i="11" s="1"/>
  <c r="LC13" i="11" s="1"/>
  <c r="LC14" i="11" s="1"/>
  <c r="LC15" i="11" s="1"/>
  <c r="LC16" i="11" s="1"/>
  <c r="LC17" i="11" s="1"/>
  <c r="LC18" i="11" s="1"/>
  <c r="LC19" i="11" s="1"/>
  <c r="LC20" i="11" s="1"/>
  <c r="LC21" i="11" s="1"/>
  <c r="LC22" i="11" s="1"/>
  <c r="LC23" i="11" s="1"/>
  <c r="LC24" i="11" s="1"/>
  <c r="LC25" i="11" s="1"/>
  <c r="LC26" i="11" s="1"/>
  <c r="LC27" i="11" s="1"/>
  <c r="LC28" i="11" s="1"/>
  <c r="LC29" i="11" s="1"/>
  <c r="LC30" i="11" s="1"/>
  <c r="LC31" i="11" s="1"/>
  <c r="LC32" i="11" s="1"/>
  <c r="LC33" i="11" s="1"/>
  <c r="LC34" i="11" s="1"/>
  <c r="LC35" i="11" s="1"/>
  <c r="LC36" i="11" s="1"/>
  <c r="LC37" i="11" s="1"/>
  <c r="LC38" i="11" s="1"/>
  <c r="LC39" i="11" s="1"/>
  <c r="LC40" i="11" s="1"/>
  <c r="LC41" i="11" s="1"/>
  <c r="LC42" i="11" s="1"/>
  <c r="LC43" i="11" s="1"/>
  <c r="LC44" i="11" s="1"/>
  <c r="LC45" i="11" s="1"/>
  <c r="LC46" i="11" s="1"/>
  <c r="LC47" i="11" s="1"/>
  <c r="LC48" i="11" s="1"/>
  <c r="LC49" i="11" s="1"/>
  <c r="LC50" i="11" s="1"/>
  <c r="LC51" i="11" s="1"/>
  <c r="LC52" i="11" s="1"/>
  <c r="LC53" i="11" s="1"/>
  <c r="LC54" i="11" s="1"/>
  <c r="LC55" i="11" s="1"/>
  <c r="LC56" i="11" s="1"/>
  <c r="LC57" i="11" s="1"/>
  <c r="LC58" i="11" s="1"/>
  <c r="LC59" i="11" s="1"/>
  <c r="LC60" i="11" s="1"/>
  <c r="LC61" i="11" s="1"/>
  <c r="LC62" i="11" s="1"/>
  <c r="LC63" i="11" s="1"/>
  <c r="LB4" i="11"/>
  <c r="LB5" i="11" s="1"/>
  <c r="LB6" i="11" s="1"/>
  <c r="LB7" i="11" s="1"/>
  <c r="LB8" i="11" s="1"/>
  <c r="LB9" i="11" s="1"/>
  <c r="LB10" i="11" s="1"/>
  <c r="LB11" i="11" s="1"/>
  <c r="LB12" i="11" s="1"/>
  <c r="LB13" i="11" s="1"/>
  <c r="LB14" i="11" s="1"/>
  <c r="LB15" i="11" s="1"/>
  <c r="LB16" i="11" s="1"/>
  <c r="LB17" i="11" s="1"/>
  <c r="LB18" i="11" s="1"/>
  <c r="LB19" i="11" s="1"/>
  <c r="LB20" i="11" s="1"/>
  <c r="LB21" i="11" s="1"/>
  <c r="LB22" i="11" s="1"/>
  <c r="LB23" i="11" s="1"/>
  <c r="LB24" i="11" s="1"/>
  <c r="LB25" i="11" s="1"/>
  <c r="LB26" i="11" s="1"/>
  <c r="LB27" i="11" s="1"/>
  <c r="LB28" i="11" s="1"/>
  <c r="LB29" i="11" s="1"/>
  <c r="LB30" i="11" s="1"/>
  <c r="LB31" i="11" s="1"/>
  <c r="LB32" i="11" s="1"/>
  <c r="LB33" i="11" s="1"/>
  <c r="LB34" i="11" s="1"/>
  <c r="LB35" i="11" s="1"/>
  <c r="LB36" i="11" s="1"/>
  <c r="LB37" i="11" s="1"/>
  <c r="LB38" i="11" s="1"/>
  <c r="LB39" i="11" s="1"/>
  <c r="LB40" i="11" s="1"/>
  <c r="LB41" i="11" s="1"/>
  <c r="LB42" i="11" s="1"/>
  <c r="LB43" i="11" s="1"/>
  <c r="LB44" i="11" s="1"/>
  <c r="LB45" i="11" s="1"/>
  <c r="LB46" i="11" s="1"/>
  <c r="LB47" i="11" s="1"/>
  <c r="LB48" i="11" s="1"/>
  <c r="LB49" i="11" s="1"/>
  <c r="LB50" i="11" s="1"/>
  <c r="LB51" i="11" s="1"/>
  <c r="LB52" i="11" s="1"/>
  <c r="LB53" i="11" s="1"/>
  <c r="LB54" i="11" s="1"/>
  <c r="LB55" i="11" s="1"/>
  <c r="LB56" i="11" s="1"/>
  <c r="LB57" i="11" s="1"/>
  <c r="LB58" i="11" s="1"/>
  <c r="LB59" i="11" s="1"/>
  <c r="LB60" i="11" s="1"/>
  <c r="LB61" i="11" s="1"/>
  <c r="LB62" i="11" s="1"/>
  <c r="LB63" i="11" s="1"/>
  <c r="LA4" i="11"/>
  <c r="LA5" i="11" s="1"/>
  <c r="LA6" i="11" s="1"/>
  <c r="LA7" i="11" s="1"/>
  <c r="LA8" i="11" s="1"/>
  <c r="LA9" i="11" s="1"/>
  <c r="LA10" i="11" s="1"/>
  <c r="LA11" i="11" s="1"/>
  <c r="LA12" i="11" s="1"/>
  <c r="LA13" i="11" s="1"/>
  <c r="LA14" i="11" s="1"/>
  <c r="LA15" i="11" s="1"/>
  <c r="LA16" i="11" s="1"/>
  <c r="LA17" i="11" s="1"/>
  <c r="LA18" i="11" s="1"/>
  <c r="LA19" i="11" s="1"/>
  <c r="LA20" i="11" s="1"/>
  <c r="LA21" i="11" s="1"/>
  <c r="LA22" i="11" s="1"/>
  <c r="LA23" i="11" s="1"/>
  <c r="LA24" i="11" s="1"/>
  <c r="LA25" i="11" s="1"/>
  <c r="LA26" i="11" s="1"/>
  <c r="LA27" i="11" s="1"/>
  <c r="LA28" i="11" s="1"/>
  <c r="LA29" i="11" s="1"/>
  <c r="LA30" i="11" s="1"/>
  <c r="LA31" i="11" s="1"/>
  <c r="LA32" i="11" s="1"/>
  <c r="LA33" i="11" s="1"/>
  <c r="LA34" i="11" s="1"/>
  <c r="LA35" i="11" s="1"/>
  <c r="LA36" i="11" s="1"/>
  <c r="LA37" i="11" s="1"/>
  <c r="LA38" i="11" s="1"/>
  <c r="LA39" i="11" s="1"/>
  <c r="LA40" i="11" s="1"/>
  <c r="LA41" i="11" s="1"/>
  <c r="LA42" i="11" s="1"/>
  <c r="LA43" i="11" s="1"/>
  <c r="LA44" i="11" s="1"/>
  <c r="LA45" i="11" s="1"/>
  <c r="LA46" i="11" s="1"/>
  <c r="LA47" i="11" s="1"/>
  <c r="LA48" i="11" s="1"/>
  <c r="LA49" i="11" s="1"/>
  <c r="LA50" i="11" s="1"/>
  <c r="LA51" i="11" s="1"/>
  <c r="LA52" i="11" s="1"/>
  <c r="LA53" i="11" s="1"/>
  <c r="LA54" i="11" s="1"/>
  <c r="LA55" i="11" s="1"/>
  <c r="LA56" i="11" s="1"/>
  <c r="LA57" i="11" s="1"/>
  <c r="LA58" i="11" s="1"/>
  <c r="LA59" i="11" s="1"/>
  <c r="LA60" i="11" s="1"/>
  <c r="LA61" i="11" s="1"/>
  <c r="LA62" i="11" s="1"/>
  <c r="LA63" i="11" s="1"/>
  <c r="KY4" i="11"/>
  <c r="KY5" i="11" s="1"/>
  <c r="KY6" i="11" s="1"/>
  <c r="KY7" i="11" s="1"/>
  <c r="KY8" i="11" s="1"/>
  <c r="KY9" i="11" s="1"/>
  <c r="KY10" i="11" s="1"/>
  <c r="KY11" i="11" s="1"/>
  <c r="KY12" i="11" s="1"/>
  <c r="KY13" i="11" s="1"/>
  <c r="KY14" i="11" s="1"/>
  <c r="KY15" i="11" s="1"/>
  <c r="KY16" i="11" s="1"/>
  <c r="KY17" i="11" s="1"/>
  <c r="KY18" i="11" s="1"/>
  <c r="KY19" i="11" s="1"/>
  <c r="KY20" i="11" s="1"/>
  <c r="KY21" i="11" s="1"/>
  <c r="KY22" i="11" s="1"/>
  <c r="KY23" i="11" s="1"/>
  <c r="KY24" i="11" s="1"/>
  <c r="KY25" i="11" s="1"/>
  <c r="KY26" i="11" s="1"/>
  <c r="KY27" i="11" s="1"/>
  <c r="KY28" i="11" s="1"/>
  <c r="KY29" i="11" s="1"/>
  <c r="KY30" i="11" s="1"/>
  <c r="KY31" i="11" s="1"/>
  <c r="KY32" i="11" s="1"/>
  <c r="KY33" i="11" s="1"/>
  <c r="KY34" i="11" s="1"/>
  <c r="KY35" i="11" s="1"/>
  <c r="KY36" i="11" s="1"/>
  <c r="KY37" i="11" s="1"/>
  <c r="KY38" i="11" s="1"/>
  <c r="KY39" i="11" s="1"/>
  <c r="KY40" i="11" s="1"/>
  <c r="KY41" i="11" s="1"/>
  <c r="KY42" i="11" s="1"/>
  <c r="KY43" i="11" s="1"/>
  <c r="KY44" i="11" s="1"/>
  <c r="KY45" i="11" s="1"/>
  <c r="KY46" i="11" s="1"/>
  <c r="KY47" i="11" s="1"/>
  <c r="KY48" i="11" s="1"/>
  <c r="KY49" i="11" s="1"/>
  <c r="KY50" i="11" s="1"/>
  <c r="KY51" i="11" s="1"/>
  <c r="KY52" i="11" s="1"/>
  <c r="KY53" i="11" s="1"/>
  <c r="KY54" i="11" s="1"/>
  <c r="KY55" i="11" s="1"/>
  <c r="KY56" i="11" s="1"/>
  <c r="KY57" i="11" s="1"/>
  <c r="KY58" i="11" s="1"/>
  <c r="KY59" i="11" s="1"/>
  <c r="KY60" i="11" s="1"/>
  <c r="KY61" i="11" s="1"/>
  <c r="KY62" i="11" s="1"/>
  <c r="KY63" i="11" s="1"/>
  <c r="KX4" i="11"/>
  <c r="KX5" i="11" s="1"/>
  <c r="KX6" i="11" s="1"/>
  <c r="KX7" i="11" s="1"/>
  <c r="KX8" i="11" s="1"/>
  <c r="KX9" i="11" s="1"/>
  <c r="KX10" i="11" s="1"/>
  <c r="KX11" i="11" s="1"/>
  <c r="KX12" i="11" s="1"/>
  <c r="KX13" i="11" s="1"/>
  <c r="KX14" i="11" s="1"/>
  <c r="KX15" i="11" s="1"/>
  <c r="KX16" i="11" s="1"/>
  <c r="KX17" i="11" s="1"/>
  <c r="KX18" i="11" s="1"/>
  <c r="KX19" i="11" s="1"/>
  <c r="KX20" i="11" s="1"/>
  <c r="KX21" i="11" s="1"/>
  <c r="KX22" i="11" s="1"/>
  <c r="KX23" i="11" s="1"/>
  <c r="KX24" i="11" s="1"/>
  <c r="KX25" i="11" s="1"/>
  <c r="KX26" i="11" s="1"/>
  <c r="KX27" i="11" s="1"/>
  <c r="KX28" i="11" s="1"/>
  <c r="KX29" i="11" s="1"/>
  <c r="KX30" i="11" s="1"/>
  <c r="KX31" i="11" s="1"/>
  <c r="KX32" i="11" s="1"/>
  <c r="KX33" i="11" s="1"/>
  <c r="KX34" i="11" s="1"/>
  <c r="KX35" i="11" s="1"/>
  <c r="KX36" i="11" s="1"/>
  <c r="KX37" i="11" s="1"/>
  <c r="KX38" i="11" s="1"/>
  <c r="KX39" i="11" s="1"/>
  <c r="KX40" i="11" s="1"/>
  <c r="KX41" i="11" s="1"/>
  <c r="KX42" i="11" s="1"/>
  <c r="KX43" i="11" s="1"/>
  <c r="KX44" i="11" s="1"/>
  <c r="KX45" i="11" s="1"/>
  <c r="KX46" i="11" s="1"/>
  <c r="KX47" i="11" s="1"/>
  <c r="KX48" i="11" s="1"/>
  <c r="KX49" i="11" s="1"/>
  <c r="KX50" i="11" s="1"/>
  <c r="KX51" i="11" s="1"/>
  <c r="KX52" i="11" s="1"/>
  <c r="KX53" i="11" s="1"/>
  <c r="KX54" i="11" s="1"/>
  <c r="KX55" i="11" s="1"/>
  <c r="KX56" i="11" s="1"/>
  <c r="KX57" i="11" s="1"/>
  <c r="KX58" i="11" s="1"/>
  <c r="KX59" i="11" s="1"/>
  <c r="KX60" i="11" s="1"/>
  <c r="KX61" i="11" s="1"/>
  <c r="KX62" i="11" s="1"/>
  <c r="KX63" i="11" s="1"/>
  <c r="KW4" i="11"/>
  <c r="KW5" i="11" s="1"/>
  <c r="KW6" i="11" s="1"/>
  <c r="KW7" i="11" s="1"/>
  <c r="KW8" i="11" s="1"/>
  <c r="KW9" i="11" s="1"/>
  <c r="KW10" i="11" s="1"/>
  <c r="KW11" i="11" s="1"/>
  <c r="KW12" i="11" s="1"/>
  <c r="KW13" i="11" s="1"/>
  <c r="KW14" i="11" s="1"/>
  <c r="KW15" i="11" s="1"/>
  <c r="KW16" i="11" s="1"/>
  <c r="KW17" i="11" s="1"/>
  <c r="KW18" i="11" s="1"/>
  <c r="KW19" i="11" s="1"/>
  <c r="KW20" i="11" s="1"/>
  <c r="KW21" i="11" s="1"/>
  <c r="KW22" i="11" s="1"/>
  <c r="KW23" i="11" s="1"/>
  <c r="KW24" i="11" s="1"/>
  <c r="KW25" i="11" s="1"/>
  <c r="KW26" i="11" s="1"/>
  <c r="KW27" i="11" s="1"/>
  <c r="KW28" i="11" s="1"/>
  <c r="KW29" i="11" s="1"/>
  <c r="KW30" i="11" s="1"/>
  <c r="KW31" i="11" s="1"/>
  <c r="KW32" i="11" s="1"/>
  <c r="KW33" i="11" s="1"/>
  <c r="KW34" i="11" s="1"/>
  <c r="KW35" i="11" s="1"/>
  <c r="KW36" i="11" s="1"/>
  <c r="KW37" i="11" s="1"/>
  <c r="KW38" i="11" s="1"/>
  <c r="KW39" i="11" s="1"/>
  <c r="KW40" i="11" s="1"/>
  <c r="KW41" i="11" s="1"/>
  <c r="KW42" i="11" s="1"/>
  <c r="KW43" i="11" s="1"/>
  <c r="KW44" i="11" s="1"/>
  <c r="KW45" i="11" s="1"/>
  <c r="KW46" i="11" s="1"/>
  <c r="KW47" i="11" s="1"/>
  <c r="KW48" i="11" s="1"/>
  <c r="KW49" i="11" s="1"/>
  <c r="KW50" i="11" s="1"/>
  <c r="KW51" i="11" s="1"/>
  <c r="KW52" i="11" s="1"/>
  <c r="KW53" i="11" s="1"/>
  <c r="KW54" i="11" s="1"/>
  <c r="KW55" i="11" s="1"/>
  <c r="KW56" i="11" s="1"/>
  <c r="KW57" i="11" s="1"/>
  <c r="KW58" i="11" s="1"/>
  <c r="KW59" i="11" s="1"/>
  <c r="KW60" i="11" s="1"/>
  <c r="KW61" i="11" s="1"/>
  <c r="KW62" i="11" s="1"/>
  <c r="KW63" i="11" s="1"/>
  <c r="KV4" i="11"/>
  <c r="KV5" i="11" s="1"/>
  <c r="KV6" i="11" s="1"/>
  <c r="KV7" i="11" s="1"/>
  <c r="KV8" i="11" s="1"/>
  <c r="KV9" i="11" s="1"/>
  <c r="KV10" i="11" s="1"/>
  <c r="KV11" i="11" s="1"/>
  <c r="KV12" i="11" s="1"/>
  <c r="KV13" i="11" s="1"/>
  <c r="KV14" i="11" s="1"/>
  <c r="KV15" i="11" s="1"/>
  <c r="KV16" i="11" s="1"/>
  <c r="KV17" i="11" s="1"/>
  <c r="KV18" i="11" s="1"/>
  <c r="KV19" i="11" s="1"/>
  <c r="KV20" i="11" s="1"/>
  <c r="KV21" i="11" s="1"/>
  <c r="KV22" i="11" s="1"/>
  <c r="KV23" i="11" s="1"/>
  <c r="KV24" i="11" s="1"/>
  <c r="KV25" i="11" s="1"/>
  <c r="KV26" i="11" s="1"/>
  <c r="KV27" i="11" s="1"/>
  <c r="KV28" i="11" s="1"/>
  <c r="KV29" i="11" s="1"/>
  <c r="KV30" i="11" s="1"/>
  <c r="KV31" i="11" s="1"/>
  <c r="KV32" i="11" s="1"/>
  <c r="KV33" i="11" s="1"/>
  <c r="KV34" i="11" s="1"/>
  <c r="KV35" i="11" s="1"/>
  <c r="KV36" i="11" s="1"/>
  <c r="KV37" i="11" s="1"/>
  <c r="KV38" i="11" s="1"/>
  <c r="KV39" i="11" s="1"/>
  <c r="KV40" i="11" s="1"/>
  <c r="KV41" i="11" s="1"/>
  <c r="KV42" i="11" s="1"/>
  <c r="KV43" i="11" s="1"/>
  <c r="KV44" i="11" s="1"/>
  <c r="KV45" i="11" s="1"/>
  <c r="KV46" i="11" s="1"/>
  <c r="KV47" i="11" s="1"/>
  <c r="KV48" i="11" s="1"/>
  <c r="KV49" i="11" s="1"/>
  <c r="KV50" i="11" s="1"/>
  <c r="KV51" i="11" s="1"/>
  <c r="KV52" i="11" s="1"/>
  <c r="KV53" i="11" s="1"/>
  <c r="KV54" i="11" s="1"/>
  <c r="KV55" i="11" s="1"/>
  <c r="KV56" i="11" s="1"/>
  <c r="KV57" i="11" s="1"/>
  <c r="KV58" i="11" s="1"/>
  <c r="KV59" i="11" s="1"/>
  <c r="KV60" i="11" s="1"/>
  <c r="KV61" i="11" s="1"/>
  <c r="KV62" i="11" s="1"/>
  <c r="KV63" i="11" s="1"/>
  <c r="KU4" i="11"/>
  <c r="KU5" i="11" s="1"/>
  <c r="KU6" i="11" s="1"/>
  <c r="KU7" i="11" s="1"/>
  <c r="KU8" i="11" s="1"/>
  <c r="KU9" i="11" s="1"/>
  <c r="KU10" i="11" s="1"/>
  <c r="KU11" i="11" s="1"/>
  <c r="KU12" i="11" s="1"/>
  <c r="KU13" i="11" s="1"/>
  <c r="KU14" i="11" s="1"/>
  <c r="KU15" i="11" s="1"/>
  <c r="KU16" i="11" s="1"/>
  <c r="KU17" i="11" s="1"/>
  <c r="KU18" i="11" s="1"/>
  <c r="KU19" i="11" s="1"/>
  <c r="KU20" i="11" s="1"/>
  <c r="KU21" i="11" s="1"/>
  <c r="KU22" i="11" s="1"/>
  <c r="KU23" i="11" s="1"/>
  <c r="KU24" i="11" s="1"/>
  <c r="KU25" i="11" s="1"/>
  <c r="KU26" i="11" s="1"/>
  <c r="KU27" i="11" s="1"/>
  <c r="KU28" i="11" s="1"/>
  <c r="KU29" i="11" s="1"/>
  <c r="KU30" i="11" s="1"/>
  <c r="KU31" i="11" s="1"/>
  <c r="KU32" i="11" s="1"/>
  <c r="KU33" i="11" s="1"/>
  <c r="KU34" i="11" s="1"/>
  <c r="KU35" i="11" s="1"/>
  <c r="KU36" i="11" s="1"/>
  <c r="KU37" i="11" s="1"/>
  <c r="KU38" i="11" s="1"/>
  <c r="KU39" i="11" s="1"/>
  <c r="KU40" i="11" s="1"/>
  <c r="KU41" i="11" s="1"/>
  <c r="KU42" i="11" s="1"/>
  <c r="KU43" i="11" s="1"/>
  <c r="KU44" i="11" s="1"/>
  <c r="KU45" i="11" s="1"/>
  <c r="KU46" i="11" s="1"/>
  <c r="KU47" i="11" s="1"/>
  <c r="KU48" i="11" s="1"/>
  <c r="KU49" i="11" s="1"/>
  <c r="KU50" i="11" s="1"/>
  <c r="KU51" i="11" s="1"/>
  <c r="KU52" i="11" s="1"/>
  <c r="KU53" i="11" s="1"/>
  <c r="KU54" i="11" s="1"/>
  <c r="KU55" i="11" s="1"/>
  <c r="KU56" i="11" s="1"/>
  <c r="KU57" i="11" s="1"/>
  <c r="KU58" i="11" s="1"/>
  <c r="KU59" i="11" s="1"/>
  <c r="KU60" i="11" s="1"/>
  <c r="KU61" i="11" s="1"/>
  <c r="KU62" i="11" s="1"/>
  <c r="KU63" i="11" s="1"/>
  <c r="KT4" i="11"/>
  <c r="KT5" i="11" s="1"/>
  <c r="KT6" i="11" s="1"/>
  <c r="KT7" i="11" s="1"/>
  <c r="KT8" i="11" s="1"/>
  <c r="KT9" i="11" s="1"/>
  <c r="KT10" i="11" s="1"/>
  <c r="KT11" i="11" s="1"/>
  <c r="KT12" i="11" s="1"/>
  <c r="KT13" i="11" s="1"/>
  <c r="KT14" i="11" s="1"/>
  <c r="KT15" i="11" s="1"/>
  <c r="KT16" i="11" s="1"/>
  <c r="KT17" i="11" s="1"/>
  <c r="KT18" i="11" s="1"/>
  <c r="KT19" i="11" s="1"/>
  <c r="KT20" i="11" s="1"/>
  <c r="KT21" i="11" s="1"/>
  <c r="KT22" i="11" s="1"/>
  <c r="KT23" i="11" s="1"/>
  <c r="KT24" i="11" s="1"/>
  <c r="KT25" i="11" s="1"/>
  <c r="KT26" i="11" s="1"/>
  <c r="KT27" i="11" s="1"/>
  <c r="KT28" i="11" s="1"/>
  <c r="KT29" i="11" s="1"/>
  <c r="KT30" i="11" s="1"/>
  <c r="KT31" i="11" s="1"/>
  <c r="KT32" i="11" s="1"/>
  <c r="KT33" i="11" s="1"/>
  <c r="KT34" i="11" s="1"/>
  <c r="KT35" i="11" s="1"/>
  <c r="KT36" i="11" s="1"/>
  <c r="KT37" i="11" s="1"/>
  <c r="KT38" i="11" s="1"/>
  <c r="KT39" i="11" s="1"/>
  <c r="KT40" i="11" s="1"/>
  <c r="KT41" i="11" s="1"/>
  <c r="KT42" i="11" s="1"/>
  <c r="KT43" i="11" s="1"/>
  <c r="KT44" i="11" s="1"/>
  <c r="KT45" i="11" s="1"/>
  <c r="KT46" i="11" s="1"/>
  <c r="KT47" i="11" s="1"/>
  <c r="KT48" i="11" s="1"/>
  <c r="KT49" i="11" s="1"/>
  <c r="KT50" i="11" s="1"/>
  <c r="KT51" i="11" s="1"/>
  <c r="KT52" i="11" s="1"/>
  <c r="KT53" i="11" s="1"/>
  <c r="KT54" i="11" s="1"/>
  <c r="KT55" i="11" s="1"/>
  <c r="KT56" i="11" s="1"/>
  <c r="KT57" i="11" s="1"/>
  <c r="KT58" i="11" s="1"/>
  <c r="KT59" i="11" s="1"/>
  <c r="KT60" i="11" s="1"/>
  <c r="KT61" i="11" s="1"/>
  <c r="KT62" i="11" s="1"/>
  <c r="KT63" i="11" s="1"/>
  <c r="KZ3" i="11"/>
  <c r="KZ4" i="11" s="1"/>
  <c r="KZ5" i="11" s="1"/>
  <c r="KZ6" i="11" s="1"/>
  <c r="KZ7" i="11" s="1"/>
  <c r="KZ8" i="11" s="1"/>
  <c r="KZ9" i="11" s="1"/>
  <c r="KZ10" i="11" s="1"/>
  <c r="KZ11" i="11" s="1"/>
  <c r="KZ12" i="11" s="1"/>
  <c r="KZ13" i="11" s="1"/>
  <c r="KZ14" i="11" s="1"/>
  <c r="KZ15" i="11" s="1"/>
  <c r="KZ16" i="11" s="1"/>
  <c r="KZ17" i="11" s="1"/>
  <c r="KZ18" i="11" s="1"/>
  <c r="KZ19" i="11" s="1"/>
  <c r="KZ20" i="11" s="1"/>
  <c r="KZ21" i="11" s="1"/>
  <c r="KZ22" i="11" s="1"/>
  <c r="KZ23" i="11" s="1"/>
  <c r="KZ24" i="11" s="1"/>
  <c r="KZ25" i="11" s="1"/>
  <c r="KZ26" i="11" s="1"/>
  <c r="KZ27" i="11" s="1"/>
  <c r="KZ28" i="11" s="1"/>
  <c r="KZ29" i="11" s="1"/>
  <c r="KZ30" i="11" s="1"/>
  <c r="KZ31" i="11" s="1"/>
  <c r="KZ32" i="11" s="1"/>
  <c r="KZ33" i="11" s="1"/>
  <c r="KZ34" i="11" s="1"/>
  <c r="KZ35" i="11" s="1"/>
  <c r="KZ36" i="11" s="1"/>
  <c r="KZ37" i="11" s="1"/>
  <c r="KZ38" i="11" s="1"/>
  <c r="KZ39" i="11" s="1"/>
  <c r="KZ40" i="11" s="1"/>
  <c r="KZ41" i="11" s="1"/>
  <c r="KZ42" i="11" s="1"/>
  <c r="KZ43" i="11" s="1"/>
  <c r="KZ44" i="11" s="1"/>
  <c r="KZ45" i="11" s="1"/>
  <c r="KZ46" i="11" s="1"/>
  <c r="KZ47" i="11" s="1"/>
  <c r="KZ48" i="11" s="1"/>
  <c r="KZ49" i="11" s="1"/>
  <c r="KZ50" i="11" s="1"/>
  <c r="KZ51" i="11" s="1"/>
  <c r="KZ52" i="11" s="1"/>
  <c r="KZ53" i="11" s="1"/>
  <c r="KZ54" i="11" s="1"/>
  <c r="KZ55" i="11" s="1"/>
  <c r="KZ56" i="11" s="1"/>
  <c r="KZ57" i="11" s="1"/>
  <c r="KZ58" i="11" s="1"/>
  <c r="KZ59" i="11" s="1"/>
  <c r="KZ60" i="11" s="1"/>
  <c r="KZ61" i="11" s="1"/>
  <c r="KZ62" i="11" s="1"/>
  <c r="KZ63" i="11" s="1"/>
  <c r="C2" i="11"/>
  <c r="D2" i="11" s="1"/>
  <c r="C2" i="10"/>
  <c r="C1" i="10" s="1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D2" i="10" l="1"/>
  <c r="K48" i="16"/>
  <c r="P135" i="5"/>
  <c r="P146" i="5"/>
  <c r="P155" i="5"/>
  <c r="P167" i="5"/>
  <c r="P178" i="5"/>
  <c r="P187" i="5"/>
  <c r="P127" i="5"/>
  <c r="P138" i="5"/>
  <c r="P147" i="5"/>
  <c r="P159" i="5"/>
  <c r="P170" i="5"/>
  <c r="P179" i="5"/>
  <c r="P51" i="5"/>
  <c r="P55" i="5"/>
  <c r="P59" i="5"/>
  <c r="P63" i="5"/>
  <c r="P67" i="5"/>
  <c r="P71" i="5"/>
  <c r="P75" i="5"/>
  <c r="P79" i="5"/>
  <c r="P83" i="5"/>
  <c r="P87" i="5"/>
  <c r="P91" i="5"/>
  <c r="P95" i="5"/>
  <c r="P99" i="5"/>
  <c r="P103" i="5"/>
  <c r="P107" i="5"/>
  <c r="P111" i="5"/>
  <c r="P118" i="5"/>
  <c r="P126" i="5"/>
  <c r="P134" i="5"/>
  <c r="P142" i="5"/>
  <c r="P150" i="5"/>
  <c r="P158" i="5"/>
  <c r="P166" i="5"/>
  <c r="P174" i="5"/>
  <c r="P182" i="5"/>
  <c r="P112" i="5"/>
  <c r="P116" i="5"/>
  <c r="P120" i="5"/>
  <c r="P124" i="5"/>
  <c r="P128" i="5"/>
  <c r="P132" i="5"/>
  <c r="P136" i="5"/>
  <c r="P140" i="5"/>
  <c r="P144" i="5"/>
  <c r="P148" i="5"/>
  <c r="P152" i="5"/>
  <c r="P156" i="5"/>
  <c r="P160" i="5"/>
  <c r="P164" i="5"/>
  <c r="P168" i="5"/>
  <c r="P172" i="5"/>
  <c r="P176" i="5"/>
  <c r="P180" i="5"/>
  <c r="P184" i="5"/>
  <c r="P117" i="5"/>
  <c r="P121" i="5"/>
  <c r="P125" i="5"/>
  <c r="P129" i="5"/>
  <c r="P133" i="5"/>
  <c r="P137" i="5"/>
  <c r="P141" i="5"/>
  <c r="P145" i="5"/>
  <c r="P149" i="5"/>
  <c r="P153" i="5"/>
  <c r="P157" i="5"/>
  <c r="P161" i="5"/>
  <c r="P165" i="5"/>
  <c r="P169" i="5"/>
  <c r="P173" i="5"/>
  <c r="P177" i="5"/>
  <c r="P181" i="5"/>
  <c r="P185" i="5"/>
  <c r="D23" i="2"/>
  <c r="C15" i="2"/>
  <c r="D15" i="2"/>
  <c r="B5" i="3"/>
  <c r="C12" i="2"/>
  <c r="C11" i="2" s="1"/>
  <c r="C6" i="2"/>
  <c r="C10" i="2"/>
  <c r="C9" i="2" s="1"/>
  <c r="C8" i="2"/>
  <c r="C7" i="2" s="1"/>
  <c r="F5" i="5"/>
  <c r="K9" i="16" s="1"/>
  <c r="E2" i="11"/>
  <c r="D1" i="11"/>
  <c r="C1" i="11"/>
  <c r="B5" i="4"/>
  <c r="C9" i="5"/>
  <c r="C11" i="5" s="1"/>
  <c r="F8" i="5"/>
  <c r="K13" i="16" s="1"/>
  <c r="F10" i="5"/>
  <c r="K15" i="16" s="1"/>
  <c r="E2" i="10" l="1"/>
  <c r="D1" i="10"/>
  <c r="M5" i="3"/>
  <c r="Q5" i="3" s="1"/>
  <c r="O5" i="5"/>
  <c r="C17" i="2"/>
  <c r="D17" i="2"/>
  <c r="C5" i="2"/>
  <c r="F9" i="5"/>
  <c r="C5" i="19"/>
  <c r="F5" i="3"/>
  <c r="E1" i="11"/>
  <c r="F2" i="11"/>
  <c r="E1" i="10" l="1"/>
  <c r="F2" i="10"/>
  <c r="C19" i="2"/>
  <c r="C20" i="2" s="1"/>
  <c r="J9" i="2" s="1"/>
  <c r="J10" i="2" s="1"/>
  <c r="E17" i="2"/>
  <c r="E19" i="2" s="1"/>
  <c r="D19" i="2"/>
  <c r="C6" i="19"/>
  <c r="F1" i="11"/>
  <c r="G2" i="11"/>
  <c r="J5" i="3"/>
  <c r="G2" i="10" l="1"/>
  <c r="F1" i="10"/>
  <c r="C19" i="5"/>
  <c r="D20" i="2"/>
  <c r="C25" i="5"/>
  <c r="K28" i="16" s="1"/>
  <c r="J16" i="2"/>
  <c r="H2" i="11"/>
  <c r="G1" i="11"/>
  <c r="C7" i="19"/>
  <c r="D7" i="18"/>
  <c r="P5" i="5" s="1"/>
  <c r="O6" i="5"/>
  <c r="H2" i="10" l="1"/>
  <c r="G1" i="10"/>
  <c r="C26" i="5"/>
  <c r="C1" i="19"/>
  <c r="F1" i="3"/>
  <c r="L25" i="5"/>
  <c r="K87" i="16" s="1"/>
  <c r="J17" i="2"/>
  <c r="D8" i="18"/>
  <c r="P6" i="5" s="1"/>
  <c r="O7" i="5"/>
  <c r="I2" i="11"/>
  <c r="H1" i="11"/>
  <c r="C8" i="19"/>
  <c r="I2" i="10" l="1"/>
  <c r="H1" i="10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B506" i="3" s="1"/>
  <c r="B507" i="3" s="1"/>
  <c r="B508" i="3" s="1"/>
  <c r="B509" i="3" s="1"/>
  <c r="B510" i="3" s="1"/>
  <c r="B511" i="3" s="1"/>
  <c r="B512" i="3" s="1"/>
  <c r="B513" i="3" s="1"/>
  <c r="B514" i="3" s="1"/>
  <c r="B515" i="3" s="1"/>
  <c r="B516" i="3" s="1"/>
  <c r="B517" i="3" s="1"/>
  <c r="B518" i="3" s="1"/>
  <c r="B519" i="3" s="1"/>
  <c r="B520" i="3" s="1"/>
  <c r="B521" i="3" s="1"/>
  <c r="B522" i="3" s="1"/>
  <c r="B523" i="3" s="1"/>
  <c r="B524" i="3" s="1"/>
  <c r="B525" i="3" s="1"/>
  <c r="B526" i="3" s="1"/>
  <c r="B527" i="3" s="1"/>
  <c r="B528" i="3" s="1"/>
  <c r="B529" i="3" s="1"/>
  <c r="B530" i="3" s="1"/>
  <c r="B531" i="3" s="1"/>
  <c r="B532" i="3" s="1"/>
  <c r="B533" i="3" s="1"/>
  <c r="B534" i="3" s="1"/>
  <c r="B535" i="3" s="1"/>
  <c r="B536" i="3" s="1"/>
  <c r="B537" i="3" s="1"/>
  <c r="B538" i="3" s="1"/>
  <c r="B539" i="3" s="1"/>
  <c r="B540" i="3" s="1"/>
  <c r="B541" i="3" s="1"/>
  <c r="B542" i="3" s="1"/>
  <c r="B543" i="3" s="1"/>
  <c r="B544" i="3" s="1"/>
  <c r="B545" i="3" s="1"/>
  <c r="B546" i="3" s="1"/>
  <c r="B547" i="3" s="1"/>
  <c r="B548" i="3" s="1"/>
  <c r="B549" i="3" s="1"/>
  <c r="B550" i="3" s="1"/>
  <c r="B551" i="3" s="1"/>
  <c r="B552" i="3" s="1"/>
  <c r="B553" i="3" s="1"/>
  <c r="B554" i="3" s="1"/>
  <c r="B555" i="3" s="1"/>
  <c r="B556" i="3" s="1"/>
  <c r="B557" i="3" s="1"/>
  <c r="B558" i="3" s="1"/>
  <c r="B559" i="3" s="1"/>
  <c r="B560" i="3" s="1"/>
  <c r="B561" i="3" s="1"/>
  <c r="B562" i="3" s="1"/>
  <c r="B563" i="3" s="1"/>
  <c r="B564" i="3" s="1"/>
  <c r="B565" i="3" s="1"/>
  <c r="B566" i="3" s="1"/>
  <c r="B567" i="3" s="1"/>
  <c r="B568" i="3" s="1"/>
  <c r="B569" i="3" s="1"/>
  <c r="B570" i="3" s="1"/>
  <c r="B571" i="3" s="1"/>
  <c r="B572" i="3" s="1"/>
  <c r="B573" i="3" s="1"/>
  <c r="B574" i="3" s="1"/>
  <c r="B575" i="3" s="1"/>
  <c r="B576" i="3" s="1"/>
  <c r="B577" i="3" s="1"/>
  <c r="B578" i="3" s="1"/>
  <c r="B579" i="3" s="1"/>
  <c r="B580" i="3" s="1"/>
  <c r="B581" i="3" s="1"/>
  <c r="B582" i="3" s="1"/>
  <c r="B583" i="3" s="1"/>
  <c r="B584" i="3" s="1"/>
  <c r="B585" i="3" s="1"/>
  <c r="B586" i="3" s="1"/>
  <c r="B587" i="3" s="1"/>
  <c r="B588" i="3" s="1"/>
  <c r="B589" i="3" s="1"/>
  <c r="B590" i="3" s="1"/>
  <c r="B591" i="3" s="1"/>
  <c r="B592" i="3" s="1"/>
  <c r="B593" i="3" s="1"/>
  <c r="B594" i="3" s="1"/>
  <c r="B595" i="3" s="1"/>
  <c r="B596" i="3" s="1"/>
  <c r="B597" i="3" s="1"/>
  <c r="B598" i="3" s="1"/>
  <c r="B599" i="3" s="1"/>
  <c r="B600" i="3" s="1"/>
  <c r="B601" i="3" s="1"/>
  <c r="B602" i="3" s="1"/>
  <c r="B603" i="3" s="1"/>
  <c r="B604" i="3" s="1"/>
  <c r="B605" i="3" s="1"/>
  <c r="B606" i="3" s="1"/>
  <c r="B607" i="3" s="1"/>
  <c r="B608" i="3" s="1"/>
  <c r="B609" i="3" s="1"/>
  <c r="B610" i="3" s="1"/>
  <c r="B611" i="3" s="1"/>
  <c r="B612" i="3" s="1"/>
  <c r="B613" i="3" s="1"/>
  <c r="B614" i="3" s="1"/>
  <c r="B615" i="3" s="1"/>
  <c r="B616" i="3" s="1"/>
  <c r="B617" i="3" s="1"/>
  <c r="B618" i="3" s="1"/>
  <c r="B619" i="3" s="1"/>
  <c r="B620" i="3" s="1"/>
  <c r="B621" i="3" s="1"/>
  <c r="B622" i="3" s="1"/>
  <c r="B623" i="3" s="1"/>
  <c r="B624" i="3" s="1"/>
  <c r="B625" i="3" s="1"/>
  <c r="B626" i="3" s="1"/>
  <c r="B627" i="3" s="1"/>
  <c r="B628" i="3" s="1"/>
  <c r="B629" i="3" s="1"/>
  <c r="B630" i="3" s="1"/>
  <c r="B631" i="3" s="1"/>
  <c r="B632" i="3" s="1"/>
  <c r="B633" i="3" s="1"/>
  <c r="B634" i="3" s="1"/>
  <c r="B635" i="3" s="1"/>
  <c r="B636" i="3" s="1"/>
  <c r="B637" i="3" s="1"/>
  <c r="B638" i="3" s="1"/>
  <c r="B639" i="3" s="1"/>
  <c r="B640" i="3" s="1"/>
  <c r="B641" i="3" s="1"/>
  <c r="B642" i="3" s="1"/>
  <c r="B643" i="3" s="1"/>
  <c r="B644" i="3" s="1"/>
  <c r="B645" i="3" s="1"/>
  <c r="B646" i="3" s="1"/>
  <c r="B647" i="3" s="1"/>
  <c r="B648" i="3" s="1"/>
  <c r="B649" i="3" s="1"/>
  <c r="B650" i="3" s="1"/>
  <c r="B651" i="3" s="1"/>
  <c r="B652" i="3" s="1"/>
  <c r="B653" i="3" s="1"/>
  <c r="B654" i="3" s="1"/>
  <c r="B655" i="3" s="1"/>
  <c r="B656" i="3" s="1"/>
  <c r="B657" i="3" s="1"/>
  <c r="B658" i="3" s="1"/>
  <c r="B659" i="3" s="1"/>
  <c r="B660" i="3" s="1"/>
  <c r="B661" i="3" s="1"/>
  <c r="B662" i="3" s="1"/>
  <c r="B663" i="3" s="1"/>
  <c r="B664" i="3" s="1"/>
  <c r="B665" i="3" s="1"/>
  <c r="B666" i="3" s="1"/>
  <c r="B667" i="3" s="1"/>
  <c r="B668" i="3" s="1"/>
  <c r="B669" i="3" s="1"/>
  <c r="B670" i="3" s="1"/>
  <c r="B671" i="3" s="1"/>
  <c r="B672" i="3" s="1"/>
  <c r="B673" i="3" s="1"/>
  <c r="B674" i="3" s="1"/>
  <c r="B675" i="3" s="1"/>
  <c r="B676" i="3" s="1"/>
  <c r="B677" i="3" s="1"/>
  <c r="B678" i="3" s="1"/>
  <c r="B679" i="3" s="1"/>
  <c r="B680" i="3" s="1"/>
  <c r="B681" i="3" s="1"/>
  <c r="B682" i="3" s="1"/>
  <c r="B683" i="3" s="1"/>
  <c r="B684" i="3" s="1"/>
  <c r="B685" i="3" s="1"/>
  <c r="B686" i="3" s="1"/>
  <c r="B687" i="3" s="1"/>
  <c r="B688" i="3" s="1"/>
  <c r="B689" i="3" s="1"/>
  <c r="B690" i="3" s="1"/>
  <c r="B691" i="3" s="1"/>
  <c r="B692" i="3" s="1"/>
  <c r="B693" i="3" s="1"/>
  <c r="B694" i="3" s="1"/>
  <c r="B695" i="3" s="1"/>
  <c r="B696" i="3" s="1"/>
  <c r="B697" i="3" s="1"/>
  <c r="B698" i="3" s="1"/>
  <c r="B699" i="3" s="1"/>
  <c r="B700" i="3" s="1"/>
  <c r="B701" i="3" s="1"/>
  <c r="B702" i="3" s="1"/>
  <c r="B703" i="3" s="1"/>
  <c r="B704" i="3" s="1"/>
  <c r="B705" i="3" s="1"/>
  <c r="B706" i="3" s="1"/>
  <c r="B707" i="3" s="1"/>
  <c r="B708" i="3" s="1"/>
  <c r="B709" i="3" s="1"/>
  <c r="B710" i="3" s="1"/>
  <c r="B711" i="3" s="1"/>
  <c r="B712" i="3" s="1"/>
  <c r="B713" i="3" s="1"/>
  <c r="B714" i="3" s="1"/>
  <c r="B715" i="3" s="1"/>
  <c r="B716" i="3" s="1"/>
  <c r="B717" i="3" s="1"/>
  <c r="B718" i="3" s="1"/>
  <c r="B719" i="3" s="1"/>
  <c r="B720" i="3" s="1"/>
  <c r="B721" i="3" s="1"/>
  <c r="B722" i="3" s="1"/>
  <c r="B723" i="3" s="1"/>
  <c r="B724" i="3" s="1"/>
  <c r="F6" i="3"/>
  <c r="M6" i="3"/>
  <c r="L26" i="5"/>
  <c r="B6" i="4"/>
  <c r="B7" i="4" s="1"/>
  <c r="B8" i="4" s="1"/>
  <c r="B9" i="4" s="1"/>
  <c r="I28" i="16"/>
  <c r="B51" i="5"/>
  <c r="B61" i="5" s="1"/>
  <c r="E51" i="5"/>
  <c r="E61" i="5" s="1"/>
  <c r="D9" i="18"/>
  <c r="P7" i="5" s="1"/>
  <c r="O8" i="5"/>
  <c r="C9" i="19"/>
  <c r="I1" i="11"/>
  <c r="J2" i="11"/>
  <c r="I1" i="10" l="1"/>
  <c r="J2" i="10"/>
  <c r="M31" i="5"/>
  <c r="I87" i="16"/>
  <c r="K52" i="5"/>
  <c r="K51" i="5"/>
  <c r="L31" i="5"/>
  <c r="M7" i="3"/>
  <c r="Q6" i="3"/>
  <c r="F7" i="3"/>
  <c r="J6" i="3"/>
  <c r="D10" i="18"/>
  <c r="P8" i="5" s="1"/>
  <c r="O9" i="5"/>
  <c r="J1" i="11"/>
  <c r="K2" i="11"/>
  <c r="C10" i="19"/>
  <c r="B10" i="4"/>
  <c r="K2" i="10" l="1"/>
  <c r="J1" i="10"/>
  <c r="F8" i="3"/>
  <c r="J7" i="3"/>
  <c r="M8" i="3"/>
  <c r="Q7" i="3"/>
  <c r="B11" i="4"/>
  <c r="L2" i="11"/>
  <c r="K1" i="11"/>
  <c r="C11" i="19"/>
  <c r="D11" i="18"/>
  <c r="P9" i="5" s="1"/>
  <c r="O10" i="5"/>
  <c r="L2" i="10" l="1"/>
  <c r="K1" i="10"/>
  <c r="F9" i="3"/>
  <c r="J8" i="3"/>
  <c r="M9" i="3"/>
  <c r="Q8" i="3"/>
  <c r="C12" i="19"/>
  <c r="M2" i="11"/>
  <c r="L1" i="11"/>
  <c r="D12" i="18"/>
  <c r="O11" i="5"/>
  <c r="B12" i="4"/>
  <c r="L1" i="10" l="1"/>
  <c r="M2" i="10"/>
  <c r="F10" i="3"/>
  <c r="J9" i="3"/>
  <c r="M10" i="3"/>
  <c r="Q9" i="3"/>
  <c r="D13" i="18"/>
  <c r="P11" i="5" s="1"/>
  <c r="O12" i="5"/>
  <c r="B13" i="4"/>
  <c r="M1" i="11"/>
  <c r="N2" i="11"/>
  <c r="C13" i="19"/>
  <c r="N2" i="10" l="1"/>
  <c r="M1" i="10"/>
  <c r="M11" i="3"/>
  <c r="Q10" i="3"/>
  <c r="F11" i="3"/>
  <c r="J10" i="3"/>
  <c r="D14" i="18"/>
  <c r="P12" i="5" s="1"/>
  <c r="O13" i="5"/>
  <c r="C14" i="19"/>
  <c r="N1" i="11"/>
  <c r="O2" i="11"/>
  <c r="B14" i="4"/>
  <c r="N1" i="10" l="1"/>
  <c r="O2" i="10"/>
  <c r="F12" i="3"/>
  <c r="J11" i="3"/>
  <c r="M12" i="3"/>
  <c r="Q11" i="3"/>
  <c r="C15" i="19"/>
  <c r="B15" i="4"/>
  <c r="P2" i="11"/>
  <c r="O1" i="11"/>
  <c r="D15" i="18"/>
  <c r="P13" i="5" s="1"/>
  <c r="O14" i="5"/>
  <c r="P2" i="10" l="1"/>
  <c r="O1" i="10"/>
  <c r="M13" i="3"/>
  <c r="Q12" i="3"/>
  <c r="F13" i="3"/>
  <c r="J12" i="3"/>
  <c r="C16" i="19"/>
  <c r="Q2" i="11"/>
  <c r="P1" i="11"/>
  <c r="B16" i="4"/>
  <c r="D16" i="18"/>
  <c r="P14" i="5" s="1"/>
  <c r="O15" i="5"/>
  <c r="Q2" i="10" l="1"/>
  <c r="P1" i="10"/>
  <c r="F14" i="3"/>
  <c r="J13" i="3"/>
  <c r="M14" i="3"/>
  <c r="Q13" i="3"/>
  <c r="B17" i="4"/>
  <c r="C17" i="19"/>
  <c r="D17" i="18"/>
  <c r="P15" i="5" s="1"/>
  <c r="O16" i="5"/>
  <c r="Q1" i="11"/>
  <c r="R2" i="11"/>
  <c r="Q1" i="10" l="1"/>
  <c r="R2" i="10"/>
  <c r="M15" i="3"/>
  <c r="Q14" i="3"/>
  <c r="F15" i="3"/>
  <c r="J14" i="3"/>
  <c r="R1" i="11"/>
  <c r="S2" i="11"/>
  <c r="D18" i="18"/>
  <c r="P16" i="5" s="1"/>
  <c r="O17" i="5"/>
  <c r="C18" i="19"/>
  <c r="B18" i="4"/>
  <c r="R1" i="10" l="1"/>
  <c r="S2" i="10"/>
  <c r="F16" i="3"/>
  <c r="J15" i="3"/>
  <c r="M16" i="3"/>
  <c r="Q15" i="3"/>
  <c r="B19" i="4"/>
  <c r="D19" i="18"/>
  <c r="P17" i="5" s="1"/>
  <c r="O18" i="5"/>
  <c r="C19" i="19"/>
  <c r="T2" i="11"/>
  <c r="S1" i="11"/>
  <c r="T2" i="10" l="1"/>
  <c r="S1" i="10"/>
  <c r="M17" i="3"/>
  <c r="Q16" i="3"/>
  <c r="F17" i="3"/>
  <c r="J16" i="3"/>
  <c r="B20" i="4"/>
  <c r="D20" i="18"/>
  <c r="P18" i="5" s="1"/>
  <c r="O19" i="5"/>
  <c r="C20" i="19"/>
  <c r="U2" i="11"/>
  <c r="T1" i="11"/>
  <c r="U2" i="10" l="1"/>
  <c r="T1" i="10"/>
  <c r="F18" i="3"/>
  <c r="J17" i="3"/>
  <c r="M18" i="3"/>
  <c r="Q17" i="3"/>
  <c r="D21" i="18"/>
  <c r="P19" i="5" s="1"/>
  <c r="O20" i="5"/>
  <c r="C21" i="19"/>
  <c r="B21" i="4"/>
  <c r="U1" i="11"/>
  <c r="V2" i="11"/>
  <c r="V2" i="10" l="1"/>
  <c r="U1" i="10"/>
  <c r="M19" i="3"/>
  <c r="Q18" i="3"/>
  <c r="F19" i="3"/>
  <c r="J18" i="3"/>
  <c r="V1" i="11"/>
  <c r="W2" i="11"/>
  <c r="C22" i="19"/>
  <c r="D22" i="18"/>
  <c r="P20" i="5" s="1"/>
  <c r="O21" i="5"/>
  <c r="B22" i="4"/>
  <c r="V1" i="10" l="1"/>
  <c r="W2" i="10"/>
  <c r="F20" i="3"/>
  <c r="J19" i="3"/>
  <c r="M20" i="3"/>
  <c r="Q19" i="3"/>
  <c r="C23" i="19"/>
  <c r="B23" i="4"/>
  <c r="X2" i="11"/>
  <c r="W1" i="11"/>
  <c r="D23" i="18"/>
  <c r="P21" i="5" s="1"/>
  <c r="O22" i="5"/>
  <c r="X2" i="10" l="1"/>
  <c r="W1" i="10"/>
  <c r="M21" i="3"/>
  <c r="Q20" i="3"/>
  <c r="F21" i="3"/>
  <c r="J20" i="3"/>
  <c r="D24" i="18"/>
  <c r="P22" i="5" s="1"/>
  <c r="O23" i="5"/>
  <c r="B24" i="4"/>
  <c r="Y2" i="11"/>
  <c r="X1" i="11"/>
  <c r="C24" i="19"/>
  <c r="Y2" i="10" l="1"/>
  <c r="X1" i="10"/>
  <c r="F22" i="3"/>
  <c r="J21" i="3"/>
  <c r="M22" i="3"/>
  <c r="Q21" i="3"/>
  <c r="B25" i="4"/>
  <c r="D25" i="18"/>
  <c r="O24" i="5"/>
  <c r="Y1" i="11"/>
  <c r="Z2" i="11"/>
  <c r="C25" i="19"/>
  <c r="Z2" i="10" l="1"/>
  <c r="Y1" i="10"/>
  <c r="M23" i="3"/>
  <c r="Q22" i="3"/>
  <c r="F23" i="3"/>
  <c r="J22" i="3"/>
  <c r="B26" i="4"/>
  <c r="D26" i="18"/>
  <c r="P24" i="5" s="1"/>
  <c r="O25" i="5"/>
  <c r="C26" i="19"/>
  <c r="Z1" i="11"/>
  <c r="AA2" i="11"/>
  <c r="Z1" i="10" l="1"/>
  <c r="AA2" i="10"/>
  <c r="F24" i="3"/>
  <c r="J23" i="3"/>
  <c r="M24" i="3"/>
  <c r="Q23" i="3"/>
  <c r="D27" i="18"/>
  <c r="P25" i="5" s="1"/>
  <c r="O26" i="5"/>
  <c r="C27" i="19"/>
  <c r="B27" i="4"/>
  <c r="AB2" i="11"/>
  <c r="AA1" i="11"/>
  <c r="AB2" i="10" l="1"/>
  <c r="AA1" i="10"/>
  <c r="M25" i="3"/>
  <c r="Q24" i="3"/>
  <c r="F25" i="3"/>
  <c r="J24" i="3"/>
  <c r="AC2" i="11"/>
  <c r="AB1" i="11"/>
  <c r="C28" i="19"/>
  <c r="B28" i="4"/>
  <c r="D28" i="18"/>
  <c r="P26" i="5" s="1"/>
  <c r="O27" i="5"/>
  <c r="AC2" i="10" l="1"/>
  <c r="AB1" i="10"/>
  <c r="F26" i="3"/>
  <c r="J25" i="3"/>
  <c r="M26" i="3"/>
  <c r="Q25" i="3"/>
  <c r="C29" i="19"/>
  <c r="D29" i="18"/>
  <c r="P27" i="5" s="1"/>
  <c r="O28" i="5"/>
  <c r="B29" i="4"/>
  <c r="AC1" i="11"/>
  <c r="AD2" i="11"/>
  <c r="AC1" i="10" l="1"/>
  <c r="AD2" i="10"/>
  <c r="M27" i="3"/>
  <c r="Q26" i="3"/>
  <c r="F27" i="3"/>
  <c r="J26" i="3"/>
  <c r="D30" i="18"/>
  <c r="P28" i="5" s="1"/>
  <c r="O29" i="5"/>
  <c r="AD1" i="11"/>
  <c r="AE2" i="11"/>
  <c r="B30" i="4"/>
  <c r="C30" i="19"/>
  <c r="AD1" i="10" l="1"/>
  <c r="AE2" i="10"/>
  <c r="F28" i="3"/>
  <c r="J27" i="3"/>
  <c r="M28" i="3"/>
  <c r="Q27" i="3"/>
  <c r="C31" i="19"/>
  <c r="AF2" i="11"/>
  <c r="AE1" i="11"/>
  <c r="D31" i="18"/>
  <c r="P29" i="5" s="1"/>
  <c r="O30" i="5"/>
  <c r="B31" i="4"/>
  <c r="AF2" i="10" l="1"/>
  <c r="AE1" i="10"/>
  <c r="M29" i="3"/>
  <c r="Q28" i="3"/>
  <c r="F29" i="3"/>
  <c r="J28" i="3"/>
  <c r="B32" i="4"/>
  <c r="D32" i="18"/>
  <c r="P30" i="5" s="1"/>
  <c r="O31" i="5"/>
  <c r="AG2" i="11"/>
  <c r="AF1" i="11"/>
  <c r="C32" i="19"/>
  <c r="AG2" i="10" l="1"/>
  <c r="AF1" i="10"/>
  <c r="F30" i="3"/>
  <c r="J29" i="3"/>
  <c r="M30" i="3"/>
  <c r="Q29" i="3"/>
  <c r="D33" i="18"/>
  <c r="P31" i="5" s="1"/>
  <c r="O32" i="5"/>
  <c r="C33" i="19"/>
  <c r="B33" i="4"/>
  <c r="AG1" i="11"/>
  <c r="AH2" i="11"/>
  <c r="AH2" i="10" l="1"/>
  <c r="AG1" i="10"/>
  <c r="M31" i="3"/>
  <c r="Q30" i="3"/>
  <c r="F31" i="3"/>
  <c r="J30" i="3"/>
  <c r="B34" i="4"/>
  <c r="C34" i="19"/>
  <c r="AH1" i="11"/>
  <c r="AI2" i="11"/>
  <c r="D34" i="18"/>
  <c r="P32" i="5" s="1"/>
  <c r="O33" i="5"/>
  <c r="AH1" i="10" l="1"/>
  <c r="AI2" i="10"/>
  <c r="F32" i="3"/>
  <c r="J31" i="3"/>
  <c r="M32" i="3"/>
  <c r="Q31" i="3"/>
  <c r="B35" i="4"/>
  <c r="D35" i="18"/>
  <c r="P33" i="5" s="1"/>
  <c r="O34" i="5"/>
  <c r="AJ2" i="11"/>
  <c r="AI1" i="11"/>
  <c r="C35" i="19"/>
  <c r="AJ2" i="10" l="1"/>
  <c r="AI1" i="10"/>
  <c r="M33" i="3"/>
  <c r="Q32" i="3"/>
  <c r="F33" i="3"/>
  <c r="J32" i="3"/>
  <c r="C36" i="19"/>
  <c r="B36" i="4"/>
  <c r="D36" i="18"/>
  <c r="P34" i="5" s="1"/>
  <c r="O35" i="5"/>
  <c r="AK2" i="11"/>
  <c r="AJ1" i="11"/>
  <c r="AK2" i="10" l="1"/>
  <c r="AJ1" i="10"/>
  <c r="F34" i="3"/>
  <c r="J33" i="3"/>
  <c r="M34" i="3"/>
  <c r="Q33" i="3"/>
  <c r="D37" i="18"/>
  <c r="P35" i="5" s="1"/>
  <c r="O36" i="5"/>
  <c r="C37" i="19"/>
  <c r="B37" i="4"/>
  <c r="AK1" i="11"/>
  <c r="AL2" i="11"/>
  <c r="AL2" i="10" l="1"/>
  <c r="AK1" i="10"/>
  <c r="M35" i="3"/>
  <c r="Q34" i="3"/>
  <c r="F35" i="3"/>
  <c r="J34" i="3"/>
  <c r="B38" i="4"/>
  <c r="AL1" i="11"/>
  <c r="AM2" i="11"/>
  <c r="D38" i="18"/>
  <c r="O37" i="5"/>
  <c r="C38" i="19"/>
  <c r="AL1" i="10" l="1"/>
  <c r="AM2" i="10"/>
  <c r="F36" i="3"/>
  <c r="J35" i="3"/>
  <c r="M36" i="3"/>
  <c r="Q35" i="3"/>
  <c r="AN2" i="11"/>
  <c r="AM1" i="11"/>
  <c r="C39" i="19"/>
  <c r="D39" i="18"/>
  <c r="P37" i="5" s="1"/>
  <c r="O38" i="5"/>
  <c r="B39" i="4"/>
  <c r="AM1" i="10" l="1"/>
  <c r="AN2" i="10"/>
  <c r="M37" i="3"/>
  <c r="Q36" i="3"/>
  <c r="F37" i="3"/>
  <c r="J36" i="3"/>
  <c r="C40" i="19"/>
  <c r="D40" i="18"/>
  <c r="P38" i="5" s="1"/>
  <c r="O39" i="5"/>
  <c r="AO2" i="11"/>
  <c r="AN1" i="11"/>
  <c r="B40" i="4"/>
  <c r="AN1" i="10" l="1"/>
  <c r="AO2" i="10"/>
  <c r="F38" i="3"/>
  <c r="J37" i="3"/>
  <c r="M38" i="3"/>
  <c r="Q37" i="3"/>
  <c r="AO1" i="11"/>
  <c r="AP2" i="11"/>
  <c r="C41" i="19"/>
  <c r="B41" i="4"/>
  <c r="D41" i="18"/>
  <c r="P39" i="5" s="1"/>
  <c r="O40" i="5"/>
  <c r="AP2" i="10" l="1"/>
  <c r="AO1" i="10"/>
  <c r="M39" i="3"/>
  <c r="Q38" i="3"/>
  <c r="F39" i="3"/>
  <c r="J38" i="3"/>
  <c r="D42" i="18"/>
  <c r="P40" i="5" s="1"/>
  <c r="O41" i="5"/>
  <c r="C42" i="19"/>
  <c r="B42" i="4"/>
  <c r="AP1" i="11"/>
  <c r="AQ2" i="11"/>
  <c r="AP1" i="10" l="1"/>
  <c r="AQ2" i="10"/>
  <c r="F40" i="3"/>
  <c r="J39" i="3"/>
  <c r="M40" i="3"/>
  <c r="Q39" i="3"/>
  <c r="B43" i="4"/>
  <c r="AR2" i="11"/>
  <c r="AQ1" i="11"/>
  <c r="C43" i="19"/>
  <c r="D43" i="18"/>
  <c r="O42" i="5"/>
  <c r="AQ1" i="10" l="1"/>
  <c r="AR2" i="10"/>
  <c r="M41" i="3"/>
  <c r="Q40" i="3"/>
  <c r="F41" i="3"/>
  <c r="J40" i="3"/>
  <c r="C44" i="19"/>
  <c r="AS2" i="11"/>
  <c r="AR1" i="11"/>
  <c r="B44" i="4"/>
  <c r="D44" i="18"/>
  <c r="O43" i="5"/>
  <c r="AS2" i="10" l="1"/>
  <c r="AR1" i="10"/>
  <c r="F42" i="3"/>
  <c r="J41" i="3"/>
  <c r="M42" i="3"/>
  <c r="Q41" i="3"/>
  <c r="B45" i="4"/>
  <c r="C45" i="19"/>
  <c r="D45" i="18"/>
  <c r="O44" i="5"/>
  <c r="AS1" i="11"/>
  <c r="AT2" i="11"/>
  <c r="AT2" i="10" l="1"/>
  <c r="AS1" i="10"/>
  <c r="M43" i="3"/>
  <c r="Q42" i="3"/>
  <c r="F43" i="3"/>
  <c r="J42" i="3"/>
  <c r="C46" i="19"/>
  <c r="B46" i="4"/>
  <c r="D46" i="18"/>
  <c r="O45" i="5"/>
  <c r="AT1" i="11"/>
  <c r="AU2" i="11"/>
  <c r="AT1" i="10" l="1"/>
  <c r="AU2" i="10"/>
  <c r="F44" i="3"/>
  <c r="J43" i="3"/>
  <c r="M44" i="3"/>
  <c r="Q43" i="3"/>
  <c r="AV2" i="11"/>
  <c r="AU1" i="11"/>
  <c r="D47" i="18"/>
  <c r="O46" i="5"/>
  <c r="C47" i="19"/>
  <c r="B47" i="4"/>
  <c r="AV2" i="10" l="1"/>
  <c r="AU1" i="10"/>
  <c r="M45" i="3"/>
  <c r="Q44" i="3"/>
  <c r="F45" i="3"/>
  <c r="J44" i="3"/>
  <c r="D48" i="18"/>
  <c r="O47" i="5"/>
  <c r="AW2" i="11"/>
  <c r="AV1" i="11"/>
  <c r="B48" i="4"/>
  <c r="C48" i="19"/>
  <c r="AW2" i="10" l="1"/>
  <c r="AV1" i="10"/>
  <c r="F46" i="3"/>
  <c r="J45" i="3"/>
  <c r="M46" i="3"/>
  <c r="Q45" i="3"/>
  <c r="B49" i="4"/>
  <c r="AW1" i="11"/>
  <c r="AX2" i="11"/>
  <c r="C49" i="19"/>
  <c r="D49" i="18"/>
  <c r="O48" i="5"/>
  <c r="AX2" i="10" l="1"/>
  <c r="AW1" i="10"/>
  <c r="M47" i="3"/>
  <c r="Q46" i="3"/>
  <c r="F47" i="3"/>
  <c r="J46" i="3"/>
  <c r="AX1" i="11"/>
  <c r="AY2" i="11"/>
  <c r="B50" i="4"/>
  <c r="C50" i="19"/>
  <c r="D50" i="18"/>
  <c r="O49" i="5"/>
  <c r="AX1" i="10" l="1"/>
  <c r="AY2" i="10"/>
  <c r="F48" i="3"/>
  <c r="J47" i="3"/>
  <c r="M48" i="3"/>
  <c r="Q47" i="3"/>
  <c r="C51" i="19"/>
  <c r="AZ2" i="11"/>
  <c r="AY1" i="11"/>
  <c r="D51" i="18"/>
  <c r="O50" i="5"/>
  <c r="B51" i="4"/>
  <c r="AY1" i="10" l="1"/>
  <c r="AZ2" i="10"/>
  <c r="M49" i="3"/>
  <c r="Q48" i="3"/>
  <c r="F49" i="3"/>
  <c r="J48" i="3"/>
  <c r="B52" i="4"/>
  <c r="D52" i="18"/>
  <c r="O51" i="5"/>
  <c r="BA2" i="11"/>
  <c r="AZ1" i="11"/>
  <c r="C52" i="19"/>
  <c r="BA2" i="10" l="1"/>
  <c r="AZ1" i="10"/>
  <c r="F50" i="3"/>
  <c r="J49" i="3"/>
  <c r="M50" i="3"/>
  <c r="Q49" i="3"/>
  <c r="B53" i="4"/>
  <c r="BA1" i="11"/>
  <c r="BB2" i="11"/>
  <c r="D53" i="18"/>
  <c r="O52" i="5"/>
  <c r="C53" i="19"/>
  <c r="BA1" i="10" l="1"/>
  <c r="BB2" i="10"/>
  <c r="M51" i="3"/>
  <c r="Q50" i="3"/>
  <c r="F51" i="3"/>
  <c r="J50" i="3"/>
  <c r="C54" i="19"/>
  <c r="D54" i="18"/>
  <c r="O53" i="5"/>
  <c r="B54" i="4"/>
  <c r="BB1" i="11"/>
  <c r="BC2" i="11"/>
  <c r="BC2" i="10" l="1"/>
  <c r="BB1" i="10"/>
  <c r="F52" i="3"/>
  <c r="J51" i="3"/>
  <c r="M52" i="3"/>
  <c r="Q51" i="3"/>
  <c r="D55" i="18"/>
  <c r="O54" i="5"/>
  <c r="C55" i="19"/>
  <c r="BD2" i="11"/>
  <c r="BC1" i="11"/>
  <c r="B55" i="4"/>
  <c r="BC1" i="10" l="1"/>
  <c r="BD2" i="10"/>
  <c r="M53" i="3"/>
  <c r="Q52" i="3"/>
  <c r="F53" i="3"/>
  <c r="J52" i="3"/>
  <c r="C56" i="19"/>
  <c r="D56" i="18"/>
  <c r="O55" i="5"/>
  <c r="B56" i="4"/>
  <c r="BE2" i="11"/>
  <c r="BD1" i="11"/>
  <c r="BD1" i="10" l="1"/>
  <c r="BE2" i="10"/>
  <c r="F54" i="3"/>
  <c r="J53" i="3"/>
  <c r="M54" i="3"/>
  <c r="Q53" i="3"/>
  <c r="D57" i="18"/>
  <c r="O56" i="5"/>
  <c r="C57" i="19"/>
  <c r="B57" i="4"/>
  <c r="BE1" i="11"/>
  <c r="BF2" i="11"/>
  <c r="BF2" i="10" l="1"/>
  <c r="BE1" i="10"/>
  <c r="M55" i="3"/>
  <c r="Q54" i="3"/>
  <c r="F55" i="3"/>
  <c r="J54" i="3"/>
  <c r="C58" i="19"/>
  <c r="D58" i="18"/>
  <c r="O57" i="5"/>
  <c r="B58" i="4"/>
  <c r="BF1" i="11"/>
  <c r="BG2" i="11"/>
  <c r="BF1" i="10" l="1"/>
  <c r="BG2" i="10"/>
  <c r="F56" i="3"/>
  <c r="J55" i="3"/>
  <c r="M56" i="3"/>
  <c r="Q55" i="3"/>
  <c r="B59" i="4"/>
  <c r="C59" i="19"/>
  <c r="BH2" i="11"/>
  <c r="BG1" i="11"/>
  <c r="D59" i="18"/>
  <c r="O58" i="5"/>
  <c r="BH2" i="10" l="1"/>
  <c r="BG1" i="10"/>
  <c r="M57" i="3"/>
  <c r="Q56" i="3"/>
  <c r="F57" i="3"/>
  <c r="J56" i="3"/>
  <c r="B60" i="4"/>
  <c r="D60" i="18"/>
  <c r="O59" i="5"/>
  <c r="BI2" i="11"/>
  <c r="BH1" i="11"/>
  <c r="C60" i="19"/>
  <c r="BI2" i="10" l="1"/>
  <c r="BH1" i="10"/>
  <c r="F58" i="3"/>
  <c r="J57" i="3"/>
  <c r="M58" i="3"/>
  <c r="Q57" i="3"/>
  <c r="BI1" i="11"/>
  <c r="BJ2" i="11"/>
  <c r="C61" i="19"/>
  <c r="D61" i="18"/>
  <c r="O60" i="5"/>
  <c r="B61" i="4"/>
  <c r="BJ2" i="10" l="1"/>
  <c r="BI1" i="10"/>
  <c r="M59" i="3"/>
  <c r="Q58" i="3"/>
  <c r="F59" i="3"/>
  <c r="J58" i="3"/>
  <c r="B62" i="4"/>
  <c r="D62" i="18"/>
  <c r="O61" i="5"/>
  <c r="BJ1" i="11"/>
  <c r="BK2" i="11"/>
  <c r="C62" i="19"/>
  <c r="BJ1" i="10" l="1"/>
  <c r="BK2" i="10"/>
  <c r="F60" i="3"/>
  <c r="J59" i="3"/>
  <c r="M60" i="3"/>
  <c r="Q59" i="3"/>
  <c r="C63" i="19"/>
  <c r="B63" i="4"/>
  <c r="BL2" i="11"/>
  <c r="BK1" i="11"/>
  <c r="D63" i="18"/>
  <c r="O62" i="5"/>
  <c r="BK1" i="10" l="1"/>
  <c r="BL2" i="10"/>
  <c r="M61" i="3"/>
  <c r="Q60" i="3"/>
  <c r="F61" i="3"/>
  <c r="J60" i="3"/>
  <c r="B64" i="4"/>
  <c r="BM2" i="11"/>
  <c r="BL1" i="11"/>
  <c r="D64" i="18"/>
  <c r="O63" i="5"/>
  <c r="C64" i="19"/>
  <c r="BM2" i="10" l="1"/>
  <c r="BL1" i="10"/>
  <c r="F62" i="3"/>
  <c r="J61" i="3"/>
  <c r="M62" i="3"/>
  <c r="Q61" i="3"/>
  <c r="D65" i="18"/>
  <c r="O64" i="5"/>
  <c r="C65" i="19"/>
  <c r="BM1" i="11"/>
  <c r="BN2" i="11"/>
  <c r="B65" i="4"/>
  <c r="BN2" i="10" l="1"/>
  <c r="BM1" i="10"/>
  <c r="M63" i="3"/>
  <c r="Q62" i="3"/>
  <c r="F63" i="3"/>
  <c r="J62" i="3"/>
  <c r="C66" i="19"/>
  <c r="D66" i="18"/>
  <c r="O65" i="5"/>
  <c r="B66" i="4"/>
  <c r="BN1" i="11"/>
  <c r="BO2" i="11"/>
  <c r="BN1" i="10" l="1"/>
  <c r="BO2" i="10"/>
  <c r="F64" i="3"/>
  <c r="J63" i="3"/>
  <c r="M64" i="3"/>
  <c r="Q63" i="3"/>
  <c r="B67" i="4"/>
  <c r="C67" i="19"/>
  <c r="BP2" i="11"/>
  <c r="BO1" i="11"/>
  <c r="D67" i="18"/>
  <c r="O66" i="5"/>
  <c r="BP2" i="10" l="1"/>
  <c r="BO1" i="10"/>
  <c r="M65" i="3"/>
  <c r="Q64" i="3"/>
  <c r="F65" i="3"/>
  <c r="J64" i="3"/>
  <c r="BQ2" i="11"/>
  <c r="BP1" i="11"/>
  <c r="D68" i="18"/>
  <c r="O67" i="5"/>
  <c r="C68" i="19"/>
  <c r="B68" i="4"/>
  <c r="BQ2" i="10" l="1"/>
  <c r="BP1" i="10"/>
  <c r="F66" i="3"/>
  <c r="J65" i="3"/>
  <c r="M66" i="3"/>
  <c r="Q65" i="3"/>
  <c r="BQ1" i="11"/>
  <c r="BR2" i="11"/>
  <c r="B69" i="4"/>
  <c r="C69" i="19"/>
  <c r="D69" i="18"/>
  <c r="O68" i="5"/>
  <c r="BR2" i="10" l="1"/>
  <c r="BQ1" i="10"/>
  <c r="M67" i="3"/>
  <c r="Q66" i="3"/>
  <c r="F67" i="3"/>
  <c r="J66" i="3"/>
  <c r="D70" i="18"/>
  <c r="O69" i="5"/>
  <c r="C70" i="19"/>
  <c r="BR1" i="11"/>
  <c r="BS2" i="11"/>
  <c r="B70" i="4"/>
  <c r="BR1" i="10" l="1"/>
  <c r="BS2" i="10"/>
  <c r="F68" i="3"/>
  <c r="J67" i="3"/>
  <c r="M68" i="3"/>
  <c r="Q67" i="3"/>
  <c r="BT2" i="11"/>
  <c r="BS1" i="11"/>
  <c r="D71" i="18"/>
  <c r="O70" i="5"/>
  <c r="B71" i="4"/>
  <c r="C71" i="19"/>
  <c r="BT2" i="10" l="1"/>
  <c r="BS1" i="10"/>
  <c r="M69" i="3"/>
  <c r="Q68" i="3"/>
  <c r="F69" i="3"/>
  <c r="J68" i="3"/>
  <c r="D72" i="18"/>
  <c r="O71" i="5"/>
  <c r="C72" i="19"/>
  <c r="B72" i="4"/>
  <c r="BU2" i="11"/>
  <c r="BT1" i="11"/>
  <c r="BU2" i="10" l="1"/>
  <c r="BT1" i="10"/>
  <c r="F70" i="3"/>
  <c r="J69" i="3"/>
  <c r="M70" i="3"/>
  <c r="Q69" i="3"/>
  <c r="D73" i="18"/>
  <c r="O72" i="5"/>
  <c r="B73" i="4"/>
  <c r="C73" i="19"/>
  <c r="BU1" i="11"/>
  <c r="BV2" i="11"/>
  <c r="BV2" i="10" l="1"/>
  <c r="BU1" i="10"/>
  <c r="M71" i="3"/>
  <c r="Q70" i="3"/>
  <c r="F71" i="3"/>
  <c r="J70" i="3"/>
  <c r="B74" i="4"/>
  <c r="D74" i="18"/>
  <c r="O73" i="5"/>
  <c r="C74" i="19"/>
  <c r="BV1" i="11"/>
  <c r="BW2" i="11"/>
  <c r="BW2" i="10" l="1"/>
  <c r="BV1" i="10"/>
  <c r="F72" i="3"/>
  <c r="J71" i="3"/>
  <c r="M72" i="3"/>
  <c r="Q71" i="3"/>
  <c r="BX2" i="11"/>
  <c r="BW1" i="11"/>
  <c r="B75" i="4"/>
  <c r="C75" i="19"/>
  <c r="D75" i="18"/>
  <c r="O74" i="5"/>
  <c r="BX2" i="10" l="1"/>
  <c r="BW1" i="10"/>
  <c r="M73" i="3"/>
  <c r="Q72" i="3"/>
  <c r="F73" i="3"/>
  <c r="J72" i="3"/>
  <c r="D76" i="18"/>
  <c r="O75" i="5"/>
  <c r="C76" i="19"/>
  <c r="BY2" i="11"/>
  <c r="BX1" i="11"/>
  <c r="B76" i="4"/>
  <c r="BY2" i="10" l="1"/>
  <c r="BX1" i="10"/>
  <c r="F74" i="3"/>
  <c r="J73" i="3"/>
  <c r="M74" i="3"/>
  <c r="Q73" i="3"/>
  <c r="B77" i="4"/>
  <c r="BY1" i="11"/>
  <c r="BZ2" i="11"/>
  <c r="C77" i="19"/>
  <c r="D77" i="18"/>
  <c r="O76" i="5"/>
  <c r="BZ2" i="10" l="1"/>
  <c r="BY1" i="10"/>
  <c r="M75" i="3"/>
  <c r="Q74" i="3"/>
  <c r="F75" i="3"/>
  <c r="J74" i="3"/>
  <c r="B78" i="4"/>
  <c r="D78" i="18"/>
  <c r="O77" i="5"/>
  <c r="C78" i="19"/>
  <c r="BZ1" i="11"/>
  <c r="CA2" i="11"/>
  <c r="BZ1" i="10" l="1"/>
  <c r="CA2" i="10"/>
  <c r="F76" i="3"/>
  <c r="J75" i="3"/>
  <c r="M76" i="3"/>
  <c r="Q75" i="3"/>
  <c r="D79" i="18"/>
  <c r="O78" i="5"/>
  <c r="CB2" i="11"/>
  <c r="CA1" i="11"/>
  <c r="C79" i="19"/>
  <c r="B79" i="4"/>
  <c r="CB2" i="10" l="1"/>
  <c r="CA1" i="10"/>
  <c r="M77" i="3"/>
  <c r="Q76" i="3"/>
  <c r="F77" i="3"/>
  <c r="J76" i="3"/>
  <c r="CC2" i="11"/>
  <c r="CB1" i="11"/>
  <c r="B80" i="4"/>
  <c r="C80" i="19"/>
  <c r="D80" i="18"/>
  <c r="O79" i="5"/>
  <c r="CC2" i="10" l="1"/>
  <c r="CB1" i="10"/>
  <c r="F78" i="3"/>
  <c r="J77" i="3"/>
  <c r="M78" i="3"/>
  <c r="Q77" i="3"/>
  <c r="B81" i="4"/>
  <c r="C81" i="19"/>
  <c r="CC1" i="11"/>
  <c r="CD2" i="11"/>
  <c r="D81" i="18"/>
  <c r="O80" i="5"/>
  <c r="CD2" i="10" l="1"/>
  <c r="CC1" i="10"/>
  <c r="M79" i="3"/>
  <c r="Q78" i="3"/>
  <c r="F79" i="3"/>
  <c r="J78" i="3"/>
  <c r="C82" i="19"/>
  <c r="B82" i="4"/>
  <c r="D82" i="18"/>
  <c r="O81" i="5"/>
  <c r="CD1" i="11"/>
  <c r="CE2" i="11"/>
  <c r="CD1" i="10" l="1"/>
  <c r="CE2" i="10"/>
  <c r="F80" i="3"/>
  <c r="J79" i="3"/>
  <c r="M80" i="3"/>
  <c r="Q79" i="3"/>
  <c r="D83" i="18"/>
  <c r="O82" i="5"/>
  <c r="CF2" i="11"/>
  <c r="CE1" i="11"/>
  <c r="B83" i="4"/>
  <c r="C83" i="19"/>
  <c r="CF2" i="10" l="1"/>
  <c r="CE1" i="10"/>
  <c r="M81" i="3"/>
  <c r="Q80" i="3"/>
  <c r="F81" i="3"/>
  <c r="J80" i="3"/>
  <c r="CG2" i="11"/>
  <c r="CF1" i="11"/>
  <c r="D84" i="18"/>
  <c r="O83" i="5"/>
  <c r="C84" i="19"/>
  <c r="B84" i="4"/>
  <c r="CG2" i="10" l="1"/>
  <c r="CF1" i="10"/>
  <c r="F82" i="3"/>
  <c r="J81" i="3"/>
  <c r="M82" i="3"/>
  <c r="Q81" i="3"/>
  <c r="B85" i="4"/>
  <c r="C85" i="19"/>
  <c r="D85" i="18"/>
  <c r="O84" i="5"/>
  <c r="CG1" i="11"/>
  <c r="CH2" i="11"/>
  <c r="CH2" i="10" l="1"/>
  <c r="CG1" i="10"/>
  <c r="M83" i="3"/>
  <c r="Q82" i="3"/>
  <c r="F83" i="3"/>
  <c r="J82" i="3"/>
  <c r="D86" i="18"/>
  <c r="O85" i="5"/>
  <c r="CH1" i="11"/>
  <c r="CI2" i="11"/>
  <c r="C86" i="19"/>
  <c r="B86" i="4"/>
  <c r="CH1" i="10" l="1"/>
  <c r="CI2" i="10"/>
  <c r="F84" i="3"/>
  <c r="J83" i="3"/>
  <c r="M84" i="3"/>
  <c r="Q83" i="3"/>
  <c r="CJ2" i="11"/>
  <c r="CI1" i="11"/>
  <c r="B87" i="4"/>
  <c r="D87" i="18"/>
  <c r="O86" i="5"/>
  <c r="C87" i="19"/>
  <c r="CJ2" i="10" l="1"/>
  <c r="CI1" i="10"/>
  <c r="M85" i="3"/>
  <c r="Q84" i="3"/>
  <c r="F85" i="3"/>
  <c r="J84" i="3"/>
  <c r="C88" i="19"/>
  <c r="D88" i="18"/>
  <c r="O87" i="5"/>
  <c r="CK2" i="11"/>
  <c r="CJ1" i="11"/>
  <c r="B88" i="4"/>
  <c r="CJ1" i="10" l="1"/>
  <c r="CK2" i="10"/>
  <c r="F86" i="3"/>
  <c r="J85" i="3"/>
  <c r="M86" i="3"/>
  <c r="Q85" i="3"/>
  <c r="D89" i="18"/>
  <c r="O88" i="5"/>
  <c r="CK1" i="11"/>
  <c r="CL2" i="11"/>
  <c r="C89" i="19"/>
  <c r="B89" i="4"/>
  <c r="CL2" i="10" l="1"/>
  <c r="CK1" i="10"/>
  <c r="M87" i="3"/>
  <c r="Q86" i="3"/>
  <c r="F87" i="3"/>
  <c r="J86" i="3"/>
  <c r="B90" i="4"/>
  <c r="CL1" i="11"/>
  <c r="CM2" i="11"/>
  <c r="C90" i="19"/>
  <c r="D90" i="18"/>
  <c r="O89" i="5"/>
  <c r="CM2" i="10" l="1"/>
  <c r="CL1" i="10"/>
  <c r="F88" i="3"/>
  <c r="J87" i="3"/>
  <c r="M88" i="3"/>
  <c r="Q87" i="3"/>
  <c r="B91" i="4"/>
  <c r="D91" i="18"/>
  <c r="O90" i="5"/>
  <c r="C91" i="19"/>
  <c r="CN2" i="11"/>
  <c r="CM1" i="11"/>
  <c r="CN2" i="10" l="1"/>
  <c r="CM1" i="10"/>
  <c r="M89" i="3"/>
  <c r="Q88" i="3"/>
  <c r="F89" i="3"/>
  <c r="J88" i="3"/>
  <c r="CO2" i="11"/>
  <c r="CN1" i="11"/>
  <c r="D92" i="18"/>
  <c r="O91" i="5"/>
  <c r="C92" i="19"/>
  <c r="B92" i="4"/>
  <c r="CO2" i="10" l="1"/>
  <c r="CN1" i="10"/>
  <c r="F90" i="3"/>
  <c r="J89" i="3"/>
  <c r="M90" i="3"/>
  <c r="Q89" i="3"/>
  <c r="CO1" i="11"/>
  <c r="CP2" i="11"/>
  <c r="B93" i="4"/>
  <c r="D93" i="18"/>
  <c r="O92" i="5"/>
  <c r="C93" i="19"/>
  <c r="CP2" i="10" l="1"/>
  <c r="CO1" i="10"/>
  <c r="M91" i="3"/>
  <c r="Q90" i="3"/>
  <c r="F91" i="3"/>
  <c r="J90" i="3"/>
  <c r="C94" i="19"/>
  <c r="D94" i="18"/>
  <c r="O93" i="5"/>
  <c r="CP1" i="11"/>
  <c r="CQ2" i="11"/>
  <c r="B94" i="4"/>
  <c r="CQ2" i="10" l="1"/>
  <c r="CP1" i="10"/>
  <c r="F92" i="3"/>
  <c r="J91" i="3"/>
  <c r="M92" i="3"/>
  <c r="Q91" i="3"/>
  <c r="B95" i="4"/>
  <c r="C95" i="19"/>
  <c r="CR2" i="11"/>
  <c r="CQ1" i="11"/>
  <c r="D95" i="18"/>
  <c r="O94" i="5"/>
  <c r="CQ1" i="10" l="1"/>
  <c r="CR2" i="10"/>
  <c r="M93" i="3"/>
  <c r="Q92" i="3"/>
  <c r="F93" i="3"/>
  <c r="J92" i="3"/>
  <c r="CS2" i="11"/>
  <c r="CR1" i="11"/>
  <c r="B96" i="4"/>
  <c r="D96" i="18"/>
  <c r="O95" i="5"/>
  <c r="C96" i="19"/>
  <c r="CS2" i="10" l="1"/>
  <c r="CR1" i="10"/>
  <c r="F94" i="3"/>
  <c r="J93" i="3"/>
  <c r="M94" i="3"/>
  <c r="Q93" i="3"/>
  <c r="B97" i="4"/>
  <c r="D97" i="18"/>
  <c r="O96" i="5"/>
  <c r="CS1" i="11"/>
  <c r="CT2" i="11"/>
  <c r="C97" i="19"/>
  <c r="CT2" i="10" l="1"/>
  <c r="CS1" i="10"/>
  <c r="M95" i="3"/>
  <c r="Q94" i="3"/>
  <c r="F95" i="3"/>
  <c r="J94" i="3"/>
  <c r="D98" i="18"/>
  <c r="O97" i="5"/>
  <c r="B98" i="4"/>
  <c r="CT1" i="11"/>
  <c r="CU2" i="11"/>
  <c r="C98" i="19"/>
  <c r="CT1" i="10" l="1"/>
  <c r="CU2" i="10"/>
  <c r="F96" i="3"/>
  <c r="J95" i="3"/>
  <c r="M96" i="3"/>
  <c r="Q95" i="3"/>
  <c r="CV2" i="11"/>
  <c r="CU1" i="11"/>
  <c r="B99" i="4"/>
  <c r="C99" i="19"/>
  <c r="D99" i="18"/>
  <c r="O98" i="5"/>
  <c r="CU1" i="10" l="1"/>
  <c r="CV2" i="10"/>
  <c r="M97" i="3"/>
  <c r="Q96" i="3"/>
  <c r="F97" i="3"/>
  <c r="J96" i="3"/>
  <c r="D100" i="18"/>
  <c r="O99" i="5"/>
  <c r="CW2" i="11"/>
  <c r="CV1" i="11"/>
  <c r="C100" i="19"/>
  <c r="B100" i="4"/>
  <c r="CW2" i="10" l="1"/>
  <c r="CV1" i="10"/>
  <c r="F98" i="3"/>
  <c r="J97" i="3"/>
  <c r="M98" i="3"/>
  <c r="Q97" i="3"/>
  <c r="D101" i="18"/>
  <c r="O100" i="5"/>
  <c r="B101" i="4"/>
  <c r="C101" i="19"/>
  <c r="CW1" i="11"/>
  <c r="CX2" i="11"/>
  <c r="CX2" i="10" l="1"/>
  <c r="CW1" i="10"/>
  <c r="M99" i="3"/>
  <c r="Q98" i="3"/>
  <c r="F99" i="3"/>
  <c r="J98" i="3"/>
  <c r="CX1" i="11"/>
  <c r="CY2" i="11"/>
  <c r="C102" i="19"/>
  <c r="D102" i="18"/>
  <c r="O101" i="5"/>
  <c r="B102" i="4"/>
  <c r="CX1" i="10" l="1"/>
  <c r="CY2" i="10"/>
  <c r="F100" i="3"/>
  <c r="J99" i="3"/>
  <c r="M100" i="3"/>
  <c r="Q99" i="3"/>
  <c r="B103" i="4"/>
  <c r="D103" i="18"/>
  <c r="O102" i="5"/>
  <c r="CZ2" i="11"/>
  <c r="CY1" i="11"/>
  <c r="C103" i="19"/>
  <c r="CZ2" i="10" l="1"/>
  <c r="CY1" i="10"/>
  <c r="M101" i="3"/>
  <c r="Q100" i="3"/>
  <c r="F101" i="3"/>
  <c r="J100" i="3"/>
  <c r="B104" i="4"/>
  <c r="DA2" i="11"/>
  <c r="CZ1" i="11"/>
  <c r="D104" i="18"/>
  <c r="O103" i="5"/>
  <c r="C104" i="19"/>
  <c r="DA2" i="10" l="1"/>
  <c r="CZ1" i="10"/>
  <c r="F102" i="3"/>
  <c r="J101" i="3"/>
  <c r="M102" i="3"/>
  <c r="Q101" i="3"/>
  <c r="C105" i="19"/>
  <c r="D105" i="18"/>
  <c r="O104" i="5"/>
  <c r="DA1" i="11"/>
  <c r="DB2" i="11"/>
  <c r="B105" i="4"/>
  <c r="DB2" i="10" l="1"/>
  <c r="DA1" i="10"/>
  <c r="M103" i="3"/>
  <c r="Q102" i="3"/>
  <c r="F103" i="3"/>
  <c r="J102" i="3"/>
  <c r="C106" i="19"/>
  <c r="B106" i="4"/>
  <c r="D106" i="18"/>
  <c r="O105" i="5"/>
  <c r="DB1" i="11"/>
  <c r="DC2" i="11"/>
  <c r="DC2" i="10" l="1"/>
  <c r="DB1" i="10"/>
  <c r="F104" i="3"/>
  <c r="J103" i="3"/>
  <c r="M104" i="3"/>
  <c r="Q103" i="3"/>
  <c r="DD2" i="11"/>
  <c r="DC1" i="11"/>
  <c r="B107" i="4"/>
  <c r="C107" i="19"/>
  <c r="D107" i="18"/>
  <c r="O106" i="5"/>
  <c r="DC1" i="10" l="1"/>
  <c r="DD2" i="10"/>
  <c r="M105" i="3"/>
  <c r="Q104" i="3"/>
  <c r="F105" i="3"/>
  <c r="J104" i="3"/>
  <c r="D108" i="18"/>
  <c r="O107" i="5"/>
  <c r="C108" i="19"/>
  <c r="B108" i="4"/>
  <c r="DE2" i="11"/>
  <c r="DD1" i="11"/>
  <c r="DD1" i="10" l="1"/>
  <c r="DE2" i="10"/>
  <c r="F106" i="3"/>
  <c r="J105" i="3"/>
  <c r="M106" i="3"/>
  <c r="Q105" i="3"/>
  <c r="C109" i="19"/>
  <c r="B109" i="4"/>
  <c r="D109" i="18"/>
  <c r="O108" i="5"/>
  <c r="DE1" i="11"/>
  <c r="DF2" i="11"/>
  <c r="DF2" i="10" l="1"/>
  <c r="DE1" i="10"/>
  <c r="M107" i="3"/>
  <c r="Q106" i="3"/>
  <c r="F107" i="3"/>
  <c r="J106" i="3"/>
  <c r="C110" i="19"/>
  <c r="D110" i="18"/>
  <c r="O109" i="5"/>
  <c r="B110" i="4"/>
  <c r="DF1" i="11"/>
  <c r="DG2" i="11"/>
  <c r="DF1" i="10" l="1"/>
  <c r="DG2" i="10"/>
  <c r="F108" i="3"/>
  <c r="J107" i="3"/>
  <c r="M108" i="3"/>
  <c r="Q107" i="3"/>
  <c r="B111" i="4"/>
  <c r="D111" i="18"/>
  <c r="O110" i="5"/>
  <c r="DH2" i="11"/>
  <c r="DG1" i="11"/>
  <c r="C111" i="19"/>
  <c r="DH2" i="10" l="1"/>
  <c r="DG1" i="10"/>
  <c r="M109" i="3"/>
  <c r="Q108" i="3"/>
  <c r="F109" i="3"/>
  <c r="J108" i="3"/>
  <c r="B112" i="4"/>
  <c r="C112" i="19"/>
  <c r="DI2" i="11"/>
  <c r="DH1" i="11"/>
  <c r="D112" i="18"/>
  <c r="O111" i="5"/>
  <c r="DH1" i="10" l="1"/>
  <c r="DI2" i="10"/>
  <c r="F110" i="3"/>
  <c r="J109" i="3"/>
  <c r="M110" i="3"/>
  <c r="Q109" i="3"/>
  <c r="DI1" i="11"/>
  <c r="DJ2" i="11"/>
  <c r="D113" i="18"/>
  <c r="O112" i="5"/>
  <c r="C113" i="19"/>
  <c r="B113" i="4"/>
  <c r="DJ2" i="10" l="1"/>
  <c r="DI1" i="10"/>
  <c r="M111" i="3"/>
  <c r="Q110" i="3"/>
  <c r="F111" i="3"/>
  <c r="J110" i="3"/>
  <c r="B114" i="4"/>
  <c r="C114" i="19"/>
  <c r="D114" i="18"/>
  <c r="O113" i="5"/>
  <c r="DJ1" i="11"/>
  <c r="DK2" i="11"/>
  <c r="DK2" i="10" l="1"/>
  <c r="DJ1" i="10"/>
  <c r="F112" i="3"/>
  <c r="J111" i="3"/>
  <c r="M112" i="3"/>
  <c r="Q111" i="3"/>
  <c r="DL2" i="11"/>
  <c r="DK1" i="11"/>
  <c r="D115" i="18"/>
  <c r="O114" i="5"/>
  <c r="C115" i="19"/>
  <c r="B115" i="4"/>
  <c r="DK1" i="10" l="1"/>
  <c r="DL2" i="10"/>
  <c r="M113" i="3"/>
  <c r="Q112" i="3"/>
  <c r="F113" i="3"/>
  <c r="J112" i="3"/>
  <c r="C116" i="19"/>
  <c r="DM2" i="11"/>
  <c r="DL1" i="11"/>
  <c r="B116" i="4"/>
  <c r="D116" i="18"/>
  <c r="O115" i="5"/>
  <c r="DM2" i="10" l="1"/>
  <c r="DL1" i="10"/>
  <c r="F114" i="3"/>
  <c r="J113" i="3"/>
  <c r="M114" i="3"/>
  <c r="Q113" i="3"/>
  <c r="D117" i="18"/>
  <c r="O116" i="5"/>
  <c r="DM1" i="11"/>
  <c r="DN2" i="11"/>
  <c r="C117" i="19"/>
  <c r="B117" i="4"/>
  <c r="DN2" i="10" l="1"/>
  <c r="DM1" i="10"/>
  <c r="M115" i="3"/>
  <c r="Q114" i="3"/>
  <c r="F115" i="3"/>
  <c r="J114" i="3"/>
  <c r="B118" i="4"/>
  <c r="C118" i="19"/>
  <c r="DN1" i="11"/>
  <c r="DO2" i="11"/>
  <c r="D118" i="18"/>
  <c r="O117" i="5"/>
  <c r="DO2" i="10" l="1"/>
  <c r="DN1" i="10"/>
  <c r="F116" i="3"/>
  <c r="J115" i="3"/>
  <c r="M116" i="3"/>
  <c r="Q115" i="3"/>
  <c r="C119" i="19"/>
  <c r="DP2" i="11"/>
  <c r="DO1" i="11"/>
  <c r="B119" i="4"/>
  <c r="D119" i="18"/>
  <c r="O118" i="5"/>
  <c r="DO1" i="10" l="1"/>
  <c r="DP2" i="10"/>
  <c r="M117" i="3"/>
  <c r="Q116" i="3"/>
  <c r="F117" i="3"/>
  <c r="J116" i="3"/>
  <c r="D120" i="18"/>
  <c r="O119" i="5"/>
  <c r="B120" i="4"/>
  <c r="DQ2" i="11"/>
  <c r="DP1" i="11"/>
  <c r="C120" i="19"/>
  <c r="DP1" i="10" l="1"/>
  <c r="DQ2" i="10"/>
  <c r="F118" i="3"/>
  <c r="J117" i="3"/>
  <c r="M118" i="3"/>
  <c r="Q117" i="3"/>
  <c r="B121" i="4"/>
  <c r="C121" i="19"/>
  <c r="DQ1" i="11"/>
  <c r="DR2" i="11"/>
  <c r="D121" i="18"/>
  <c r="O120" i="5"/>
  <c r="DR2" i="10" l="1"/>
  <c r="DQ1" i="10"/>
  <c r="M119" i="3"/>
  <c r="Q118" i="3"/>
  <c r="F119" i="3"/>
  <c r="J118" i="3"/>
  <c r="C122" i="19"/>
  <c r="B122" i="4"/>
  <c r="D122" i="18"/>
  <c r="O121" i="5"/>
  <c r="DR1" i="11"/>
  <c r="DS2" i="11"/>
  <c r="DR1" i="10" l="1"/>
  <c r="DS2" i="10"/>
  <c r="F120" i="3"/>
  <c r="J119" i="3"/>
  <c r="M120" i="3"/>
  <c r="Q119" i="3"/>
  <c r="DT2" i="11"/>
  <c r="DS1" i="11"/>
  <c r="C123" i="19"/>
  <c r="D123" i="18"/>
  <c r="O122" i="5"/>
  <c r="B123" i="4"/>
  <c r="DT2" i="10" l="1"/>
  <c r="DS1" i="10"/>
  <c r="M121" i="3"/>
  <c r="Q120" i="3"/>
  <c r="F121" i="3"/>
  <c r="J120" i="3"/>
  <c r="B124" i="4"/>
  <c r="D124" i="18"/>
  <c r="O123" i="5"/>
  <c r="C124" i="19"/>
  <c r="DU2" i="11"/>
  <c r="DT1" i="11"/>
  <c r="DU2" i="10" l="1"/>
  <c r="DT1" i="10"/>
  <c r="F122" i="3"/>
  <c r="J121" i="3"/>
  <c r="M122" i="3"/>
  <c r="Q121" i="3"/>
  <c r="B125" i="4"/>
  <c r="D125" i="18"/>
  <c r="O124" i="5"/>
  <c r="C125" i="19"/>
  <c r="DU1" i="11"/>
  <c r="DV2" i="11"/>
  <c r="DV2" i="10" l="1"/>
  <c r="DU1" i="10"/>
  <c r="M123" i="3"/>
  <c r="Q122" i="3"/>
  <c r="F123" i="3"/>
  <c r="J122" i="3"/>
  <c r="B126" i="4"/>
  <c r="D126" i="18"/>
  <c r="O125" i="5"/>
  <c r="C126" i="19"/>
  <c r="DV1" i="11"/>
  <c r="DW2" i="11"/>
  <c r="DW2" i="10" l="1"/>
  <c r="DV1" i="10"/>
  <c r="F124" i="3"/>
  <c r="J123" i="3"/>
  <c r="M124" i="3"/>
  <c r="Q123" i="3"/>
  <c r="C127" i="19"/>
  <c r="DX2" i="11"/>
  <c r="DW1" i="11"/>
  <c r="D127" i="18"/>
  <c r="O126" i="5"/>
  <c r="B127" i="4"/>
  <c r="DX2" i="10" l="1"/>
  <c r="DW1" i="10"/>
  <c r="M125" i="3"/>
  <c r="Q124" i="3"/>
  <c r="F125" i="3"/>
  <c r="J124" i="3"/>
  <c r="B128" i="4"/>
  <c r="D128" i="18"/>
  <c r="O127" i="5"/>
  <c r="C128" i="19"/>
  <c r="DY2" i="11"/>
  <c r="DX1" i="11"/>
  <c r="DX1" i="10" l="1"/>
  <c r="DY2" i="10"/>
  <c r="F126" i="3"/>
  <c r="J125" i="3"/>
  <c r="M126" i="3"/>
  <c r="Q125" i="3"/>
  <c r="B129" i="4"/>
  <c r="DY1" i="11"/>
  <c r="DZ2" i="11"/>
  <c r="C129" i="19"/>
  <c r="D129" i="18"/>
  <c r="O128" i="5"/>
  <c r="DY1" i="10" l="1"/>
  <c r="DZ2" i="10"/>
  <c r="M127" i="3"/>
  <c r="Q126" i="3"/>
  <c r="F127" i="3"/>
  <c r="J126" i="3"/>
  <c r="C130" i="19"/>
  <c r="DZ1" i="11"/>
  <c r="EA2" i="11"/>
  <c r="D130" i="18"/>
  <c r="O129" i="5"/>
  <c r="B130" i="4"/>
  <c r="DZ1" i="10" l="1"/>
  <c r="EA2" i="10"/>
  <c r="F128" i="3"/>
  <c r="J127" i="3"/>
  <c r="M128" i="3"/>
  <c r="Q127" i="3"/>
  <c r="D131" i="18"/>
  <c r="O130" i="5"/>
  <c r="EB2" i="11"/>
  <c r="EA1" i="11"/>
  <c r="B131" i="4"/>
  <c r="C131" i="19"/>
  <c r="EB2" i="10" l="1"/>
  <c r="EA1" i="10"/>
  <c r="M129" i="3"/>
  <c r="Q128" i="3"/>
  <c r="F129" i="3"/>
  <c r="J128" i="3"/>
  <c r="EC2" i="11"/>
  <c r="EB1" i="11"/>
  <c r="D132" i="18"/>
  <c r="O131" i="5"/>
  <c r="B132" i="4"/>
  <c r="C132" i="19"/>
  <c r="EB1" i="10" l="1"/>
  <c r="EC2" i="10"/>
  <c r="F130" i="3"/>
  <c r="J129" i="3"/>
  <c r="M130" i="3"/>
  <c r="Q129" i="3"/>
  <c r="EC1" i="11"/>
  <c r="ED2" i="11"/>
  <c r="B133" i="4"/>
  <c r="C133" i="19"/>
  <c r="D133" i="18"/>
  <c r="O132" i="5"/>
  <c r="EC1" i="10" l="1"/>
  <c r="ED2" i="10"/>
  <c r="M131" i="3"/>
  <c r="Q130" i="3"/>
  <c r="F131" i="3"/>
  <c r="J130" i="3"/>
  <c r="D134" i="18"/>
  <c r="O133" i="5"/>
  <c r="C134" i="19"/>
  <c r="B134" i="4"/>
  <c r="ED1" i="11"/>
  <c r="EE2" i="11"/>
  <c r="ED1" i="10" l="1"/>
  <c r="EE2" i="10"/>
  <c r="F132" i="3"/>
  <c r="J131" i="3"/>
  <c r="M132" i="3"/>
  <c r="Q131" i="3"/>
  <c r="D135" i="18"/>
  <c r="O134" i="5"/>
  <c r="B135" i="4"/>
  <c r="EF2" i="11"/>
  <c r="EE1" i="11"/>
  <c r="C135" i="19"/>
  <c r="EF2" i="10" l="1"/>
  <c r="EE1" i="10"/>
  <c r="M133" i="3"/>
  <c r="Q132" i="3"/>
  <c r="F133" i="3"/>
  <c r="J132" i="3"/>
  <c r="C136" i="19"/>
  <c r="EG2" i="11"/>
  <c r="EF1" i="11"/>
  <c r="D136" i="18"/>
  <c r="O135" i="5"/>
  <c r="B136" i="4"/>
  <c r="EG2" i="10" l="1"/>
  <c r="EF1" i="10"/>
  <c r="F134" i="3"/>
  <c r="J133" i="3"/>
  <c r="M134" i="3"/>
  <c r="Q133" i="3"/>
  <c r="B137" i="4"/>
  <c r="EG1" i="11"/>
  <c r="EH2" i="11"/>
  <c r="C137" i="19"/>
  <c r="D137" i="18"/>
  <c r="O136" i="5"/>
  <c r="EG1" i="10" l="1"/>
  <c r="EH2" i="10"/>
  <c r="M135" i="3"/>
  <c r="Q134" i="3"/>
  <c r="F135" i="3"/>
  <c r="J134" i="3"/>
  <c r="EH1" i="11"/>
  <c r="EI2" i="11"/>
  <c r="D138" i="18"/>
  <c r="O137" i="5"/>
  <c r="B138" i="4"/>
  <c r="C138" i="19"/>
  <c r="EH1" i="10" l="1"/>
  <c r="EI2" i="10"/>
  <c r="F136" i="3"/>
  <c r="J135" i="3"/>
  <c r="M136" i="3"/>
  <c r="Q135" i="3"/>
  <c r="B139" i="4"/>
  <c r="D139" i="18"/>
  <c r="O138" i="5"/>
  <c r="EJ2" i="11"/>
  <c r="EI1" i="11"/>
  <c r="C139" i="19"/>
  <c r="EJ2" i="10" l="1"/>
  <c r="EI1" i="10"/>
  <c r="M137" i="3"/>
  <c r="Q136" i="3"/>
  <c r="F137" i="3"/>
  <c r="J136" i="3"/>
  <c r="D140" i="18"/>
  <c r="O139" i="5"/>
  <c r="C140" i="19"/>
  <c r="EK2" i="11"/>
  <c r="EJ1" i="11"/>
  <c r="B140" i="4"/>
  <c r="EK2" i="10" l="1"/>
  <c r="EJ1" i="10"/>
  <c r="F138" i="3"/>
  <c r="J137" i="3"/>
  <c r="M138" i="3"/>
  <c r="Q137" i="3"/>
  <c r="EK1" i="11"/>
  <c r="EL2" i="11"/>
  <c r="D141" i="18"/>
  <c r="O140" i="5"/>
  <c r="B141" i="4"/>
  <c r="C141" i="19"/>
  <c r="EL2" i="10" l="1"/>
  <c r="EK1" i="10"/>
  <c r="M139" i="3"/>
  <c r="Q138" i="3"/>
  <c r="F139" i="3"/>
  <c r="J138" i="3"/>
  <c r="D142" i="18"/>
  <c r="O141" i="5"/>
  <c r="C142" i="19"/>
  <c r="EL1" i="11"/>
  <c r="EM2" i="11"/>
  <c r="B142" i="4"/>
  <c r="EM2" i="10" l="1"/>
  <c r="EL1" i="10"/>
  <c r="F140" i="3"/>
  <c r="J139" i="3"/>
  <c r="M140" i="3"/>
  <c r="Q139" i="3"/>
  <c r="B143" i="4"/>
  <c r="EN2" i="11"/>
  <c r="EM1" i="11"/>
  <c r="C143" i="19"/>
  <c r="D143" i="18"/>
  <c r="O142" i="5"/>
  <c r="EN2" i="10" l="1"/>
  <c r="EM1" i="10"/>
  <c r="M141" i="3"/>
  <c r="Q140" i="3"/>
  <c r="F141" i="3"/>
  <c r="J140" i="3"/>
  <c r="B144" i="4"/>
  <c r="EO2" i="11"/>
  <c r="EN1" i="11"/>
  <c r="D144" i="18"/>
  <c r="O143" i="5"/>
  <c r="C144" i="19"/>
  <c r="EN1" i="10" l="1"/>
  <c r="EO2" i="10"/>
  <c r="F142" i="3"/>
  <c r="J141" i="3"/>
  <c r="M142" i="3"/>
  <c r="Q141" i="3"/>
  <c r="C145" i="19"/>
  <c r="D145" i="18"/>
  <c r="O144" i="5"/>
  <c r="EO1" i="11"/>
  <c r="EP2" i="11"/>
  <c r="B145" i="4"/>
  <c r="EO1" i="10" l="1"/>
  <c r="EP2" i="10"/>
  <c r="M143" i="3"/>
  <c r="Q142" i="3"/>
  <c r="F143" i="3"/>
  <c r="J142" i="3"/>
  <c r="B146" i="4"/>
  <c r="EP1" i="11"/>
  <c r="EQ2" i="11"/>
  <c r="D146" i="18"/>
  <c r="O145" i="5"/>
  <c r="C146" i="19"/>
  <c r="EP1" i="10" l="1"/>
  <c r="EQ2" i="10"/>
  <c r="F144" i="3"/>
  <c r="J143" i="3"/>
  <c r="M144" i="3"/>
  <c r="Q143" i="3"/>
  <c r="ER2" i="11"/>
  <c r="EQ1" i="11"/>
  <c r="C147" i="19"/>
  <c r="B147" i="4"/>
  <c r="D147" i="18"/>
  <c r="O146" i="5"/>
  <c r="ER2" i="10" l="1"/>
  <c r="EQ1" i="10"/>
  <c r="M145" i="3"/>
  <c r="Q144" i="3"/>
  <c r="F145" i="3"/>
  <c r="J144" i="3"/>
  <c r="B148" i="4"/>
  <c r="ES2" i="11"/>
  <c r="ER1" i="11"/>
  <c r="D148" i="18"/>
  <c r="O147" i="5"/>
  <c r="C148" i="19"/>
  <c r="ES2" i="10" l="1"/>
  <c r="ER1" i="10"/>
  <c r="F146" i="3"/>
  <c r="J145" i="3"/>
  <c r="M146" i="3"/>
  <c r="Q145" i="3"/>
  <c r="ES1" i="11"/>
  <c r="ET2" i="11"/>
  <c r="B149" i="4"/>
  <c r="D149" i="18"/>
  <c r="O148" i="5"/>
  <c r="C149" i="19"/>
  <c r="ET2" i="10" l="1"/>
  <c r="ES1" i="10"/>
  <c r="M147" i="3"/>
  <c r="Q146" i="3"/>
  <c r="F147" i="3"/>
  <c r="J146" i="3"/>
  <c r="B150" i="4"/>
  <c r="ET1" i="11"/>
  <c r="EU2" i="11"/>
  <c r="C150" i="19"/>
  <c r="D150" i="18"/>
  <c r="O149" i="5"/>
  <c r="EU2" i="10" l="1"/>
  <c r="ET1" i="10"/>
  <c r="F148" i="3"/>
  <c r="J147" i="3"/>
  <c r="M148" i="3"/>
  <c r="Q147" i="3"/>
  <c r="C151" i="19"/>
  <c r="B151" i="4"/>
  <c r="D151" i="18"/>
  <c r="O150" i="5"/>
  <c r="EV2" i="11"/>
  <c r="EU1" i="11"/>
  <c r="EU1" i="10" l="1"/>
  <c r="EV2" i="10"/>
  <c r="M149" i="3"/>
  <c r="Q148" i="3"/>
  <c r="F149" i="3"/>
  <c r="J148" i="3"/>
  <c r="EW2" i="11"/>
  <c r="EV1" i="11"/>
  <c r="D152" i="18"/>
  <c r="O151" i="5"/>
  <c r="C152" i="19"/>
  <c r="B152" i="4"/>
  <c r="EV1" i="10" l="1"/>
  <c r="EW2" i="10"/>
  <c r="F150" i="3"/>
  <c r="J149" i="3"/>
  <c r="M150" i="3"/>
  <c r="Q149" i="3"/>
  <c r="B153" i="4"/>
  <c r="C153" i="19"/>
  <c r="EW1" i="11"/>
  <c r="EX2" i="11"/>
  <c r="D153" i="18"/>
  <c r="O152" i="5"/>
  <c r="EX2" i="10" l="1"/>
  <c r="EW1" i="10"/>
  <c r="M151" i="3"/>
  <c r="Q150" i="3"/>
  <c r="F151" i="3"/>
  <c r="J150" i="3"/>
  <c r="EX1" i="11"/>
  <c r="EY2" i="11"/>
  <c r="C154" i="19"/>
  <c r="B154" i="4"/>
  <c r="D154" i="18"/>
  <c r="O153" i="5"/>
  <c r="EX1" i="10" l="1"/>
  <c r="EY2" i="10"/>
  <c r="F152" i="3"/>
  <c r="J151" i="3"/>
  <c r="M152" i="3"/>
  <c r="Q151" i="3"/>
  <c r="D155" i="18"/>
  <c r="O154" i="5"/>
  <c r="C155" i="19"/>
  <c r="EZ2" i="11"/>
  <c r="EY1" i="11"/>
  <c r="B155" i="4"/>
  <c r="EY1" i="10" l="1"/>
  <c r="EZ2" i="10"/>
  <c r="M153" i="3"/>
  <c r="Q152" i="3"/>
  <c r="F153" i="3"/>
  <c r="J152" i="3"/>
  <c r="FA2" i="11"/>
  <c r="EZ1" i="11"/>
  <c r="C156" i="19"/>
  <c r="D156" i="18"/>
  <c r="O155" i="5"/>
  <c r="B156" i="4"/>
  <c r="FA2" i="10" l="1"/>
  <c r="EZ1" i="10"/>
  <c r="F154" i="3"/>
  <c r="J153" i="3"/>
  <c r="M154" i="3"/>
  <c r="Q153" i="3"/>
  <c r="D157" i="18"/>
  <c r="O156" i="5"/>
  <c r="B157" i="4"/>
  <c r="C157" i="19"/>
  <c r="FA1" i="11"/>
  <c r="FB2" i="11"/>
  <c r="FA1" i="10" l="1"/>
  <c r="FB2" i="10"/>
  <c r="M155" i="3"/>
  <c r="Q154" i="3"/>
  <c r="F155" i="3"/>
  <c r="J154" i="3"/>
  <c r="C158" i="19"/>
  <c r="B158" i="4"/>
  <c r="FB1" i="11"/>
  <c r="FC2" i="11"/>
  <c r="D158" i="18"/>
  <c r="O157" i="5"/>
  <c r="FB1" i="10" l="1"/>
  <c r="FC2" i="10"/>
  <c r="F156" i="3"/>
  <c r="J155" i="3"/>
  <c r="M156" i="3"/>
  <c r="Q155" i="3"/>
  <c r="D159" i="18"/>
  <c r="O158" i="5"/>
  <c r="FD2" i="11"/>
  <c r="FC1" i="11"/>
  <c r="B159" i="4"/>
  <c r="C159" i="19"/>
  <c r="FD2" i="10" l="1"/>
  <c r="FC1" i="10"/>
  <c r="M157" i="3"/>
  <c r="Q156" i="3"/>
  <c r="F157" i="3"/>
  <c r="J156" i="3"/>
  <c r="B160" i="4"/>
  <c r="FE2" i="11"/>
  <c r="FD1" i="11"/>
  <c r="D160" i="18"/>
  <c r="O159" i="5"/>
  <c r="C160" i="19"/>
  <c r="FE2" i="10" l="1"/>
  <c r="FD1" i="10"/>
  <c r="F158" i="3"/>
  <c r="J157" i="3"/>
  <c r="M158" i="3"/>
  <c r="Q157" i="3"/>
  <c r="C161" i="19"/>
  <c r="FE1" i="11"/>
  <c r="FF2" i="11"/>
  <c r="D161" i="18"/>
  <c r="O160" i="5"/>
  <c r="B161" i="4"/>
  <c r="FF2" i="10" l="1"/>
  <c r="FE1" i="10"/>
  <c r="M159" i="3"/>
  <c r="Q158" i="3"/>
  <c r="F159" i="3"/>
  <c r="J158" i="3"/>
  <c r="B162" i="4"/>
  <c r="D162" i="18"/>
  <c r="O161" i="5"/>
  <c r="C162" i="19"/>
  <c r="FF1" i="11"/>
  <c r="FG2" i="11"/>
  <c r="FF1" i="10" l="1"/>
  <c r="FG2" i="10"/>
  <c r="F160" i="3"/>
  <c r="J159" i="3"/>
  <c r="M160" i="3"/>
  <c r="Q159" i="3"/>
  <c r="D163" i="18"/>
  <c r="O162" i="5"/>
  <c r="FH2" i="11"/>
  <c r="FG1" i="11"/>
  <c r="C163" i="19"/>
  <c r="B163" i="4"/>
  <c r="FH2" i="10" l="1"/>
  <c r="FG1" i="10"/>
  <c r="M161" i="3"/>
  <c r="Q160" i="3"/>
  <c r="F161" i="3"/>
  <c r="J160" i="3"/>
  <c r="B164" i="4"/>
  <c r="C164" i="19"/>
  <c r="FI2" i="11"/>
  <c r="FH1" i="11"/>
  <c r="D164" i="18"/>
  <c r="O163" i="5"/>
  <c r="FI2" i="10" l="1"/>
  <c r="FH1" i="10"/>
  <c r="F162" i="3"/>
  <c r="J161" i="3"/>
  <c r="M162" i="3"/>
  <c r="Q161" i="3"/>
  <c r="D165" i="18"/>
  <c r="O164" i="5"/>
  <c r="B165" i="4"/>
  <c r="FI1" i="11"/>
  <c r="FJ2" i="11"/>
  <c r="C165" i="19"/>
  <c r="FI1" i="10" l="1"/>
  <c r="FJ2" i="10"/>
  <c r="M163" i="3"/>
  <c r="Q162" i="3"/>
  <c r="F163" i="3"/>
  <c r="J162" i="3"/>
  <c r="D166" i="18"/>
  <c r="O165" i="5"/>
  <c r="C166" i="19"/>
  <c r="FJ1" i="11"/>
  <c r="FK2" i="11"/>
  <c r="B166" i="4"/>
  <c r="FJ1" i="10" l="1"/>
  <c r="FK2" i="10"/>
  <c r="F164" i="3"/>
  <c r="J163" i="3"/>
  <c r="M164" i="3"/>
  <c r="Q163" i="3"/>
  <c r="B167" i="4"/>
  <c r="FL2" i="11"/>
  <c r="FK1" i="11"/>
  <c r="C167" i="19"/>
  <c r="D167" i="18"/>
  <c r="O166" i="5"/>
  <c r="FL2" i="10" l="1"/>
  <c r="FK1" i="10"/>
  <c r="M165" i="3"/>
  <c r="Q164" i="3"/>
  <c r="F165" i="3"/>
  <c r="J164" i="3"/>
  <c r="B168" i="4"/>
  <c r="D168" i="18"/>
  <c r="O167" i="5"/>
  <c r="C168" i="19"/>
  <c r="FM2" i="11"/>
  <c r="FL1" i="11"/>
  <c r="FM2" i="10" l="1"/>
  <c r="FL1" i="10"/>
  <c r="F166" i="3"/>
  <c r="J165" i="3"/>
  <c r="M166" i="3"/>
  <c r="Q165" i="3"/>
  <c r="B169" i="4"/>
  <c r="D169" i="18"/>
  <c r="O168" i="5"/>
  <c r="FM1" i="11"/>
  <c r="FN2" i="11"/>
  <c r="C169" i="19"/>
  <c r="FM1" i="10" l="1"/>
  <c r="FN2" i="10"/>
  <c r="M167" i="3"/>
  <c r="Q166" i="3"/>
  <c r="F167" i="3"/>
  <c r="J166" i="3"/>
  <c r="C170" i="19"/>
  <c r="D170" i="18"/>
  <c r="O169" i="5"/>
  <c r="FN1" i="11"/>
  <c r="FO2" i="11"/>
  <c r="B170" i="4"/>
  <c r="FN1" i="10" l="1"/>
  <c r="FO2" i="10"/>
  <c r="F168" i="3"/>
  <c r="J167" i="3"/>
  <c r="M168" i="3"/>
  <c r="Q167" i="3"/>
  <c r="D171" i="18"/>
  <c r="O170" i="5"/>
  <c r="C171" i="19"/>
  <c r="FP2" i="11"/>
  <c r="FO1" i="11"/>
  <c r="B171" i="4"/>
  <c r="FP2" i="10" l="1"/>
  <c r="FO1" i="10"/>
  <c r="M169" i="3"/>
  <c r="Q168" i="3"/>
  <c r="F169" i="3"/>
  <c r="J168" i="3"/>
  <c r="FQ2" i="11"/>
  <c r="FP1" i="11"/>
  <c r="C172" i="19"/>
  <c r="B172" i="4"/>
  <c r="D172" i="18"/>
  <c r="O171" i="5"/>
  <c r="FQ2" i="10" l="1"/>
  <c r="FP1" i="10"/>
  <c r="F170" i="3"/>
  <c r="J169" i="3"/>
  <c r="M170" i="3"/>
  <c r="Q169" i="3"/>
  <c r="B173" i="4"/>
  <c r="FQ1" i="11"/>
  <c r="FR2" i="11"/>
  <c r="C173" i="19"/>
  <c r="D173" i="18"/>
  <c r="O172" i="5"/>
  <c r="FR2" i="10" l="1"/>
  <c r="FQ1" i="10"/>
  <c r="M171" i="3"/>
  <c r="Q170" i="3"/>
  <c r="F171" i="3"/>
  <c r="J170" i="3"/>
  <c r="C174" i="19"/>
  <c r="FR1" i="11"/>
  <c r="FS2" i="11"/>
  <c r="D174" i="18"/>
  <c r="O173" i="5"/>
  <c r="B174" i="4"/>
  <c r="FS2" i="10" l="1"/>
  <c r="FR1" i="10"/>
  <c r="F172" i="3"/>
  <c r="J171" i="3"/>
  <c r="M172" i="3"/>
  <c r="Q171" i="3"/>
  <c r="C175" i="19"/>
  <c r="B175" i="4"/>
  <c r="D175" i="18"/>
  <c r="O174" i="5"/>
  <c r="FT2" i="11"/>
  <c r="FS1" i="11"/>
  <c r="FT2" i="10" l="1"/>
  <c r="FS1" i="10"/>
  <c r="M173" i="3"/>
  <c r="Q172" i="3"/>
  <c r="F173" i="3"/>
  <c r="J172" i="3"/>
  <c r="B176" i="4"/>
  <c r="FU2" i="11"/>
  <c r="FT1" i="11"/>
  <c r="C176" i="19"/>
  <c r="D176" i="18"/>
  <c r="O175" i="5"/>
  <c r="FU2" i="10" l="1"/>
  <c r="FT1" i="10"/>
  <c r="F174" i="3"/>
  <c r="J173" i="3"/>
  <c r="M174" i="3"/>
  <c r="Q173" i="3"/>
  <c r="FU1" i="11"/>
  <c r="FV2" i="11"/>
  <c r="D177" i="18"/>
  <c r="O176" i="5"/>
  <c r="C177" i="19"/>
  <c r="B177" i="4"/>
  <c r="FV2" i="10" l="1"/>
  <c r="FU1" i="10"/>
  <c r="M175" i="3"/>
  <c r="Q174" i="3"/>
  <c r="F175" i="3"/>
  <c r="J174" i="3"/>
  <c r="B178" i="4"/>
  <c r="C178" i="19"/>
  <c r="FV1" i="11"/>
  <c r="FW2" i="11"/>
  <c r="D178" i="18"/>
  <c r="O177" i="5"/>
  <c r="FV1" i="10" l="1"/>
  <c r="FW2" i="10"/>
  <c r="F176" i="3"/>
  <c r="J175" i="3"/>
  <c r="M176" i="3"/>
  <c r="Q175" i="3"/>
  <c r="D179" i="18"/>
  <c r="O178" i="5"/>
  <c r="FX2" i="11"/>
  <c r="FW1" i="11"/>
  <c r="C179" i="19"/>
  <c r="B179" i="4"/>
  <c r="FX2" i="10" l="1"/>
  <c r="FW1" i="10"/>
  <c r="M177" i="3"/>
  <c r="Q176" i="3"/>
  <c r="F177" i="3"/>
  <c r="J176" i="3"/>
  <c r="C180" i="19"/>
  <c r="D180" i="18"/>
  <c r="O179" i="5"/>
  <c r="B180" i="4"/>
  <c r="FY2" i="11"/>
  <c r="FX1" i="11"/>
  <c r="FX1" i="10" l="1"/>
  <c r="FY2" i="10"/>
  <c r="F178" i="3"/>
  <c r="J177" i="3"/>
  <c r="M178" i="3"/>
  <c r="Q177" i="3"/>
  <c r="C181" i="19"/>
  <c r="FY1" i="11"/>
  <c r="FZ2" i="11"/>
  <c r="B181" i="4"/>
  <c r="D181" i="18"/>
  <c r="O180" i="5"/>
  <c r="FZ2" i="10" l="1"/>
  <c r="FY1" i="10"/>
  <c r="M179" i="3"/>
  <c r="Q178" i="3"/>
  <c r="F179" i="3"/>
  <c r="J178" i="3"/>
  <c r="D182" i="18"/>
  <c r="O181" i="5"/>
  <c r="FZ1" i="11"/>
  <c r="GA2" i="11"/>
  <c r="B182" i="4"/>
  <c r="C182" i="19"/>
  <c r="FZ1" i="10" l="1"/>
  <c r="GA2" i="10"/>
  <c r="F180" i="3"/>
  <c r="J179" i="3"/>
  <c r="M180" i="3"/>
  <c r="Q179" i="3"/>
  <c r="B183" i="4"/>
  <c r="C183" i="19"/>
  <c r="D183" i="18"/>
  <c r="O182" i="5"/>
  <c r="GB2" i="11"/>
  <c r="GA1" i="11"/>
  <c r="GB2" i="10" l="1"/>
  <c r="GA1" i="10"/>
  <c r="M181" i="3"/>
  <c r="Q180" i="3"/>
  <c r="F181" i="3"/>
  <c r="J180" i="3"/>
  <c r="D184" i="18"/>
  <c r="O183" i="5"/>
  <c r="GC2" i="11"/>
  <c r="GB1" i="11"/>
  <c r="C184" i="19"/>
  <c r="B184" i="4"/>
  <c r="GC2" i="10" l="1"/>
  <c r="GB1" i="10"/>
  <c r="F182" i="3"/>
  <c r="J181" i="3"/>
  <c r="M182" i="3"/>
  <c r="Q181" i="3"/>
  <c r="D185" i="18"/>
  <c r="O184" i="5"/>
  <c r="B185" i="4"/>
  <c r="C185" i="19"/>
  <c r="GC1" i="11"/>
  <c r="GD2" i="11"/>
  <c r="GD2" i="10" l="1"/>
  <c r="GC1" i="10"/>
  <c r="M183" i="3"/>
  <c r="Q182" i="3"/>
  <c r="F183" i="3"/>
  <c r="J182" i="3"/>
  <c r="GD1" i="11"/>
  <c r="GE2" i="11"/>
  <c r="B186" i="4"/>
  <c r="C186" i="19"/>
  <c r="D186" i="18"/>
  <c r="O185" i="5"/>
  <c r="GE2" i="10" l="1"/>
  <c r="GD1" i="10"/>
  <c r="F184" i="3"/>
  <c r="J183" i="3"/>
  <c r="M184" i="3"/>
  <c r="Q183" i="3"/>
  <c r="D187" i="18"/>
  <c r="O186" i="5"/>
  <c r="GF2" i="11"/>
  <c r="GE1" i="11"/>
  <c r="C187" i="19"/>
  <c r="B187" i="4"/>
  <c r="GF2" i="10" l="1"/>
  <c r="GE1" i="10"/>
  <c r="M185" i="3"/>
  <c r="Q184" i="3"/>
  <c r="F185" i="3"/>
  <c r="J184" i="3"/>
  <c r="B188" i="4"/>
  <c r="GG2" i="11"/>
  <c r="GF1" i="11"/>
  <c r="D188" i="18"/>
  <c r="O187" i="5"/>
  <c r="C188" i="19"/>
  <c r="GF1" i="10" l="1"/>
  <c r="GG2" i="10"/>
  <c r="F186" i="3"/>
  <c r="J185" i="3"/>
  <c r="M186" i="3"/>
  <c r="Q185" i="3"/>
  <c r="GG1" i="11"/>
  <c r="GH2" i="11"/>
  <c r="C189" i="19"/>
  <c r="D189" i="18"/>
  <c r="O188" i="5"/>
  <c r="B189" i="4"/>
  <c r="GH2" i="10" l="1"/>
  <c r="GG1" i="10"/>
  <c r="M187" i="3"/>
  <c r="Q186" i="3"/>
  <c r="F187" i="3"/>
  <c r="J186" i="3"/>
  <c r="B190" i="4"/>
  <c r="GH1" i="11"/>
  <c r="GI2" i="11"/>
  <c r="D190" i="18"/>
  <c r="O189" i="5"/>
  <c r="C190" i="19"/>
  <c r="GI2" i="10" l="1"/>
  <c r="GH1" i="10"/>
  <c r="F188" i="3"/>
  <c r="J187" i="3"/>
  <c r="M188" i="3"/>
  <c r="Q187" i="3"/>
  <c r="C191" i="19"/>
  <c r="D191" i="18"/>
  <c r="O190" i="5"/>
  <c r="B191" i="4"/>
  <c r="GJ2" i="11"/>
  <c r="GI1" i="11"/>
  <c r="GJ2" i="10" l="1"/>
  <c r="GI1" i="10"/>
  <c r="M189" i="3"/>
  <c r="Q188" i="3"/>
  <c r="F189" i="3"/>
  <c r="J188" i="3"/>
  <c r="B192" i="4"/>
  <c r="C192" i="19"/>
  <c r="GK2" i="11"/>
  <c r="GJ1" i="11"/>
  <c r="D192" i="18"/>
  <c r="O191" i="5"/>
  <c r="GK2" i="10" l="1"/>
  <c r="GJ1" i="10"/>
  <c r="F190" i="3"/>
  <c r="J189" i="3"/>
  <c r="M190" i="3"/>
  <c r="Q189" i="3"/>
  <c r="GK1" i="11"/>
  <c r="GL2" i="11"/>
  <c r="D193" i="18"/>
  <c r="O192" i="5"/>
  <c r="B193" i="4"/>
  <c r="C193" i="19"/>
  <c r="GL2" i="10" l="1"/>
  <c r="GK1" i="10"/>
  <c r="M191" i="3"/>
  <c r="Q190" i="3"/>
  <c r="F191" i="3"/>
  <c r="J190" i="3"/>
  <c r="GL1" i="11"/>
  <c r="GM2" i="11"/>
  <c r="C194" i="19"/>
  <c r="B194" i="4"/>
  <c r="D194" i="18"/>
  <c r="O193" i="5"/>
  <c r="GL1" i="10" l="1"/>
  <c r="GM2" i="10"/>
  <c r="F192" i="3"/>
  <c r="J191" i="3"/>
  <c r="M192" i="3"/>
  <c r="Q191" i="3"/>
  <c r="C195" i="19"/>
  <c r="D195" i="18"/>
  <c r="O194" i="5"/>
  <c r="B195" i="4"/>
  <c r="GN2" i="11"/>
  <c r="GM1" i="11"/>
  <c r="GN2" i="10" l="1"/>
  <c r="GM1" i="10"/>
  <c r="M193" i="3"/>
  <c r="Q192" i="3"/>
  <c r="F193" i="3"/>
  <c r="J192" i="3"/>
  <c r="B196" i="4"/>
  <c r="C196" i="19"/>
  <c r="D196" i="18"/>
  <c r="O195" i="5"/>
  <c r="GO2" i="11"/>
  <c r="GN1" i="11"/>
  <c r="GO2" i="10" l="1"/>
  <c r="GN1" i="10"/>
  <c r="F194" i="3"/>
  <c r="J193" i="3"/>
  <c r="M194" i="3"/>
  <c r="Q193" i="3"/>
  <c r="GO1" i="11"/>
  <c r="GP2" i="11"/>
  <c r="B197" i="4"/>
  <c r="C197" i="19"/>
  <c r="D197" i="18"/>
  <c r="O196" i="5"/>
  <c r="GP2" i="10" l="1"/>
  <c r="GO1" i="10"/>
  <c r="M195" i="3"/>
  <c r="Q194" i="3"/>
  <c r="F195" i="3"/>
  <c r="J194" i="3"/>
  <c r="C198" i="19"/>
  <c r="GP1" i="11"/>
  <c r="GQ2" i="11"/>
  <c r="D198" i="18"/>
  <c r="O197" i="5"/>
  <c r="B198" i="4"/>
  <c r="GP1" i="10" l="1"/>
  <c r="GQ2" i="10"/>
  <c r="F196" i="3"/>
  <c r="J195" i="3"/>
  <c r="M196" i="3"/>
  <c r="Q195" i="3"/>
  <c r="B199" i="4"/>
  <c r="C199" i="19"/>
  <c r="D199" i="18"/>
  <c r="O198" i="5"/>
  <c r="GR2" i="11"/>
  <c r="GQ1" i="11"/>
  <c r="GR2" i="10" l="1"/>
  <c r="GQ1" i="10"/>
  <c r="M197" i="3"/>
  <c r="Q196" i="3"/>
  <c r="F197" i="3"/>
  <c r="J196" i="3"/>
  <c r="B200" i="4"/>
  <c r="C200" i="19"/>
  <c r="GS2" i="11"/>
  <c r="GR1" i="11"/>
  <c r="D200" i="18"/>
  <c r="O199" i="5"/>
  <c r="GS2" i="10" l="1"/>
  <c r="GR1" i="10"/>
  <c r="F198" i="3"/>
  <c r="J197" i="3"/>
  <c r="M198" i="3"/>
  <c r="Q197" i="3"/>
  <c r="C201" i="19"/>
  <c r="B201" i="4"/>
  <c r="GS1" i="11"/>
  <c r="GT2" i="11"/>
  <c r="D201" i="18"/>
  <c r="O200" i="5"/>
  <c r="GT2" i="10" l="1"/>
  <c r="GS1" i="10"/>
  <c r="M199" i="3"/>
  <c r="Q198" i="3"/>
  <c r="F199" i="3"/>
  <c r="J198" i="3"/>
  <c r="GT1" i="11"/>
  <c r="GU2" i="11"/>
  <c r="B202" i="4"/>
  <c r="C202" i="19"/>
  <c r="D202" i="18"/>
  <c r="O201" i="5"/>
  <c r="GT1" i="10" l="1"/>
  <c r="GU2" i="10"/>
  <c r="F200" i="3"/>
  <c r="J199" i="3"/>
  <c r="M200" i="3"/>
  <c r="Q199" i="3"/>
  <c r="D203" i="18"/>
  <c r="O202" i="5"/>
  <c r="C203" i="19"/>
  <c r="B203" i="4"/>
  <c r="GV2" i="11"/>
  <c r="GU1" i="11"/>
  <c r="GV2" i="10" l="1"/>
  <c r="GU1" i="10"/>
  <c r="M201" i="3"/>
  <c r="Q200" i="3"/>
  <c r="F201" i="3"/>
  <c r="J200" i="3"/>
  <c r="GW2" i="11"/>
  <c r="GV1" i="11"/>
  <c r="B204" i="4"/>
  <c r="D204" i="18"/>
  <c r="O203" i="5"/>
  <c r="C204" i="19"/>
  <c r="GV1" i="10" l="1"/>
  <c r="GW2" i="10"/>
  <c r="F202" i="3"/>
  <c r="J201" i="3"/>
  <c r="M202" i="3"/>
  <c r="Q201" i="3"/>
  <c r="B205" i="4"/>
  <c r="C205" i="19"/>
  <c r="GW1" i="11"/>
  <c r="GX2" i="11"/>
  <c r="D205" i="18"/>
  <c r="O204" i="5"/>
  <c r="GW1" i="10" l="1"/>
  <c r="GX2" i="10"/>
  <c r="M203" i="3"/>
  <c r="Q202" i="3"/>
  <c r="F203" i="3"/>
  <c r="J202" i="3"/>
  <c r="D206" i="18"/>
  <c r="O205" i="5"/>
  <c r="GX1" i="11"/>
  <c r="GY2" i="11"/>
  <c r="B206" i="4"/>
  <c r="C206" i="19"/>
  <c r="GX1" i="10" l="1"/>
  <c r="GY2" i="10"/>
  <c r="F204" i="3"/>
  <c r="J203" i="3"/>
  <c r="M204" i="3"/>
  <c r="Q203" i="3"/>
  <c r="C207" i="19"/>
  <c r="GZ2" i="11"/>
  <c r="GY1" i="11"/>
  <c r="B207" i="4"/>
  <c r="D207" i="18"/>
  <c r="O206" i="5"/>
  <c r="GZ2" i="10" l="1"/>
  <c r="GY1" i="10"/>
  <c r="M205" i="3"/>
  <c r="Q204" i="3"/>
  <c r="F205" i="3"/>
  <c r="J204" i="3"/>
  <c r="B208" i="4"/>
  <c r="C208" i="19"/>
  <c r="D208" i="18"/>
  <c r="O207" i="5"/>
  <c r="HA2" i="11"/>
  <c r="GZ1" i="11"/>
  <c r="HA2" i="10" l="1"/>
  <c r="GZ1" i="10"/>
  <c r="F206" i="3"/>
  <c r="J205" i="3"/>
  <c r="M206" i="3"/>
  <c r="Q205" i="3"/>
  <c r="B209" i="4"/>
  <c r="D209" i="18"/>
  <c r="O208" i="5"/>
  <c r="C209" i="19"/>
  <c r="HA1" i="11"/>
  <c r="HB2" i="11"/>
  <c r="HB2" i="10" l="1"/>
  <c r="HA1" i="10"/>
  <c r="M207" i="3"/>
  <c r="Q206" i="3"/>
  <c r="F207" i="3"/>
  <c r="J206" i="3"/>
  <c r="C210" i="19"/>
  <c r="B210" i="4"/>
  <c r="HB1" i="11"/>
  <c r="HC2" i="11"/>
  <c r="D210" i="18"/>
  <c r="O209" i="5"/>
  <c r="HB1" i="10" l="1"/>
  <c r="HC2" i="10"/>
  <c r="F208" i="3"/>
  <c r="J207" i="3"/>
  <c r="M208" i="3"/>
  <c r="Q207" i="3"/>
  <c r="D211" i="18"/>
  <c r="O210" i="5"/>
  <c r="B211" i="4"/>
  <c r="HD2" i="11"/>
  <c r="HC1" i="11"/>
  <c r="C211" i="19"/>
  <c r="HD2" i="10" l="1"/>
  <c r="HC1" i="10"/>
  <c r="M209" i="3"/>
  <c r="Q208" i="3"/>
  <c r="F209" i="3"/>
  <c r="J208" i="3"/>
  <c r="D212" i="18"/>
  <c r="O211" i="5"/>
  <c r="C212" i="19"/>
  <c r="HE2" i="11"/>
  <c r="HD1" i="11"/>
  <c r="B212" i="4"/>
  <c r="HE2" i="10" l="1"/>
  <c r="HD1" i="10"/>
  <c r="F210" i="3"/>
  <c r="J209" i="3"/>
  <c r="M210" i="3"/>
  <c r="Q209" i="3"/>
  <c r="HE1" i="11"/>
  <c r="HF2" i="11"/>
  <c r="D213" i="18"/>
  <c r="O212" i="5"/>
  <c r="B213" i="4"/>
  <c r="C213" i="19"/>
  <c r="HE1" i="10" l="1"/>
  <c r="HF2" i="10"/>
  <c r="M211" i="3"/>
  <c r="Q210" i="3"/>
  <c r="F211" i="3"/>
  <c r="J210" i="3"/>
  <c r="C214" i="19"/>
  <c r="B214" i="4"/>
  <c r="D214" i="18"/>
  <c r="O213" i="5"/>
  <c r="HF1" i="11"/>
  <c r="HG2" i="11"/>
  <c r="HG2" i="10" l="1"/>
  <c r="HF1" i="10"/>
  <c r="F212" i="3"/>
  <c r="J211" i="3"/>
  <c r="M212" i="3"/>
  <c r="Q211" i="3"/>
  <c r="B215" i="4"/>
  <c r="HH2" i="11"/>
  <c r="HG1" i="11"/>
  <c r="D215" i="18"/>
  <c r="O214" i="5"/>
  <c r="C215" i="19"/>
  <c r="HH2" i="10" l="1"/>
  <c r="HG1" i="10"/>
  <c r="M213" i="3"/>
  <c r="Q212" i="3"/>
  <c r="F213" i="3"/>
  <c r="J212" i="3"/>
  <c r="HI2" i="11"/>
  <c r="HH1" i="11"/>
  <c r="B216" i="4"/>
  <c r="C216" i="19"/>
  <c r="D216" i="18"/>
  <c r="O215" i="5"/>
  <c r="HI2" i="10" l="1"/>
  <c r="HH1" i="10"/>
  <c r="F214" i="3"/>
  <c r="J213" i="3"/>
  <c r="M214" i="3"/>
  <c r="Q213" i="3"/>
  <c r="D217" i="18"/>
  <c r="O216" i="5"/>
  <c r="HI1" i="11"/>
  <c r="HJ2" i="11"/>
  <c r="B217" i="4"/>
  <c r="C217" i="19"/>
  <c r="HJ2" i="10" l="1"/>
  <c r="HI1" i="10"/>
  <c r="M215" i="3"/>
  <c r="Q214" i="3"/>
  <c r="F215" i="3"/>
  <c r="J214" i="3"/>
  <c r="D218" i="18"/>
  <c r="O217" i="5"/>
  <c r="B218" i="4"/>
  <c r="HJ1" i="11"/>
  <c r="HK2" i="11"/>
  <c r="C218" i="19"/>
  <c r="HJ1" i="10" l="1"/>
  <c r="HK2" i="10"/>
  <c r="F216" i="3"/>
  <c r="J215" i="3"/>
  <c r="M216" i="3"/>
  <c r="Q215" i="3"/>
  <c r="B219" i="4"/>
  <c r="D219" i="18"/>
  <c r="O218" i="5"/>
  <c r="C219" i="19"/>
  <c r="HL2" i="11"/>
  <c r="HK1" i="11"/>
  <c r="HL2" i="10" l="1"/>
  <c r="HK1" i="10"/>
  <c r="M217" i="3"/>
  <c r="Q216" i="3"/>
  <c r="F217" i="3"/>
  <c r="J216" i="3"/>
  <c r="HM2" i="11"/>
  <c r="HL1" i="11"/>
  <c r="B220" i="4"/>
  <c r="C220" i="19"/>
  <c r="D220" i="18"/>
  <c r="O219" i="5"/>
  <c r="HM2" i="10" l="1"/>
  <c r="HL1" i="10"/>
  <c r="F218" i="3"/>
  <c r="J217" i="3"/>
  <c r="M218" i="3"/>
  <c r="Q217" i="3"/>
  <c r="D221" i="18"/>
  <c r="O220" i="5"/>
  <c r="B221" i="4"/>
  <c r="C221" i="19"/>
  <c r="HM1" i="11"/>
  <c r="HN2" i="11"/>
  <c r="HN2" i="10" l="1"/>
  <c r="HM1" i="10"/>
  <c r="M219" i="3"/>
  <c r="Q218" i="3"/>
  <c r="F219" i="3"/>
  <c r="J218" i="3"/>
  <c r="C222" i="19"/>
  <c r="F222" i="19" s="1"/>
  <c r="B222" i="4"/>
  <c r="D222" i="18"/>
  <c r="O221" i="5"/>
  <c r="HN1" i="11"/>
  <c r="HO2" i="11"/>
  <c r="HO2" i="10" l="1"/>
  <c r="HN1" i="10"/>
  <c r="F220" i="3"/>
  <c r="J219" i="3"/>
  <c r="M220" i="3"/>
  <c r="Q219" i="3"/>
  <c r="HP2" i="11"/>
  <c r="HO1" i="11"/>
  <c r="C223" i="19"/>
  <c r="F223" i="19" s="1"/>
  <c r="D223" i="18"/>
  <c r="O222" i="5"/>
  <c r="B223" i="4"/>
  <c r="HO1" i="10" l="1"/>
  <c r="HP2" i="10"/>
  <c r="M221" i="3"/>
  <c r="Q220" i="3"/>
  <c r="F221" i="3"/>
  <c r="J220" i="3"/>
  <c r="HQ2" i="11"/>
  <c r="HP1" i="11"/>
  <c r="C224" i="19"/>
  <c r="F224" i="19" s="1"/>
  <c r="B224" i="4"/>
  <c r="D224" i="18"/>
  <c r="O223" i="5"/>
  <c r="HQ2" i="10" l="1"/>
  <c r="HP1" i="10"/>
  <c r="F222" i="3"/>
  <c r="J221" i="3"/>
  <c r="M222" i="3"/>
  <c r="Q221" i="3"/>
  <c r="B225" i="4"/>
  <c r="C225" i="19"/>
  <c r="F225" i="19" s="1"/>
  <c r="D225" i="18"/>
  <c r="O224" i="5"/>
  <c r="HQ1" i="11"/>
  <c r="HR2" i="11"/>
  <c r="HR2" i="10" l="1"/>
  <c r="HQ1" i="10"/>
  <c r="M223" i="3"/>
  <c r="Q222" i="3"/>
  <c r="F223" i="3"/>
  <c r="J222" i="3"/>
  <c r="D226" i="18"/>
  <c r="D223" i="19" s="1"/>
  <c r="E223" i="19" s="1"/>
  <c r="O225" i="5"/>
  <c r="C226" i="19"/>
  <c r="F226" i="19" s="1"/>
  <c r="B226" i="4"/>
  <c r="HR1" i="11"/>
  <c r="HS2" i="11"/>
  <c r="HS2" i="10" l="1"/>
  <c r="HR1" i="10"/>
  <c r="D226" i="19"/>
  <c r="E226" i="19" s="1"/>
  <c r="D225" i="19"/>
  <c r="E225" i="19" s="1"/>
  <c r="D224" i="19"/>
  <c r="E224" i="19" s="1"/>
  <c r="F224" i="3"/>
  <c r="J223" i="3"/>
  <c r="M224" i="3"/>
  <c r="Q223" i="3"/>
  <c r="D227" i="18"/>
  <c r="O226" i="5"/>
  <c r="HT2" i="11"/>
  <c r="HS1" i="11"/>
  <c r="B227" i="4"/>
  <c r="C227" i="19"/>
  <c r="D227" i="19" l="1"/>
  <c r="E227" i="19" s="1"/>
  <c r="F227" i="19"/>
  <c r="HS1" i="10"/>
  <c r="HT2" i="10"/>
  <c r="M225" i="3"/>
  <c r="Q224" i="3"/>
  <c r="F225" i="3"/>
  <c r="J224" i="3"/>
  <c r="HU2" i="11"/>
  <c r="HT1" i="11"/>
  <c r="D228" i="18"/>
  <c r="O227" i="5"/>
  <c r="B228" i="4"/>
  <c r="C228" i="19"/>
  <c r="D228" i="19" l="1"/>
  <c r="E228" i="19" s="1"/>
  <c r="F228" i="19"/>
  <c r="HT1" i="10"/>
  <c r="HU2" i="10"/>
  <c r="F226" i="3"/>
  <c r="J225" i="3"/>
  <c r="M226" i="3"/>
  <c r="Q225" i="3"/>
  <c r="B229" i="4"/>
  <c r="C229" i="19"/>
  <c r="HU1" i="11"/>
  <c r="HV2" i="11"/>
  <c r="D229" i="18"/>
  <c r="O228" i="5"/>
  <c r="D229" i="19" l="1"/>
  <c r="E229" i="19" s="1"/>
  <c r="F229" i="19"/>
  <c r="HV2" i="10"/>
  <c r="HU1" i="10"/>
  <c r="M227" i="3"/>
  <c r="Q226" i="3"/>
  <c r="F227" i="3"/>
  <c r="J226" i="3"/>
  <c r="C230" i="19"/>
  <c r="D230" i="18"/>
  <c r="O229" i="5"/>
  <c r="HV1" i="11"/>
  <c r="HW2" i="11"/>
  <c r="B230" i="4"/>
  <c r="D230" i="19" l="1"/>
  <c r="E230" i="19" s="1"/>
  <c r="F230" i="19"/>
  <c r="HV1" i="10"/>
  <c r="HW2" i="10"/>
  <c r="F228" i="3"/>
  <c r="J227" i="3"/>
  <c r="M228" i="3"/>
  <c r="Q227" i="3"/>
  <c r="C231" i="19"/>
  <c r="B231" i="4"/>
  <c r="HX2" i="11"/>
  <c r="HW1" i="11"/>
  <c r="D231" i="18"/>
  <c r="O230" i="5"/>
  <c r="D231" i="19" l="1"/>
  <c r="E231" i="19" s="1"/>
  <c r="F231" i="19"/>
  <c r="HX2" i="10"/>
  <c r="HW1" i="10"/>
  <c r="M229" i="3"/>
  <c r="Q228" i="3"/>
  <c r="F229" i="3"/>
  <c r="J228" i="3"/>
  <c r="C232" i="19"/>
  <c r="D232" i="18"/>
  <c r="O231" i="5"/>
  <c r="HY2" i="11"/>
  <c r="HX1" i="11"/>
  <c r="B232" i="4"/>
  <c r="D232" i="19" l="1"/>
  <c r="E232" i="19" s="1"/>
  <c r="F232" i="19"/>
  <c r="HY2" i="10"/>
  <c r="HX1" i="10"/>
  <c r="F230" i="3"/>
  <c r="J229" i="3"/>
  <c r="M230" i="3"/>
  <c r="Q229" i="3"/>
  <c r="B233" i="4"/>
  <c r="D233" i="18"/>
  <c r="O232" i="5"/>
  <c r="HY1" i="11"/>
  <c r="HZ2" i="11"/>
  <c r="C233" i="19"/>
  <c r="D233" i="19" l="1"/>
  <c r="E233" i="19" s="1"/>
  <c r="F233" i="19"/>
  <c r="HZ2" i="10"/>
  <c r="HY1" i="10"/>
  <c r="M231" i="3"/>
  <c r="Q230" i="3"/>
  <c r="F231" i="3"/>
  <c r="J230" i="3"/>
  <c r="B234" i="4"/>
  <c r="C234" i="19"/>
  <c r="D234" i="18"/>
  <c r="O233" i="5"/>
  <c r="HZ1" i="11"/>
  <c r="IA2" i="11"/>
  <c r="D234" i="19" l="1"/>
  <c r="E234" i="19" s="1"/>
  <c r="F234" i="19"/>
  <c r="HZ1" i="10"/>
  <c r="IA2" i="10"/>
  <c r="F232" i="3"/>
  <c r="J231" i="3"/>
  <c r="M232" i="3"/>
  <c r="Q231" i="3"/>
  <c r="D235" i="18"/>
  <c r="O234" i="5"/>
  <c r="IB2" i="11"/>
  <c r="IA1" i="11"/>
  <c r="C235" i="19"/>
  <c r="B235" i="4"/>
  <c r="D235" i="19" l="1"/>
  <c r="E235" i="19" s="1"/>
  <c r="F235" i="19"/>
  <c r="IB2" i="10"/>
  <c r="IA1" i="10"/>
  <c r="M233" i="3"/>
  <c r="Q232" i="3"/>
  <c r="F233" i="3"/>
  <c r="J232" i="3"/>
  <c r="C236" i="19"/>
  <c r="IC2" i="11"/>
  <c r="IB1" i="11"/>
  <c r="D236" i="18"/>
  <c r="O235" i="5"/>
  <c r="B236" i="4"/>
  <c r="D236" i="19" l="1"/>
  <c r="E236" i="19" s="1"/>
  <c r="F236" i="19"/>
  <c r="IC2" i="10"/>
  <c r="IB1" i="10"/>
  <c r="F234" i="3"/>
  <c r="J233" i="3"/>
  <c r="M234" i="3"/>
  <c r="Q233" i="3"/>
  <c r="IC1" i="11"/>
  <c r="ID2" i="11"/>
  <c r="D237" i="18"/>
  <c r="O236" i="5"/>
  <c r="C237" i="19"/>
  <c r="B237" i="4"/>
  <c r="D237" i="19" l="1"/>
  <c r="E237" i="19" s="1"/>
  <c r="F237" i="19"/>
  <c r="ID2" i="10"/>
  <c r="IC1" i="10"/>
  <c r="M235" i="3"/>
  <c r="Q234" i="3"/>
  <c r="F235" i="3"/>
  <c r="J234" i="3"/>
  <c r="D238" i="18"/>
  <c r="O237" i="5"/>
  <c r="ID1" i="11"/>
  <c r="IE2" i="11"/>
  <c r="C238" i="19"/>
  <c r="B238" i="4"/>
  <c r="D238" i="19" l="1"/>
  <c r="E238" i="19" s="1"/>
  <c r="F238" i="19"/>
  <c r="ID1" i="10"/>
  <c r="IE2" i="10"/>
  <c r="F236" i="3"/>
  <c r="J235" i="3"/>
  <c r="M236" i="3"/>
  <c r="Q235" i="3"/>
  <c r="B239" i="4"/>
  <c r="IF2" i="11"/>
  <c r="IE1" i="11"/>
  <c r="C239" i="19"/>
  <c r="D239" i="18"/>
  <c r="O238" i="5"/>
  <c r="D239" i="19" l="1"/>
  <c r="E239" i="19" s="1"/>
  <c r="F239" i="19"/>
  <c r="IF2" i="10"/>
  <c r="IE1" i="10"/>
  <c r="M237" i="3"/>
  <c r="Q236" i="3"/>
  <c r="F237" i="3"/>
  <c r="J236" i="3"/>
  <c r="D240" i="18"/>
  <c r="O239" i="5"/>
  <c r="B240" i="4"/>
  <c r="C240" i="19"/>
  <c r="IG2" i="11"/>
  <c r="IF1" i="11"/>
  <c r="D240" i="19" l="1"/>
  <c r="E240" i="19" s="1"/>
  <c r="F240" i="19"/>
  <c r="IG2" i="10"/>
  <c r="IF1" i="10"/>
  <c r="F238" i="3"/>
  <c r="J237" i="3"/>
  <c r="M238" i="3"/>
  <c r="Q237" i="3"/>
  <c r="C241" i="19"/>
  <c r="D241" i="18"/>
  <c r="O240" i="5"/>
  <c r="IG1" i="11"/>
  <c r="IH2" i="11"/>
  <c r="B241" i="4"/>
  <c r="D241" i="19" l="1"/>
  <c r="E241" i="19" s="1"/>
  <c r="F241" i="19"/>
  <c r="IH2" i="10"/>
  <c r="IG1" i="10"/>
  <c r="M239" i="3"/>
  <c r="Q238" i="3"/>
  <c r="F239" i="3"/>
  <c r="J238" i="3"/>
  <c r="B242" i="4"/>
  <c r="IH1" i="11"/>
  <c r="II2" i="11"/>
  <c r="D242" i="18"/>
  <c r="O241" i="5"/>
  <c r="C242" i="19"/>
  <c r="D242" i="19" l="1"/>
  <c r="E242" i="19" s="1"/>
  <c r="F242" i="19"/>
  <c r="IH1" i="10"/>
  <c r="II2" i="10"/>
  <c r="F240" i="3"/>
  <c r="J239" i="3"/>
  <c r="M240" i="3"/>
  <c r="Q239" i="3"/>
  <c r="C243" i="19"/>
  <c r="D243" i="18"/>
  <c r="O242" i="5"/>
  <c r="IJ2" i="11"/>
  <c r="II1" i="11"/>
  <c r="B243" i="4"/>
  <c r="D243" i="19" l="1"/>
  <c r="E243" i="19" s="1"/>
  <c r="F243" i="19"/>
  <c r="IJ2" i="10"/>
  <c r="II1" i="10"/>
  <c r="M241" i="3"/>
  <c r="Q240" i="3"/>
  <c r="F241" i="3"/>
  <c r="J240" i="3"/>
  <c r="C244" i="19"/>
  <c r="IK2" i="11"/>
  <c r="IJ1" i="11"/>
  <c r="B244" i="4"/>
  <c r="D244" i="18"/>
  <c r="O243" i="5"/>
  <c r="D244" i="19" l="1"/>
  <c r="E244" i="19" s="1"/>
  <c r="F244" i="19"/>
  <c r="IK2" i="10"/>
  <c r="IJ1" i="10"/>
  <c r="F242" i="3"/>
  <c r="J241" i="3"/>
  <c r="M242" i="3"/>
  <c r="Q241" i="3"/>
  <c r="B245" i="4"/>
  <c r="IK1" i="11"/>
  <c r="IL2" i="11"/>
  <c r="C245" i="19"/>
  <c r="D245" i="18"/>
  <c r="O244" i="5"/>
  <c r="D245" i="19" l="1"/>
  <c r="E245" i="19" s="1"/>
  <c r="F245" i="19"/>
  <c r="IL2" i="10"/>
  <c r="IK1" i="10"/>
  <c r="M243" i="3"/>
  <c r="Q242" i="3"/>
  <c r="F243" i="3"/>
  <c r="J242" i="3"/>
  <c r="B246" i="4"/>
  <c r="D246" i="18"/>
  <c r="O245" i="5"/>
  <c r="C246" i="19"/>
  <c r="IL1" i="11"/>
  <c r="IM2" i="11"/>
  <c r="D246" i="19" l="1"/>
  <c r="E246" i="19" s="1"/>
  <c r="F246" i="19"/>
  <c r="IL1" i="10"/>
  <c r="IM2" i="10"/>
  <c r="F244" i="3"/>
  <c r="J243" i="3"/>
  <c r="M244" i="3"/>
  <c r="Q243" i="3"/>
  <c r="IN2" i="11"/>
  <c r="IM1" i="11"/>
  <c r="C247" i="19"/>
  <c r="B247" i="4"/>
  <c r="D247" i="18"/>
  <c r="O246" i="5"/>
  <c r="D247" i="19" l="1"/>
  <c r="E247" i="19" s="1"/>
  <c r="F247" i="19"/>
  <c r="IN2" i="10"/>
  <c r="IM1" i="10"/>
  <c r="M245" i="3"/>
  <c r="Q244" i="3"/>
  <c r="F245" i="3"/>
  <c r="J244" i="3"/>
  <c r="IO2" i="11"/>
  <c r="IN1" i="11"/>
  <c r="C248" i="19"/>
  <c r="B248" i="4"/>
  <c r="D248" i="18"/>
  <c r="O247" i="5"/>
  <c r="D248" i="19" l="1"/>
  <c r="E248" i="19" s="1"/>
  <c r="F248" i="19"/>
  <c r="IO2" i="10"/>
  <c r="IN1" i="10"/>
  <c r="F246" i="3"/>
  <c r="J245" i="3"/>
  <c r="M246" i="3"/>
  <c r="Q245" i="3"/>
  <c r="D249" i="18"/>
  <c r="O248" i="5"/>
  <c r="C249" i="19"/>
  <c r="IO1" i="11"/>
  <c r="IP2" i="11"/>
  <c r="B249" i="4"/>
  <c r="D249" i="19" l="1"/>
  <c r="E249" i="19" s="1"/>
  <c r="F249" i="19"/>
  <c r="IP2" i="10"/>
  <c r="IO1" i="10"/>
  <c r="M247" i="3"/>
  <c r="Q246" i="3"/>
  <c r="F247" i="3"/>
  <c r="J246" i="3"/>
  <c r="B250" i="4"/>
  <c r="C250" i="19"/>
  <c r="D250" i="18"/>
  <c r="O249" i="5"/>
  <c r="IP1" i="11"/>
  <c r="IQ2" i="11"/>
  <c r="D250" i="19" l="1"/>
  <c r="E250" i="19" s="1"/>
  <c r="F250" i="19"/>
  <c r="IP1" i="10"/>
  <c r="IQ2" i="10"/>
  <c r="F248" i="3"/>
  <c r="J247" i="3"/>
  <c r="M248" i="3"/>
  <c r="Q247" i="3"/>
  <c r="IR2" i="11"/>
  <c r="IQ1" i="11"/>
  <c r="D251" i="18"/>
  <c r="O250" i="5"/>
  <c r="C251" i="19"/>
  <c r="B251" i="4"/>
  <c r="D251" i="19" l="1"/>
  <c r="E251" i="19" s="1"/>
  <c r="F251" i="19"/>
  <c r="IR2" i="10"/>
  <c r="IQ1" i="10"/>
  <c r="M249" i="3"/>
  <c r="Q248" i="3"/>
  <c r="F249" i="3"/>
  <c r="J248" i="3"/>
  <c r="C252" i="19"/>
  <c r="IS2" i="11"/>
  <c r="IR1" i="11"/>
  <c r="B252" i="4"/>
  <c r="D252" i="18"/>
  <c r="O251" i="5"/>
  <c r="D252" i="19" l="1"/>
  <c r="E252" i="19" s="1"/>
  <c r="F252" i="19"/>
  <c r="IS2" i="10"/>
  <c r="IR1" i="10"/>
  <c r="F250" i="3"/>
  <c r="J249" i="3"/>
  <c r="M250" i="3"/>
  <c r="Q249" i="3"/>
  <c r="D253" i="18"/>
  <c r="O252" i="5"/>
  <c r="C253" i="19"/>
  <c r="IS1" i="11"/>
  <c r="IT2" i="11"/>
  <c r="B253" i="4"/>
  <c r="D253" i="19" l="1"/>
  <c r="E253" i="19" s="1"/>
  <c r="F253" i="19"/>
  <c r="IT2" i="10"/>
  <c r="IS1" i="10"/>
  <c r="M251" i="3"/>
  <c r="Q250" i="3"/>
  <c r="F251" i="3"/>
  <c r="J250" i="3"/>
  <c r="C254" i="19"/>
  <c r="B254" i="4"/>
  <c r="D254" i="18"/>
  <c r="O253" i="5"/>
  <c r="IT1" i="11"/>
  <c r="IU2" i="11"/>
  <c r="D254" i="19" l="1"/>
  <c r="E254" i="19" s="1"/>
  <c r="F254" i="19"/>
  <c r="IT1" i="10"/>
  <c r="IU2" i="10"/>
  <c r="F252" i="3"/>
  <c r="J251" i="3"/>
  <c r="M252" i="3"/>
  <c r="Q251" i="3"/>
  <c r="IV2" i="11"/>
  <c r="IU1" i="11"/>
  <c r="C255" i="19"/>
  <c r="D255" i="18"/>
  <c r="O254" i="5"/>
  <c r="B255" i="4"/>
  <c r="D255" i="19" l="1"/>
  <c r="E255" i="19" s="1"/>
  <c r="F255" i="19"/>
  <c r="IU1" i="10"/>
  <c r="IV2" i="10"/>
  <c r="M253" i="3"/>
  <c r="Q252" i="3"/>
  <c r="F253" i="3"/>
  <c r="J252" i="3"/>
  <c r="B256" i="4"/>
  <c r="C256" i="19"/>
  <c r="D256" i="18"/>
  <c r="O255" i="5"/>
  <c r="IW2" i="11"/>
  <c r="IV1" i="11"/>
  <c r="D256" i="19" l="1"/>
  <c r="E256" i="19" s="1"/>
  <c r="F256" i="19"/>
  <c r="IW2" i="10"/>
  <c r="IV1" i="10"/>
  <c r="F254" i="3"/>
  <c r="J253" i="3"/>
  <c r="M254" i="3"/>
  <c r="Q253" i="3"/>
  <c r="B257" i="4"/>
  <c r="IW1" i="11"/>
  <c r="IX2" i="11"/>
  <c r="D257" i="18"/>
  <c r="O256" i="5"/>
  <c r="C257" i="19"/>
  <c r="D257" i="19" l="1"/>
  <c r="E257" i="19" s="1"/>
  <c r="F257" i="19"/>
  <c r="IX2" i="10"/>
  <c r="IW1" i="10"/>
  <c r="M255" i="3"/>
  <c r="Q254" i="3"/>
  <c r="F255" i="3"/>
  <c r="J254" i="3"/>
  <c r="C258" i="19"/>
  <c r="D258" i="18"/>
  <c r="O257" i="5"/>
  <c r="B258" i="4"/>
  <c r="IX1" i="11"/>
  <c r="IY2" i="11"/>
  <c r="D258" i="19" l="1"/>
  <c r="E258" i="19" s="1"/>
  <c r="F258" i="19"/>
  <c r="IX1" i="10"/>
  <c r="IY2" i="10"/>
  <c r="F256" i="3"/>
  <c r="J255" i="3"/>
  <c r="M256" i="3"/>
  <c r="Q255" i="3"/>
  <c r="B259" i="4"/>
  <c r="C259" i="19"/>
  <c r="IZ2" i="11"/>
  <c r="IY1" i="11"/>
  <c r="D259" i="18"/>
  <c r="O258" i="5"/>
  <c r="D259" i="19" l="1"/>
  <c r="E259" i="19" s="1"/>
  <c r="F259" i="19"/>
  <c r="IZ2" i="10"/>
  <c r="IY1" i="10"/>
  <c r="M257" i="3"/>
  <c r="Q256" i="3"/>
  <c r="F257" i="3"/>
  <c r="J256" i="3"/>
  <c r="D260" i="18"/>
  <c r="O259" i="5"/>
  <c r="B260" i="4"/>
  <c r="JA2" i="11"/>
  <c r="IZ1" i="11"/>
  <c r="C260" i="19"/>
  <c r="D260" i="19" l="1"/>
  <c r="E260" i="19" s="1"/>
  <c r="F260" i="19"/>
  <c r="JA2" i="10"/>
  <c r="IZ1" i="10"/>
  <c r="F258" i="3"/>
  <c r="J257" i="3"/>
  <c r="M258" i="3"/>
  <c r="Q257" i="3"/>
  <c r="JA1" i="11"/>
  <c r="JB2" i="11"/>
  <c r="B261" i="4"/>
  <c r="D261" i="18"/>
  <c r="O260" i="5"/>
  <c r="C261" i="19"/>
  <c r="D261" i="19" l="1"/>
  <c r="E261" i="19" s="1"/>
  <c r="F261" i="19"/>
  <c r="JB2" i="10"/>
  <c r="JA1" i="10"/>
  <c r="M259" i="3"/>
  <c r="Q258" i="3"/>
  <c r="F259" i="3"/>
  <c r="J258" i="3"/>
  <c r="B262" i="4"/>
  <c r="D262" i="18"/>
  <c r="O261" i="5"/>
  <c r="JB1" i="11"/>
  <c r="JC2" i="11"/>
  <c r="C262" i="19"/>
  <c r="D262" i="19" l="1"/>
  <c r="E262" i="19" s="1"/>
  <c r="F262" i="19"/>
  <c r="JB1" i="10"/>
  <c r="JC2" i="10"/>
  <c r="F260" i="3"/>
  <c r="J259" i="3"/>
  <c r="M260" i="3"/>
  <c r="Q259" i="3"/>
  <c r="C263" i="19"/>
  <c r="JD2" i="11"/>
  <c r="JC1" i="11"/>
  <c r="B263" i="4"/>
  <c r="D263" i="18"/>
  <c r="O262" i="5"/>
  <c r="D263" i="19" l="1"/>
  <c r="E263" i="19" s="1"/>
  <c r="F263" i="19"/>
  <c r="JC1" i="10"/>
  <c r="JD2" i="10"/>
  <c r="M261" i="3"/>
  <c r="Q260" i="3"/>
  <c r="F261" i="3"/>
  <c r="J260" i="3"/>
  <c r="C264" i="19"/>
  <c r="JE2" i="11"/>
  <c r="JD1" i="11"/>
  <c r="D264" i="18"/>
  <c r="O263" i="5"/>
  <c r="B264" i="4"/>
  <c r="D264" i="19" l="1"/>
  <c r="E264" i="19" s="1"/>
  <c r="F264" i="19"/>
  <c r="JE2" i="10"/>
  <c r="JD1" i="10"/>
  <c r="F262" i="3"/>
  <c r="J261" i="3"/>
  <c r="M262" i="3"/>
  <c r="Q261" i="3"/>
  <c r="B265" i="4"/>
  <c r="JE1" i="11"/>
  <c r="JF2" i="11"/>
  <c r="D265" i="18"/>
  <c r="O264" i="5"/>
  <c r="C265" i="19"/>
  <c r="D265" i="19" l="1"/>
  <c r="E265" i="19" s="1"/>
  <c r="F265" i="19"/>
  <c r="JF2" i="10"/>
  <c r="JE1" i="10"/>
  <c r="M263" i="3"/>
  <c r="Q262" i="3"/>
  <c r="F263" i="3"/>
  <c r="J262" i="3"/>
  <c r="C266" i="19"/>
  <c r="D266" i="18"/>
  <c r="O265" i="5"/>
  <c r="B266" i="4"/>
  <c r="JF1" i="11"/>
  <c r="JG2" i="11"/>
  <c r="D266" i="19" l="1"/>
  <c r="E266" i="19" s="1"/>
  <c r="F266" i="19"/>
  <c r="JF1" i="10"/>
  <c r="JG2" i="10"/>
  <c r="F264" i="3"/>
  <c r="J263" i="3"/>
  <c r="M264" i="3"/>
  <c r="Q263" i="3"/>
  <c r="B267" i="4"/>
  <c r="D267" i="18"/>
  <c r="O266" i="5"/>
  <c r="C267" i="19"/>
  <c r="JH2" i="11"/>
  <c r="JG1" i="11"/>
  <c r="D267" i="19" l="1"/>
  <c r="E267" i="19" s="1"/>
  <c r="F267" i="19"/>
  <c r="JH2" i="10"/>
  <c r="JG1" i="10"/>
  <c r="M265" i="3"/>
  <c r="Q264" i="3"/>
  <c r="F265" i="3"/>
  <c r="J264" i="3"/>
  <c r="C268" i="19"/>
  <c r="D268" i="18"/>
  <c r="O267" i="5"/>
  <c r="B268" i="4"/>
  <c r="JI2" i="11"/>
  <c r="JH1" i="11"/>
  <c r="D268" i="19" l="1"/>
  <c r="E268" i="19" s="1"/>
  <c r="F268" i="19"/>
  <c r="JI2" i="10"/>
  <c r="JH1" i="10"/>
  <c r="F266" i="3"/>
  <c r="J265" i="3"/>
  <c r="M266" i="3"/>
  <c r="Q265" i="3"/>
  <c r="JI1" i="11"/>
  <c r="JJ2" i="11"/>
  <c r="C269" i="19"/>
  <c r="B269" i="4"/>
  <c r="D269" i="18"/>
  <c r="O268" i="5"/>
  <c r="D269" i="19" l="1"/>
  <c r="E269" i="19" s="1"/>
  <c r="F269" i="19"/>
  <c r="JJ2" i="10"/>
  <c r="JI1" i="10"/>
  <c r="M267" i="3"/>
  <c r="Q266" i="3"/>
  <c r="F267" i="3"/>
  <c r="J266" i="3"/>
  <c r="B270" i="4"/>
  <c r="D270" i="18"/>
  <c r="O269" i="5"/>
  <c r="JJ1" i="11"/>
  <c r="JK2" i="11"/>
  <c r="C270" i="19"/>
  <c r="D270" i="19" l="1"/>
  <c r="E270" i="19" s="1"/>
  <c r="F270" i="19"/>
  <c r="JK2" i="10"/>
  <c r="JJ1" i="10"/>
  <c r="F268" i="3"/>
  <c r="J267" i="3"/>
  <c r="M268" i="3"/>
  <c r="Q267" i="3"/>
  <c r="D271" i="18"/>
  <c r="O270" i="5"/>
  <c r="B271" i="4"/>
  <c r="C271" i="19"/>
  <c r="JL2" i="11"/>
  <c r="JK1" i="11"/>
  <c r="D271" i="19" l="1"/>
  <c r="E271" i="19" s="1"/>
  <c r="F271" i="19"/>
  <c r="JL2" i="10"/>
  <c r="JK1" i="10"/>
  <c r="M269" i="3"/>
  <c r="Q268" i="3"/>
  <c r="F269" i="3"/>
  <c r="J268" i="3"/>
  <c r="JM2" i="11"/>
  <c r="JL1" i="11"/>
  <c r="D272" i="18"/>
  <c r="O271" i="5"/>
  <c r="B272" i="4"/>
  <c r="C272" i="19"/>
  <c r="D272" i="19" l="1"/>
  <c r="E272" i="19" s="1"/>
  <c r="F272" i="19"/>
  <c r="JM2" i="10"/>
  <c r="JL1" i="10"/>
  <c r="F270" i="3"/>
  <c r="J269" i="3"/>
  <c r="M270" i="3"/>
  <c r="Q269" i="3"/>
  <c r="JM1" i="11"/>
  <c r="JN2" i="11"/>
  <c r="D273" i="18"/>
  <c r="O272" i="5"/>
  <c r="C273" i="19"/>
  <c r="B273" i="4"/>
  <c r="D273" i="19" l="1"/>
  <c r="E273" i="19" s="1"/>
  <c r="F273" i="19"/>
  <c r="JM1" i="10"/>
  <c r="JN2" i="10"/>
  <c r="M271" i="3"/>
  <c r="Q270" i="3"/>
  <c r="F271" i="3"/>
  <c r="J270" i="3"/>
  <c r="C274" i="19"/>
  <c r="JN1" i="11"/>
  <c r="JO2" i="11"/>
  <c r="D274" i="18"/>
  <c r="O273" i="5"/>
  <c r="B274" i="4"/>
  <c r="D274" i="19" l="1"/>
  <c r="E274" i="19" s="1"/>
  <c r="F274" i="19"/>
  <c r="JN1" i="10"/>
  <c r="JO2" i="10"/>
  <c r="F272" i="3"/>
  <c r="J271" i="3"/>
  <c r="M272" i="3"/>
  <c r="Q271" i="3"/>
  <c r="D275" i="18"/>
  <c r="O274" i="5"/>
  <c r="B275" i="4"/>
  <c r="C275" i="19"/>
  <c r="JP2" i="11"/>
  <c r="JO1" i="11"/>
  <c r="D275" i="19" l="1"/>
  <c r="E275" i="19" s="1"/>
  <c r="F275" i="19"/>
  <c r="JP2" i="10"/>
  <c r="JO1" i="10"/>
  <c r="M273" i="3"/>
  <c r="Q272" i="3"/>
  <c r="F273" i="3"/>
  <c r="J272" i="3"/>
  <c r="B276" i="4"/>
  <c r="D276" i="18"/>
  <c r="O275" i="5"/>
  <c r="JQ2" i="11"/>
  <c r="JP1" i="11"/>
  <c r="C276" i="19"/>
  <c r="D276" i="19" l="1"/>
  <c r="E276" i="19" s="1"/>
  <c r="F276" i="19"/>
  <c r="JQ2" i="10"/>
  <c r="JP1" i="10"/>
  <c r="F274" i="3"/>
  <c r="J273" i="3"/>
  <c r="M274" i="3"/>
  <c r="Q273" i="3"/>
  <c r="JQ1" i="11"/>
  <c r="JR2" i="11"/>
  <c r="B277" i="4"/>
  <c r="C277" i="19"/>
  <c r="D277" i="18"/>
  <c r="O276" i="5"/>
  <c r="D277" i="19" l="1"/>
  <c r="E277" i="19" s="1"/>
  <c r="F277" i="19"/>
  <c r="JQ1" i="10"/>
  <c r="JR2" i="10"/>
  <c r="M275" i="3"/>
  <c r="Q274" i="3"/>
  <c r="F275" i="3"/>
  <c r="J274" i="3"/>
  <c r="B278" i="4"/>
  <c r="JR1" i="11"/>
  <c r="JS2" i="11"/>
  <c r="D278" i="18"/>
  <c r="O277" i="5"/>
  <c r="C278" i="19"/>
  <c r="D278" i="19" l="1"/>
  <c r="E278" i="19" s="1"/>
  <c r="F278" i="19"/>
  <c r="JS2" i="10"/>
  <c r="JR1" i="10"/>
  <c r="F276" i="3"/>
  <c r="J275" i="3"/>
  <c r="M276" i="3"/>
  <c r="Q275" i="3"/>
  <c r="JT2" i="11"/>
  <c r="JS1" i="11"/>
  <c r="D279" i="18"/>
  <c r="O278" i="5"/>
  <c r="C279" i="19"/>
  <c r="B279" i="4"/>
  <c r="D279" i="19" l="1"/>
  <c r="E279" i="19" s="1"/>
  <c r="F279" i="19"/>
  <c r="JT2" i="10"/>
  <c r="JS1" i="10"/>
  <c r="M277" i="3"/>
  <c r="Q276" i="3"/>
  <c r="F277" i="3"/>
  <c r="J276" i="3"/>
  <c r="C280" i="19"/>
  <c r="D280" i="18"/>
  <c r="O279" i="5"/>
  <c r="JU2" i="11"/>
  <c r="JT1" i="11"/>
  <c r="B280" i="4"/>
  <c r="D280" i="19" l="1"/>
  <c r="E280" i="19" s="1"/>
  <c r="F280" i="19"/>
  <c r="JU2" i="10"/>
  <c r="JT1" i="10"/>
  <c r="F278" i="3"/>
  <c r="J277" i="3"/>
  <c r="M278" i="3"/>
  <c r="Q277" i="3"/>
  <c r="B281" i="4"/>
  <c r="C281" i="19"/>
  <c r="JU1" i="11"/>
  <c r="JV2" i="11"/>
  <c r="D281" i="18"/>
  <c r="O280" i="5"/>
  <c r="D281" i="19" l="1"/>
  <c r="E281" i="19" s="1"/>
  <c r="F281" i="19"/>
  <c r="JU1" i="10"/>
  <c r="JV2" i="10"/>
  <c r="M279" i="3"/>
  <c r="Q278" i="3"/>
  <c r="F279" i="3"/>
  <c r="J278" i="3"/>
  <c r="JV1" i="11"/>
  <c r="JW2" i="11"/>
  <c r="C282" i="19"/>
  <c r="B282" i="4"/>
  <c r="D282" i="18"/>
  <c r="O281" i="5"/>
  <c r="D282" i="19" l="1"/>
  <c r="E282" i="19" s="1"/>
  <c r="F282" i="19"/>
  <c r="JV1" i="10"/>
  <c r="JW2" i="10"/>
  <c r="F280" i="3"/>
  <c r="J279" i="3"/>
  <c r="M280" i="3"/>
  <c r="Q279" i="3"/>
  <c r="D283" i="18"/>
  <c r="O282" i="5"/>
  <c r="C283" i="19"/>
  <c r="B283" i="4"/>
  <c r="JX2" i="11"/>
  <c r="JW1" i="11"/>
  <c r="D283" i="19" l="1"/>
  <c r="E283" i="19" s="1"/>
  <c r="F283" i="19"/>
  <c r="JX2" i="10"/>
  <c r="JW1" i="10"/>
  <c r="M281" i="3"/>
  <c r="Q280" i="3"/>
  <c r="F281" i="3"/>
  <c r="J280" i="3"/>
  <c r="JY2" i="11"/>
  <c r="JX1" i="11"/>
  <c r="B284" i="4"/>
  <c r="C284" i="19"/>
  <c r="D284" i="18"/>
  <c r="O283" i="5"/>
  <c r="D284" i="19" l="1"/>
  <c r="E284" i="19" s="1"/>
  <c r="F284" i="19"/>
  <c r="JY2" i="10"/>
  <c r="JX1" i="10"/>
  <c r="F282" i="3"/>
  <c r="J281" i="3"/>
  <c r="M282" i="3"/>
  <c r="Q281" i="3"/>
  <c r="C285" i="19"/>
  <c r="B285" i="4"/>
  <c r="JY1" i="11"/>
  <c r="JZ2" i="11"/>
  <c r="D285" i="18"/>
  <c r="O284" i="5"/>
  <c r="D285" i="19" l="1"/>
  <c r="E285" i="19" s="1"/>
  <c r="F285" i="19"/>
  <c r="JZ2" i="10"/>
  <c r="JY1" i="10"/>
  <c r="M283" i="3"/>
  <c r="Q282" i="3"/>
  <c r="F283" i="3"/>
  <c r="J282" i="3"/>
  <c r="D286" i="18"/>
  <c r="O285" i="5"/>
  <c r="B286" i="4"/>
  <c r="C286" i="19"/>
  <c r="JZ1" i="11"/>
  <c r="KA2" i="11"/>
  <c r="D286" i="19" l="1"/>
  <c r="E286" i="19" s="1"/>
  <c r="F286" i="19"/>
  <c r="JZ1" i="10"/>
  <c r="KA2" i="10"/>
  <c r="F284" i="3"/>
  <c r="J283" i="3"/>
  <c r="M284" i="3"/>
  <c r="Q283" i="3"/>
  <c r="KB2" i="11"/>
  <c r="KA1" i="11"/>
  <c r="C287" i="19"/>
  <c r="D287" i="18"/>
  <c r="O286" i="5"/>
  <c r="B287" i="4"/>
  <c r="D287" i="19" l="1"/>
  <c r="E287" i="19" s="1"/>
  <c r="F287" i="19"/>
  <c r="KB2" i="10"/>
  <c r="KA1" i="10"/>
  <c r="M285" i="3"/>
  <c r="Q284" i="3"/>
  <c r="F285" i="3"/>
  <c r="J284" i="3"/>
  <c r="B288" i="4"/>
  <c r="D288" i="18"/>
  <c r="O287" i="5"/>
  <c r="C288" i="19"/>
  <c r="KC2" i="11"/>
  <c r="KB1" i="11"/>
  <c r="D288" i="19" l="1"/>
  <c r="E288" i="19" s="1"/>
  <c r="F288" i="19"/>
  <c r="KC2" i="10"/>
  <c r="KB1" i="10"/>
  <c r="F286" i="3"/>
  <c r="J285" i="3"/>
  <c r="M286" i="3"/>
  <c r="Q285" i="3"/>
  <c r="KC1" i="11"/>
  <c r="KD2" i="11"/>
  <c r="C289" i="19"/>
  <c r="D289" i="18"/>
  <c r="O288" i="5"/>
  <c r="B289" i="4"/>
  <c r="D289" i="19" l="1"/>
  <c r="E289" i="19" s="1"/>
  <c r="F289" i="19"/>
  <c r="KD2" i="10"/>
  <c r="KC1" i="10"/>
  <c r="M287" i="3"/>
  <c r="Q286" i="3"/>
  <c r="F287" i="3"/>
  <c r="J286" i="3"/>
  <c r="D290" i="18"/>
  <c r="O289" i="5"/>
  <c r="B290" i="4"/>
  <c r="KD1" i="11"/>
  <c r="KE2" i="11"/>
  <c r="C290" i="19"/>
  <c r="D290" i="19" l="1"/>
  <c r="E290" i="19" s="1"/>
  <c r="F290" i="19"/>
  <c r="KD1" i="10"/>
  <c r="KE2" i="10"/>
  <c r="F288" i="3"/>
  <c r="J287" i="3"/>
  <c r="M288" i="3"/>
  <c r="Q287" i="3"/>
  <c r="C291" i="19"/>
  <c r="B291" i="4"/>
  <c r="D291" i="18"/>
  <c r="O290" i="5"/>
  <c r="KF2" i="11"/>
  <c r="KE1" i="11"/>
  <c r="D291" i="19" l="1"/>
  <c r="E291" i="19" s="1"/>
  <c r="F291" i="19"/>
  <c r="KF2" i="10"/>
  <c r="KE1" i="10"/>
  <c r="M289" i="3"/>
  <c r="Q288" i="3"/>
  <c r="F289" i="3"/>
  <c r="J288" i="3"/>
  <c r="KG2" i="11"/>
  <c r="KF1" i="11"/>
  <c r="D292" i="18"/>
  <c r="O291" i="5"/>
  <c r="B292" i="4"/>
  <c r="C292" i="19"/>
  <c r="D292" i="19" l="1"/>
  <c r="E292" i="19" s="1"/>
  <c r="F292" i="19"/>
  <c r="KG2" i="10"/>
  <c r="KF1" i="10"/>
  <c r="F290" i="3"/>
  <c r="J289" i="3"/>
  <c r="M290" i="3"/>
  <c r="Q289" i="3"/>
  <c r="C293" i="19"/>
  <c r="D293" i="18"/>
  <c r="O292" i="5"/>
  <c r="B293" i="4"/>
  <c r="KG1" i="11"/>
  <c r="KH2" i="11"/>
  <c r="D293" i="19" l="1"/>
  <c r="E293" i="19" s="1"/>
  <c r="F293" i="19"/>
  <c r="KG1" i="10"/>
  <c r="KH2" i="10"/>
  <c r="M291" i="3"/>
  <c r="Q290" i="3"/>
  <c r="F291" i="3"/>
  <c r="J290" i="3"/>
  <c r="D294" i="18"/>
  <c r="O293" i="5"/>
  <c r="B294" i="4"/>
  <c r="KH1" i="11"/>
  <c r="KI2" i="11"/>
  <c r="C294" i="19"/>
  <c r="D294" i="19" l="1"/>
  <c r="E294" i="19" s="1"/>
  <c r="F294" i="19"/>
  <c r="KI2" i="10"/>
  <c r="KH1" i="10"/>
  <c r="F292" i="3"/>
  <c r="J291" i="3"/>
  <c r="M292" i="3"/>
  <c r="Q291" i="3"/>
  <c r="C295" i="19"/>
  <c r="KJ2" i="11"/>
  <c r="KI1" i="11"/>
  <c r="B295" i="4"/>
  <c r="D295" i="18"/>
  <c r="O294" i="5"/>
  <c r="D295" i="19" l="1"/>
  <c r="E295" i="19" s="1"/>
  <c r="F295" i="19"/>
  <c r="KJ2" i="10"/>
  <c r="KI1" i="10"/>
  <c r="M293" i="3"/>
  <c r="Q292" i="3"/>
  <c r="F293" i="3"/>
  <c r="J292" i="3"/>
  <c r="D296" i="18"/>
  <c r="O295" i="5"/>
  <c r="C296" i="19"/>
  <c r="B296" i="4"/>
  <c r="KK2" i="11"/>
  <c r="KJ1" i="11"/>
  <c r="D296" i="19" l="1"/>
  <c r="E296" i="19" s="1"/>
  <c r="F296" i="19"/>
  <c r="KK2" i="10"/>
  <c r="KJ1" i="10"/>
  <c r="F294" i="3"/>
  <c r="J293" i="3"/>
  <c r="M294" i="3"/>
  <c r="Q293" i="3"/>
  <c r="KK1" i="11"/>
  <c r="KL2" i="11"/>
  <c r="C297" i="19"/>
  <c r="D297" i="18"/>
  <c r="O296" i="5"/>
  <c r="B297" i="4"/>
  <c r="D297" i="19" l="1"/>
  <c r="E297" i="19" s="1"/>
  <c r="F297" i="19"/>
  <c r="KL2" i="10"/>
  <c r="KK1" i="10"/>
  <c r="M295" i="3"/>
  <c r="Q294" i="3"/>
  <c r="F295" i="3"/>
  <c r="J294" i="3"/>
  <c r="B298" i="4"/>
  <c r="C298" i="19"/>
  <c r="KL1" i="11"/>
  <c r="KM2" i="11"/>
  <c r="D298" i="18"/>
  <c r="O297" i="5"/>
  <c r="D298" i="19" l="1"/>
  <c r="E298" i="19" s="1"/>
  <c r="F298" i="19"/>
  <c r="KL1" i="10"/>
  <c r="KM2" i="10"/>
  <c r="F296" i="3"/>
  <c r="J295" i="3"/>
  <c r="M296" i="3"/>
  <c r="Q295" i="3"/>
  <c r="KN2" i="11"/>
  <c r="KM1" i="11"/>
  <c r="D299" i="18"/>
  <c r="O298" i="5"/>
  <c r="C299" i="19"/>
  <c r="B299" i="4"/>
  <c r="D299" i="19" l="1"/>
  <c r="E299" i="19" s="1"/>
  <c r="F299" i="19"/>
  <c r="KN2" i="10"/>
  <c r="KM1" i="10"/>
  <c r="M297" i="3"/>
  <c r="Q296" i="3"/>
  <c r="F297" i="3"/>
  <c r="J296" i="3"/>
  <c r="KO2" i="11"/>
  <c r="KN1" i="11"/>
  <c r="D300" i="18"/>
  <c r="O299" i="5"/>
  <c r="B300" i="4"/>
  <c r="C300" i="19"/>
  <c r="D300" i="19" l="1"/>
  <c r="E300" i="19" s="1"/>
  <c r="F300" i="19"/>
  <c r="KO2" i="10"/>
  <c r="KN1" i="10"/>
  <c r="F298" i="3"/>
  <c r="J297" i="3"/>
  <c r="M298" i="3"/>
  <c r="Q297" i="3"/>
  <c r="B301" i="4"/>
  <c r="C301" i="19"/>
  <c r="KO1" i="11"/>
  <c r="KP2" i="11"/>
  <c r="D301" i="18"/>
  <c r="O300" i="5"/>
  <c r="D301" i="19" l="1"/>
  <c r="E301" i="19" s="1"/>
  <c r="F301" i="19"/>
  <c r="KP2" i="10"/>
  <c r="KO1" i="10"/>
  <c r="M299" i="3"/>
  <c r="Q298" i="3"/>
  <c r="F299" i="3"/>
  <c r="J298" i="3"/>
  <c r="B302" i="4"/>
  <c r="D302" i="18"/>
  <c r="O301" i="5"/>
  <c r="C302" i="19"/>
  <c r="KP1" i="11"/>
  <c r="KQ2" i="11"/>
  <c r="D302" i="19" l="1"/>
  <c r="E302" i="19" s="1"/>
  <c r="F302" i="19"/>
  <c r="KP1" i="10"/>
  <c r="KQ2" i="10"/>
  <c r="F300" i="3"/>
  <c r="J299" i="3"/>
  <c r="M300" i="3"/>
  <c r="Q299" i="3"/>
  <c r="KR2" i="11"/>
  <c r="KQ1" i="11"/>
  <c r="C303" i="19"/>
  <c r="D303" i="18"/>
  <c r="O302" i="5"/>
  <c r="B303" i="4"/>
  <c r="D303" i="19" l="1"/>
  <c r="E303" i="19" s="1"/>
  <c r="F303" i="19"/>
  <c r="KR2" i="10"/>
  <c r="KQ1" i="10"/>
  <c r="M301" i="3"/>
  <c r="Q300" i="3"/>
  <c r="F301" i="3"/>
  <c r="J300" i="3"/>
  <c r="D304" i="18"/>
  <c r="O303" i="5"/>
  <c r="C304" i="19"/>
  <c r="KS2" i="11"/>
  <c r="KR1" i="11"/>
  <c r="B304" i="4"/>
  <c r="D304" i="19" l="1"/>
  <c r="E304" i="19" s="1"/>
  <c r="F304" i="19"/>
  <c r="KS2" i="10"/>
  <c r="KR1" i="10"/>
  <c r="F302" i="3"/>
  <c r="J301" i="3"/>
  <c r="M302" i="3"/>
  <c r="Q301" i="3"/>
  <c r="B305" i="4"/>
  <c r="KS1" i="11"/>
  <c r="KT2" i="11"/>
  <c r="D305" i="18"/>
  <c r="O304" i="5"/>
  <c r="C305" i="19"/>
  <c r="D305" i="19" l="1"/>
  <c r="E305" i="19" s="1"/>
  <c r="F305" i="19"/>
  <c r="KT2" i="10"/>
  <c r="KS1" i="10"/>
  <c r="M303" i="3"/>
  <c r="Q302" i="3"/>
  <c r="F303" i="3"/>
  <c r="J302" i="3"/>
  <c r="B306" i="4"/>
  <c r="D306" i="18"/>
  <c r="O305" i="5"/>
  <c r="KT1" i="11"/>
  <c r="KU2" i="11"/>
  <c r="C306" i="19"/>
  <c r="D306" i="19" l="1"/>
  <c r="E306" i="19" s="1"/>
  <c r="F306" i="19"/>
  <c r="KT1" i="10"/>
  <c r="KU2" i="10"/>
  <c r="F304" i="3"/>
  <c r="J303" i="3"/>
  <c r="M304" i="3"/>
  <c r="Q303" i="3"/>
  <c r="D307" i="18"/>
  <c r="O306" i="5"/>
  <c r="B307" i="4"/>
  <c r="C307" i="19"/>
  <c r="KV2" i="11"/>
  <c r="KU1" i="11"/>
  <c r="D307" i="19" l="1"/>
  <c r="E307" i="19" s="1"/>
  <c r="F307" i="19"/>
  <c r="KV2" i="10"/>
  <c r="KU1" i="10"/>
  <c r="M305" i="3"/>
  <c r="Q304" i="3"/>
  <c r="F305" i="3"/>
  <c r="J304" i="3"/>
  <c r="KW2" i="11"/>
  <c r="KV1" i="11"/>
  <c r="C308" i="19"/>
  <c r="D308" i="18"/>
  <c r="O307" i="5"/>
  <c r="B308" i="4"/>
  <c r="D308" i="19" l="1"/>
  <c r="E308" i="19" s="1"/>
  <c r="F308" i="19"/>
  <c r="KV1" i="10"/>
  <c r="KW2" i="10"/>
  <c r="F306" i="3"/>
  <c r="J305" i="3"/>
  <c r="M306" i="3"/>
  <c r="Q305" i="3"/>
  <c r="D309" i="18"/>
  <c r="O308" i="5"/>
  <c r="KW1" i="11"/>
  <c r="KX2" i="11"/>
  <c r="B309" i="4"/>
  <c r="C309" i="19"/>
  <c r="D309" i="19" l="1"/>
  <c r="E309" i="19" s="1"/>
  <c r="F309" i="19"/>
  <c r="KX2" i="10"/>
  <c r="KW1" i="10"/>
  <c r="M307" i="3"/>
  <c r="Q306" i="3"/>
  <c r="F307" i="3"/>
  <c r="J306" i="3"/>
  <c r="KX1" i="11"/>
  <c r="KY2" i="11"/>
  <c r="D310" i="18"/>
  <c r="O309" i="5"/>
  <c r="B310" i="4"/>
  <c r="C310" i="19"/>
  <c r="D310" i="19" l="1"/>
  <c r="E310" i="19" s="1"/>
  <c r="F310" i="19"/>
  <c r="KX1" i="10"/>
  <c r="KY2" i="10"/>
  <c r="F308" i="3"/>
  <c r="J307" i="3"/>
  <c r="M308" i="3"/>
  <c r="Q307" i="3"/>
  <c r="B311" i="4"/>
  <c r="D311" i="18"/>
  <c r="O310" i="5"/>
  <c r="KZ2" i="11"/>
  <c r="KY1" i="11"/>
  <c r="C311" i="19"/>
  <c r="D311" i="19" l="1"/>
  <c r="E311" i="19" s="1"/>
  <c r="F311" i="19"/>
  <c r="KZ2" i="10"/>
  <c r="KY1" i="10"/>
  <c r="M309" i="3"/>
  <c r="Q308" i="3"/>
  <c r="F309" i="3"/>
  <c r="J308" i="3"/>
  <c r="C312" i="19"/>
  <c r="LA2" i="11"/>
  <c r="KZ1" i="11"/>
  <c r="B312" i="4"/>
  <c r="D312" i="18"/>
  <c r="O311" i="5"/>
  <c r="D312" i="19" l="1"/>
  <c r="E312" i="19" s="1"/>
  <c r="F312" i="19"/>
  <c r="LA2" i="10"/>
  <c r="KZ1" i="10"/>
  <c r="F310" i="3"/>
  <c r="J309" i="3"/>
  <c r="M310" i="3"/>
  <c r="Q309" i="3"/>
  <c r="B313" i="4"/>
  <c r="C313" i="19"/>
  <c r="D313" i="18"/>
  <c r="O312" i="5"/>
  <c r="LA1" i="11"/>
  <c r="LB2" i="11"/>
  <c r="D313" i="19" l="1"/>
  <c r="E313" i="19" s="1"/>
  <c r="F313" i="19"/>
  <c r="LB2" i="10"/>
  <c r="LA1" i="10"/>
  <c r="M311" i="3"/>
  <c r="Q310" i="3"/>
  <c r="F311" i="3"/>
  <c r="J310" i="3"/>
  <c r="D314" i="18"/>
  <c r="O313" i="5"/>
  <c r="C314" i="19"/>
  <c r="B314" i="4"/>
  <c r="LB1" i="11"/>
  <c r="LC2" i="11"/>
  <c r="D314" i="19" l="1"/>
  <c r="E314" i="19" s="1"/>
  <c r="F314" i="19"/>
  <c r="LB1" i="10"/>
  <c r="LC2" i="10"/>
  <c r="F312" i="3"/>
  <c r="J311" i="3"/>
  <c r="M312" i="3"/>
  <c r="Q311" i="3"/>
  <c r="B315" i="4"/>
  <c r="C315" i="19"/>
  <c r="D315" i="18"/>
  <c r="O314" i="5"/>
  <c r="LD2" i="11"/>
  <c r="LC1" i="11"/>
  <c r="D315" i="19" l="1"/>
  <c r="E315" i="19" s="1"/>
  <c r="F315" i="19"/>
  <c r="LD2" i="10"/>
  <c r="LC1" i="10"/>
  <c r="M313" i="3"/>
  <c r="Q312" i="3"/>
  <c r="F313" i="3"/>
  <c r="J312" i="3"/>
  <c r="B316" i="4"/>
  <c r="LE2" i="11"/>
  <c r="LD1" i="11"/>
  <c r="C316" i="19"/>
  <c r="D316" i="18"/>
  <c r="O315" i="5"/>
  <c r="D316" i="19" l="1"/>
  <c r="E316" i="19" s="1"/>
  <c r="F316" i="19"/>
  <c r="LE2" i="10"/>
  <c r="LD1" i="10"/>
  <c r="F314" i="3"/>
  <c r="J313" i="3"/>
  <c r="M314" i="3"/>
  <c r="Q313" i="3"/>
  <c r="C317" i="19"/>
  <c r="D317" i="18"/>
  <c r="O316" i="5"/>
  <c r="LE1" i="11"/>
  <c r="LF2" i="11"/>
  <c r="B317" i="4"/>
  <c r="D317" i="19" l="1"/>
  <c r="E317" i="19" s="1"/>
  <c r="F317" i="19"/>
  <c r="LF2" i="10"/>
  <c r="LE1" i="10"/>
  <c r="M315" i="3"/>
  <c r="Q314" i="3"/>
  <c r="F315" i="3"/>
  <c r="J314" i="3"/>
  <c r="D318" i="18"/>
  <c r="O317" i="5"/>
  <c r="B318" i="4"/>
  <c r="LF1" i="11"/>
  <c r="LG2" i="11"/>
  <c r="C318" i="19"/>
  <c r="D318" i="19" l="1"/>
  <c r="E318" i="19" s="1"/>
  <c r="F318" i="19"/>
  <c r="LF1" i="10"/>
  <c r="LG2" i="10"/>
  <c r="F316" i="3"/>
  <c r="J315" i="3"/>
  <c r="M316" i="3"/>
  <c r="Q315" i="3"/>
  <c r="LH2" i="11"/>
  <c r="LG1" i="11"/>
  <c r="D319" i="18"/>
  <c r="O318" i="5"/>
  <c r="C319" i="19"/>
  <c r="B319" i="4"/>
  <c r="D319" i="19" l="1"/>
  <c r="E319" i="19" s="1"/>
  <c r="F319" i="19"/>
  <c r="LH2" i="10"/>
  <c r="LG1" i="10"/>
  <c r="M317" i="3"/>
  <c r="Q316" i="3"/>
  <c r="F317" i="3"/>
  <c r="J316" i="3"/>
  <c r="B320" i="4"/>
  <c r="LI2" i="11"/>
  <c r="LH1" i="11"/>
  <c r="C320" i="19"/>
  <c r="D320" i="18"/>
  <c r="O319" i="5"/>
  <c r="D320" i="19" l="1"/>
  <c r="E320" i="19" s="1"/>
  <c r="F320" i="19"/>
  <c r="LI2" i="10"/>
  <c r="LH1" i="10"/>
  <c r="F318" i="3"/>
  <c r="J317" i="3"/>
  <c r="M318" i="3"/>
  <c r="Q317" i="3"/>
  <c r="D321" i="18"/>
  <c r="O320" i="5"/>
  <c r="C321" i="19"/>
  <c r="LI1" i="11"/>
  <c r="LJ2" i="11"/>
  <c r="B321" i="4"/>
  <c r="D321" i="19" l="1"/>
  <c r="E321" i="19" s="1"/>
  <c r="F321" i="19"/>
  <c r="LJ2" i="10"/>
  <c r="LI1" i="10"/>
  <c r="M319" i="3"/>
  <c r="Q318" i="3"/>
  <c r="F319" i="3"/>
  <c r="J318" i="3"/>
  <c r="LJ1" i="11"/>
  <c r="LK2" i="11"/>
  <c r="C322" i="19"/>
  <c r="D322" i="18"/>
  <c r="O321" i="5"/>
  <c r="B322" i="4"/>
  <c r="D322" i="19" l="1"/>
  <c r="E322" i="19" s="1"/>
  <c r="F322" i="19"/>
  <c r="LJ1" i="10"/>
  <c r="LK2" i="10"/>
  <c r="F320" i="3"/>
  <c r="J319" i="3"/>
  <c r="M320" i="3"/>
  <c r="Q319" i="3"/>
  <c r="D323" i="18"/>
  <c r="O322" i="5"/>
  <c r="B323" i="4"/>
  <c r="C323" i="19"/>
  <c r="LL2" i="11"/>
  <c r="LK1" i="11"/>
  <c r="D323" i="19" l="1"/>
  <c r="E323" i="19" s="1"/>
  <c r="F323" i="19"/>
  <c r="LL2" i="10"/>
  <c r="LK1" i="10"/>
  <c r="M321" i="3"/>
  <c r="Q320" i="3"/>
  <c r="F321" i="3"/>
  <c r="J320" i="3"/>
  <c r="B324" i="4"/>
  <c r="D324" i="18"/>
  <c r="O323" i="5"/>
  <c r="C324" i="19"/>
  <c r="LM2" i="11"/>
  <c r="LL1" i="11"/>
  <c r="D324" i="19" l="1"/>
  <c r="E324" i="19" s="1"/>
  <c r="F324" i="19"/>
  <c r="LM2" i="10"/>
  <c r="LL1" i="10"/>
  <c r="F322" i="3"/>
  <c r="J321" i="3"/>
  <c r="M322" i="3"/>
  <c r="Q321" i="3"/>
  <c r="B325" i="4"/>
  <c r="LM1" i="11"/>
  <c r="LN2" i="11"/>
  <c r="C325" i="19"/>
  <c r="D325" i="18"/>
  <c r="O324" i="5"/>
  <c r="D325" i="19" l="1"/>
  <c r="E325" i="19" s="1"/>
  <c r="F325" i="19"/>
  <c r="LN2" i="10"/>
  <c r="LM1" i="10"/>
  <c r="M323" i="3"/>
  <c r="Q322" i="3"/>
  <c r="F323" i="3"/>
  <c r="J322" i="3"/>
  <c r="D326" i="18"/>
  <c r="O325" i="5"/>
  <c r="C326" i="19"/>
  <c r="LN1" i="11"/>
  <c r="LO2" i="11"/>
  <c r="B326" i="4"/>
  <c r="D326" i="19" l="1"/>
  <c r="E326" i="19" s="1"/>
  <c r="F326" i="19"/>
  <c r="LN1" i="10"/>
  <c r="LO2" i="10"/>
  <c r="F324" i="3"/>
  <c r="J323" i="3"/>
  <c r="M324" i="3"/>
  <c r="Q323" i="3"/>
  <c r="D327" i="18"/>
  <c r="O326" i="5"/>
  <c r="LP2" i="11"/>
  <c r="LO1" i="11"/>
  <c r="C327" i="19"/>
  <c r="B327" i="4"/>
  <c r="D327" i="19" l="1"/>
  <c r="E327" i="19" s="1"/>
  <c r="F327" i="19"/>
  <c r="LP2" i="10"/>
  <c r="LO1" i="10"/>
  <c r="M325" i="3"/>
  <c r="Q324" i="3"/>
  <c r="F325" i="3"/>
  <c r="J324" i="3"/>
  <c r="C328" i="19"/>
  <c r="B328" i="4"/>
  <c r="LQ2" i="11"/>
  <c r="LP1" i="11"/>
  <c r="D328" i="18"/>
  <c r="O327" i="5"/>
  <c r="D328" i="19" l="1"/>
  <c r="E328" i="19" s="1"/>
  <c r="F328" i="19"/>
  <c r="LQ2" i="10"/>
  <c r="LP1" i="10"/>
  <c r="F326" i="3"/>
  <c r="J325" i="3"/>
  <c r="M326" i="3"/>
  <c r="Q325" i="3"/>
  <c r="D329" i="18"/>
  <c r="O328" i="5"/>
  <c r="C329" i="19"/>
  <c r="LQ1" i="11"/>
  <c r="LR2" i="11"/>
  <c r="B329" i="4"/>
  <c r="D329" i="19" l="1"/>
  <c r="E329" i="19" s="1"/>
  <c r="F329" i="19"/>
  <c r="LR2" i="10"/>
  <c r="LQ1" i="10"/>
  <c r="M327" i="3"/>
  <c r="Q326" i="3"/>
  <c r="F327" i="3"/>
  <c r="J326" i="3"/>
  <c r="LR1" i="11"/>
  <c r="LS2" i="11"/>
  <c r="C330" i="19"/>
  <c r="D330" i="18"/>
  <c r="O329" i="5"/>
  <c r="B330" i="4"/>
  <c r="D330" i="19" l="1"/>
  <c r="E330" i="19" s="1"/>
  <c r="F330" i="19"/>
  <c r="LR1" i="10"/>
  <c r="LS2" i="10"/>
  <c r="F328" i="3"/>
  <c r="J327" i="3"/>
  <c r="M328" i="3"/>
  <c r="Q327" i="3"/>
  <c r="D331" i="18"/>
  <c r="O330" i="5"/>
  <c r="LT2" i="11"/>
  <c r="LS1" i="11"/>
  <c r="C331" i="19"/>
  <c r="B331" i="4"/>
  <c r="D331" i="19" l="1"/>
  <c r="E331" i="19" s="1"/>
  <c r="F331" i="19"/>
  <c r="LT2" i="10"/>
  <c r="LS1" i="10"/>
  <c r="M329" i="3"/>
  <c r="Q328" i="3"/>
  <c r="F329" i="3"/>
  <c r="J328" i="3"/>
  <c r="LU2" i="11"/>
  <c r="LT1" i="11"/>
  <c r="D332" i="18"/>
  <c r="O331" i="5"/>
  <c r="B332" i="4"/>
  <c r="C332" i="19"/>
  <c r="D332" i="19" l="1"/>
  <c r="E332" i="19" s="1"/>
  <c r="F332" i="19"/>
  <c r="LU2" i="10"/>
  <c r="LT1" i="10"/>
  <c r="F330" i="3"/>
  <c r="J329" i="3"/>
  <c r="M330" i="3"/>
  <c r="Q329" i="3"/>
  <c r="C333" i="19"/>
  <c r="D333" i="18"/>
  <c r="O332" i="5"/>
  <c r="LU1" i="11"/>
  <c r="LV2" i="11"/>
  <c r="B333" i="4"/>
  <c r="D333" i="19" l="1"/>
  <c r="E333" i="19" s="1"/>
  <c r="F333" i="19"/>
  <c r="LU1" i="10"/>
  <c r="LV2" i="10"/>
  <c r="M331" i="3"/>
  <c r="Q330" i="3"/>
  <c r="F331" i="3"/>
  <c r="J330" i="3"/>
  <c r="C334" i="19"/>
  <c r="D334" i="18"/>
  <c r="O333" i="5"/>
  <c r="B334" i="4"/>
  <c r="LV1" i="11"/>
  <c r="LW2" i="11"/>
  <c r="D334" i="19" l="1"/>
  <c r="E334" i="19" s="1"/>
  <c r="F334" i="19"/>
  <c r="LV1" i="10"/>
  <c r="LW2" i="10"/>
  <c r="F332" i="3"/>
  <c r="J331" i="3"/>
  <c r="M332" i="3"/>
  <c r="Q331" i="3"/>
  <c r="C335" i="19"/>
  <c r="D335" i="18"/>
  <c r="O334" i="5"/>
  <c r="B335" i="4"/>
  <c r="LX2" i="11"/>
  <c r="LW1" i="11"/>
  <c r="D335" i="19" l="1"/>
  <c r="E335" i="19" s="1"/>
  <c r="F335" i="19"/>
  <c r="LW1" i="10"/>
  <c r="LX2" i="10"/>
  <c r="M333" i="3"/>
  <c r="Q332" i="3"/>
  <c r="F333" i="3"/>
  <c r="J332" i="3"/>
  <c r="B336" i="4"/>
  <c r="C336" i="19"/>
  <c r="LY2" i="11"/>
  <c r="LX1" i="11"/>
  <c r="D336" i="18"/>
  <c r="O335" i="5"/>
  <c r="D336" i="19" l="1"/>
  <c r="E336" i="19" s="1"/>
  <c r="F336" i="19"/>
  <c r="LY2" i="10"/>
  <c r="LX1" i="10"/>
  <c r="F334" i="3"/>
  <c r="J333" i="3"/>
  <c r="M334" i="3"/>
  <c r="Q333" i="3"/>
  <c r="C337" i="19"/>
  <c r="LY1" i="11"/>
  <c r="LZ2" i="11"/>
  <c r="D337" i="18"/>
  <c r="O336" i="5"/>
  <c r="B337" i="4"/>
  <c r="D337" i="19" l="1"/>
  <c r="E337" i="19" s="1"/>
  <c r="F337" i="19"/>
  <c r="LZ2" i="10"/>
  <c r="LY1" i="10"/>
  <c r="M335" i="3"/>
  <c r="Q334" i="3"/>
  <c r="F335" i="3"/>
  <c r="J334" i="3"/>
  <c r="LZ1" i="11"/>
  <c r="MA2" i="11"/>
  <c r="C338" i="19"/>
  <c r="B338" i="4"/>
  <c r="D338" i="18"/>
  <c r="O337" i="5"/>
  <c r="D338" i="19" l="1"/>
  <c r="E338" i="19" s="1"/>
  <c r="F338" i="19"/>
  <c r="LZ1" i="10"/>
  <c r="MA2" i="10"/>
  <c r="F336" i="3"/>
  <c r="J335" i="3"/>
  <c r="M336" i="3"/>
  <c r="Q335" i="3"/>
  <c r="MB2" i="11"/>
  <c r="MA1" i="11"/>
  <c r="C339" i="19"/>
  <c r="B339" i="4"/>
  <c r="D339" i="18"/>
  <c r="O338" i="5"/>
  <c r="D339" i="19" l="1"/>
  <c r="E339" i="19" s="1"/>
  <c r="F339" i="19"/>
  <c r="MB2" i="10"/>
  <c r="MA1" i="10"/>
  <c r="M337" i="3"/>
  <c r="Q336" i="3"/>
  <c r="F337" i="3"/>
  <c r="J336" i="3"/>
  <c r="B340" i="4"/>
  <c r="D340" i="18"/>
  <c r="O339" i="5"/>
  <c r="C340" i="19"/>
  <c r="MC2" i="11"/>
  <c r="MB1" i="11"/>
  <c r="D340" i="19" l="1"/>
  <c r="E340" i="19" s="1"/>
  <c r="F340" i="19"/>
  <c r="MB1" i="10"/>
  <c r="MC2" i="10"/>
  <c r="F338" i="3"/>
  <c r="J337" i="3"/>
  <c r="M338" i="3"/>
  <c r="Q337" i="3"/>
  <c r="MC1" i="11"/>
  <c r="MD2" i="11"/>
  <c r="C341" i="19"/>
  <c r="D341" i="18"/>
  <c r="O340" i="5"/>
  <c r="B341" i="4"/>
  <c r="D341" i="19" l="1"/>
  <c r="E341" i="19" s="1"/>
  <c r="F341" i="19"/>
  <c r="MD2" i="10"/>
  <c r="MC1" i="10"/>
  <c r="M339" i="3"/>
  <c r="Q338" i="3"/>
  <c r="F339" i="3"/>
  <c r="J338" i="3"/>
  <c r="D342" i="18"/>
  <c r="O341" i="5"/>
  <c r="B342" i="4"/>
  <c r="MD1" i="11"/>
  <c r="ME2" i="11"/>
  <c r="C342" i="19"/>
  <c r="D342" i="19" l="1"/>
  <c r="E342" i="19" s="1"/>
  <c r="F342" i="19"/>
  <c r="MD1" i="10"/>
  <c r="ME2" i="10"/>
  <c r="F340" i="3"/>
  <c r="J339" i="3"/>
  <c r="M340" i="3"/>
  <c r="Q339" i="3"/>
  <c r="B343" i="4"/>
  <c r="D343" i="18"/>
  <c r="O342" i="5"/>
  <c r="MF2" i="11"/>
  <c r="ME1" i="11"/>
  <c r="C343" i="19"/>
  <c r="D343" i="19" l="1"/>
  <c r="E343" i="19" s="1"/>
  <c r="F343" i="19"/>
  <c r="MF2" i="10"/>
  <c r="ME1" i="10"/>
  <c r="M341" i="3"/>
  <c r="Q340" i="3"/>
  <c r="F341" i="3"/>
  <c r="J340" i="3"/>
  <c r="C344" i="19"/>
  <c r="MG2" i="11"/>
  <c r="MF1" i="11"/>
  <c r="D344" i="18"/>
  <c r="O343" i="5"/>
  <c r="B344" i="4"/>
  <c r="D344" i="19" l="1"/>
  <c r="E344" i="19" s="1"/>
  <c r="F344" i="19"/>
  <c r="MG2" i="10"/>
  <c r="MF1" i="10"/>
  <c r="F342" i="3"/>
  <c r="J341" i="3"/>
  <c r="M342" i="3"/>
  <c r="Q341" i="3"/>
  <c r="D345" i="18"/>
  <c r="O344" i="5"/>
  <c r="C345" i="19"/>
  <c r="B345" i="4"/>
  <c r="MG1" i="11"/>
  <c r="MH2" i="11"/>
  <c r="D345" i="19" l="1"/>
  <c r="E345" i="19" s="1"/>
  <c r="F345" i="19"/>
  <c r="MG1" i="10"/>
  <c r="MH2" i="10"/>
  <c r="M343" i="3"/>
  <c r="Q342" i="3"/>
  <c r="F343" i="3"/>
  <c r="J342" i="3"/>
  <c r="MH1" i="11"/>
  <c r="MI2" i="11"/>
  <c r="C346" i="19"/>
  <c r="D346" i="18"/>
  <c r="O345" i="5"/>
  <c r="B346" i="4"/>
  <c r="D346" i="19" l="1"/>
  <c r="E346" i="19" s="1"/>
  <c r="F346" i="19"/>
  <c r="MH1" i="10"/>
  <c r="MI2" i="10"/>
  <c r="F344" i="3"/>
  <c r="J343" i="3"/>
  <c r="M344" i="3"/>
  <c r="Q343" i="3"/>
  <c r="D347" i="18"/>
  <c r="O346" i="5"/>
  <c r="B347" i="4"/>
  <c r="MJ2" i="11"/>
  <c r="MI1" i="11"/>
  <c r="C347" i="19"/>
  <c r="D347" i="19" l="1"/>
  <c r="E347" i="19" s="1"/>
  <c r="F347" i="19"/>
  <c r="MI1" i="10"/>
  <c r="MJ2" i="10"/>
  <c r="M345" i="3"/>
  <c r="Q344" i="3"/>
  <c r="F345" i="3"/>
  <c r="J344" i="3"/>
  <c r="D348" i="18"/>
  <c r="O347" i="5"/>
  <c r="C348" i="19"/>
  <c r="MK2" i="11"/>
  <c r="MJ1" i="11"/>
  <c r="B348" i="4"/>
  <c r="D348" i="19" l="1"/>
  <c r="E348" i="19" s="1"/>
  <c r="F348" i="19"/>
  <c r="MK2" i="10"/>
  <c r="MJ1" i="10"/>
  <c r="F346" i="3"/>
  <c r="J345" i="3"/>
  <c r="M346" i="3"/>
  <c r="Q345" i="3"/>
  <c r="D349" i="18"/>
  <c r="O348" i="5"/>
  <c r="B349" i="4"/>
  <c r="MK1" i="11"/>
  <c r="ML2" i="11"/>
  <c r="C349" i="19"/>
  <c r="D349" i="19" l="1"/>
  <c r="E349" i="19" s="1"/>
  <c r="F349" i="19"/>
  <c r="ML2" i="10"/>
  <c r="MK1" i="10"/>
  <c r="M347" i="3"/>
  <c r="Q346" i="3"/>
  <c r="F347" i="3"/>
  <c r="J346" i="3"/>
  <c r="B350" i="4"/>
  <c r="D350" i="18"/>
  <c r="O349" i="5"/>
  <c r="ML1" i="11"/>
  <c r="MM2" i="11"/>
  <c r="C350" i="19"/>
  <c r="D350" i="19" l="1"/>
  <c r="E350" i="19" s="1"/>
  <c r="F350" i="19"/>
  <c r="ML1" i="10"/>
  <c r="MM2" i="10"/>
  <c r="F348" i="3"/>
  <c r="J347" i="3"/>
  <c r="M348" i="3"/>
  <c r="Q347" i="3"/>
  <c r="C351" i="19"/>
  <c r="MN2" i="11"/>
  <c r="MM1" i="11"/>
  <c r="D351" i="18"/>
  <c r="O350" i="5"/>
  <c r="B351" i="4"/>
  <c r="D351" i="19" l="1"/>
  <c r="E351" i="19" s="1"/>
  <c r="F351" i="19"/>
  <c r="MM1" i="10"/>
  <c r="MN2" i="10"/>
  <c r="M349" i="3"/>
  <c r="Q348" i="3"/>
  <c r="F349" i="3"/>
  <c r="J348" i="3"/>
  <c r="B352" i="4"/>
  <c r="MO2" i="11"/>
  <c r="MN1" i="11"/>
  <c r="D352" i="18"/>
  <c r="O351" i="5"/>
  <c r="C352" i="19"/>
  <c r="D352" i="19" l="1"/>
  <c r="E352" i="19" s="1"/>
  <c r="F352" i="19"/>
  <c r="MO2" i="10"/>
  <c r="MN1" i="10"/>
  <c r="F350" i="3"/>
  <c r="J349" i="3"/>
  <c r="M350" i="3"/>
  <c r="Q349" i="3"/>
  <c r="C353" i="19"/>
  <c r="D353" i="18"/>
  <c r="O352" i="5"/>
  <c r="B353" i="4"/>
  <c r="MO1" i="11"/>
  <c r="MP2" i="11"/>
  <c r="D353" i="19" l="1"/>
  <c r="E353" i="19" s="1"/>
  <c r="F353" i="19"/>
  <c r="MP2" i="10"/>
  <c r="MO1" i="10"/>
  <c r="M351" i="3"/>
  <c r="Q350" i="3"/>
  <c r="F351" i="3"/>
  <c r="J350" i="3"/>
  <c r="C354" i="19"/>
  <c r="D354" i="18"/>
  <c r="O353" i="5"/>
  <c r="MP1" i="11"/>
  <c r="MQ2" i="11"/>
  <c r="B354" i="4"/>
  <c r="D354" i="19" l="1"/>
  <c r="E354" i="19" s="1"/>
  <c r="F354" i="19"/>
  <c r="MP1" i="10"/>
  <c r="MQ2" i="10"/>
  <c r="F352" i="3"/>
  <c r="J351" i="3"/>
  <c r="M352" i="3"/>
  <c r="Q351" i="3"/>
  <c r="D355" i="18"/>
  <c r="O354" i="5"/>
  <c r="MR2" i="11"/>
  <c r="MQ1" i="11"/>
  <c r="C355" i="19"/>
  <c r="B355" i="4"/>
  <c r="D355" i="19" l="1"/>
  <c r="E355" i="19" s="1"/>
  <c r="F355" i="19"/>
  <c r="MR2" i="10"/>
  <c r="MQ1" i="10"/>
  <c r="M353" i="3"/>
  <c r="Q352" i="3"/>
  <c r="F353" i="3"/>
  <c r="J352" i="3"/>
  <c r="C356" i="19"/>
  <c r="B356" i="4"/>
  <c r="D356" i="18"/>
  <c r="O355" i="5"/>
  <c r="MS2" i="11"/>
  <c r="MR1" i="11"/>
  <c r="D356" i="19" l="1"/>
  <c r="E356" i="19" s="1"/>
  <c r="F356" i="19"/>
  <c r="MS2" i="10"/>
  <c r="MR1" i="10"/>
  <c r="F354" i="3"/>
  <c r="J353" i="3"/>
  <c r="M354" i="3"/>
  <c r="Q353" i="3"/>
  <c r="MS1" i="11"/>
  <c r="MT2" i="11"/>
  <c r="B357" i="4"/>
  <c r="D357" i="18"/>
  <c r="O356" i="5"/>
  <c r="C357" i="19"/>
  <c r="D357" i="19" l="1"/>
  <c r="E357" i="19" s="1"/>
  <c r="F357" i="19"/>
  <c r="MS1" i="10"/>
  <c r="MT2" i="10"/>
  <c r="M355" i="3"/>
  <c r="Q354" i="3"/>
  <c r="F355" i="3"/>
  <c r="J354" i="3"/>
  <c r="C358" i="19"/>
  <c r="D358" i="18"/>
  <c r="O357" i="5"/>
  <c r="B358" i="4"/>
  <c r="MT1" i="11"/>
  <c r="MU2" i="11"/>
  <c r="D358" i="19" l="1"/>
  <c r="E358" i="19" s="1"/>
  <c r="F358" i="19"/>
  <c r="MU2" i="10"/>
  <c r="MT1" i="10"/>
  <c r="F356" i="3"/>
  <c r="J355" i="3"/>
  <c r="M356" i="3"/>
  <c r="Q355" i="3"/>
  <c r="C359" i="19"/>
  <c r="MV2" i="11"/>
  <c r="MU1" i="11"/>
  <c r="B359" i="4"/>
  <c r="D359" i="18"/>
  <c r="O358" i="5"/>
  <c r="D359" i="19" l="1"/>
  <c r="E359" i="19" s="1"/>
  <c r="F359" i="19"/>
  <c r="MU1" i="10"/>
  <c r="MV2" i="10"/>
  <c r="M357" i="3"/>
  <c r="Q356" i="3"/>
  <c r="F357" i="3"/>
  <c r="J356" i="3"/>
  <c r="D360" i="18"/>
  <c r="O359" i="5"/>
  <c r="B360" i="4"/>
  <c r="C360" i="19"/>
  <c r="MW2" i="11"/>
  <c r="MV1" i="11"/>
  <c r="D360" i="19" l="1"/>
  <c r="E360" i="19" s="1"/>
  <c r="F360" i="19"/>
  <c r="MW2" i="10"/>
  <c r="MV1" i="10"/>
  <c r="F358" i="3"/>
  <c r="J357" i="3"/>
  <c r="M358" i="3"/>
  <c r="Q357" i="3"/>
  <c r="MW1" i="11"/>
  <c r="MX2" i="11"/>
  <c r="B361" i="4"/>
  <c r="D361" i="18"/>
  <c r="O360" i="5"/>
  <c r="C361" i="19"/>
  <c r="D361" i="19" l="1"/>
  <c r="E361" i="19" s="1"/>
  <c r="F361" i="19"/>
  <c r="MX2" i="10"/>
  <c r="MW1" i="10"/>
  <c r="M359" i="3"/>
  <c r="Q358" i="3"/>
  <c r="F359" i="3"/>
  <c r="J358" i="3"/>
  <c r="B362" i="4"/>
  <c r="MX1" i="11"/>
  <c r="MY2" i="11"/>
  <c r="MY1" i="11" s="1"/>
  <c r="C362" i="19"/>
  <c r="D362" i="18"/>
  <c r="O361" i="5"/>
  <c r="D362" i="19" l="1"/>
  <c r="E362" i="19" s="1"/>
  <c r="F362" i="19"/>
  <c r="MX1" i="10"/>
  <c r="MY2" i="10"/>
  <c r="F360" i="3"/>
  <c r="J359" i="3"/>
  <c r="M360" i="3"/>
  <c r="Q359" i="3"/>
  <c r="D363" i="18"/>
  <c r="O362" i="5"/>
  <c r="C363" i="19"/>
  <c r="B363" i="4"/>
  <c r="D363" i="19" l="1"/>
  <c r="E363" i="19" s="1"/>
  <c r="F363" i="19"/>
  <c r="MZ2" i="10"/>
  <c r="MY1" i="10"/>
  <c r="M361" i="3"/>
  <c r="Q360" i="3"/>
  <c r="F361" i="3"/>
  <c r="J360" i="3"/>
  <c r="C364" i="19"/>
  <c r="D364" i="18"/>
  <c r="O363" i="5"/>
  <c r="B364" i="4"/>
  <c r="D364" i="19" l="1"/>
  <c r="E364" i="19" s="1"/>
  <c r="F364" i="19"/>
  <c r="NA2" i="10"/>
  <c r="MZ1" i="10"/>
  <c r="F362" i="3"/>
  <c r="J361" i="3"/>
  <c r="M362" i="3"/>
  <c r="Q361" i="3"/>
  <c r="C365" i="19"/>
  <c r="B365" i="4"/>
  <c r="D365" i="18"/>
  <c r="O364" i="5"/>
  <c r="D365" i="19" l="1"/>
  <c r="E365" i="19" s="1"/>
  <c r="F365" i="19"/>
  <c r="NA1" i="10"/>
  <c r="NB2" i="10"/>
  <c r="M363" i="3"/>
  <c r="Q362" i="3"/>
  <c r="F363" i="3"/>
  <c r="J362" i="3"/>
  <c r="D366" i="18"/>
  <c r="O365" i="5"/>
  <c r="B366" i="4"/>
  <c r="C366" i="19"/>
  <c r="D366" i="19" l="1"/>
  <c r="E366" i="19" s="1"/>
  <c r="F366" i="19"/>
  <c r="NB1" i="10"/>
  <c r="NC2" i="10"/>
  <c r="F364" i="3"/>
  <c r="J363" i="3"/>
  <c r="M364" i="3"/>
  <c r="Q363" i="3"/>
  <c r="D367" i="18"/>
  <c r="O366" i="5"/>
  <c r="C367" i="19"/>
  <c r="B367" i="4"/>
  <c r="D367" i="19" l="1"/>
  <c r="E367" i="19" s="1"/>
  <c r="F367" i="19"/>
  <c r="ND2" i="10"/>
  <c r="NC1" i="10"/>
  <c r="M365" i="3"/>
  <c r="Q364" i="3"/>
  <c r="F365" i="3"/>
  <c r="J364" i="3"/>
  <c r="B368" i="4"/>
  <c r="D368" i="18"/>
  <c r="O367" i="5"/>
  <c r="C368" i="19"/>
  <c r="D368" i="19" l="1"/>
  <c r="E368" i="19" s="1"/>
  <c r="F368" i="19"/>
  <c r="NE2" i="10"/>
  <c r="ND1" i="10"/>
  <c r="F366" i="3"/>
  <c r="J365" i="3"/>
  <c r="M366" i="3"/>
  <c r="Q365" i="3"/>
  <c r="D369" i="18"/>
  <c r="O368" i="5"/>
  <c r="C369" i="19"/>
  <c r="B369" i="4"/>
  <c r="D369" i="19" l="1"/>
  <c r="E369" i="19" s="1"/>
  <c r="F369" i="19"/>
  <c r="NF2" i="10"/>
  <c r="NE1" i="10"/>
  <c r="M367" i="3"/>
  <c r="Q366" i="3"/>
  <c r="F367" i="3"/>
  <c r="J366" i="3"/>
  <c r="C370" i="19"/>
  <c r="B370" i="4"/>
  <c r="D370" i="18"/>
  <c r="O369" i="5"/>
  <c r="D370" i="19" l="1"/>
  <c r="E370" i="19" s="1"/>
  <c r="F370" i="19"/>
  <c r="NF1" i="10"/>
  <c r="NG2" i="10"/>
  <c r="F368" i="3"/>
  <c r="J367" i="3"/>
  <c r="M368" i="3"/>
  <c r="Q367" i="3"/>
  <c r="D371" i="18"/>
  <c r="O370" i="5"/>
  <c r="C371" i="19"/>
  <c r="B371" i="4"/>
  <c r="D371" i="19" l="1"/>
  <c r="E371" i="19" s="1"/>
  <c r="F371" i="19"/>
  <c r="NH2" i="10"/>
  <c r="NG1" i="10"/>
  <c r="M369" i="3"/>
  <c r="Q368" i="3"/>
  <c r="F369" i="3"/>
  <c r="J368" i="3"/>
  <c r="D372" i="18"/>
  <c r="O371" i="5"/>
  <c r="B372" i="4"/>
  <c r="C372" i="19"/>
  <c r="D372" i="19" l="1"/>
  <c r="E372" i="19" s="1"/>
  <c r="F372" i="19"/>
  <c r="NI2" i="10"/>
  <c r="NH1" i="10"/>
  <c r="F370" i="3"/>
  <c r="J369" i="3"/>
  <c r="M370" i="3"/>
  <c r="Q369" i="3"/>
  <c r="B373" i="4"/>
  <c r="D373" i="18"/>
  <c r="O372" i="5"/>
  <c r="C373" i="19"/>
  <c r="D373" i="19" l="1"/>
  <c r="E373" i="19" s="1"/>
  <c r="F373" i="19"/>
  <c r="NI1" i="10"/>
  <c r="NJ2" i="10"/>
  <c r="NJ1" i="10" s="1"/>
  <c r="M371" i="3"/>
  <c r="Q370" i="3"/>
  <c r="F371" i="3"/>
  <c r="J370" i="3"/>
  <c r="B374" i="4"/>
  <c r="C374" i="19"/>
  <c r="D374" i="18"/>
  <c r="O373" i="5"/>
  <c r="D374" i="19" l="1"/>
  <c r="E374" i="19" s="1"/>
  <c r="F374" i="19"/>
  <c r="F372" i="3"/>
  <c r="J371" i="3"/>
  <c r="M372" i="3"/>
  <c r="Q371" i="3"/>
  <c r="D375" i="18"/>
  <c r="O374" i="5"/>
  <c r="C375" i="19"/>
  <c r="B375" i="4"/>
  <c r="D375" i="19" l="1"/>
  <c r="E375" i="19" s="1"/>
  <c r="F375" i="19"/>
  <c r="M373" i="3"/>
  <c r="Q372" i="3"/>
  <c r="F373" i="3"/>
  <c r="J372" i="3"/>
  <c r="B376" i="4"/>
  <c r="D376" i="18"/>
  <c r="O375" i="5"/>
  <c r="C376" i="19"/>
  <c r="D376" i="19" l="1"/>
  <c r="E376" i="19" s="1"/>
  <c r="F376" i="19"/>
  <c r="F374" i="3"/>
  <c r="J373" i="3"/>
  <c r="M374" i="3"/>
  <c r="Q373" i="3"/>
  <c r="D377" i="18"/>
  <c r="O376" i="5"/>
  <c r="B377" i="4"/>
  <c r="C377" i="19"/>
  <c r="D377" i="19" l="1"/>
  <c r="E377" i="19" s="1"/>
  <c r="F377" i="19"/>
  <c r="M375" i="3"/>
  <c r="Q374" i="3"/>
  <c r="F375" i="3"/>
  <c r="J374" i="3"/>
  <c r="C378" i="19"/>
  <c r="B378" i="4"/>
  <c r="D378" i="18"/>
  <c r="O377" i="5"/>
  <c r="D378" i="19" l="1"/>
  <c r="E378" i="19" s="1"/>
  <c r="F378" i="19"/>
  <c r="F376" i="3"/>
  <c r="J375" i="3"/>
  <c r="M376" i="3"/>
  <c r="Q375" i="3"/>
  <c r="C379" i="19"/>
  <c r="B379" i="4"/>
  <c r="D379" i="18"/>
  <c r="O378" i="5"/>
  <c r="D379" i="19" l="1"/>
  <c r="E379" i="19" s="1"/>
  <c r="F379" i="19"/>
  <c r="M377" i="3"/>
  <c r="Q376" i="3"/>
  <c r="F377" i="3"/>
  <c r="J376" i="3"/>
  <c r="B380" i="4"/>
  <c r="D380" i="18"/>
  <c r="O379" i="5"/>
  <c r="C380" i="19"/>
  <c r="D380" i="19" l="1"/>
  <c r="E380" i="19" s="1"/>
  <c r="F380" i="19"/>
  <c r="F378" i="3"/>
  <c r="J377" i="3"/>
  <c r="M378" i="3"/>
  <c r="Q377" i="3"/>
  <c r="B381" i="4"/>
  <c r="C381" i="19"/>
  <c r="D381" i="18"/>
  <c r="O380" i="5"/>
  <c r="D381" i="19" l="1"/>
  <c r="E381" i="19" s="1"/>
  <c r="F381" i="19"/>
  <c r="M379" i="3"/>
  <c r="Q378" i="3"/>
  <c r="F379" i="3"/>
  <c r="J378" i="3"/>
  <c r="C382" i="19"/>
  <c r="B382" i="4"/>
  <c r="D382" i="18"/>
  <c r="O381" i="5"/>
  <c r="D382" i="19" l="1"/>
  <c r="E382" i="19" s="1"/>
  <c r="F382" i="19"/>
  <c r="F380" i="3"/>
  <c r="J379" i="3"/>
  <c r="M380" i="3"/>
  <c r="Q379" i="3"/>
  <c r="D383" i="18"/>
  <c r="O382" i="5"/>
  <c r="C383" i="19"/>
  <c r="B383" i="4"/>
  <c r="D383" i="19" l="1"/>
  <c r="E383" i="19" s="1"/>
  <c r="F383" i="19"/>
  <c r="M381" i="3"/>
  <c r="Q380" i="3"/>
  <c r="F381" i="3"/>
  <c r="J380" i="3"/>
  <c r="B384" i="4"/>
  <c r="D384" i="18"/>
  <c r="O383" i="5"/>
  <c r="C384" i="19"/>
  <c r="D384" i="19" l="1"/>
  <c r="E384" i="19" s="1"/>
  <c r="F384" i="19"/>
  <c r="F382" i="3"/>
  <c r="J381" i="3"/>
  <c r="M382" i="3"/>
  <c r="Q381" i="3"/>
  <c r="D385" i="18"/>
  <c r="O384" i="5"/>
  <c r="C385" i="19"/>
  <c r="B385" i="4"/>
  <c r="D385" i="19" l="1"/>
  <c r="E385" i="19" s="1"/>
  <c r="F385" i="19"/>
  <c r="M383" i="3"/>
  <c r="Q382" i="3"/>
  <c r="F383" i="3"/>
  <c r="J382" i="3"/>
  <c r="B386" i="4"/>
  <c r="D386" i="18"/>
  <c r="O385" i="5"/>
  <c r="C386" i="19"/>
  <c r="D386" i="19" l="1"/>
  <c r="E386" i="19" s="1"/>
  <c r="F386" i="19"/>
  <c r="F384" i="3"/>
  <c r="J383" i="3"/>
  <c r="M384" i="3"/>
  <c r="Q383" i="3"/>
  <c r="C387" i="19"/>
  <c r="D387" i="18"/>
  <c r="O386" i="5"/>
  <c r="B387" i="4"/>
  <c r="D387" i="19" l="1"/>
  <c r="E387" i="19" s="1"/>
  <c r="F387" i="19"/>
  <c r="M385" i="3"/>
  <c r="Q384" i="3"/>
  <c r="F385" i="3"/>
  <c r="J384" i="3"/>
  <c r="B388" i="4"/>
  <c r="C388" i="19"/>
  <c r="D388" i="18"/>
  <c r="O387" i="5"/>
  <c r="D388" i="19" l="1"/>
  <c r="E388" i="19" s="1"/>
  <c r="F388" i="19"/>
  <c r="F386" i="3"/>
  <c r="J385" i="3"/>
  <c r="M386" i="3"/>
  <c r="Q385" i="3"/>
  <c r="C389" i="19"/>
  <c r="B389" i="4"/>
  <c r="D389" i="18"/>
  <c r="O388" i="5"/>
  <c r="D389" i="19" l="1"/>
  <c r="E389" i="19" s="1"/>
  <c r="F389" i="19"/>
  <c r="M387" i="3"/>
  <c r="Q386" i="3"/>
  <c r="F387" i="3"/>
  <c r="J386" i="3"/>
  <c r="B390" i="4"/>
  <c r="D390" i="18"/>
  <c r="O389" i="5"/>
  <c r="C390" i="19"/>
  <c r="D390" i="19" l="1"/>
  <c r="E390" i="19" s="1"/>
  <c r="F390" i="19"/>
  <c r="F388" i="3"/>
  <c r="J387" i="3"/>
  <c r="M388" i="3"/>
  <c r="Q387" i="3"/>
  <c r="B391" i="4"/>
  <c r="C391" i="19"/>
  <c r="D391" i="18"/>
  <c r="O390" i="5"/>
  <c r="D391" i="19" l="1"/>
  <c r="E391" i="19" s="1"/>
  <c r="F391" i="19"/>
  <c r="M389" i="3"/>
  <c r="Q388" i="3"/>
  <c r="F389" i="3"/>
  <c r="J388" i="3"/>
  <c r="C392" i="19"/>
  <c r="D392" i="18"/>
  <c r="O391" i="5"/>
  <c r="B392" i="4"/>
  <c r="D392" i="19" l="1"/>
  <c r="E392" i="19" s="1"/>
  <c r="F392" i="19"/>
  <c r="F390" i="3"/>
  <c r="J389" i="3"/>
  <c r="M390" i="3"/>
  <c r="Q389" i="3"/>
  <c r="B393" i="4"/>
  <c r="D393" i="18"/>
  <c r="O392" i="5"/>
  <c r="C393" i="19"/>
  <c r="D393" i="19" l="1"/>
  <c r="E393" i="19" s="1"/>
  <c r="F393" i="19"/>
  <c r="M391" i="3"/>
  <c r="Q390" i="3"/>
  <c r="F391" i="3"/>
  <c r="J390" i="3"/>
  <c r="C394" i="19"/>
  <c r="D394" i="18"/>
  <c r="O393" i="5"/>
  <c r="B394" i="4"/>
  <c r="D394" i="19" l="1"/>
  <c r="E394" i="19" s="1"/>
  <c r="F394" i="19"/>
  <c r="F392" i="3"/>
  <c r="J391" i="3"/>
  <c r="M392" i="3"/>
  <c r="Q391" i="3"/>
  <c r="C395" i="19"/>
  <c r="B395" i="4"/>
  <c r="D395" i="18"/>
  <c r="O394" i="5"/>
  <c r="D395" i="19" l="1"/>
  <c r="E395" i="19" s="1"/>
  <c r="F395" i="19"/>
  <c r="M393" i="3"/>
  <c r="Q392" i="3"/>
  <c r="F393" i="3"/>
  <c r="J392" i="3"/>
  <c r="D396" i="18"/>
  <c r="O395" i="5"/>
  <c r="C396" i="19"/>
  <c r="B396" i="4"/>
  <c r="D396" i="19" l="1"/>
  <c r="E396" i="19" s="1"/>
  <c r="F396" i="19"/>
  <c r="F394" i="3"/>
  <c r="J393" i="3"/>
  <c r="M394" i="3"/>
  <c r="Q393" i="3"/>
  <c r="C397" i="19"/>
  <c r="D397" i="18"/>
  <c r="O396" i="5"/>
  <c r="B397" i="4"/>
  <c r="D397" i="19" l="1"/>
  <c r="E397" i="19" s="1"/>
  <c r="F397" i="19"/>
  <c r="M395" i="3"/>
  <c r="Q394" i="3"/>
  <c r="F395" i="3"/>
  <c r="J394" i="3"/>
  <c r="B398" i="4"/>
  <c r="C398" i="19"/>
  <c r="D398" i="18"/>
  <c r="O397" i="5"/>
  <c r="D398" i="19" l="1"/>
  <c r="E398" i="19" s="1"/>
  <c r="F398" i="19"/>
  <c r="F396" i="3"/>
  <c r="J395" i="3"/>
  <c r="M396" i="3"/>
  <c r="Q395" i="3"/>
  <c r="D399" i="18"/>
  <c r="O398" i="5"/>
  <c r="C399" i="19"/>
  <c r="B399" i="4"/>
  <c r="D399" i="19" l="1"/>
  <c r="E399" i="19" s="1"/>
  <c r="F399" i="19"/>
  <c r="M397" i="3"/>
  <c r="Q396" i="3"/>
  <c r="F397" i="3"/>
  <c r="J396" i="3"/>
  <c r="B400" i="4"/>
  <c r="C400" i="19"/>
  <c r="D400" i="18"/>
  <c r="O399" i="5"/>
  <c r="D400" i="19" l="1"/>
  <c r="E400" i="19" s="1"/>
  <c r="F400" i="19"/>
  <c r="F398" i="3"/>
  <c r="J397" i="3"/>
  <c r="M398" i="3"/>
  <c r="Q397" i="3"/>
  <c r="D401" i="18"/>
  <c r="O400" i="5"/>
  <c r="C401" i="19"/>
  <c r="B401" i="4"/>
  <c r="D401" i="19" l="1"/>
  <c r="E401" i="19" s="1"/>
  <c r="F401" i="19"/>
  <c r="M399" i="3"/>
  <c r="Q398" i="3"/>
  <c r="F399" i="3"/>
  <c r="J398" i="3"/>
  <c r="C402" i="19"/>
  <c r="D402" i="18"/>
  <c r="O401" i="5"/>
  <c r="B402" i="4"/>
  <c r="D402" i="19" l="1"/>
  <c r="E402" i="19" s="1"/>
  <c r="F402" i="19"/>
  <c r="F400" i="3"/>
  <c r="J399" i="3"/>
  <c r="M400" i="3"/>
  <c r="Q399" i="3"/>
  <c r="D403" i="18"/>
  <c r="O402" i="5"/>
  <c r="B403" i="4"/>
  <c r="C403" i="19"/>
  <c r="D403" i="19" l="1"/>
  <c r="E403" i="19" s="1"/>
  <c r="F403" i="19"/>
  <c r="M401" i="3"/>
  <c r="Q400" i="3"/>
  <c r="F401" i="3"/>
  <c r="J400" i="3"/>
  <c r="B404" i="4"/>
  <c r="C404" i="19"/>
  <c r="D404" i="18"/>
  <c r="O403" i="5"/>
  <c r="D404" i="19" l="1"/>
  <c r="E404" i="19" s="1"/>
  <c r="F404" i="19"/>
  <c r="F402" i="3"/>
  <c r="J401" i="3"/>
  <c r="M402" i="3"/>
  <c r="Q401" i="3"/>
  <c r="C405" i="19"/>
  <c r="D405" i="18"/>
  <c r="O404" i="5"/>
  <c r="B405" i="4"/>
  <c r="D405" i="19" l="1"/>
  <c r="E405" i="19" s="1"/>
  <c r="F405" i="19"/>
  <c r="M403" i="3"/>
  <c r="Q402" i="3"/>
  <c r="F403" i="3"/>
  <c r="J402" i="3"/>
  <c r="C406" i="19"/>
  <c r="D406" i="18"/>
  <c r="O405" i="5"/>
  <c r="B406" i="4"/>
  <c r="D406" i="19" l="1"/>
  <c r="E406" i="19" s="1"/>
  <c r="F406" i="19"/>
  <c r="F404" i="3"/>
  <c r="J403" i="3"/>
  <c r="M404" i="3"/>
  <c r="Q403" i="3"/>
  <c r="C407" i="19"/>
  <c r="D407" i="18"/>
  <c r="O406" i="5"/>
  <c r="B407" i="4"/>
  <c r="D407" i="19" l="1"/>
  <c r="E407" i="19" s="1"/>
  <c r="F407" i="19"/>
  <c r="M405" i="3"/>
  <c r="Q404" i="3"/>
  <c r="F405" i="3"/>
  <c r="J404" i="3"/>
  <c r="D408" i="18"/>
  <c r="O407" i="5"/>
  <c r="B408" i="4"/>
  <c r="C408" i="19"/>
  <c r="D408" i="19" l="1"/>
  <c r="E408" i="19" s="1"/>
  <c r="F408" i="19"/>
  <c r="F406" i="3"/>
  <c r="J405" i="3"/>
  <c r="M406" i="3"/>
  <c r="Q405" i="3"/>
  <c r="B409" i="4"/>
  <c r="C409" i="19"/>
  <c r="D409" i="18"/>
  <c r="O408" i="5"/>
  <c r="D409" i="19" l="1"/>
  <c r="E409" i="19" s="1"/>
  <c r="F409" i="19"/>
  <c r="M407" i="3"/>
  <c r="Q406" i="3"/>
  <c r="F407" i="3"/>
  <c r="J406" i="3"/>
  <c r="D410" i="18"/>
  <c r="O409" i="5"/>
  <c r="C410" i="19"/>
  <c r="B410" i="4"/>
  <c r="D410" i="19" l="1"/>
  <c r="E410" i="19" s="1"/>
  <c r="F410" i="19"/>
  <c r="F408" i="3"/>
  <c r="J407" i="3"/>
  <c r="M408" i="3"/>
  <c r="Q407" i="3"/>
  <c r="D411" i="18"/>
  <c r="O410" i="5"/>
  <c r="B411" i="4"/>
  <c r="C411" i="19"/>
  <c r="D411" i="19" l="1"/>
  <c r="E411" i="19" s="1"/>
  <c r="F411" i="19"/>
  <c r="M409" i="3"/>
  <c r="Q408" i="3"/>
  <c r="F409" i="3"/>
  <c r="J408" i="3"/>
  <c r="B412" i="4"/>
  <c r="C412" i="19"/>
  <c r="D412" i="18"/>
  <c r="O411" i="5"/>
  <c r="D412" i="19" l="1"/>
  <c r="E412" i="19" s="1"/>
  <c r="F412" i="19"/>
  <c r="F410" i="3"/>
  <c r="J409" i="3"/>
  <c r="M410" i="3"/>
  <c r="Q409" i="3"/>
  <c r="C413" i="19"/>
  <c r="B413" i="4"/>
  <c r="D413" i="18"/>
  <c r="O412" i="5"/>
  <c r="D413" i="19" l="1"/>
  <c r="E413" i="19" s="1"/>
  <c r="F413" i="19"/>
  <c r="M411" i="3"/>
  <c r="Q410" i="3"/>
  <c r="F411" i="3"/>
  <c r="J410" i="3"/>
  <c r="C414" i="19"/>
  <c r="B414" i="4"/>
  <c r="D414" i="18"/>
  <c r="O413" i="5"/>
  <c r="D414" i="19" l="1"/>
  <c r="E414" i="19" s="1"/>
  <c r="F414" i="19"/>
  <c r="F412" i="3"/>
  <c r="J411" i="3"/>
  <c r="M412" i="3"/>
  <c r="Q411" i="3"/>
  <c r="B415" i="4"/>
  <c r="D415" i="18"/>
  <c r="O414" i="5"/>
  <c r="C415" i="19"/>
  <c r="D415" i="19" l="1"/>
  <c r="E415" i="19" s="1"/>
  <c r="F415" i="19"/>
  <c r="M413" i="3"/>
  <c r="Q412" i="3"/>
  <c r="F413" i="3"/>
  <c r="J412" i="3"/>
  <c r="C416" i="19"/>
  <c r="D416" i="18"/>
  <c r="O415" i="5"/>
  <c r="B416" i="4"/>
  <c r="D416" i="19" l="1"/>
  <c r="E416" i="19" s="1"/>
  <c r="F416" i="19"/>
  <c r="F414" i="3"/>
  <c r="J413" i="3"/>
  <c r="M414" i="3"/>
  <c r="Q413" i="3"/>
  <c r="D417" i="18"/>
  <c r="O416" i="5"/>
  <c r="C417" i="19"/>
  <c r="B417" i="4"/>
  <c r="D417" i="19" l="1"/>
  <c r="E417" i="19" s="1"/>
  <c r="F417" i="19"/>
  <c r="M415" i="3"/>
  <c r="Q414" i="3"/>
  <c r="F415" i="3"/>
  <c r="J414" i="3"/>
  <c r="C418" i="19"/>
  <c r="D418" i="18"/>
  <c r="O417" i="5"/>
  <c r="B418" i="4"/>
  <c r="D418" i="19" l="1"/>
  <c r="E418" i="19" s="1"/>
  <c r="F418" i="19"/>
  <c r="F416" i="3"/>
  <c r="J415" i="3"/>
  <c r="M416" i="3"/>
  <c r="Q415" i="3"/>
  <c r="C419" i="19"/>
  <c r="B419" i="4"/>
  <c r="D419" i="18"/>
  <c r="O418" i="5"/>
  <c r="D419" i="19" l="1"/>
  <c r="E419" i="19" s="1"/>
  <c r="F419" i="19"/>
  <c r="M417" i="3"/>
  <c r="Q416" i="3"/>
  <c r="F417" i="3"/>
  <c r="J416" i="3"/>
  <c r="B420" i="4"/>
  <c r="C420" i="19"/>
  <c r="D420" i="18"/>
  <c r="O419" i="5"/>
  <c r="D420" i="19" l="1"/>
  <c r="E420" i="19" s="1"/>
  <c r="F420" i="19"/>
  <c r="F418" i="3"/>
  <c r="J417" i="3"/>
  <c r="M418" i="3"/>
  <c r="Q417" i="3"/>
  <c r="B421" i="4"/>
  <c r="D421" i="18"/>
  <c r="O420" i="5"/>
  <c r="C421" i="19"/>
  <c r="D421" i="19" l="1"/>
  <c r="E421" i="19" s="1"/>
  <c r="F421" i="19"/>
  <c r="M419" i="3"/>
  <c r="Q418" i="3"/>
  <c r="F419" i="3"/>
  <c r="J418" i="3"/>
  <c r="C422" i="19"/>
  <c r="B422" i="4"/>
  <c r="D422" i="18"/>
  <c r="O421" i="5"/>
  <c r="D422" i="19" l="1"/>
  <c r="E422" i="19" s="1"/>
  <c r="F422" i="19"/>
  <c r="F420" i="3"/>
  <c r="J419" i="3"/>
  <c r="M420" i="3"/>
  <c r="Q419" i="3"/>
  <c r="B423" i="4"/>
  <c r="D423" i="18"/>
  <c r="O422" i="5"/>
  <c r="C423" i="19"/>
  <c r="D423" i="19" l="1"/>
  <c r="E423" i="19" s="1"/>
  <c r="F423" i="19"/>
  <c r="M421" i="3"/>
  <c r="Q420" i="3"/>
  <c r="F421" i="3"/>
  <c r="J420" i="3"/>
  <c r="C424" i="19"/>
  <c r="B424" i="4"/>
  <c r="D424" i="18"/>
  <c r="O423" i="5"/>
  <c r="D424" i="19" l="1"/>
  <c r="E424" i="19" s="1"/>
  <c r="F424" i="19"/>
  <c r="F422" i="3"/>
  <c r="J421" i="3"/>
  <c r="M422" i="3"/>
  <c r="Q421" i="3"/>
  <c r="D425" i="18"/>
  <c r="O424" i="5"/>
  <c r="B425" i="4"/>
  <c r="C425" i="19"/>
  <c r="D425" i="19" l="1"/>
  <c r="E425" i="19" s="1"/>
  <c r="F425" i="19"/>
  <c r="M423" i="3"/>
  <c r="Q422" i="3"/>
  <c r="F423" i="3"/>
  <c r="J422" i="3"/>
  <c r="D426" i="18"/>
  <c r="O425" i="5"/>
  <c r="B426" i="4"/>
  <c r="C426" i="19"/>
  <c r="D426" i="19" l="1"/>
  <c r="E426" i="19" s="1"/>
  <c r="F426" i="19"/>
  <c r="F424" i="3"/>
  <c r="J423" i="3"/>
  <c r="M424" i="3"/>
  <c r="Q423" i="3"/>
  <c r="C427" i="19"/>
  <c r="B427" i="4"/>
  <c r="D427" i="18"/>
  <c r="O426" i="5"/>
  <c r="D427" i="19" l="1"/>
  <c r="E427" i="19" s="1"/>
  <c r="F427" i="19"/>
  <c r="M425" i="3"/>
  <c r="Q424" i="3"/>
  <c r="F425" i="3"/>
  <c r="J424" i="3"/>
  <c r="D428" i="18"/>
  <c r="O427" i="5"/>
  <c r="B428" i="4"/>
  <c r="C428" i="19"/>
  <c r="D428" i="19" l="1"/>
  <c r="E428" i="19" s="1"/>
  <c r="F428" i="19"/>
  <c r="F426" i="3"/>
  <c r="J425" i="3"/>
  <c r="M426" i="3"/>
  <c r="Q425" i="3"/>
  <c r="D429" i="18"/>
  <c r="O428" i="5"/>
  <c r="C429" i="19"/>
  <c r="B429" i="4"/>
  <c r="D429" i="19" l="1"/>
  <c r="E429" i="19" s="1"/>
  <c r="F429" i="19"/>
  <c r="M427" i="3"/>
  <c r="Q426" i="3"/>
  <c r="F427" i="3"/>
  <c r="J426" i="3"/>
  <c r="B430" i="4"/>
  <c r="D430" i="18"/>
  <c r="O429" i="5"/>
  <c r="C430" i="19"/>
  <c r="D430" i="19" l="1"/>
  <c r="E430" i="19" s="1"/>
  <c r="F430" i="19"/>
  <c r="F428" i="3"/>
  <c r="J427" i="3"/>
  <c r="M428" i="3"/>
  <c r="Q427" i="3"/>
  <c r="C431" i="19"/>
  <c r="D431" i="18"/>
  <c r="O430" i="5"/>
  <c r="B431" i="4"/>
  <c r="D431" i="19" l="1"/>
  <c r="E431" i="19" s="1"/>
  <c r="F431" i="19"/>
  <c r="M429" i="3"/>
  <c r="Q428" i="3"/>
  <c r="F429" i="3"/>
  <c r="J428" i="3"/>
  <c r="B432" i="4"/>
  <c r="D432" i="18"/>
  <c r="O431" i="5"/>
  <c r="C432" i="19"/>
  <c r="D432" i="19" l="1"/>
  <c r="E432" i="19" s="1"/>
  <c r="F432" i="19"/>
  <c r="F430" i="3"/>
  <c r="J429" i="3"/>
  <c r="M430" i="3"/>
  <c r="Q429" i="3"/>
  <c r="C433" i="19"/>
  <c r="B433" i="4"/>
  <c r="D433" i="18"/>
  <c r="O432" i="5"/>
  <c r="D433" i="19" l="1"/>
  <c r="E433" i="19" s="1"/>
  <c r="F433" i="19"/>
  <c r="M431" i="3"/>
  <c r="Q430" i="3"/>
  <c r="F431" i="3"/>
  <c r="J430" i="3"/>
  <c r="D434" i="18"/>
  <c r="O433" i="5"/>
  <c r="B434" i="4"/>
  <c r="C434" i="19"/>
  <c r="D434" i="19" l="1"/>
  <c r="E434" i="19" s="1"/>
  <c r="F434" i="19"/>
  <c r="F432" i="3"/>
  <c r="J431" i="3"/>
  <c r="M432" i="3"/>
  <c r="Q431" i="3"/>
  <c r="C435" i="19"/>
  <c r="B435" i="4"/>
  <c r="D435" i="18"/>
  <c r="O434" i="5"/>
  <c r="D435" i="19" l="1"/>
  <c r="E435" i="19" s="1"/>
  <c r="F435" i="19"/>
  <c r="M433" i="3"/>
  <c r="Q432" i="3"/>
  <c r="F433" i="3"/>
  <c r="J432" i="3"/>
  <c r="C436" i="19"/>
  <c r="D436" i="18"/>
  <c r="O435" i="5"/>
  <c r="B436" i="4"/>
  <c r="D436" i="19" l="1"/>
  <c r="E436" i="19" s="1"/>
  <c r="F436" i="19"/>
  <c r="F434" i="3"/>
  <c r="J433" i="3"/>
  <c r="M434" i="3"/>
  <c r="Q433" i="3"/>
  <c r="C437" i="19"/>
  <c r="B437" i="4"/>
  <c r="D437" i="18"/>
  <c r="O436" i="5"/>
  <c r="D437" i="19" l="1"/>
  <c r="E437" i="19" s="1"/>
  <c r="F437" i="19"/>
  <c r="M435" i="3"/>
  <c r="Q434" i="3"/>
  <c r="F435" i="3"/>
  <c r="J434" i="3"/>
  <c r="C438" i="19"/>
  <c r="D438" i="18"/>
  <c r="O437" i="5"/>
  <c r="B438" i="4"/>
  <c r="D438" i="19" l="1"/>
  <c r="E438" i="19" s="1"/>
  <c r="F438" i="19"/>
  <c r="F436" i="3"/>
  <c r="J435" i="3"/>
  <c r="M436" i="3"/>
  <c r="Q435" i="3"/>
  <c r="B439" i="4"/>
  <c r="D439" i="18"/>
  <c r="O438" i="5"/>
  <c r="C439" i="19"/>
  <c r="D439" i="19" l="1"/>
  <c r="E439" i="19" s="1"/>
  <c r="F439" i="19"/>
  <c r="M437" i="3"/>
  <c r="Q436" i="3"/>
  <c r="F437" i="3"/>
  <c r="J436" i="3"/>
  <c r="D440" i="18"/>
  <c r="O439" i="5"/>
  <c r="B440" i="4"/>
  <c r="C440" i="19"/>
  <c r="D440" i="19" l="1"/>
  <c r="E440" i="19" s="1"/>
  <c r="F440" i="19"/>
  <c r="F438" i="3"/>
  <c r="J437" i="3"/>
  <c r="M438" i="3"/>
  <c r="Q437" i="3"/>
  <c r="D441" i="18"/>
  <c r="O440" i="5"/>
  <c r="C441" i="19"/>
  <c r="B441" i="4"/>
  <c r="D441" i="19" l="1"/>
  <c r="E441" i="19" s="1"/>
  <c r="F441" i="19"/>
  <c r="M439" i="3"/>
  <c r="Q438" i="3"/>
  <c r="F439" i="3"/>
  <c r="J438" i="3"/>
  <c r="C442" i="19"/>
  <c r="D442" i="18"/>
  <c r="O441" i="5"/>
  <c r="B442" i="4"/>
  <c r="D442" i="19" l="1"/>
  <c r="E442" i="19" s="1"/>
  <c r="F442" i="19"/>
  <c r="F440" i="3"/>
  <c r="J439" i="3"/>
  <c r="M440" i="3"/>
  <c r="Q439" i="3"/>
  <c r="B443" i="4"/>
  <c r="D443" i="18"/>
  <c r="O442" i="5"/>
  <c r="C443" i="19"/>
  <c r="D443" i="19" l="1"/>
  <c r="E443" i="19" s="1"/>
  <c r="F443" i="19"/>
  <c r="M441" i="3"/>
  <c r="Q440" i="3"/>
  <c r="F441" i="3"/>
  <c r="J440" i="3"/>
  <c r="B444" i="4"/>
  <c r="C444" i="19"/>
  <c r="D444" i="18"/>
  <c r="O443" i="5"/>
  <c r="D444" i="19" l="1"/>
  <c r="E444" i="19" s="1"/>
  <c r="F444" i="19"/>
  <c r="F442" i="3"/>
  <c r="J441" i="3"/>
  <c r="M442" i="3"/>
  <c r="Q441" i="3"/>
  <c r="C445" i="19"/>
  <c r="B445" i="4"/>
  <c r="D445" i="18"/>
  <c r="O444" i="5"/>
  <c r="D445" i="19" l="1"/>
  <c r="E445" i="19" s="1"/>
  <c r="F445" i="19"/>
  <c r="M443" i="3"/>
  <c r="Q442" i="3"/>
  <c r="F443" i="3"/>
  <c r="J442" i="3"/>
  <c r="D446" i="18"/>
  <c r="O445" i="5"/>
  <c r="B446" i="4"/>
  <c r="C446" i="19"/>
  <c r="D446" i="19" l="1"/>
  <c r="E446" i="19" s="1"/>
  <c r="F446" i="19"/>
  <c r="F444" i="3"/>
  <c r="J443" i="3"/>
  <c r="M444" i="3"/>
  <c r="Q443" i="3"/>
  <c r="B447" i="4"/>
  <c r="D447" i="18"/>
  <c r="O446" i="5"/>
  <c r="C447" i="19"/>
  <c r="D447" i="19" l="1"/>
  <c r="E447" i="19" s="1"/>
  <c r="F447" i="19"/>
  <c r="M445" i="3"/>
  <c r="Q444" i="3"/>
  <c r="F445" i="3"/>
  <c r="J444" i="3"/>
  <c r="C448" i="19"/>
  <c r="B448" i="4"/>
  <c r="D448" i="18"/>
  <c r="O447" i="5"/>
  <c r="D448" i="19" l="1"/>
  <c r="E448" i="19" s="1"/>
  <c r="F448" i="19"/>
  <c r="F446" i="3"/>
  <c r="J445" i="3"/>
  <c r="M446" i="3"/>
  <c r="Q445" i="3"/>
  <c r="C449" i="19"/>
  <c r="D449" i="18"/>
  <c r="O448" i="5"/>
  <c r="B449" i="4"/>
  <c r="D449" i="19" l="1"/>
  <c r="E449" i="19" s="1"/>
  <c r="F449" i="19"/>
  <c r="M447" i="3"/>
  <c r="Q446" i="3"/>
  <c r="F447" i="3"/>
  <c r="J446" i="3"/>
  <c r="C450" i="19"/>
  <c r="B450" i="4"/>
  <c r="D450" i="18"/>
  <c r="O449" i="5"/>
  <c r="D450" i="19" l="1"/>
  <c r="E450" i="19" s="1"/>
  <c r="F450" i="19"/>
  <c r="F448" i="3"/>
  <c r="J447" i="3"/>
  <c r="M448" i="3"/>
  <c r="Q447" i="3"/>
  <c r="D451" i="18"/>
  <c r="O450" i="5"/>
  <c r="B451" i="4"/>
  <c r="C451" i="19"/>
  <c r="D451" i="19" l="1"/>
  <c r="E451" i="19" s="1"/>
  <c r="F451" i="19"/>
  <c r="M449" i="3"/>
  <c r="Q448" i="3"/>
  <c r="F449" i="3"/>
  <c r="J448" i="3"/>
  <c r="D452" i="18"/>
  <c r="O451" i="5"/>
  <c r="C452" i="19"/>
  <c r="B452" i="4"/>
  <c r="D452" i="19" l="1"/>
  <c r="E452" i="19" s="1"/>
  <c r="F452" i="19"/>
  <c r="F450" i="3"/>
  <c r="J449" i="3"/>
  <c r="M450" i="3"/>
  <c r="Q449" i="3"/>
  <c r="C453" i="19"/>
  <c r="D453" i="18"/>
  <c r="O452" i="5"/>
  <c r="B453" i="4"/>
  <c r="D453" i="19" l="1"/>
  <c r="E453" i="19" s="1"/>
  <c r="F453" i="19"/>
  <c r="M451" i="3"/>
  <c r="Q450" i="3"/>
  <c r="F451" i="3"/>
  <c r="J450" i="3"/>
  <c r="B454" i="4"/>
  <c r="D454" i="18"/>
  <c r="O453" i="5"/>
  <c r="C454" i="19"/>
  <c r="D454" i="19" l="1"/>
  <c r="E454" i="19" s="1"/>
  <c r="F454" i="19"/>
  <c r="F452" i="3"/>
  <c r="J451" i="3"/>
  <c r="M452" i="3"/>
  <c r="Q451" i="3"/>
  <c r="C455" i="19"/>
  <c r="D455" i="18"/>
  <c r="O454" i="5"/>
  <c r="B455" i="4"/>
  <c r="D455" i="19" l="1"/>
  <c r="E455" i="19" s="1"/>
  <c r="F455" i="19"/>
  <c r="M453" i="3"/>
  <c r="Q452" i="3"/>
  <c r="F453" i="3"/>
  <c r="J452" i="3"/>
  <c r="C456" i="19"/>
  <c r="B456" i="4"/>
  <c r="D456" i="18"/>
  <c r="O455" i="5"/>
  <c r="D456" i="19" l="1"/>
  <c r="E456" i="19" s="1"/>
  <c r="F456" i="19"/>
  <c r="F454" i="3"/>
  <c r="J453" i="3"/>
  <c r="M454" i="3"/>
  <c r="Q453" i="3"/>
  <c r="D457" i="18"/>
  <c r="O456" i="5"/>
  <c r="B457" i="4"/>
  <c r="C457" i="19"/>
  <c r="D457" i="19" l="1"/>
  <c r="E457" i="19" s="1"/>
  <c r="F457" i="19"/>
  <c r="M455" i="3"/>
  <c r="Q454" i="3"/>
  <c r="F455" i="3"/>
  <c r="J454" i="3"/>
  <c r="C458" i="19"/>
  <c r="B458" i="4"/>
  <c r="D458" i="18"/>
  <c r="O457" i="5"/>
  <c r="D458" i="19" l="1"/>
  <c r="E458" i="19" s="1"/>
  <c r="F458" i="19"/>
  <c r="F456" i="3"/>
  <c r="J455" i="3"/>
  <c r="M456" i="3"/>
  <c r="Q455" i="3"/>
  <c r="B459" i="4"/>
  <c r="D459" i="18"/>
  <c r="O458" i="5"/>
  <c r="C459" i="19"/>
  <c r="D459" i="19" l="1"/>
  <c r="E459" i="19" s="1"/>
  <c r="F459" i="19"/>
  <c r="M457" i="3"/>
  <c r="Q456" i="3"/>
  <c r="F457" i="3"/>
  <c r="J456" i="3"/>
  <c r="C460" i="19"/>
  <c r="B460" i="4"/>
  <c r="D460" i="18"/>
  <c r="O459" i="5"/>
  <c r="D460" i="19" l="1"/>
  <c r="E460" i="19" s="1"/>
  <c r="F460" i="19"/>
  <c r="F458" i="3"/>
  <c r="J457" i="3"/>
  <c r="M458" i="3"/>
  <c r="Q457" i="3"/>
  <c r="B461" i="4"/>
  <c r="D461" i="18"/>
  <c r="O460" i="5"/>
  <c r="C461" i="19"/>
  <c r="D461" i="19" l="1"/>
  <c r="E461" i="19" s="1"/>
  <c r="F461" i="19"/>
  <c r="M459" i="3"/>
  <c r="Q458" i="3"/>
  <c r="F459" i="3"/>
  <c r="J458" i="3"/>
  <c r="C462" i="19"/>
  <c r="D462" i="18"/>
  <c r="O461" i="5"/>
  <c r="B462" i="4"/>
  <c r="D462" i="19" l="1"/>
  <c r="E462" i="19" s="1"/>
  <c r="F462" i="19"/>
  <c r="F460" i="3"/>
  <c r="J459" i="3"/>
  <c r="M460" i="3"/>
  <c r="Q459" i="3"/>
  <c r="B463" i="4"/>
  <c r="D463" i="18"/>
  <c r="O462" i="5"/>
  <c r="C463" i="19"/>
  <c r="D463" i="19" l="1"/>
  <c r="E463" i="19" s="1"/>
  <c r="F463" i="19"/>
  <c r="M461" i="3"/>
  <c r="Q460" i="3"/>
  <c r="F461" i="3"/>
  <c r="J460" i="3"/>
  <c r="D464" i="18"/>
  <c r="O463" i="5"/>
  <c r="C464" i="19"/>
  <c r="B464" i="4"/>
  <c r="D464" i="19" l="1"/>
  <c r="E464" i="19" s="1"/>
  <c r="F464" i="19"/>
  <c r="F462" i="3"/>
  <c r="J461" i="3"/>
  <c r="M462" i="3"/>
  <c r="Q461" i="3"/>
  <c r="D465" i="18"/>
  <c r="O464" i="5"/>
  <c r="B465" i="4"/>
  <c r="C465" i="19"/>
  <c r="D465" i="19" l="1"/>
  <c r="E465" i="19" s="1"/>
  <c r="F465" i="19"/>
  <c r="M463" i="3"/>
  <c r="Q462" i="3"/>
  <c r="F463" i="3"/>
  <c r="J462" i="3"/>
  <c r="C466" i="19"/>
  <c r="B466" i="4"/>
  <c r="D466" i="18"/>
  <c r="O465" i="5"/>
  <c r="D466" i="19" l="1"/>
  <c r="E466" i="19" s="1"/>
  <c r="F466" i="19"/>
  <c r="F464" i="3"/>
  <c r="J463" i="3"/>
  <c r="M464" i="3"/>
  <c r="Q463" i="3"/>
  <c r="C467" i="19"/>
  <c r="D467" i="18"/>
  <c r="O466" i="5"/>
  <c r="B467" i="4"/>
  <c r="D467" i="19" l="1"/>
  <c r="E467" i="19" s="1"/>
  <c r="F467" i="19"/>
  <c r="M465" i="3"/>
  <c r="Q464" i="3"/>
  <c r="F465" i="3"/>
  <c r="J464" i="3"/>
  <c r="B468" i="4"/>
  <c r="C468" i="19"/>
  <c r="D468" i="18"/>
  <c r="O467" i="5"/>
  <c r="D468" i="19" l="1"/>
  <c r="E468" i="19" s="1"/>
  <c r="F468" i="19"/>
  <c r="F466" i="3"/>
  <c r="J465" i="3"/>
  <c r="M466" i="3"/>
  <c r="Q465" i="3"/>
  <c r="B469" i="4"/>
  <c r="D469" i="18"/>
  <c r="O468" i="5"/>
  <c r="C469" i="19"/>
  <c r="D469" i="19" l="1"/>
  <c r="E469" i="19" s="1"/>
  <c r="F469" i="19"/>
  <c r="M467" i="3"/>
  <c r="Q466" i="3"/>
  <c r="F467" i="3"/>
  <c r="J466" i="3"/>
  <c r="C470" i="19"/>
  <c r="D470" i="18"/>
  <c r="O469" i="5"/>
  <c r="B470" i="4"/>
  <c r="D470" i="19" l="1"/>
  <c r="E470" i="19" s="1"/>
  <c r="F470" i="19"/>
  <c r="F468" i="3"/>
  <c r="J467" i="3"/>
  <c r="M468" i="3"/>
  <c r="Q467" i="3"/>
  <c r="B471" i="4"/>
  <c r="C471" i="19"/>
  <c r="D471" i="18"/>
  <c r="O470" i="5"/>
  <c r="D471" i="19" l="1"/>
  <c r="E471" i="19" s="1"/>
  <c r="F471" i="19"/>
  <c r="M469" i="3"/>
  <c r="Q468" i="3"/>
  <c r="F469" i="3"/>
  <c r="J468" i="3"/>
  <c r="D472" i="18"/>
  <c r="O471" i="5"/>
  <c r="C472" i="19"/>
  <c r="B472" i="4"/>
  <c r="D472" i="19" l="1"/>
  <c r="E472" i="19" s="1"/>
  <c r="F472" i="19"/>
  <c r="F470" i="3"/>
  <c r="J469" i="3"/>
  <c r="M470" i="3"/>
  <c r="Q469" i="3"/>
  <c r="B473" i="4"/>
  <c r="C473" i="19"/>
  <c r="D473" i="18"/>
  <c r="O472" i="5"/>
  <c r="D473" i="19" l="1"/>
  <c r="E473" i="19" s="1"/>
  <c r="F473" i="19"/>
  <c r="M471" i="3"/>
  <c r="Q470" i="3"/>
  <c r="F471" i="3"/>
  <c r="J470" i="3"/>
  <c r="D474" i="18"/>
  <c r="O473" i="5"/>
  <c r="C474" i="19"/>
  <c r="B474" i="4"/>
  <c r="D474" i="19" l="1"/>
  <c r="E474" i="19" s="1"/>
  <c r="F474" i="19"/>
  <c r="F472" i="3"/>
  <c r="J471" i="3"/>
  <c r="M472" i="3"/>
  <c r="Q471" i="3"/>
  <c r="D475" i="18"/>
  <c r="O474" i="5"/>
  <c r="B475" i="4"/>
  <c r="C475" i="19"/>
  <c r="D475" i="19" l="1"/>
  <c r="E475" i="19" s="1"/>
  <c r="F475" i="19"/>
  <c r="M473" i="3"/>
  <c r="Q472" i="3"/>
  <c r="F473" i="3"/>
  <c r="J472" i="3"/>
  <c r="C476" i="19"/>
  <c r="B476" i="4"/>
  <c r="D476" i="18"/>
  <c r="O475" i="5"/>
  <c r="D476" i="19" l="1"/>
  <c r="E476" i="19" s="1"/>
  <c r="F476" i="19"/>
  <c r="F474" i="3"/>
  <c r="J473" i="3"/>
  <c r="M474" i="3"/>
  <c r="Q473" i="3"/>
  <c r="C477" i="19"/>
  <c r="D477" i="18"/>
  <c r="O476" i="5"/>
  <c r="B477" i="4"/>
  <c r="D477" i="19" l="1"/>
  <c r="E477" i="19" s="1"/>
  <c r="F477" i="19"/>
  <c r="M475" i="3"/>
  <c r="Q474" i="3"/>
  <c r="F475" i="3"/>
  <c r="J474" i="3"/>
  <c r="B478" i="4"/>
  <c r="D478" i="18"/>
  <c r="O477" i="5"/>
  <c r="C478" i="19"/>
  <c r="D478" i="19" l="1"/>
  <c r="E478" i="19" s="1"/>
  <c r="F478" i="19"/>
  <c r="F476" i="3"/>
  <c r="J475" i="3"/>
  <c r="M476" i="3"/>
  <c r="Q475" i="3"/>
  <c r="C479" i="19"/>
  <c r="B479" i="4"/>
  <c r="D479" i="18"/>
  <c r="O478" i="5"/>
  <c r="D479" i="19" l="1"/>
  <c r="E479" i="19" s="1"/>
  <c r="F479" i="19"/>
  <c r="M477" i="3"/>
  <c r="Q476" i="3"/>
  <c r="F477" i="3"/>
  <c r="J476" i="3"/>
  <c r="C480" i="19"/>
  <c r="B480" i="4"/>
  <c r="D480" i="18"/>
  <c r="O479" i="5"/>
  <c r="D480" i="19" l="1"/>
  <c r="E480" i="19" s="1"/>
  <c r="F480" i="19"/>
  <c r="F478" i="3"/>
  <c r="J477" i="3"/>
  <c r="M478" i="3"/>
  <c r="Q477" i="3"/>
  <c r="C481" i="19"/>
  <c r="D481" i="18"/>
  <c r="O480" i="5"/>
  <c r="B481" i="4"/>
  <c r="D481" i="19" l="1"/>
  <c r="E481" i="19" s="1"/>
  <c r="F481" i="19"/>
  <c r="M479" i="3"/>
  <c r="Q478" i="3"/>
  <c r="F479" i="3"/>
  <c r="J478" i="3"/>
  <c r="B482" i="4"/>
  <c r="D482" i="18"/>
  <c r="O481" i="5"/>
  <c r="C482" i="19"/>
  <c r="D482" i="19" l="1"/>
  <c r="E482" i="19" s="1"/>
  <c r="F482" i="19"/>
  <c r="F480" i="3"/>
  <c r="J479" i="3"/>
  <c r="M480" i="3"/>
  <c r="Q479" i="3"/>
  <c r="C483" i="19"/>
  <c r="D483" i="18"/>
  <c r="O482" i="5"/>
  <c r="B483" i="4"/>
  <c r="D483" i="19" l="1"/>
  <c r="E483" i="19" s="1"/>
  <c r="F483" i="19"/>
  <c r="M481" i="3"/>
  <c r="Q480" i="3"/>
  <c r="F481" i="3"/>
  <c r="J480" i="3"/>
  <c r="C484" i="19"/>
  <c r="B484" i="4"/>
  <c r="D484" i="18"/>
  <c r="O483" i="5"/>
  <c r="D484" i="19" l="1"/>
  <c r="E484" i="19" s="1"/>
  <c r="F484" i="19"/>
  <c r="F482" i="3"/>
  <c r="J481" i="3"/>
  <c r="M482" i="3"/>
  <c r="Q481" i="3"/>
  <c r="D485" i="18"/>
  <c r="O484" i="5"/>
  <c r="C485" i="19"/>
  <c r="B485" i="4"/>
  <c r="D485" i="19" l="1"/>
  <c r="E485" i="19" s="1"/>
  <c r="F485" i="19"/>
  <c r="M483" i="3"/>
  <c r="Q482" i="3"/>
  <c r="F483" i="3"/>
  <c r="J482" i="3"/>
  <c r="C486" i="19"/>
  <c r="B486" i="4"/>
  <c r="D486" i="18"/>
  <c r="O485" i="5"/>
  <c r="D486" i="19" l="1"/>
  <c r="E486" i="19" s="1"/>
  <c r="F486" i="19"/>
  <c r="F484" i="3"/>
  <c r="J483" i="3"/>
  <c r="M484" i="3"/>
  <c r="Q483" i="3"/>
  <c r="B487" i="4"/>
  <c r="D487" i="18"/>
  <c r="O486" i="5"/>
  <c r="C487" i="19"/>
  <c r="D487" i="19" l="1"/>
  <c r="E487" i="19" s="1"/>
  <c r="F487" i="19"/>
  <c r="M485" i="3"/>
  <c r="Q484" i="3"/>
  <c r="F485" i="3"/>
  <c r="J484" i="3"/>
  <c r="B488" i="4"/>
  <c r="C488" i="19"/>
  <c r="D488" i="18"/>
  <c r="O487" i="5"/>
  <c r="D488" i="19" l="1"/>
  <c r="E488" i="19" s="1"/>
  <c r="F488" i="19"/>
  <c r="F486" i="3"/>
  <c r="J485" i="3"/>
  <c r="M486" i="3"/>
  <c r="Q485" i="3"/>
  <c r="C489" i="19"/>
  <c r="D489" i="18"/>
  <c r="O488" i="5"/>
  <c r="B489" i="4"/>
  <c r="D489" i="19" l="1"/>
  <c r="E489" i="19" s="1"/>
  <c r="F489" i="19"/>
  <c r="M487" i="3"/>
  <c r="Q486" i="3"/>
  <c r="F487" i="3"/>
  <c r="J486" i="3"/>
  <c r="C490" i="19"/>
  <c r="D490" i="18"/>
  <c r="O489" i="5"/>
  <c r="B490" i="4"/>
  <c r="D490" i="19" l="1"/>
  <c r="E490" i="19" s="1"/>
  <c r="F490" i="19"/>
  <c r="F488" i="3"/>
  <c r="J487" i="3"/>
  <c r="M488" i="3"/>
  <c r="Q487" i="3"/>
  <c r="B491" i="4"/>
  <c r="D491" i="18"/>
  <c r="O490" i="5"/>
  <c r="C491" i="19"/>
  <c r="D491" i="19" l="1"/>
  <c r="E491" i="19" s="1"/>
  <c r="F491" i="19"/>
  <c r="M489" i="3"/>
  <c r="Q488" i="3"/>
  <c r="F489" i="3"/>
  <c r="J488" i="3"/>
  <c r="B492" i="4"/>
  <c r="D492" i="18"/>
  <c r="O491" i="5"/>
  <c r="C492" i="19"/>
  <c r="D492" i="19" l="1"/>
  <c r="E492" i="19" s="1"/>
  <c r="F492" i="19"/>
  <c r="F490" i="3"/>
  <c r="J489" i="3"/>
  <c r="M490" i="3"/>
  <c r="Q489" i="3"/>
  <c r="C493" i="19"/>
  <c r="D493" i="18"/>
  <c r="O492" i="5"/>
  <c r="B493" i="4"/>
  <c r="D493" i="19" l="1"/>
  <c r="E493" i="19" s="1"/>
  <c r="F493" i="19"/>
  <c r="M491" i="3"/>
  <c r="Q490" i="3"/>
  <c r="F491" i="3"/>
  <c r="J490" i="3"/>
  <c r="C494" i="19"/>
  <c r="D494" i="18"/>
  <c r="O493" i="5"/>
  <c r="B494" i="4"/>
  <c r="D494" i="19" l="1"/>
  <c r="E494" i="19" s="1"/>
  <c r="F494" i="19"/>
  <c r="F492" i="3"/>
  <c r="J491" i="3"/>
  <c r="M492" i="3"/>
  <c r="Q491" i="3"/>
  <c r="C495" i="19"/>
  <c r="B495" i="4"/>
  <c r="D495" i="18"/>
  <c r="O494" i="5"/>
  <c r="D495" i="19" l="1"/>
  <c r="E495" i="19" s="1"/>
  <c r="F495" i="19"/>
  <c r="M493" i="3"/>
  <c r="Q492" i="3"/>
  <c r="F493" i="3"/>
  <c r="J492" i="3"/>
  <c r="D496" i="18"/>
  <c r="O495" i="5"/>
  <c r="C496" i="19"/>
  <c r="B496" i="4"/>
  <c r="D496" i="19" l="1"/>
  <c r="E496" i="19" s="1"/>
  <c r="F496" i="19"/>
  <c r="F494" i="3"/>
  <c r="J493" i="3"/>
  <c r="M494" i="3"/>
  <c r="Q493" i="3"/>
  <c r="B497" i="4"/>
  <c r="D497" i="18"/>
  <c r="O496" i="5"/>
  <c r="C497" i="19"/>
  <c r="D497" i="19" l="1"/>
  <c r="E497" i="19" s="1"/>
  <c r="F497" i="19"/>
  <c r="M495" i="3"/>
  <c r="Q494" i="3"/>
  <c r="F495" i="3"/>
  <c r="J494" i="3"/>
  <c r="D498" i="18"/>
  <c r="O497" i="5"/>
  <c r="B498" i="4"/>
  <c r="C498" i="19"/>
  <c r="D498" i="19" l="1"/>
  <c r="E498" i="19" s="1"/>
  <c r="F498" i="19"/>
  <c r="F496" i="3"/>
  <c r="J495" i="3"/>
  <c r="M496" i="3"/>
  <c r="Q495" i="3"/>
  <c r="D499" i="18"/>
  <c r="O498" i="5"/>
  <c r="C499" i="19"/>
  <c r="B499" i="4"/>
  <c r="D499" i="19" l="1"/>
  <c r="E499" i="19" s="1"/>
  <c r="F499" i="19"/>
  <c r="M497" i="3"/>
  <c r="Q496" i="3"/>
  <c r="F497" i="3"/>
  <c r="J496" i="3"/>
  <c r="C500" i="19"/>
  <c r="B500" i="4"/>
  <c r="D500" i="18"/>
  <c r="O499" i="5"/>
  <c r="D500" i="19" l="1"/>
  <c r="E500" i="19" s="1"/>
  <c r="F500" i="19"/>
  <c r="F498" i="3"/>
  <c r="J497" i="3"/>
  <c r="M498" i="3"/>
  <c r="Q497" i="3"/>
  <c r="D501" i="18"/>
  <c r="O500" i="5"/>
  <c r="B501" i="4"/>
  <c r="C501" i="19"/>
  <c r="D501" i="19" l="1"/>
  <c r="E501" i="19" s="1"/>
  <c r="F501" i="19"/>
  <c r="M499" i="3"/>
  <c r="Q498" i="3"/>
  <c r="F499" i="3"/>
  <c r="J498" i="3"/>
  <c r="C502" i="19"/>
  <c r="B502" i="4"/>
  <c r="D502" i="18"/>
  <c r="O501" i="5"/>
  <c r="D502" i="19" l="1"/>
  <c r="E502" i="19" s="1"/>
  <c r="F502" i="19"/>
  <c r="F500" i="3"/>
  <c r="J499" i="3"/>
  <c r="M500" i="3"/>
  <c r="Q499" i="3"/>
  <c r="D503" i="18"/>
  <c r="O502" i="5"/>
  <c r="B503" i="4"/>
  <c r="C503" i="19"/>
  <c r="D503" i="19" l="1"/>
  <c r="E503" i="19" s="1"/>
  <c r="F503" i="19"/>
  <c r="M501" i="3"/>
  <c r="Q500" i="3"/>
  <c r="F501" i="3"/>
  <c r="J500" i="3"/>
  <c r="D504" i="18"/>
  <c r="O503" i="5"/>
  <c r="C504" i="19"/>
  <c r="B504" i="4"/>
  <c r="D504" i="19" l="1"/>
  <c r="E504" i="19" s="1"/>
  <c r="F504" i="19"/>
  <c r="F502" i="3"/>
  <c r="J501" i="3"/>
  <c r="M502" i="3"/>
  <c r="Q501" i="3"/>
  <c r="B505" i="4"/>
  <c r="D505" i="18"/>
  <c r="O504" i="5"/>
  <c r="C505" i="19"/>
  <c r="D505" i="19" l="1"/>
  <c r="E505" i="19" s="1"/>
  <c r="F505" i="19"/>
  <c r="M503" i="3"/>
  <c r="Q502" i="3"/>
  <c r="F503" i="3"/>
  <c r="J502" i="3"/>
  <c r="D506" i="18"/>
  <c r="O505" i="5"/>
  <c r="B506" i="4"/>
  <c r="C506" i="19"/>
  <c r="D506" i="19" l="1"/>
  <c r="E506" i="19" s="1"/>
  <c r="F506" i="19"/>
  <c r="F504" i="3"/>
  <c r="J503" i="3"/>
  <c r="M504" i="3"/>
  <c r="Q503" i="3"/>
  <c r="C507" i="19"/>
  <c r="B507" i="4"/>
  <c r="D507" i="18"/>
  <c r="O506" i="5"/>
  <c r="D507" i="19" l="1"/>
  <c r="E507" i="19" s="1"/>
  <c r="F507" i="19"/>
  <c r="M505" i="3"/>
  <c r="Q504" i="3"/>
  <c r="F505" i="3"/>
  <c r="J504" i="3"/>
  <c r="C508" i="19"/>
  <c r="D508" i="18"/>
  <c r="O507" i="5"/>
  <c r="B508" i="4"/>
  <c r="D508" i="19" l="1"/>
  <c r="E508" i="19" s="1"/>
  <c r="F508" i="19"/>
  <c r="F506" i="3"/>
  <c r="J505" i="3"/>
  <c r="M506" i="3"/>
  <c r="Q505" i="3"/>
  <c r="D509" i="18"/>
  <c r="O508" i="5"/>
  <c r="C508" i="4"/>
  <c r="B509" i="4"/>
  <c r="C509" i="19"/>
  <c r="D509" i="19" l="1"/>
  <c r="E509" i="19" s="1"/>
  <c r="F509" i="19"/>
  <c r="M507" i="3"/>
  <c r="Q506" i="3"/>
  <c r="F507" i="3"/>
  <c r="J506" i="3"/>
  <c r="B510" i="4"/>
  <c r="C509" i="4"/>
  <c r="C510" i="19"/>
  <c r="R508" i="4"/>
  <c r="K508" i="20" s="1"/>
  <c r="Q508" i="4"/>
  <c r="J508" i="20" s="1"/>
  <c r="P508" i="4"/>
  <c r="I508" i="20" s="1"/>
  <c r="D510" i="18"/>
  <c r="O509" i="5"/>
  <c r="D510" i="19" l="1"/>
  <c r="E510" i="19" s="1"/>
  <c r="F510" i="19"/>
  <c r="F508" i="3"/>
  <c r="J507" i="3"/>
  <c r="M508" i="3"/>
  <c r="Q507" i="3"/>
  <c r="B511" i="4"/>
  <c r="C510" i="4"/>
  <c r="D511" i="18"/>
  <c r="O510" i="5"/>
  <c r="C511" i="19"/>
  <c r="R509" i="4"/>
  <c r="K509" i="20" s="1"/>
  <c r="Q509" i="4"/>
  <c r="J509" i="20" s="1"/>
  <c r="P509" i="4"/>
  <c r="I509" i="20" s="1"/>
  <c r="D511" i="19" l="1"/>
  <c r="E511" i="19" s="1"/>
  <c r="F511" i="19"/>
  <c r="M509" i="3"/>
  <c r="Q508" i="3"/>
  <c r="F509" i="3"/>
  <c r="J508" i="3"/>
  <c r="P510" i="4"/>
  <c r="I510" i="20" s="1"/>
  <c r="R510" i="4"/>
  <c r="K510" i="20" s="1"/>
  <c r="Q510" i="4"/>
  <c r="J510" i="20" s="1"/>
  <c r="D512" i="18"/>
  <c r="O511" i="5"/>
  <c r="C511" i="4"/>
  <c r="B512" i="4"/>
  <c r="C512" i="19"/>
  <c r="D512" i="19" l="1"/>
  <c r="E512" i="19" s="1"/>
  <c r="F512" i="19"/>
  <c r="F510" i="3"/>
  <c r="J509" i="3"/>
  <c r="M510" i="3"/>
  <c r="Q509" i="3"/>
  <c r="D513" i="18"/>
  <c r="O512" i="5"/>
  <c r="C512" i="4"/>
  <c r="B513" i="4"/>
  <c r="Q511" i="4"/>
  <c r="J511" i="20" s="1"/>
  <c r="P511" i="4"/>
  <c r="I511" i="20" s="1"/>
  <c r="R511" i="4"/>
  <c r="K511" i="20" s="1"/>
  <c r="C513" i="19"/>
  <c r="D513" i="19" l="1"/>
  <c r="E513" i="19" s="1"/>
  <c r="F513" i="19"/>
  <c r="M511" i="3"/>
  <c r="Q510" i="3"/>
  <c r="F511" i="3"/>
  <c r="J510" i="3"/>
  <c r="R512" i="4"/>
  <c r="K512" i="20" s="1"/>
  <c r="Q512" i="4"/>
  <c r="J512" i="20" s="1"/>
  <c r="P512" i="4"/>
  <c r="I512" i="20" s="1"/>
  <c r="C514" i="19"/>
  <c r="D514" i="18"/>
  <c r="O513" i="5"/>
  <c r="B514" i="4"/>
  <c r="C513" i="4"/>
  <c r="D514" i="19" l="1"/>
  <c r="E514" i="19" s="1"/>
  <c r="F514" i="19"/>
  <c r="F512" i="3"/>
  <c r="J511" i="3"/>
  <c r="M512" i="3"/>
  <c r="Q511" i="3"/>
  <c r="B515" i="4"/>
  <c r="C514" i="4"/>
  <c r="C515" i="19"/>
  <c r="D515" i="18"/>
  <c r="O514" i="5"/>
  <c r="R513" i="4"/>
  <c r="K513" i="20" s="1"/>
  <c r="Q513" i="4"/>
  <c r="J513" i="20" s="1"/>
  <c r="P513" i="4"/>
  <c r="I513" i="20" s="1"/>
  <c r="D515" i="19" l="1"/>
  <c r="E515" i="19" s="1"/>
  <c r="F515" i="19"/>
  <c r="M513" i="3"/>
  <c r="Q512" i="3"/>
  <c r="F513" i="3"/>
  <c r="J512" i="3"/>
  <c r="D516" i="18"/>
  <c r="O515" i="5"/>
  <c r="C516" i="19"/>
  <c r="C515" i="4"/>
  <c r="B516" i="4"/>
  <c r="P514" i="4"/>
  <c r="I514" i="20" s="1"/>
  <c r="R514" i="4"/>
  <c r="K514" i="20" s="1"/>
  <c r="Q514" i="4"/>
  <c r="J514" i="20" s="1"/>
  <c r="D516" i="19" l="1"/>
  <c r="E516" i="19" s="1"/>
  <c r="F516" i="19"/>
  <c r="F514" i="3"/>
  <c r="J513" i="3"/>
  <c r="M514" i="3"/>
  <c r="Q513" i="3"/>
  <c r="C517" i="19"/>
  <c r="C516" i="4"/>
  <c r="B517" i="4"/>
  <c r="D517" i="18"/>
  <c r="O516" i="5"/>
  <c r="Q515" i="4"/>
  <c r="J515" i="20" s="1"/>
  <c r="P515" i="4"/>
  <c r="I515" i="20" s="1"/>
  <c r="R515" i="4"/>
  <c r="K515" i="20" s="1"/>
  <c r="D517" i="19" l="1"/>
  <c r="E517" i="19" s="1"/>
  <c r="F517" i="19"/>
  <c r="M515" i="3"/>
  <c r="Q514" i="3"/>
  <c r="F515" i="3"/>
  <c r="J514" i="3"/>
  <c r="B518" i="4"/>
  <c r="C517" i="4"/>
  <c r="R516" i="4"/>
  <c r="K516" i="20" s="1"/>
  <c r="Q516" i="4"/>
  <c r="J516" i="20" s="1"/>
  <c r="P516" i="4"/>
  <c r="I516" i="20" s="1"/>
  <c r="C518" i="19"/>
  <c r="D518" i="18"/>
  <c r="O517" i="5"/>
  <c r="D518" i="19" l="1"/>
  <c r="E518" i="19" s="1"/>
  <c r="F518" i="19"/>
  <c r="F516" i="3"/>
  <c r="J515" i="3"/>
  <c r="M516" i="3"/>
  <c r="Q515" i="3"/>
  <c r="R517" i="4"/>
  <c r="K517" i="20" s="1"/>
  <c r="Q517" i="4"/>
  <c r="J517" i="20" s="1"/>
  <c r="P517" i="4"/>
  <c r="I517" i="20" s="1"/>
  <c r="B519" i="4"/>
  <c r="C518" i="4"/>
  <c r="D519" i="18"/>
  <c r="O518" i="5"/>
  <c r="C519" i="19"/>
  <c r="D519" i="19" l="1"/>
  <c r="E519" i="19" s="1"/>
  <c r="F519" i="19"/>
  <c r="M517" i="3"/>
  <c r="Q516" i="3"/>
  <c r="F517" i="3"/>
  <c r="J516" i="3"/>
  <c r="P518" i="4"/>
  <c r="I518" i="20" s="1"/>
  <c r="R518" i="4"/>
  <c r="K518" i="20" s="1"/>
  <c r="Q518" i="4"/>
  <c r="J518" i="20" s="1"/>
  <c r="C520" i="19"/>
  <c r="C519" i="4"/>
  <c r="B520" i="4"/>
  <c r="D520" i="18"/>
  <c r="O519" i="5"/>
  <c r="D520" i="19" l="1"/>
  <c r="E520" i="19" s="1"/>
  <c r="F520" i="19"/>
  <c r="F518" i="3"/>
  <c r="J517" i="3"/>
  <c r="M518" i="3"/>
  <c r="Q517" i="3"/>
  <c r="D521" i="18"/>
  <c r="O520" i="5"/>
  <c r="C520" i="4"/>
  <c r="B521" i="4"/>
  <c r="Q519" i="4"/>
  <c r="J519" i="20" s="1"/>
  <c r="P519" i="4"/>
  <c r="I519" i="20" s="1"/>
  <c r="R519" i="4"/>
  <c r="K519" i="20" s="1"/>
  <c r="C521" i="19"/>
  <c r="D521" i="19" l="1"/>
  <c r="E521" i="19" s="1"/>
  <c r="F521" i="19"/>
  <c r="M519" i="3"/>
  <c r="Q518" i="3"/>
  <c r="F519" i="3"/>
  <c r="J518" i="3"/>
  <c r="C522" i="19"/>
  <c r="B522" i="4"/>
  <c r="C521" i="4"/>
  <c r="R520" i="4"/>
  <c r="K520" i="20" s="1"/>
  <c r="Q520" i="4"/>
  <c r="J520" i="20" s="1"/>
  <c r="P520" i="4"/>
  <c r="I520" i="20" s="1"/>
  <c r="D522" i="18"/>
  <c r="O521" i="5"/>
  <c r="D522" i="19" l="1"/>
  <c r="E522" i="19" s="1"/>
  <c r="F522" i="19"/>
  <c r="F520" i="3"/>
  <c r="J519" i="3"/>
  <c r="M520" i="3"/>
  <c r="Q519" i="3"/>
  <c r="D523" i="18"/>
  <c r="O522" i="5"/>
  <c r="R521" i="4"/>
  <c r="K521" i="20" s="1"/>
  <c r="Q521" i="4"/>
  <c r="J521" i="20" s="1"/>
  <c r="P521" i="4"/>
  <c r="I521" i="20" s="1"/>
  <c r="B523" i="4"/>
  <c r="C522" i="4"/>
  <c r="C523" i="19"/>
  <c r="D523" i="19" l="1"/>
  <c r="E523" i="19" s="1"/>
  <c r="F523" i="19"/>
  <c r="M521" i="3"/>
  <c r="Q520" i="3"/>
  <c r="F521" i="3"/>
  <c r="J520" i="3"/>
  <c r="C523" i="4"/>
  <c r="B524" i="4"/>
  <c r="D524" i="18"/>
  <c r="O523" i="5"/>
  <c r="C524" i="19"/>
  <c r="P522" i="4"/>
  <c r="I522" i="20" s="1"/>
  <c r="R522" i="4"/>
  <c r="K522" i="20" s="1"/>
  <c r="Q522" i="4"/>
  <c r="J522" i="20" s="1"/>
  <c r="D524" i="19" l="1"/>
  <c r="E524" i="19" s="1"/>
  <c r="F524" i="19"/>
  <c r="F522" i="3"/>
  <c r="J521" i="3"/>
  <c r="M522" i="3"/>
  <c r="Q521" i="3"/>
  <c r="D525" i="18"/>
  <c r="O524" i="5"/>
  <c r="C525" i="19"/>
  <c r="C524" i="4"/>
  <c r="B525" i="4"/>
  <c r="Q523" i="4"/>
  <c r="J523" i="20" s="1"/>
  <c r="P523" i="4"/>
  <c r="I523" i="20" s="1"/>
  <c r="R523" i="4"/>
  <c r="K523" i="20" s="1"/>
  <c r="D525" i="19" l="1"/>
  <c r="E525" i="19" s="1"/>
  <c r="F525" i="19"/>
  <c r="M523" i="3"/>
  <c r="Q522" i="3"/>
  <c r="F523" i="3"/>
  <c r="J522" i="3"/>
  <c r="C526" i="19"/>
  <c r="B526" i="4"/>
  <c r="C525" i="4"/>
  <c r="D526" i="18"/>
  <c r="O525" i="5"/>
  <c r="R524" i="4"/>
  <c r="K524" i="20" s="1"/>
  <c r="Q524" i="4"/>
  <c r="J524" i="20" s="1"/>
  <c r="P524" i="4"/>
  <c r="I524" i="20" s="1"/>
  <c r="D526" i="19" l="1"/>
  <c r="E526" i="19" s="1"/>
  <c r="F526" i="19"/>
  <c r="F524" i="3"/>
  <c r="J523" i="3"/>
  <c r="M524" i="3"/>
  <c r="Q523" i="3"/>
  <c r="B527" i="4"/>
  <c r="C526" i="4"/>
  <c r="D527" i="18"/>
  <c r="O526" i="5"/>
  <c r="C527" i="19"/>
  <c r="R525" i="4"/>
  <c r="K525" i="20" s="1"/>
  <c r="Q525" i="4"/>
  <c r="J525" i="20" s="1"/>
  <c r="P525" i="4"/>
  <c r="I525" i="20" s="1"/>
  <c r="D527" i="19" l="1"/>
  <c r="E527" i="19" s="1"/>
  <c r="F527" i="19"/>
  <c r="M525" i="3"/>
  <c r="Q524" i="3"/>
  <c r="F525" i="3"/>
  <c r="J524" i="3"/>
  <c r="D528" i="18"/>
  <c r="O527" i="5"/>
  <c r="C528" i="19"/>
  <c r="P526" i="4"/>
  <c r="I526" i="20" s="1"/>
  <c r="R526" i="4"/>
  <c r="K526" i="20" s="1"/>
  <c r="Q526" i="4"/>
  <c r="J526" i="20" s="1"/>
  <c r="C527" i="4"/>
  <c r="B528" i="4"/>
  <c r="D528" i="19" l="1"/>
  <c r="E528" i="19" s="1"/>
  <c r="F528" i="19"/>
  <c r="F526" i="3"/>
  <c r="J525" i="3"/>
  <c r="M526" i="3"/>
  <c r="Q525" i="3"/>
  <c r="Q527" i="4"/>
  <c r="J527" i="20" s="1"/>
  <c r="P527" i="4"/>
  <c r="I527" i="20" s="1"/>
  <c r="R527" i="4"/>
  <c r="K527" i="20" s="1"/>
  <c r="C529" i="19"/>
  <c r="C528" i="4"/>
  <c r="B529" i="4"/>
  <c r="D529" i="18"/>
  <c r="O528" i="5"/>
  <c r="D529" i="19" l="1"/>
  <c r="E529" i="19" s="1"/>
  <c r="F529" i="19"/>
  <c r="M527" i="3"/>
  <c r="Q526" i="3"/>
  <c r="F527" i="3"/>
  <c r="J526" i="3"/>
  <c r="C530" i="19"/>
  <c r="D530" i="18"/>
  <c r="O529" i="5"/>
  <c r="R528" i="4"/>
  <c r="K528" i="20" s="1"/>
  <c r="Q528" i="4"/>
  <c r="J528" i="20" s="1"/>
  <c r="P528" i="4"/>
  <c r="I528" i="20" s="1"/>
  <c r="B530" i="4"/>
  <c r="C529" i="4"/>
  <c r="D530" i="19" l="1"/>
  <c r="E530" i="19" s="1"/>
  <c r="F530" i="19"/>
  <c r="F528" i="3"/>
  <c r="J527" i="3"/>
  <c r="M528" i="3"/>
  <c r="Q527" i="3"/>
  <c r="R529" i="4"/>
  <c r="K529" i="20" s="1"/>
  <c r="Q529" i="4"/>
  <c r="J529" i="20" s="1"/>
  <c r="P529" i="4"/>
  <c r="I529" i="20" s="1"/>
  <c r="B531" i="4"/>
  <c r="C530" i="4"/>
  <c r="D531" i="18"/>
  <c r="O530" i="5"/>
  <c r="C531" i="19"/>
  <c r="D531" i="19" l="1"/>
  <c r="E531" i="19" s="1"/>
  <c r="F531" i="19"/>
  <c r="M529" i="3"/>
  <c r="Q528" i="3"/>
  <c r="F529" i="3"/>
  <c r="J528" i="3"/>
  <c r="C532" i="19"/>
  <c r="C531" i="4"/>
  <c r="B532" i="4"/>
  <c r="D532" i="18"/>
  <c r="O531" i="5"/>
  <c r="P530" i="4"/>
  <c r="I530" i="20" s="1"/>
  <c r="R530" i="4"/>
  <c r="K530" i="20" s="1"/>
  <c r="Q530" i="4"/>
  <c r="J530" i="20" s="1"/>
  <c r="D532" i="19" l="1"/>
  <c r="E532" i="19" s="1"/>
  <c r="F532" i="19"/>
  <c r="F530" i="3"/>
  <c r="J529" i="3"/>
  <c r="M530" i="3"/>
  <c r="Q529" i="3"/>
  <c r="D533" i="18"/>
  <c r="O532" i="5"/>
  <c r="Q531" i="4"/>
  <c r="J531" i="20" s="1"/>
  <c r="P531" i="4"/>
  <c r="I531" i="20" s="1"/>
  <c r="R531" i="4"/>
  <c r="K531" i="20" s="1"/>
  <c r="C533" i="19"/>
  <c r="C532" i="4"/>
  <c r="B533" i="4"/>
  <c r="D533" i="19" l="1"/>
  <c r="E533" i="19" s="1"/>
  <c r="F533" i="19"/>
  <c r="M531" i="3"/>
  <c r="Q530" i="3"/>
  <c r="F531" i="3"/>
  <c r="J530" i="3"/>
  <c r="R532" i="4"/>
  <c r="K532" i="20" s="1"/>
  <c r="Q532" i="4"/>
  <c r="J532" i="20" s="1"/>
  <c r="P532" i="4"/>
  <c r="I532" i="20" s="1"/>
  <c r="C534" i="19"/>
  <c r="D534" i="18"/>
  <c r="O533" i="5"/>
  <c r="B534" i="4"/>
  <c r="C533" i="4"/>
  <c r="D534" i="19" l="1"/>
  <c r="E534" i="19" s="1"/>
  <c r="F534" i="19"/>
  <c r="F532" i="3"/>
  <c r="J531" i="3"/>
  <c r="M532" i="3"/>
  <c r="Q531" i="3"/>
  <c r="B535" i="4"/>
  <c r="C534" i="4"/>
  <c r="R533" i="4"/>
  <c r="K533" i="20" s="1"/>
  <c r="Q533" i="4"/>
  <c r="J533" i="20" s="1"/>
  <c r="P533" i="4"/>
  <c r="I533" i="20" s="1"/>
  <c r="C535" i="19"/>
  <c r="D535" i="18"/>
  <c r="O534" i="5"/>
  <c r="D535" i="19" l="1"/>
  <c r="E535" i="19" s="1"/>
  <c r="F535" i="19"/>
  <c r="M533" i="3"/>
  <c r="Q532" i="3"/>
  <c r="F533" i="3"/>
  <c r="J532" i="3"/>
  <c r="P534" i="4"/>
  <c r="I534" i="20" s="1"/>
  <c r="R534" i="4"/>
  <c r="K534" i="20" s="1"/>
  <c r="Q534" i="4"/>
  <c r="J534" i="20" s="1"/>
  <c r="C535" i="4"/>
  <c r="B536" i="4"/>
  <c r="D536" i="18"/>
  <c r="O535" i="5"/>
  <c r="C536" i="19"/>
  <c r="D536" i="19" l="1"/>
  <c r="E536" i="19" s="1"/>
  <c r="F536" i="19"/>
  <c r="F534" i="3"/>
  <c r="J533" i="3"/>
  <c r="M534" i="3"/>
  <c r="Q533" i="3"/>
  <c r="C537" i="19"/>
  <c r="D537" i="18"/>
  <c r="O536" i="5"/>
  <c r="Q535" i="4"/>
  <c r="J535" i="20" s="1"/>
  <c r="P535" i="4"/>
  <c r="I535" i="20" s="1"/>
  <c r="R535" i="4"/>
  <c r="K535" i="20" s="1"/>
  <c r="C536" i="4"/>
  <c r="B537" i="4"/>
  <c r="D537" i="19" l="1"/>
  <c r="E537" i="19" s="1"/>
  <c r="F537" i="19"/>
  <c r="M535" i="3"/>
  <c r="Q534" i="3"/>
  <c r="F535" i="3"/>
  <c r="J534" i="3"/>
  <c r="R536" i="4"/>
  <c r="K536" i="20" s="1"/>
  <c r="Q536" i="4"/>
  <c r="J536" i="20" s="1"/>
  <c r="P536" i="4"/>
  <c r="I536" i="20" s="1"/>
  <c r="D538" i="18"/>
  <c r="O537" i="5"/>
  <c r="C538" i="19"/>
  <c r="B538" i="4"/>
  <c r="C537" i="4"/>
  <c r="D538" i="19" l="1"/>
  <c r="E538" i="19" s="1"/>
  <c r="F538" i="19"/>
  <c r="F536" i="3"/>
  <c r="J535" i="3"/>
  <c r="M536" i="3"/>
  <c r="Q535" i="3"/>
  <c r="B539" i="4"/>
  <c r="C538" i="4"/>
  <c r="D539" i="18"/>
  <c r="O538" i="5"/>
  <c r="R537" i="4"/>
  <c r="K537" i="20" s="1"/>
  <c r="Q537" i="4"/>
  <c r="J537" i="20" s="1"/>
  <c r="P537" i="4"/>
  <c r="I537" i="20" s="1"/>
  <c r="C539" i="19"/>
  <c r="D539" i="19" l="1"/>
  <c r="E539" i="19" s="1"/>
  <c r="F539" i="19"/>
  <c r="M537" i="3"/>
  <c r="Q536" i="3"/>
  <c r="F537" i="3"/>
  <c r="J536" i="3"/>
  <c r="D540" i="18"/>
  <c r="O539" i="5"/>
  <c r="C540" i="19"/>
  <c r="P538" i="4"/>
  <c r="I538" i="20" s="1"/>
  <c r="R538" i="4"/>
  <c r="K538" i="20" s="1"/>
  <c r="Q538" i="4"/>
  <c r="J538" i="20" s="1"/>
  <c r="C539" i="4"/>
  <c r="B540" i="4"/>
  <c r="D540" i="19" l="1"/>
  <c r="E540" i="19" s="1"/>
  <c r="F540" i="19"/>
  <c r="F538" i="3"/>
  <c r="J537" i="3"/>
  <c r="M538" i="3"/>
  <c r="Q537" i="3"/>
  <c r="C541" i="19"/>
  <c r="C540" i="4"/>
  <c r="B541" i="4"/>
  <c r="Q539" i="4"/>
  <c r="J539" i="20" s="1"/>
  <c r="P539" i="4"/>
  <c r="I539" i="20" s="1"/>
  <c r="R539" i="4"/>
  <c r="K539" i="20" s="1"/>
  <c r="D541" i="18"/>
  <c r="O540" i="5"/>
  <c r="D541" i="19" l="1"/>
  <c r="E541" i="19" s="1"/>
  <c r="F541" i="19"/>
  <c r="M539" i="3"/>
  <c r="Q538" i="3"/>
  <c r="F539" i="3"/>
  <c r="J538" i="3"/>
  <c r="C542" i="19"/>
  <c r="R540" i="4"/>
  <c r="K540" i="20" s="1"/>
  <c r="Q540" i="4"/>
  <c r="J540" i="20" s="1"/>
  <c r="P540" i="4"/>
  <c r="I540" i="20" s="1"/>
  <c r="D542" i="18"/>
  <c r="O541" i="5"/>
  <c r="B542" i="4"/>
  <c r="C541" i="4"/>
  <c r="D542" i="19" l="1"/>
  <c r="E542" i="19" s="1"/>
  <c r="F542" i="19"/>
  <c r="F540" i="3"/>
  <c r="J539" i="3"/>
  <c r="M540" i="3"/>
  <c r="Q539" i="3"/>
  <c r="D543" i="18"/>
  <c r="O542" i="5"/>
  <c r="R541" i="4"/>
  <c r="K541" i="20" s="1"/>
  <c r="Q541" i="4"/>
  <c r="J541" i="20" s="1"/>
  <c r="P541" i="4"/>
  <c r="I541" i="20" s="1"/>
  <c r="B543" i="4"/>
  <c r="C542" i="4"/>
  <c r="C543" i="19"/>
  <c r="D543" i="19" l="1"/>
  <c r="E543" i="19" s="1"/>
  <c r="F543" i="19"/>
  <c r="M541" i="3"/>
  <c r="Q540" i="3"/>
  <c r="F541" i="3"/>
  <c r="J540" i="3"/>
  <c r="D544" i="18"/>
  <c r="O543" i="5"/>
  <c r="P542" i="4"/>
  <c r="I542" i="20" s="1"/>
  <c r="R542" i="4"/>
  <c r="K542" i="20" s="1"/>
  <c r="Q542" i="4"/>
  <c r="J542" i="20" s="1"/>
  <c r="C544" i="19"/>
  <c r="C543" i="4"/>
  <c r="B544" i="4"/>
  <c r="D544" i="19" l="1"/>
  <c r="E544" i="19" s="1"/>
  <c r="F544" i="19"/>
  <c r="F542" i="3"/>
  <c r="J541" i="3"/>
  <c r="M542" i="3"/>
  <c r="Q541" i="3"/>
  <c r="D545" i="18"/>
  <c r="I23" i="16" s="1"/>
  <c r="O544" i="5"/>
  <c r="G6" i="3"/>
  <c r="H6" i="3" s="1"/>
  <c r="G5" i="3"/>
  <c r="G8" i="3"/>
  <c r="H8" i="3" s="1"/>
  <c r="G7" i="3"/>
  <c r="H7" i="3" s="1"/>
  <c r="G9" i="3"/>
  <c r="H9" i="3" s="1"/>
  <c r="G10" i="3"/>
  <c r="H10" i="3" s="1"/>
  <c r="G15" i="3"/>
  <c r="H15" i="3" s="1"/>
  <c r="G12" i="3"/>
  <c r="H12" i="3" s="1"/>
  <c r="G11" i="3"/>
  <c r="H11" i="3" s="1"/>
  <c r="G13" i="3"/>
  <c r="H13" i="3" s="1"/>
  <c r="G16" i="3"/>
  <c r="H16" i="3" s="1"/>
  <c r="G14" i="3"/>
  <c r="H14" i="3" s="1"/>
  <c r="G17" i="3"/>
  <c r="H17" i="3" s="1"/>
  <c r="G19" i="3"/>
  <c r="H19" i="3" s="1"/>
  <c r="G18" i="3"/>
  <c r="H18" i="3" s="1"/>
  <c r="G20" i="3"/>
  <c r="H20" i="3" s="1"/>
  <c r="G21" i="3"/>
  <c r="H21" i="3" s="1"/>
  <c r="G22" i="3"/>
  <c r="H22" i="3" s="1"/>
  <c r="G23" i="3"/>
  <c r="H23" i="3" s="1"/>
  <c r="G24" i="3"/>
  <c r="H24" i="3" s="1"/>
  <c r="G26" i="3"/>
  <c r="H26" i="3" s="1"/>
  <c r="G25" i="3"/>
  <c r="H25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5" i="3"/>
  <c r="H35" i="3" s="1"/>
  <c r="G34" i="3"/>
  <c r="H34" i="3" s="1"/>
  <c r="G36" i="3"/>
  <c r="H36" i="3" s="1"/>
  <c r="G38" i="3"/>
  <c r="H38" i="3" s="1"/>
  <c r="G37" i="3"/>
  <c r="H37" i="3" s="1"/>
  <c r="G39" i="3"/>
  <c r="H39" i="3" s="1"/>
  <c r="G41" i="3"/>
  <c r="H41" i="3" s="1"/>
  <c r="G40" i="3"/>
  <c r="H40" i="3" s="1"/>
  <c r="G43" i="3"/>
  <c r="H43" i="3" s="1"/>
  <c r="G42" i="3"/>
  <c r="H42" i="3" s="1"/>
  <c r="G46" i="3"/>
  <c r="H46" i="3" s="1"/>
  <c r="G45" i="3"/>
  <c r="H45" i="3" s="1"/>
  <c r="G44" i="3"/>
  <c r="H44" i="3" s="1"/>
  <c r="G47" i="3"/>
  <c r="H47" i="3" s="1"/>
  <c r="G49" i="3"/>
  <c r="H49" i="3" s="1"/>
  <c r="G48" i="3"/>
  <c r="H48" i="3" s="1"/>
  <c r="C545" i="19"/>
  <c r="Q543" i="4"/>
  <c r="J543" i="20" s="1"/>
  <c r="P543" i="4"/>
  <c r="I543" i="20" s="1"/>
  <c r="R543" i="4"/>
  <c r="K543" i="20" s="1"/>
  <c r="C544" i="4"/>
  <c r="B545" i="4"/>
  <c r="D545" i="19" l="1"/>
  <c r="E545" i="19" s="1"/>
  <c r="F545" i="19"/>
  <c r="M543" i="3"/>
  <c r="Q542" i="3"/>
  <c r="F543" i="3"/>
  <c r="J542" i="3"/>
  <c r="K49" i="3"/>
  <c r="K45" i="3"/>
  <c r="K40" i="3"/>
  <c r="K38" i="3"/>
  <c r="K33" i="3"/>
  <c r="K29" i="3"/>
  <c r="K26" i="3"/>
  <c r="K21" i="3"/>
  <c r="K17" i="3"/>
  <c r="K11" i="3"/>
  <c r="K9" i="3"/>
  <c r="K6" i="3"/>
  <c r="K46" i="3"/>
  <c r="K41" i="3"/>
  <c r="K36" i="3"/>
  <c r="K32" i="3"/>
  <c r="K28" i="3"/>
  <c r="K24" i="3"/>
  <c r="K20" i="3"/>
  <c r="K14" i="3"/>
  <c r="K12" i="3"/>
  <c r="K7" i="3"/>
  <c r="D546" i="18"/>
  <c r="O545" i="5"/>
  <c r="R544" i="4"/>
  <c r="K544" i="20" s="1"/>
  <c r="Q544" i="4"/>
  <c r="J544" i="20" s="1"/>
  <c r="P544" i="4"/>
  <c r="I544" i="20" s="1"/>
  <c r="C546" i="19"/>
  <c r="K47" i="3"/>
  <c r="K42" i="3"/>
  <c r="K39" i="3"/>
  <c r="K34" i="3"/>
  <c r="K31" i="3"/>
  <c r="K27" i="3"/>
  <c r="K23" i="3"/>
  <c r="K18" i="3"/>
  <c r="K16" i="3"/>
  <c r="K15" i="3"/>
  <c r="K8" i="3"/>
  <c r="J23" i="16"/>
  <c r="C7" i="5"/>
  <c r="C51" i="5" s="1"/>
  <c r="B546" i="4"/>
  <c r="C545" i="4"/>
  <c r="K48" i="3"/>
  <c r="K44" i="3"/>
  <c r="K43" i="3"/>
  <c r="K37" i="3"/>
  <c r="K35" i="3"/>
  <c r="K30" i="3"/>
  <c r="K25" i="3"/>
  <c r="K22" i="3"/>
  <c r="K19" i="3"/>
  <c r="K13" i="3"/>
  <c r="K10" i="3"/>
  <c r="K5" i="3"/>
  <c r="H5" i="3"/>
  <c r="D546" i="19" l="1"/>
  <c r="E546" i="19" s="1"/>
  <c r="F546" i="19"/>
  <c r="F544" i="3"/>
  <c r="J543" i="3"/>
  <c r="M544" i="3"/>
  <c r="Q543" i="3"/>
  <c r="C61" i="5"/>
  <c r="C17" i="5"/>
  <c r="C5" i="4"/>
  <c r="C5" i="3"/>
  <c r="G50" i="3" s="1"/>
  <c r="D547" i="18"/>
  <c r="O546" i="5"/>
  <c r="R545" i="4"/>
  <c r="K545" i="20" s="1"/>
  <c r="Q545" i="4"/>
  <c r="J545" i="20" s="1"/>
  <c r="P545" i="4"/>
  <c r="I545" i="20" s="1"/>
  <c r="B547" i="4"/>
  <c r="C546" i="4"/>
  <c r="C547" i="19"/>
  <c r="H50" i="3" l="1"/>
  <c r="K50" i="3"/>
  <c r="D547" i="19"/>
  <c r="E547" i="19" s="1"/>
  <c r="F547" i="19"/>
  <c r="C6" i="3"/>
  <c r="G51" i="3" s="1"/>
  <c r="M545" i="3"/>
  <c r="Q544" i="3"/>
  <c r="F545" i="3"/>
  <c r="J544" i="3"/>
  <c r="I75" i="16"/>
  <c r="I83" i="16" s="1"/>
  <c r="P5" i="4"/>
  <c r="C6" i="4"/>
  <c r="C548" i="19"/>
  <c r="P546" i="4"/>
  <c r="I546" i="20" s="1"/>
  <c r="R546" i="4"/>
  <c r="K546" i="20" s="1"/>
  <c r="Q546" i="4"/>
  <c r="J546" i="20" s="1"/>
  <c r="C547" i="4"/>
  <c r="B548" i="4"/>
  <c r="D548" i="18"/>
  <c r="O547" i="5"/>
  <c r="E77" i="16"/>
  <c r="F17" i="5"/>
  <c r="F51" i="5" s="1"/>
  <c r="I73" i="16"/>
  <c r="H51" i="3" l="1"/>
  <c r="K51" i="3"/>
  <c r="D548" i="19"/>
  <c r="E548" i="19" s="1"/>
  <c r="F548" i="19"/>
  <c r="D547" i="4"/>
  <c r="F547" i="4" s="1"/>
  <c r="D6" i="4"/>
  <c r="E6" i="4" s="1"/>
  <c r="K77" i="16"/>
  <c r="D518" i="4"/>
  <c r="G518" i="4" s="1"/>
  <c r="D526" i="4"/>
  <c r="J526" i="4" s="1"/>
  <c r="D546" i="4"/>
  <c r="F546" i="4" s="1"/>
  <c r="D525" i="4"/>
  <c r="G525" i="4" s="1"/>
  <c r="D545" i="4"/>
  <c r="E545" i="4" s="1"/>
  <c r="D543" i="4"/>
  <c r="J543" i="4" s="1"/>
  <c r="D522" i="4"/>
  <c r="F522" i="4" s="1"/>
  <c r="D540" i="4"/>
  <c r="G540" i="4" s="1"/>
  <c r="D524" i="4"/>
  <c r="J524" i="4" s="1"/>
  <c r="D508" i="4"/>
  <c r="J508" i="4" s="1"/>
  <c r="D542" i="4"/>
  <c r="J542" i="4" s="1"/>
  <c r="D521" i="4"/>
  <c r="G521" i="4" s="1"/>
  <c r="D541" i="4"/>
  <c r="G541" i="4" s="1"/>
  <c r="D519" i="4"/>
  <c r="J519" i="4" s="1"/>
  <c r="D534" i="4"/>
  <c r="J534" i="4" s="1"/>
  <c r="D538" i="4"/>
  <c r="J538" i="4" s="1"/>
  <c r="D517" i="4"/>
  <c r="G517" i="4" s="1"/>
  <c r="D536" i="4"/>
  <c r="G536" i="4" s="1"/>
  <c r="D520" i="4"/>
  <c r="E520" i="4" s="1"/>
  <c r="D5" i="4"/>
  <c r="G5" i="4" s="1"/>
  <c r="D539" i="4"/>
  <c r="G539" i="4" s="1"/>
  <c r="D537" i="4"/>
  <c r="E537" i="4" s="1"/>
  <c r="D515" i="4"/>
  <c r="F515" i="4" s="1"/>
  <c r="D535" i="4"/>
  <c r="G535" i="4" s="1"/>
  <c r="D514" i="4"/>
  <c r="E514" i="4" s="1"/>
  <c r="D523" i="4"/>
  <c r="J523" i="4" s="1"/>
  <c r="D533" i="4"/>
  <c r="G533" i="4" s="1"/>
  <c r="D511" i="4"/>
  <c r="G511" i="4" s="1"/>
  <c r="D532" i="4"/>
  <c r="F532" i="4" s="1"/>
  <c r="D516" i="4"/>
  <c r="G516" i="4" s="1"/>
  <c r="D529" i="4"/>
  <c r="E529" i="4" s="1"/>
  <c r="D531" i="4"/>
  <c r="J531" i="4" s="1"/>
  <c r="D510" i="4"/>
  <c r="F510" i="4" s="1"/>
  <c r="D530" i="4"/>
  <c r="J530" i="4" s="1"/>
  <c r="D509" i="4"/>
  <c r="F509" i="4" s="1"/>
  <c r="D513" i="4"/>
  <c r="G513" i="4" s="1"/>
  <c r="D527" i="4"/>
  <c r="G527" i="4" s="1"/>
  <c r="D544" i="4"/>
  <c r="G544" i="4" s="1"/>
  <c r="D528" i="4"/>
  <c r="J528" i="4" s="1"/>
  <c r="D512" i="4"/>
  <c r="G512" i="4" s="1"/>
  <c r="C7" i="3"/>
  <c r="G52" i="3" s="1"/>
  <c r="F546" i="3"/>
  <c r="J545" i="3"/>
  <c r="M546" i="3"/>
  <c r="Q545" i="3"/>
  <c r="L51" i="5"/>
  <c r="F61" i="5" s="1"/>
  <c r="L52" i="5"/>
  <c r="G547" i="4"/>
  <c r="P6" i="4"/>
  <c r="I6" i="20" s="1"/>
  <c r="C7" i="4"/>
  <c r="D7" i="4" s="1"/>
  <c r="D549" i="18"/>
  <c r="O548" i="5"/>
  <c r="C548" i="4"/>
  <c r="D548" i="4" s="1"/>
  <c r="B549" i="4"/>
  <c r="C549" i="19"/>
  <c r="I5" i="20"/>
  <c r="Q547" i="4"/>
  <c r="J547" i="20" s="1"/>
  <c r="P547" i="4"/>
  <c r="I547" i="20" s="1"/>
  <c r="R547" i="4"/>
  <c r="K547" i="20" s="1"/>
  <c r="H52" i="3" l="1"/>
  <c r="K52" i="3"/>
  <c r="G546" i="4"/>
  <c r="G542" i="4"/>
  <c r="G520" i="4"/>
  <c r="G522" i="4"/>
  <c r="G534" i="4"/>
  <c r="G515" i="4"/>
  <c r="D549" i="19"/>
  <c r="E549" i="19" s="1"/>
  <c r="F549" i="19"/>
  <c r="F537" i="4"/>
  <c r="J529" i="4"/>
  <c r="E527" i="4"/>
  <c r="H527" i="4" s="1"/>
  <c r="I527" i="4" s="1"/>
  <c r="F514" i="4"/>
  <c r="F541" i="4"/>
  <c r="F527" i="4"/>
  <c r="F518" i="4"/>
  <c r="F517" i="4"/>
  <c r="F511" i="4"/>
  <c r="F513" i="4"/>
  <c r="F531" i="4"/>
  <c r="F512" i="4"/>
  <c r="F5" i="4"/>
  <c r="F535" i="4"/>
  <c r="G545" i="4"/>
  <c r="E538" i="4"/>
  <c r="H538" i="4" s="1"/>
  <c r="G514" i="4"/>
  <c r="E513" i="4"/>
  <c r="E511" i="4"/>
  <c r="G531" i="4"/>
  <c r="J513" i="4"/>
  <c r="J511" i="4"/>
  <c r="G530" i="4"/>
  <c r="E530" i="4"/>
  <c r="H530" i="4" s="1"/>
  <c r="C8" i="3"/>
  <c r="G53" i="3" s="1"/>
  <c r="G532" i="4"/>
  <c r="G543" i="4"/>
  <c r="G523" i="4"/>
  <c r="G537" i="4"/>
  <c r="G524" i="4"/>
  <c r="G509" i="4"/>
  <c r="G510" i="4"/>
  <c r="G538" i="4"/>
  <c r="G529" i="4"/>
  <c r="J522" i="4"/>
  <c r="F523" i="4"/>
  <c r="F538" i="4"/>
  <c r="J514" i="4"/>
  <c r="J527" i="4"/>
  <c r="E542" i="4"/>
  <c r="J540" i="4"/>
  <c r="F530" i="4"/>
  <c r="J5" i="4"/>
  <c r="E536" i="4"/>
  <c r="H536" i="4" s="1"/>
  <c r="J537" i="4"/>
  <c r="E510" i="4"/>
  <c r="H510" i="4" s="1"/>
  <c r="F542" i="4"/>
  <c r="E525" i="4"/>
  <c r="H525" i="4" s="1"/>
  <c r="I525" i="4" s="1"/>
  <c r="E531" i="4"/>
  <c r="F526" i="4"/>
  <c r="F528" i="4"/>
  <c r="E526" i="4"/>
  <c r="H526" i="4" s="1"/>
  <c r="E5" i="4"/>
  <c r="F540" i="4"/>
  <c r="J516" i="4"/>
  <c r="F516" i="4"/>
  <c r="E509" i="4"/>
  <c r="H509" i="4" s="1"/>
  <c r="J510" i="4"/>
  <c r="F543" i="4"/>
  <c r="E523" i="4"/>
  <c r="H523" i="4" s="1"/>
  <c r="I523" i="4" s="1"/>
  <c r="J546" i="4"/>
  <c r="E546" i="4"/>
  <c r="J509" i="4"/>
  <c r="E544" i="4"/>
  <c r="J536" i="4"/>
  <c r="E543" i="4"/>
  <c r="H543" i="4" s="1"/>
  <c r="J544" i="4"/>
  <c r="E532" i="4"/>
  <c r="F536" i="4"/>
  <c r="J532" i="4"/>
  <c r="F544" i="4"/>
  <c r="E522" i="4"/>
  <c r="F534" i="4"/>
  <c r="J545" i="4"/>
  <c r="J520" i="4"/>
  <c r="M547" i="3"/>
  <c r="Q546" i="3"/>
  <c r="J517" i="4"/>
  <c r="E535" i="4"/>
  <c r="H535" i="4" s="1"/>
  <c r="I535" i="4" s="1"/>
  <c r="F520" i="4"/>
  <c r="E515" i="4"/>
  <c r="F539" i="4"/>
  <c r="F519" i="4"/>
  <c r="E547" i="4"/>
  <c r="N547" i="4" s="1"/>
  <c r="F508" i="4"/>
  <c r="F533" i="4"/>
  <c r="F547" i="3"/>
  <c r="J546" i="3"/>
  <c r="E518" i="4"/>
  <c r="H518" i="4" s="1"/>
  <c r="I518" i="4" s="1"/>
  <c r="E524" i="4"/>
  <c r="H524" i="4" s="1"/>
  <c r="J547" i="4"/>
  <c r="J535" i="4"/>
  <c r="J515" i="4"/>
  <c r="F545" i="4"/>
  <c r="F524" i="4"/>
  <c r="E517" i="4"/>
  <c r="J541" i="4"/>
  <c r="J518" i="4"/>
  <c r="E512" i="4"/>
  <c r="H512" i="4" s="1"/>
  <c r="I512" i="4" s="1"/>
  <c r="E541" i="4"/>
  <c r="J512" i="4"/>
  <c r="E539" i="4"/>
  <c r="F521" i="4"/>
  <c r="F525" i="4"/>
  <c r="F6" i="4"/>
  <c r="F529" i="4"/>
  <c r="E533" i="4"/>
  <c r="H533" i="4" s="1"/>
  <c r="I533" i="4" s="1"/>
  <c r="E534" i="4"/>
  <c r="J539" i="4"/>
  <c r="E508" i="4"/>
  <c r="H508" i="4" s="1"/>
  <c r="E519" i="4"/>
  <c r="H519" i="4" s="1"/>
  <c r="G508" i="4"/>
  <c r="G519" i="4"/>
  <c r="E540" i="4"/>
  <c r="E516" i="4"/>
  <c r="G526" i="4"/>
  <c r="E528" i="4"/>
  <c r="H528" i="4" s="1"/>
  <c r="G528" i="4"/>
  <c r="J6" i="4"/>
  <c r="G6" i="4"/>
  <c r="J521" i="4"/>
  <c r="E521" i="4"/>
  <c r="H521" i="4" s="1"/>
  <c r="J533" i="4"/>
  <c r="J525" i="4"/>
  <c r="C550" i="3"/>
  <c r="H514" i="4"/>
  <c r="H6" i="4"/>
  <c r="H545" i="4"/>
  <c r="I545" i="4" s="1"/>
  <c r="H537" i="4"/>
  <c r="H529" i="4"/>
  <c r="B550" i="4"/>
  <c r="C549" i="4"/>
  <c r="D549" i="4" s="1"/>
  <c r="P7" i="4"/>
  <c r="I7" i="20" s="1"/>
  <c r="C8" i="4"/>
  <c r="D8" i="4" s="1"/>
  <c r="G7" i="4"/>
  <c r="C550" i="19"/>
  <c r="R548" i="4"/>
  <c r="K548" i="20" s="1"/>
  <c r="Q548" i="4"/>
  <c r="J548" i="20" s="1"/>
  <c r="P548" i="4"/>
  <c r="I548" i="20" s="1"/>
  <c r="G548" i="4"/>
  <c r="H520" i="4"/>
  <c r="D550" i="18"/>
  <c r="O549" i="5"/>
  <c r="N515" i="4" l="1"/>
  <c r="I514" i="4"/>
  <c r="N546" i="4"/>
  <c r="H53" i="3"/>
  <c r="K53" i="3"/>
  <c r="N5" i="4"/>
  <c r="N520" i="4"/>
  <c r="I520" i="4"/>
  <c r="N522" i="4"/>
  <c r="N545" i="4"/>
  <c r="D550" i="19"/>
  <c r="E550" i="19" s="1"/>
  <c r="F550" i="19"/>
  <c r="N537" i="4"/>
  <c r="N538" i="4"/>
  <c r="N539" i="4"/>
  <c r="N517" i="4"/>
  <c r="N527" i="4"/>
  <c r="N513" i="4"/>
  <c r="N514" i="4"/>
  <c r="N541" i="4"/>
  <c r="N511" i="4"/>
  <c r="H513" i="4"/>
  <c r="I513" i="4" s="1"/>
  <c r="H511" i="4"/>
  <c r="I511" i="4" s="1"/>
  <c r="H522" i="4"/>
  <c r="I522" i="4" s="1"/>
  <c r="N531" i="4"/>
  <c r="I530" i="4"/>
  <c r="N530" i="4"/>
  <c r="I543" i="4"/>
  <c r="H541" i="4"/>
  <c r="I541" i="4" s="1"/>
  <c r="H515" i="4"/>
  <c r="I515" i="4" s="1"/>
  <c r="H531" i="4"/>
  <c r="I531" i="4" s="1"/>
  <c r="H5" i="4"/>
  <c r="I5" i="4" s="1"/>
  <c r="L5" i="4" s="1"/>
  <c r="N516" i="4"/>
  <c r="N510" i="4"/>
  <c r="H546" i="4"/>
  <c r="I546" i="4" s="1"/>
  <c r="I536" i="4"/>
  <c r="I510" i="4"/>
  <c r="C9" i="3"/>
  <c r="G54" i="3" s="1"/>
  <c r="N525" i="4"/>
  <c r="N509" i="4"/>
  <c r="I529" i="4"/>
  <c r="N540" i="4"/>
  <c r="N529" i="4"/>
  <c r="I524" i="4"/>
  <c r="N518" i="4"/>
  <c r="N532" i="4"/>
  <c r="I509" i="4"/>
  <c r="I537" i="4"/>
  <c r="I526" i="4"/>
  <c r="I538" i="4"/>
  <c r="N536" i="4"/>
  <c r="N542" i="4"/>
  <c r="N526" i="4"/>
  <c r="H542" i="4"/>
  <c r="I542" i="4" s="1"/>
  <c r="H539" i="4"/>
  <c r="I539" i="4" s="1"/>
  <c r="N543" i="4"/>
  <c r="N524" i="4"/>
  <c r="N544" i="4"/>
  <c r="H532" i="4"/>
  <c r="I532" i="4" s="1"/>
  <c r="N512" i="4"/>
  <c r="H544" i="4"/>
  <c r="I544" i="4" s="1"/>
  <c r="N523" i="4"/>
  <c r="H540" i="4"/>
  <c r="I540" i="4" s="1"/>
  <c r="N533" i="4"/>
  <c r="N535" i="4"/>
  <c r="H516" i="4"/>
  <c r="I516" i="4" s="1"/>
  <c r="N534" i="4"/>
  <c r="H534" i="4"/>
  <c r="I534" i="4" s="1"/>
  <c r="H547" i="4"/>
  <c r="I547" i="4" s="1"/>
  <c r="F548" i="3"/>
  <c r="J547" i="3"/>
  <c r="M548" i="3"/>
  <c r="Q547" i="3"/>
  <c r="H517" i="4"/>
  <c r="I517" i="4" s="1"/>
  <c r="I6" i="4"/>
  <c r="N521" i="4"/>
  <c r="N519" i="4"/>
  <c r="N6" i="4"/>
  <c r="I519" i="4"/>
  <c r="N508" i="4"/>
  <c r="N528" i="4"/>
  <c r="I508" i="4"/>
  <c r="I528" i="4"/>
  <c r="I521" i="4"/>
  <c r="C551" i="3"/>
  <c r="R549" i="4"/>
  <c r="K549" i="20" s="1"/>
  <c r="Q549" i="4"/>
  <c r="J549" i="20" s="1"/>
  <c r="P549" i="4"/>
  <c r="I549" i="20" s="1"/>
  <c r="G549" i="4"/>
  <c r="J548" i="4"/>
  <c r="E548" i="4"/>
  <c r="F548" i="4"/>
  <c r="C551" i="19"/>
  <c r="J7" i="4"/>
  <c r="E7" i="4"/>
  <c r="F7" i="4"/>
  <c r="B551" i="4"/>
  <c r="C550" i="4"/>
  <c r="D550" i="4" s="1"/>
  <c r="D551" i="18"/>
  <c r="O550" i="5"/>
  <c r="P8" i="4"/>
  <c r="I8" i="20" s="1"/>
  <c r="C9" i="4"/>
  <c r="D9" i="4" s="1"/>
  <c r="G8" i="4"/>
  <c r="H54" i="3" l="1"/>
  <c r="K54" i="3"/>
  <c r="D551" i="19"/>
  <c r="E551" i="19" s="1"/>
  <c r="F551" i="19"/>
  <c r="L6" i="4"/>
  <c r="K5" i="4"/>
  <c r="K6" i="4" s="1"/>
  <c r="R5" i="4"/>
  <c r="K5" i="20" s="1"/>
  <c r="C10" i="3"/>
  <c r="G55" i="3" s="1"/>
  <c r="Q5" i="4"/>
  <c r="Q6" i="4" s="1"/>
  <c r="F549" i="3"/>
  <c r="J548" i="3"/>
  <c r="M549" i="3"/>
  <c r="Q548" i="3"/>
  <c r="C552" i="3"/>
  <c r="P550" i="4"/>
  <c r="I550" i="20" s="1"/>
  <c r="R550" i="4"/>
  <c r="K550" i="20" s="1"/>
  <c r="Q550" i="4"/>
  <c r="J550" i="20" s="1"/>
  <c r="G550" i="4"/>
  <c r="J8" i="4"/>
  <c r="E8" i="4"/>
  <c r="F8" i="4"/>
  <c r="C551" i="4"/>
  <c r="D551" i="4" s="1"/>
  <c r="B552" i="4"/>
  <c r="C552" i="19"/>
  <c r="N548" i="4"/>
  <c r="H548" i="4"/>
  <c r="I548" i="4" s="1"/>
  <c r="D552" i="18"/>
  <c r="O551" i="5"/>
  <c r="P9" i="4"/>
  <c r="I9" i="20" s="1"/>
  <c r="C10" i="4"/>
  <c r="D10" i="4" s="1"/>
  <c r="G9" i="4"/>
  <c r="N7" i="4"/>
  <c r="H7" i="4"/>
  <c r="I7" i="4" s="1"/>
  <c r="E549" i="4"/>
  <c r="J549" i="4"/>
  <c r="F549" i="4"/>
  <c r="L7" i="4" l="1"/>
  <c r="H55" i="3"/>
  <c r="K55" i="3"/>
  <c r="D552" i="19"/>
  <c r="E552" i="19" s="1"/>
  <c r="F552" i="19"/>
  <c r="K7" i="4"/>
  <c r="R6" i="4"/>
  <c r="K6" i="20" s="1"/>
  <c r="J5" i="20"/>
  <c r="S5" i="4"/>
  <c r="L5" i="20" s="1"/>
  <c r="C11" i="3"/>
  <c r="G56" i="3" s="1"/>
  <c r="F550" i="3"/>
  <c r="J549" i="3"/>
  <c r="M550" i="3"/>
  <c r="Q549" i="3"/>
  <c r="C553" i="3"/>
  <c r="J9" i="4"/>
  <c r="E9" i="4"/>
  <c r="F9" i="4"/>
  <c r="D553" i="18"/>
  <c r="O552" i="5"/>
  <c r="P10" i="4"/>
  <c r="I10" i="20" s="1"/>
  <c r="C11" i="4"/>
  <c r="D11" i="4" s="1"/>
  <c r="G10" i="4"/>
  <c r="N549" i="4"/>
  <c r="H549" i="4"/>
  <c r="I549" i="4" s="1"/>
  <c r="C552" i="4"/>
  <c r="D552" i="4" s="1"/>
  <c r="B553" i="4"/>
  <c r="J6" i="20"/>
  <c r="Q7" i="4"/>
  <c r="J550" i="4"/>
  <c r="E550" i="4"/>
  <c r="F550" i="4"/>
  <c r="C553" i="19"/>
  <c r="Q551" i="4"/>
  <c r="J551" i="20" s="1"/>
  <c r="P551" i="4"/>
  <c r="I551" i="20" s="1"/>
  <c r="R551" i="4"/>
  <c r="K551" i="20" s="1"/>
  <c r="G551" i="4"/>
  <c r="N8" i="4"/>
  <c r="H8" i="4"/>
  <c r="H56" i="3" l="1"/>
  <c r="K56" i="3"/>
  <c r="D553" i="19"/>
  <c r="E553" i="19" s="1"/>
  <c r="F553" i="19"/>
  <c r="R7" i="4"/>
  <c r="K7" i="20" s="1"/>
  <c r="S6" i="4"/>
  <c r="L6" i="20" s="1"/>
  <c r="C12" i="3"/>
  <c r="G57" i="3" s="1"/>
  <c r="F551" i="3"/>
  <c r="J550" i="3"/>
  <c r="M551" i="3"/>
  <c r="Q550" i="3"/>
  <c r="C554" i="3"/>
  <c r="I8" i="4"/>
  <c r="L8" i="4" s="1"/>
  <c r="R552" i="4"/>
  <c r="K552" i="20" s="1"/>
  <c r="Q552" i="4"/>
  <c r="J552" i="20" s="1"/>
  <c r="P552" i="4"/>
  <c r="I552" i="20" s="1"/>
  <c r="G552" i="4"/>
  <c r="C554" i="19"/>
  <c r="N550" i="4"/>
  <c r="H550" i="4"/>
  <c r="I550" i="4" s="1"/>
  <c r="B554" i="4"/>
  <c r="C553" i="4"/>
  <c r="D553" i="4" s="1"/>
  <c r="E10" i="4"/>
  <c r="J10" i="4"/>
  <c r="F10" i="4"/>
  <c r="J7" i="20"/>
  <c r="P11" i="4"/>
  <c r="I11" i="20" s="1"/>
  <c r="C12" i="4"/>
  <c r="D12" i="4" s="1"/>
  <c r="G11" i="4"/>
  <c r="N9" i="4"/>
  <c r="H9" i="4"/>
  <c r="J551" i="4"/>
  <c r="E551" i="4"/>
  <c r="F551" i="4"/>
  <c r="D554" i="18"/>
  <c r="O553" i="5"/>
  <c r="H57" i="3" l="1"/>
  <c r="K57" i="3"/>
  <c r="D554" i="19"/>
  <c r="E554" i="19" s="1"/>
  <c r="F554" i="19"/>
  <c r="R8" i="4"/>
  <c r="K8" i="20" s="1"/>
  <c r="S7" i="4"/>
  <c r="L7" i="20" s="1"/>
  <c r="C13" i="3"/>
  <c r="G58" i="3" s="1"/>
  <c r="M552" i="3"/>
  <c r="Q551" i="3"/>
  <c r="F552" i="3"/>
  <c r="J551" i="3"/>
  <c r="K8" i="4"/>
  <c r="C555" i="3"/>
  <c r="Q8" i="4"/>
  <c r="J8" i="20" s="1"/>
  <c r="I9" i="4"/>
  <c r="L9" i="4" s="1"/>
  <c r="P12" i="4"/>
  <c r="I12" i="20" s="1"/>
  <c r="C13" i="4"/>
  <c r="D13" i="4" s="1"/>
  <c r="G12" i="4"/>
  <c r="N10" i="4"/>
  <c r="H10" i="4"/>
  <c r="I10" i="4" s="1"/>
  <c r="R553" i="4"/>
  <c r="K553" i="20" s="1"/>
  <c r="Q553" i="4"/>
  <c r="J553" i="20" s="1"/>
  <c r="P553" i="4"/>
  <c r="I553" i="20" s="1"/>
  <c r="G553" i="4"/>
  <c r="J552" i="4"/>
  <c r="E552" i="4"/>
  <c r="F552" i="4"/>
  <c r="D555" i="18"/>
  <c r="O554" i="5"/>
  <c r="N551" i="4"/>
  <c r="H551" i="4"/>
  <c r="I551" i="4" s="1"/>
  <c r="J11" i="4"/>
  <c r="E11" i="4"/>
  <c r="F11" i="4"/>
  <c r="B555" i="4"/>
  <c r="C554" i="4"/>
  <c r="D554" i="4" s="1"/>
  <c r="C555" i="19"/>
  <c r="L10" i="4" l="1"/>
  <c r="H58" i="3"/>
  <c r="K58" i="3"/>
  <c r="D555" i="19"/>
  <c r="E555" i="19" s="1"/>
  <c r="F555" i="19"/>
  <c r="R9" i="4"/>
  <c r="K9" i="20" s="1"/>
  <c r="C14" i="3"/>
  <c r="G59" i="3" s="1"/>
  <c r="F553" i="3"/>
  <c r="J552" i="3"/>
  <c r="M553" i="3"/>
  <c r="Q552" i="3"/>
  <c r="S8" i="4"/>
  <c r="L8" i="20" s="1"/>
  <c r="K9" i="4"/>
  <c r="K10" i="4" s="1"/>
  <c r="C556" i="3"/>
  <c r="Q9" i="4"/>
  <c r="J9" i="20" s="1"/>
  <c r="C555" i="4"/>
  <c r="D555" i="4" s="1"/>
  <c r="B556" i="4"/>
  <c r="E553" i="4"/>
  <c r="J553" i="4"/>
  <c r="F553" i="4"/>
  <c r="C556" i="19"/>
  <c r="N11" i="4"/>
  <c r="H11" i="4"/>
  <c r="N552" i="4"/>
  <c r="H552" i="4"/>
  <c r="I552" i="4" s="1"/>
  <c r="J12" i="4"/>
  <c r="E12" i="4"/>
  <c r="F12" i="4"/>
  <c r="P554" i="4"/>
  <c r="I554" i="20" s="1"/>
  <c r="R554" i="4"/>
  <c r="K554" i="20" s="1"/>
  <c r="Q554" i="4"/>
  <c r="J554" i="20" s="1"/>
  <c r="G554" i="4"/>
  <c r="D556" i="18"/>
  <c r="O555" i="5"/>
  <c r="P13" i="4"/>
  <c r="I13" i="20" s="1"/>
  <c r="C14" i="4"/>
  <c r="D14" i="4" s="1"/>
  <c r="G13" i="4"/>
  <c r="H59" i="3" l="1"/>
  <c r="K59" i="3"/>
  <c r="D556" i="19"/>
  <c r="E556" i="19" s="1"/>
  <c r="F556" i="19"/>
  <c r="R10" i="4"/>
  <c r="K10" i="20" s="1"/>
  <c r="C15" i="3"/>
  <c r="G60" i="3" s="1"/>
  <c r="M554" i="3"/>
  <c r="Q553" i="3"/>
  <c r="F554" i="3"/>
  <c r="J553" i="3"/>
  <c r="Q10" i="4"/>
  <c r="S9" i="4"/>
  <c r="L9" i="20" s="1"/>
  <c r="C557" i="3"/>
  <c r="N553" i="4"/>
  <c r="H553" i="4"/>
  <c r="I553" i="4" s="1"/>
  <c r="J13" i="4"/>
  <c r="E13" i="4"/>
  <c r="F13" i="4"/>
  <c r="N12" i="4"/>
  <c r="H12" i="4"/>
  <c r="I12" i="4" s="1"/>
  <c r="P14" i="4"/>
  <c r="I14" i="20" s="1"/>
  <c r="C15" i="4"/>
  <c r="D15" i="4" s="1"/>
  <c r="G14" i="4"/>
  <c r="C557" i="19"/>
  <c r="J554" i="4"/>
  <c r="E554" i="4"/>
  <c r="F554" i="4"/>
  <c r="I11" i="4"/>
  <c r="L11" i="4" s="1"/>
  <c r="L12" i="4" s="1"/>
  <c r="C556" i="4"/>
  <c r="D556" i="4" s="1"/>
  <c r="B557" i="4"/>
  <c r="Q555" i="4"/>
  <c r="J555" i="20" s="1"/>
  <c r="P555" i="4"/>
  <c r="I555" i="20" s="1"/>
  <c r="R555" i="4"/>
  <c r="K555" i="20" s="1"/>
  <c r="G555" i="4"/>
  <c r="D557" i="18"/>
  <c r="O556" i="5"/>
  <c r="H60" i="3" l="1"/>
  <c r="K60" i="3"/>
  <c r="D557" i="19"/>
  <c r="E557" i="19" s="1"/>
  <c r="F557" i="19"/>
  <c r="R11" i="4"/>
  <c r="K11" i="20" s="1"/>
  <c r="S10" i="4"/>
  <c r="L10" i="20" s="1"/>
  <c r="C16" i="3"/>
  <c r="G61" i="3" s="1"/>
  <c r="F555" i="3"/>
  <c r="J554" i="3"/>
  <c r="M555" i="3"/>
  <c r="Q554" i="3"/>
  <c r="J10" i="20"/>
  <c r="C558" i="3"/>
  <c r="K11" i="4"/>
  <c r="K12" i="4" s="1"/>
  <c r="D558" i="18"/>
  <c r="O557" i="5"/>
  <c r="B558" i="4"/>
  <c r="C557" i="4"/>
  <c r="D557" i="4" s="1"/>
  <c r="Q11" i="4"/>
  <c r="R556" i="4"/>
  <c r="K556" i="20" s="1"/>
  <c r="Q556" i="4"/>
  <c r="J556" i="20" s="1"/>
  <c r="P556" i="4"/>
  <c r="I556" i="20" s="1"/>
  <c r="G556" i="4"/>
  <c r="E14" i="4"/>
  <c r="J14" i="4"/>
  <c r="F14" i="4"/>
  <c r="N13" i="4"/>
  <c r="H13" i="4"/>
  <c r="I13" i="4" s="1"/>
  <c r="L13" i="4" s="1"/>
  <c r="J555" i="4"/>
  <c r="E555" i="4"/>
  <c r="F555" i="4"/>
  <c r="N554" i="4"/>
  <c r="H554" i="4"/>
  <c r="I554" i="4" s="1"/>
  <c r="C558" i="19"/>
  <c r="P15" i="4"/>
  <c r="I15" i="20" s="1"/>
  <c r="C16" i="4"/>
  <c r="D16" i="4" s="1"/>
  <c r="G15" i="4"/>
  <c r="H61" i="3" l="1"/>
  <c r="K61" i="3"/>
  <c r="D558" i="19"/>
  <c r="E558" i="19" s="1"/>
  <c r="F558" i="19"/>
  <c r="R12" i="4"/>
  <c r="R13" i="4" s="1"/>
  <c r="C17" i="3"/>
  <c r="G62" i="3" s="1"/>
  <c r="M556" i="3"/>
  <c r="Q555" i="3"/>
  <c r="F556" i="3"/>
  <c r="J555" i="3"/>
  <c r="S11" i="4"/>
  <c r="L11" i="20" s="1"/>
  <c r="C559" i="3"/>
  <c r="C559" i="19"/>
  <c r="J556" i="4"/>
  <c r="E556" i="4"/>
  <c r="F556" i="4"/>
  <c r="B559" i="4"/>
  <c r="C558" i="4"/>
  <c r="D558" i="4" s="1"/>
  <c r="P16" i="4"/>
  <c r="I16" i="20" s="1"/>
  <c r="C17" i="4"/>
  <c r="D17" i="4" s="1"/>
  <c r="G16" i="4"/>
  <c r="D559" i="18"/>
  <c r="O558" i="5"/>
  <c r="N14" i="4"/>
  <c r="H14" i="4"/>
  <c r="I14" i="4" s="1"/>
  <c r="L14" i="4" s="1"/>
  <c r="J11" i="20"/>
  <c r="Q12" i="4"/>
  <c r="K13" i="4"/>
  <c r="J15" i="4"/>
  <c r="E15" i="4"/>
  <c r="F15" i="4"/>
  <c r="N555" i="4"/>
  <c r="H555" i="4"/>
  <c r="I555" i="4" s="1"/>
  <c r="R557" i="4"/>
  <c r="K557" i="20" s="1"/>
  <c r="Q557" i="4"/>
  <c r="J557" i="20" s="1"/>
  <c r="P557" i="4"/>
  <c r="I557" i="20" s="1"/>
  <c r="G557" i="4"/>
  <c r="H62" i="3" l="1"/>
  <c r="K62" i="3"/>
  <c r="K12" i="20"/>
  <c r="D559" i="19"/>
  <c r="E559" i="19" s="1"/>
  <c r="F559" i="19"/>
  <c r="S12" i="4"/>
  <c r="L12" i="20" s="1"/>
  <c r="C18" i="3"/>
  <c r="G63" i="3" s="1"/>
  <c r="F557" i="3"/>
  <c r="J556" i="3"/>
  <c r="M557" i="3"/>
  <c r="Q556" i="3"/>
  <c r="C560" i="3"/>
  <c r="E557" i="4"/>
  <c r="J557" i="4"/>
  <c r="F557" i="4"/>
  <c r="N15" i="4"/>
  <c r="H15" i="4"/>
  <c r="I15" i="4" s="1"/>
  <c r="L15" i="4" s="1"/>
  <c r="K13" i="20"/>
  <c r="R14" i="4"/>
  <c r="C560" i="19"/>
  <c r="J12" i="20"/>
  <c r="Q13" i="4"/>
  <c r="S13" i="4" s="1"/>
  <c r="L13" i="20" s="1"/>
  <c r="J16" i="4"/>
  <c r="E16" i="4"/>
  <c r="F16" i="4"/>
  <c r="P558" i="4"/>
  <c r="I558" i="20" s="1"/>
  <c r="R558" i="4"/>
  <c r="K558" i="20" s="1"/>
  <c r="Q558" i="4"/>
  <c r="J558" i="20" s="1"/>
  <c r="G558" i="4"/>
  <c r="N556" i="4"/>
  <c r="H556" i="4"/>
  <c r="I556" i="4" s="1"/>
  <c r="K14" i="4"/>
  <c r="D560" i="18"/>
  <c r="O559" i="5"/>
  <c r="P17" i="4"/>
  <c r="I17" i="20" s="1"/>
  <c r="C18" i="4"/>
  <c r="D18" i="4" s="1"/>
  <c r="G17" i="4"/>
  <c r="C559" i="4"/>
  <c r="D559" i="4" s="1"/>
  <c r="B560" i="4"/>
  <c r="H63" i="3" l="1"/>
  <c r="K63" i="3"/>
  <c r="D560" i="19"/>
  <c r="E560" i="19" s="1"/>
  <c r="F560" i="19"/>
  <c r="C19" i="3"/>
  <c r="G64" i="3" s="1"/>
  <c r="M558" i="3"/>
  <c r="Q557" i="3"/>
  <c r="F558" i="3"/>
  <c r="J557" i="3"/>
  <c r="C561" i="3"/>
  <c r="P18" i="4"/>
  <c r="I18" i="20" s="1"/>
  <c r="C19" i="4"/>
  <c r="D19" i="4" s="1"/>
  <c r="G18" i="4"/>
  <c r="C560" i="4"/>
  <c r="D560" i="4" s="1"/>
  <c r="B561" i="4"/>
  <c r="C561" i="19"/>
  <c r="Q559" i="4"/>
  <c r="J559" i="20" s="1"/>
  <c r="P559" i="4"/>
  <c r="I559" i="20" s="1"/>
  <c r="R559" i="4"/>
  <c r="K559" i="20" s="1"/>
  <c r="G559" i="4"/>
  <c r="J17" i="4"/>
  <c r="E17" i="4"/>
  <c r="F17" i="4"/>
  <c r="J558" i="4"/>
  <c r="E558" i="4"/>
  <c r="F558" i="4"/>
  <c r="K14" i="20"/>
  <c r="R15" i="4"/>
  <c r="K15" i="4"/>
  <c r="N16" i="4"/>
  <c r="H16" i="4"/>
  <c r="I16" i="4" s="1"/>
  <c r="L16" i="4" s="1"/>
  <c r="J13" i="20"/>
  <c r="Q14" i="4"/>
  <c r="S14" i="4" s="1"/>
  <c r="L14" i="20" s="1"/>
  <c r="N557" i="4"/>
  <c r="H557" i="4"/>
  <c r="I557" i="4" s="1"/>
  <c r="D561" i="18"/>
  <c r="O560" i="5"/>
  <c r="H64" i="3" l="1"/>
  <c r="K64" i="3"/>
  <c r="D561" i="19"/>
  <c r="E561" i="19" s="1"/>
  <c r="F561" i="19"/>
  <c r="C20" i="3"/>
  <c r="G65" i="3" s="1"/>
  <c r="F559" i="3"/>
  <c r="J558" i="3"/>
  <c r="M559" i="3"/>
  <c r="Q558" i="3"/>
  <c r="C562" i="3"/>
  <c r="D562" i="18"/>
  <c r="O561" i="5"/>
  <c r="J14" i="20"/>
  <c r="Q15" i="4"/>
  <c r="S15" i="4" s="1"/>
  <c r="L15" i="20" s="1"/>
  <c r="N558" i="4"/>
  <c r="H558" i="4"/>
  <c r="I558" i="4" s="1"/>
  <c r="P19" i="4"/>
  <c r="I19" i="20" s="1"/>
  <c r="C20" i="4"/>
  <c r="D20" i="4" s="1"/>
  <c r="G19" i="4"/>
  <c r="K16" i="4"/>
  <c r="K15" i="20"/>
  <c r="R16" i="4"/>
  <c r="N17" i="4"/>
  <c r="H17" i="4"/>
  <c r="I17" i="4" s="1"/>
  <c r="L17" i="4" s="1"/>
  <c r="B562" i="4"/>
  <c r="C561" i="4"/>
  <c r="D561" i="4" s="1"/>
  <c r="R560" i="4"/>
  <c r="K560" i="20" s="1"/>
  <c r="Q560" i="4"/>
  <c r="J560" i="20" s="1"/>
  <c r="P560" i="4"/>
  <c r="I560" i="20" s="1"/>
  <c r="G560" i="4"/>
  <c r="J559" i="4"/>
  <c r="E559" i="4"/>
  <c r="F559" i="4"/>
  <c r="C562" i="19"/>
  <c r="E18" i="4"/>
  <c r="J18" i="4"/>
  <c r="F18" i="4"/>
  <c r="H65" i="3" l="1"/>
  <c r="K65" i="3"/>
  <c r="D562" i="19"/>
  <c r="E562" i="19" s="1"/>
  <c r="F562" i="19"/>
  <c r="C21" i="3"/>
  <c r="G66" i="3" s="1"/>
  <c r="M560" i="3"/>
  <c r="Q559" i="3"/>
  <c r="F560" i="3"/>
  <c r="J559" i="3"/>
  <c r="C563" i="3"/>
  <c r="C563" i="19"/>
  <c r="N559" i="4"/>
  <c r="H559" i="4"/>
  <c r="I559" i="4" s="1"/>
  <c r="P20" i="4"/>
  <c r="I20" i="20" s="1"/>
  <c r="C21" i="4"/>
  <c r="D21" i="4" s="1"/>
  <c r="G20" i="4"/>
  <c r="R561" i="4"/>
  <c r="K561" i="20" s="1"/>
  <c r="Q561" i="4"/>
  <c r="J561" i="20" s="1"/>
  <c r="P561" i="4"/>
  <c r="I561" i="20" s="1"/>
  <c r="G561" i="4"/>
  <c r="K17" i="4"/>
  <c r="D563" i="18"/>
  <c r="O562" i="5"/>
  <c r="N18" i="4"/>
  <c r="H18" i="4"/>
  <c r="I18" i="4" s="1"/>
  <c r="L18" i="4" s="1"/>
  <c r="J560" i="4"/>
  <c r="E560" i="4"/>
  <c r="F560" i="4"/>
  <c r="B563" i="4"/>
  <c r="C562" i="4"/>
  <c r="D562" i="4" s="1"/>
  <c r="K16" i="20"/>
  <c r="R17" i="4"/>
  <c r="J19" i="4"/>
  <c r="E19" i="4"/>
  <c r="F19" i="4"/>
  <c r="J15" i="20"/>
  <c r="Q16" i="4"/>
  <c r="H66" i="3" l="1"/>
  <c r="K66" i="3"/>
  <c r="D563" i="19"/>
  <c r="E563" i="19" s="1"/>
  <c r="F563" i="19"/>
  <c r="C22" i="3"/>
  <c r="G67" i="3" s="1"/>
  <c r="F561" i="3"/>
  <c r="J560" i="3"/>
  <c r="M561" i="3"/>
  <c r="Q560" i="3"/>
  <c r="C564" i="3"/>
  <c r="K18" i="4"/>
  <c r="P21" i="4"/>
  <c r="I21" i="20" s="1"/>
  <c r="C22" i="4"/>
  <c r="D22" i="4" s="1"/>
  <c r="G21" i="4"/>
  <c r="C564" i="19"/>
  <c r="N560" i="4"/>
  <c r="H560" i="4"/>
  <c r="I560" i="4" s="1"/>
  <c r="D564" i="18"/>
  <c r="O563" i="5"/>
  <c r="P562" i="4"/>
  <c r="I562" i="20" s="1"/>
  <c r="R562" i="4"/>
  <c r="K562" i="20" s="1"/>
  <c r="Q562" i="4"/>
  <c r="J562" i="20" s="1"/>
  <c r="G562" i="4"/>
  <c r="K17" i="20"/>
  <c r="R18" i="4"/>
  <c r="E561" i="4"/>
  <c r="J561" i="4"/>
  <c r="F561" i="4"/>
  <c r="N19" i="4"/>
  <c r="H19" i="4"/>
  <c r="I19" i="4" s="1"/>
  <c r="L19" i="4" s="1"/>
  <c r="J16" i="20"/>
  <c r="Q17" i="4"/>
  <c r="C563" i="4"/>
  <c r="D563" i="4" s="1"/>
  <c r="B564" i="4"/>
  <c r="S16" i="4"/>
  <c r="L16" i="20" s="1"/>
  <c r="J20" i="4"/>
  <c r="E20" i="4"/>
  <c r="F20" i="4"/>
  <c r="H67" i="3" l="1"/>
  <c r="K67" i="3"/>
  <c r="D564" i="19"/>
  <c r="E564" i="19" s="1"/>
  <c r="F564" i="19"/>
  <c r="C23" i="3"/>
  <c r="G68" i="3" s="1"/>
  <c r="M562" i="3"/>
  <c r="Q561" i="3"/>
  <c r="F562" i="3"/>
  <c r="J561" i="3"/>
  <c r="C565" i="3"/>
  <c r="N561" i="4"/>
  <c r="H561" i="4"/>
  <c r="I561" i="4" s="1"/>
  <c r="J562" i="4"/>
  <c r="E562" i="4"/>
  <c r="F562" i="4"/>
  <c r="J17" i="20"/>
  <c r="Q18" i="4"/>
  <c r="S18" i="4" s="1"/>
  <c r="L18" i="20" s="1"/>
  <c r="J21" i="4"/>
  <c r="E21" i="4"/>
  <c r="F21" i="4"/>
  <c r="D565" i="18"/>
  <c r="O564" i="5"/>
  <c r="P22" i="4"/>
  <c r="I22" i="20" s="1"/>
  <c r="C23" i="4"/>
  <c r="D23" i="4" s="1"/>
  <c r="G22" i="4"/>
  <c r="S17" i="4"/>
  <c r="L17" i="20" s="1"/>
  <c r="N20" i="4"/>
  <c r="H20" i="4"/>
  <c r="I20" i="4" s="1"/>
  <c r="L20" i="4" s="1"/>
  <c r="Q563" i="4"/>
  <c r="J563" i="20" s="1"/>
  <c r="P563" i="4"/>
  <c r="I563" i="20" s="1"/>
  <c r="R563" i="4"/>
  <c r="K563" i="20" s="1"/>
  <c r="G563" i="4"/>
  <c r="C564" i="4"/>
  <c r="D564" i="4" s="1"/>
  <c r="B565" i="4"/>
  <c r="K18" i="20"/>
  <c r="R19" i="4"/>
  <c r="C565" i="19"/>
  <c r="K19" i="4"/>
  <c r="H68" i="3" l="1"/>
  <c r="K68" i="3"/>
  <c r="D565" i="19"/>
  <c r="E565" i="19" s="1"/>
  <c r="F565" i="19"/>
  <c r="C24" i="3"/>
  <c r="G69" i="3" s="1"/>
  <c r="F563" i="3"/>
  <c r="J562" i="3"/>
  <c r="M563" i="3"/>
  <c r="Q562" i="3"/>
  <c r="C566" i="3"/>
  <c r="B566" i="4"/>
  <c r="C565" i="4"/>
  <c r="D565" i="4" s="1"/>
  <c r="J18" i="20"/>
  <c r="Q19" i="4"/>
  <c r="S19" i="4" s="1"/>
  <c r="L19" i="20" s="1"/>
  <c r="K20" i="4"/>
  <c r="K19" i="20"/>
  <c r="R20" i="4"/>
  <c r="R564" i="4"/>
  <c r="K564" i="20" s="1"/>
  <c r="Q564" i="4"/>
  <c r="J564" i="20" s="1"/>
  <c r="P564" i="4"/>
  <c r="I564" i="20" s="1"/>
  <c r="G564" i="4"/>
  <c r="C566" i="19"/>
  <c r="J563" i="4"/>
  <c r="E563" i="4"/>
  <c r="F563" i="4"/>
  <c r="E22" i="4"/>
  <c r="J22" i="4"/>
  <c r="F22" i="4"/>
  <c r="D566" i="18"/>
  <c r="O565" i="5"/>
  <c r="P23" i="4"/>
  <c r="I23" i="20" s="1"/>
  <c r="C24" i="4"/>
  <c r="D24" i="4" s="1"/>
  <c r="G23" i="4"/>
  <c r="N21" i="4"/>
  <c r="H21" i="4"/>
  <c r="I21" i="4" s="1"/>
  <c r="L21" i="4" s="1"/>
  <c r="N562" i="4"/>
  <c r="H562" i="4"/>
  <c r="I562" i="4" s="1"/>
  <c r="H69" i="3" l="1"/>
  <c r="K69" i="3"/>
  <c r="D566" i="19"/>
  <c r="E566" i="19" s="1"/>
  <c r="F566" i="19"/>
  <c r="C25" i="3"/>
  <c r="G70" i="3" s="1"/>
  <c r="M564" i="3"/>
  <c r="Q563" i="3"/>
  <c r="F564" i="3"/>
  <c r="J563" i="3"/>
  <c r="C567" i="3"/>
  <c r="J23" i="4"/>
  <c r="E23" i="4"/>
  <c r="F23" i="4"/>
  <c r="N563" i="4"/>
  <c r="H563" i="4"/>
  <c r="I563" i="4" s="1"/>
  <c r="K21" i="4"/>
  <c r="J564" i="4"/>
  <c r="E564" i="4"/>
  <c r="F564" i="4"/>
  <c r="K20" i="20"/>
  <c r="R21" i="4"/>
  <c r="J19" i="20"/>
  <c r="Q20" i="4"/>
  <c r="R565" i="4"/>
  <c r="K565" i="20" s="1"/>
  <c r="Q565" i="4"/>
  <c r="J565" i="20" s="1"/>
  <c r="P565" i="4"/>
  <c r="I565" i="20" s="1"/>
  <c r="G565" i="4"/>
  <c r="D567" i="18"/>
  <c r="O566" i="5"/>
  <c r="N22" i="4"/>
  <c r="H22" i="4"/>
  <c r="I22" i="4" s="1"/>
  <c r="L22" i="4" s="1"/>
  <c r="C567" i="19"/>
  <c r="B567" i="4"/>
  <c r="C566" i="4"/>
  <c r="D566" i="4" s="1"/>
  <c r="P24" i="4"/>
  <c r="I24" i="20" s="1"/>
  <c r="C25" i="4"/>
  <c r="D25" i="4" s="1"/>
  <c r="G24" i="4"/>
  <c r="H70" i="3" l="1"/>
  <c r="K70" i="3"/>
  <c r="D567" i="19"/>
  <c r="E567" i="19" s="1"/>
  <c r="F567" i="19"/>
  <c r="C26" i="3"/>
  <c r="G71" i="3" s="1"/>
  <c r="F565" i="3"/>
  <c r="J564" i="3"/>
  <c r="M565" i="3"/>
  <c r="Q564" i="3"/>
  <c r="C568" i="3"/>
  <c r="P25" i="4"/>
  <c r="I25" i="20" s="1"/>
  <c r="C26" i="4"/>
  <c r="D26" i="4" s="1"/>
  <c r="G25" i="4"/>
  <c r="P566" i="4"/>
  <c r="I566" i="20" s="1"/>
  <c r="R566" i="4"/>
  <c r="K566" i="20" s="1"/>
  <c r="Q566" i="4"/>
  <c r="J566" i="20" s="1"/>
  <c r="G566" i="4"/>
  <c r="D568" i="18"/>
  <c r="O567" i="5"/>
  <c r="K21" i="20"/>
  <c r="R22" i="4"/>
  <c r="C567" i="4"/>
  <c r="D567" i="4" s="1"/>
  <c r="B568" i="4"/>
  <c r="N23" i="4"/>
  <c r="H23" i="4"/>
  <c r="I23" i="4" s="1"/>
  <c r="L23" i="4" s="1"/>
  <c r="E565" i="4"/>
  <c r="J565" i="4"/>
  <c r="F565" i="4"/>
  <c r="J20" i="20"/>
  <c r="Q21" i="4"/>
  <c r="S21" i="4" s="1"/>
  <c r="L21" i="20" s="1"/>
  <c r="S20" i="4"/>
  <c r="L20" i="20" s="1"/>
  <c r="C568" i="19"/>
  <c r="J24" i="4"/>
  <c r="E24" i="4"/>
  <c r="F24" i="4"/>
  <c r="N564" i="4"/>
  <c r="H564" i="4"/>
  <c r="I564" i="4" s="1"/>
  <c r="K22" i="4"/>
  <c r="H71" i="3" l="1"/>
  <c r="K71" i="3"/>
  <c r="D568" i="19"/>
  <c r="E568" i="19" s="1"/>
  <c r="F568" i="19"/>
  <c r="C27" i="3"/>
  <c r="G72" i="3" s="1"/>
  <c r="M566" i="3"/>
  <c r="Q565" i="3"/>
  <c r="F566" i="3"/>
  <c r="J565" i="3"/>
  <c r="C569" i="3"/>
  <c r="D569" i="18"/>
  <c r="O568" i="5"/>
  <c r="C569" i="19"/>
  <c r="C568" i="4"/>
  <c r="D568" i="4" s="1"/>
  <c r="B569" i="4"/>
  <c r="K22" i="20"/>
  <c r="R23" i="4"/>
  <c r="J566" i="4"/>
  <c r="E566" i="4"/>
  <c r="F566" i="4"/>
  <c r="J25" i="4"/>
  <c r="E25" i="4"/>
  <c r="F25" i="4"/>
  <c r="K23" i="4"/>
  <c r="N24" i="4"/>
  <c r="H24" i="4"/>
  <c r="I24" i="4" s="1"/>
  <c r="L24" i="4" s="1"/>
  <c r="J21" i="20"/>
  <c r="Q22" i="4"/>
  <c r="S22" i="4" s="1"/>
  <c r="L22" i="20" s="1"/>
  <c r="N565" i="4"/>
  <c r="H565" i="4"/>
  <c r="I565" i="4" s="1"/>
  <c r="Q567" i="4"/>
  <c r="J567" i="20" s="1"/>
  <c r="P567" i="4"/>
  <c r="I567" i="20" s="1"/>
  <c r="R567" i="4"/>
  <c r="K567" i="20" s="1"/>
  <c r="G567" i="4"/>
  <c r="P26" i="4"/>
  <c r="I26" i="20" s="1"/>
  <c r="C27" i="4"/>
  <c r="D27" i="4" s="1"/>
  <c r="G26" i="4"/>
  <c r="H72" i="3" l="1"/>
  <c r="K72" i="3"/>
  <c r="D569" i="19"/>
  <c r="E569" i="19" s="1"/>
  <c r="F569" i="19"/>
  <c r="C28" i="3"/>
  <c r="G73" i="3" s="1"/>
  <c r="F567" i="3"/>
  <c r="J566" i="3"/>
  <c r="M567" i="3"/>
  <c r="Q566" i="3"/>
  <c r="C570" i="3"/>
  <c r="C570" i="19"/>
  <c r="P27" i="4"/>
  <c r="I27" i="20" s="1"/>
  <c r="C28" i="4"/>
  <c r="D28" i="4" s="1"/>
  <c r="G27" i="4"/>
  <c r="J567" i="4"/>
  <c r="E567" i="4"/>
  <c r="F567" i="4"/>
  <c r="K24" i="4"/>
  <c r="K23" i="20"/>
  <c r="R24" i="4"/>
  <c r="N25" i="4"/>
  <c r="H25" i="4"/>
  <c r="I25" i="4" s="1"/>
  <c r="L25" i="4" s="1"/>
  <c r="R568" i="4"/>
  <c r="K568" i="20" s="1"/>
  <c r="Q568" i="4"/>
  <c r="J568" i="20" s="1"/>
  <c r="P568" i="4"/>
  <c r="I568" i="20" s="1"/>
  <c r="G568" i="4"/>
  <c r="E26" i="4"/>
  <c r="J26" i="4"/>
  <c r="F26" i="4"/>
  <c r="J22" i="20"/>
  <c r="Q23" i="4"/>
  <c r="N566" i="4"/>
  <c r="H566" i="4"/>
  <c r="I566" i="4" s="1"/>
  <c r="B570" i="4"/>
  <c r="C569" i="4"/>
  <c r="D569" i="4" s="1"/>
  <c r="D570" i="18"/>
  <c r="O569" i="5"/>
  <c r="H73" i="3" l="1"/>
  <c r="K73" i="3"/>
  <c r="D570" i="19"/>
  <c r="E570" i="19" s="1"/>
  <c r="F570" i="19"/>
  <c r="C29" i="3"/>
  <c r="G74" i="3" s="1"/>
  <c r="M568" i="3"/>
  <c r="Q567" i="3"/>
  <c r="F568" i="3"/>
  <c r="J567" i="3"/>
  <c r="C571" i="3"/>
  <c r="J23" i="20"/>
  <c r="Q24" i="4"/>
  <c r="N26" i="4"/>
  <c r="H26" i="4"/>
  <c r="I26" i="4" s="1"/>
  <c r="L26" i="4" s="1"/>
  <c r="K25" i="4"/>
  <c r="P28" i="4"/>
  <c r="I28" i="20" s="1"/>
  <c r="C29" i="4"/>
  <c r="D29" i="4" s="1"/>
  <c r="G28" i="4"/>
  <c r="C571" i="19"/>
  <c r="R569" i="4"/>
  <c r="K569" i="20" s="1"/>
  <c r="Q569" i="4"/>
  <c r="J569" i="20" s="1"/>
  <c r="P569" i="4"/>
  <c r="I569" i="20" s="1"/>
  <c r="G569" i="4"/>
  <c r="K24" i="20"/>
  <c r="R25" i="4"/>
  <c r="N567" i="4"/>
  <c r="H567" i="4"/>
  <c r="I567" i="4" s="1"/>
  <c r="D571" i="18"/>
  <c r="O570" i="5"/>
  <c r="B571" i="4"/>
  <c r="C570" i="4"/>
  <c r="D570" i="4" s="1"/>
  <c r="J568" i="4"/>
  <c r="E568" i="4"/>
  <c r="F568" i="4"/>
  <c r="S23" i="4"/>
  <c r="L23" i="20" s="1"/>
  <c r="J27" i="4"/>
  <c r="E27" i="4"/>
  <c r="F27" i="4"/>
  <c r="H74" i="3" l="1"/>
  <c r="K74" i="3"/>
  <c r="D571" i="19"/>
  <c r="E571" i="19" s="1"/>
  <c r="F571" i="19"/>
  <c r="C30" i="3"/>
  <c r="G75" i="3" s="1"/>
  <c r="F569" i="3"/>
  <c r="J568" i="3"/>
  <c r="M569" i="3"/>
  <c r="Q568" i="3"/>
  <c r="C572" i="3"/>
  <c r="D572" i="18"/>
  <c r="O571" i="5"/>
  <c r="K26" i="4"/>
  <c r="J24" i="20"/>
  <c r="Q25" i="4"/>
  <c r="N27" i="4"/>
  <c r="H27" i="4"/>
  <c r="I27" i="4" s="1"/>
  <c r="L27" i="4" s="1"/>
  <c r="K25" i="20"/>
  <c r="R26" i="4"/>
  <c r="N568" i="4"/>
  <c r="H568" i="4"/>
  <c r="I568" i="4" s="1"/>
  <c r="P570" i="4"/>
  <c r="I570" i="20" s="1"/>
  <c r="R570" i="4"/>
  <c r="K570" i="20" s="1"/>
  <c r="Q570" i="4"/>
  <c r="J570" i="20" s="1"/>
  <c r="G570" i="4"/>
  <c r="J28" i="4"/>
  <c r="E28" i="4"/>
  <c r="F28" i="4"/>
  <c r="C571" i="4"/>
  <c r="D571" i="4" s="1"/>
  <c r="B572" i="4"/>
  <c r="E569" i="4"/>
  <c r="J569" i="4"/>
  <c r="F569" i="4"/>
  <c r="C572" i="19"/>
  <c r="P29" i="4"/>
  <c r="I29" i="20" s="1"/>
  <c r="C30" i="4"/>
  <c r="D30" i="4" s="1"/>
  <c r="G29" i="4"/>
  <c r="S24" i="4"/>
  <c r="L24" i="20" s="1"/>
  <c r="H75" i="3" l="1"/>
  <c r="K75" i="3"/>
  <c r="D572" i="19"/>
  <c r="E572" i="19" s="1"/>
  <c r="F572" i="19"/>
  <c r="C31" i="3"/>
  <c r="G76" i="3" s="1"/>
  <c r="M570" i="3"/>
  <c r="Q569" i="3"/>
  <c r="F570" i="3"/>
  <c r="J569" i="3"/>
  <c r="C573" i="3"/>
  <c r="N569" i="4"/>
  <c r="H569" i="4"/>
  <c r="I569" i="4" s="1"/>
  <c r="Q571" i="4"/>
  <c r="J571" i="20" s="1"/>
  <c r="P571" i="4"/>
  <c r="I571" i="20" s="1"/>
  <c r="R571" i="4"/>
  <c r="K571" i="20" s="1"/>
  <c r="G571" i="4"/>
  <c r="J570" i="4"/>
  <c r="E570" i="4"/>
  <c r="F570" i="4"/>
  <c r="K27" i="4"/>
  <c r="K26" i="20"/>
  <c r="R27" i="4"/>
  <c r="J25" i="20"/>
  <c r="Q26" i="4"/>
  <c r="D573" i="18"/>
  <c r="O572" i="5"/>
  <c r="J29" i="4"/>
  <c r="E29" i="4"/>
  <c r="F29" i="4"/>
  <c r="P30" i="4"/>
  <c r="I30" i="20" s="1"/>
  <c r="C31" i="4"/>
  <c r="D31" i="4" s="1"/>
  <c r="G30" i="4"/>
  <c r="C573" i="19"/>
  <c r="C572" i="4"/>
  <c r="D572" i="4" s="1"/>
  <c r="B573" i="4"/>
  <c r="N28" i="4"/>
  <c r="H28" i="4"/>
  <c r="I28" i="4" s="1"/>
  <c r="L28" i="4" s="1"/>
  <c r="S25" i="4"/>
  <c r="L25" i="20" s="1"/>
  <c r="H76" i="3" l="1"/>
  <c r="K76" i="3"/>
  <c r="D573" i="19"/>
  <c r="E573" i="19" s="1"/>
  <c r="F573" i="19"/>
  <c r="C32" i="3"/>
  <c r="G77" i="3" s="1"/>
  <c r="F571" i="3"/>
  <c r="J570" i="3"/>
  <c r="M571" i="3"/>
  <c r="Q570" i="3"/>
  <c r="C574" i="3"/>
  <c r="R572" i="4"/>
  <c r="K572" i="20" s="1"/>
  <c r="Q572" i="4"/>
  <c r="J572" i="20" s="1"/>
  <c r="P572" i="4"/>
  <c r="I572" i="20" s="1"/>
  <c r="G572" i="4"/>
  <c r="B574" i="4"/>
  <c r="C573" i="4"/>
  <c r="D573" i="4" s="1"/>
  <c r="N29" i="4"/>
  <c r="H29" i="4"/>
  <c r="I29" i="4" s="1"/>
  <c r="L29" i="4" s="1"/>
  <c r="J26" i="20"/>
  <c r="Q27" i="4"/>
  <c r="S27" i="4" s="1"/>
  <c r="L27" i="20" s="1"/>
  <c r="N570" i="4"/>
  <c r="H570" i="4"/>
  <c r="I570" i="4" s="1"/>
  <c r="K28" i="4"/>
  <c r="C574" i="19"/>
  <c r="P31" i="4"/>
  <c r="I31" i="20" s="1"/>
  <c r="C32" i="4"/>
  <c r="D32" i="4" s="1"/>
  <c r="G31" i="4"/>
  <c r="D574" i="18"/>
  <c r="O573" i="5"/>
  <c r="K27" i="20"/>
  <c r="R28" i="4"/>
  <c r="S26" i="4"/>
  <c r="L26" i="20" s="1"/>
  <c r="J571" i="4"/>
  <c r="E571" i="4"/>
  <c r="F571" i="4"/>
  <c r="E30" i="4"/>
  <c r="J30" i="4"/>
  <c r="F30" i="4"/>
  <c r="H77" i="3" l="1"/>
  <c r="K77" i="3"/>
  <c r="D574" i="19"/>
  <c r="E574" i="19" s="1"/>
  <c r="F574" i="19"/>
  <c r="C33" i="3"/>
  <c r="G78" i="3" s="1"/>
  <c r="M572" i="3"/>
  <c r="Q571" i="3"/>
  <c r="F572" i="3"/>
  <c r="J571" i="3"/>
  <c r="C575" i="3"/>
  <c r="K28" i="20"/>
  <c r="R29" i="4"/>
  <c r="N30" i="4"/>
  <c r="H30" i="4"/>
  <c r="I30" i="4" s="1"/>
  <c r="L30" i="4" s="1"/>
  <c r="N571" i="4"/>
  <c r="H571" i="4"/>
  <c r="I571" i="4" s="1"/>
  <c r="D575" i="18"/>
  <c r="O574" i="5"/>
  <c r="P32" i="4"/>
  <c r="I32" i="20" s="1"/>
  <c r="C33" i="4"/>
  <c r="D33" i="4" s="1"/>
  <c r="G32" i="4"/>
  <c r="C575" i="19"/>
  <c r="J27" i="20"/>
  <c r="Q28" i="4"/>
  <c r="S28" i="4" s="1"/>
  <c r="L28" i="20" s="1"/>
  <c r="K29" i="4"/>
  <c r="R573" i="4"/>
  <c r="K573" i="20" s="1"/>
  <c r="Q573" i="4"/>
  <c r="J573" i="20" s="1"/>
  <c r="P573" i="4"/>
  <c r="I573" i="20" s="1"/>
  <c r="G573" i="4"/>
  <c r="J31" i="4"/>
  <c r="E31" i="4"/>
  <c r="F31" i="4"/>
  <c r="B575" i="4"/>
  <c r="C574" i="4"/>
  <c r="D574" i="4" s="1"/>
  <c r="J572" i="4"/>
  <c r="E572" i="4"/>
  <c r="F572" i="4"/>
  <c r="H78" i="3" l="1"/>
  <c r="K78" i="3"/>
  <c r="D575" i="19"/>
  <c r="E575" i="19" s="1"/>
  <c r="F575" i="19"/>
  <c r="C34" i="3"/>
  <c r="G79" i="3" s="1"/>
  <c r="F573" i="3"/>
  <c r="J572" i="3"/>
  <c r="M573" i="3"/>
  <c r="Q572" i="3"/>
  <c r="C576" i="3"/>
  <c r="P574" i="4"/>
  <c r="I574" i="20" s="1"/>
  <c r="R574" i="4"/>
  <c r="K574" i="20" s="1"/>
  <c r="Q574" i="4"/>
  <c r="J574" i="20" s="1"/>
  <c r="G574" i="4"/>
  <c r="N572" i="4"/>
  <c r="H572" i="4"/>
  <c r="I572" i="4" s="1"/>
  <c r="K29" i="20"/>
  <c r="R30" i="4"/>
  <c r="C575" i="4"/>
  <c r="D575" i="4" s="1"/>
  <c r="B576" i="4"/>
  <c r="N31" i="4"/>
  <c r="H31" i="4"/>
  <c r="I31" i="4" s="1"/>
  <c r="L31" i="4" s="1"/>
  <c r="E573" i="4"/>
  <c r="J573" i="4"/>
  <c r="F573" i="4"/>
  <c r="J28" i="20"/>
  <c r="Q29" i="4"/>
  <c r="S29" i="4" s="1"/>
  <c r="L29" i="20" s="1"/>
  <c r="J32" i="4"/>
  <c r="E32" i="4"/>
  <c r="F32" i="4"/>
  <c r="K30" i="4"/>
  <c r="C576" i="19"/>
  <c r="P33" i="4"/>
  <c r="I33" i="20" s="1"/>
  <c r="C34" i="4"/>
  <c r="D34" i="4" s="1"/>
  <c r="G33" i="4"/>
  <c r="D576" i="18"/>
  <c r="O575" i="5"/>
  <c r="H79" i="3" l="1"/>
  <c r="K79" i="3"/>
  <c r="D576" i="19"/>
  <c r="E576" i="19" s="1"/>
  <c r="F576" i="19"/>
  <c r="C35" i="3"/>
  <c r="G80" i="3" s="1"/>
  <c r="M574" i="3"/>
  <c r="Q573" i="3"/>
  <c r="F574" i="3"/>
  <c r="J573" i="3"/>
  <c r="C577" i="3"/>
  <c r="N32" i="4"/>
  <c r="H32" i="4"/>
  <c r="I32" i="4" s="1"/>
  <c r="L32" i="4" s="1"/>
  <c r="K30" i="20"/>
  <c r="R31" i="4"/>
  <c r="J33" i="4"/>
  <c r="E33" i="4"/>
  <c r="F33" i="4"/>
  <c r="J29" i="20"/>
  <c r="Q30" i="4"/>
  <c r="S30" i="4" s="1"/>
  <c r="L30" i="20" s="1"/>
  <c r="C576" i="4"/>
  <c r="D576" i="4" s="1"/>
  <c r="B577" i="4"/>
  <c r="D577" i="18"/>
  <c r="O576" i="5"/>
  <c r="N573" i="4"/>
  <c r="H573" i="4"/>
  <c r="I573" i="4" s="1"/>
  <c r="P34" i="4"/>
  <c r="I34" i="20" s="1"/>
  <c r="C35" i="4"/>
  <c r="D35" i="4" s="1"/>
  <c r="G34" i="4"/>
  <c r="C577" i="19"/>
  <c r="K31" i="4"/>
  <c r="Q575" i="4"/>
  <c r="J575" i="20" s="1"/>
  <c r="P575" i="4"/>
  <c r="I575" i="20" s="1"/>
  <c r="R575" i="4"/>
  <c r="K575" i="20" s="1"/>
  <c r="G575" i="4"/>
  <c r="J574" i="4"/>
  <c r="E574" i="4"/>
  <c r="F574" i="4"/>
  <c r="H80" i="3" l="1"/>
  <c r="K80" i="3"/>
  <c r="D577" i="19"/>
  <c r="E577" i="19" s="1"/>
  <c r="F577" i="19"/>
  <c r="C36" i="3"/>
  <c r="G81" i="3" s="1"/>
  <c r="F575" i="3"/>
  <c r="J574" i="3"/>
  <c r="M575" i="3"/>
  <c r="Q574" i="3"/>
  <c r="C578" i="3"/>
  <c r="E34" i="4"/>
  <c r="J34" i="4"/>
  <c r="F34" i="4"/>
  <c r="C578" i="19"/>
  <c r="R576" i="4"/>
  <c r="K576" i="20" s="1"/>
  <c r="Q576" i="4"/>
  <c r="J576" i="20" s="1"/>
  <c r="P576" i="4"/>
  <c r="I576" i="20" s="1"/>
  <c r="G576" i="4"/>
  <c r="N33" i="4"/>
  <c r="H33" i="4"/>
  <c r="I33" i="4" s="1"/>
  <c r="L33" i="4" s="1"/>
  <c r="D578" i="18"/>
  <c r="O577" i="5"/>
  <c r="P35" i="4"/>
  <c r="I35" i="20" s="1"/>
  <c r="C36" i="4"/>
  <c r="D36" i="4" s="1"/>
  <c r="G35" i="4"/>
  <c r="J30" i="20"/>
  <c r="Q31" i="4"/>
  <c r="S31" i="4" s="1"/>
  <c r="L31" i="20" s="1"/>
  <c r="K31" i="20"/>
  <c r="R32" i="4"/>
  <c r="N574" i="4"/>
  <c r="H574" i="4"/>
  <c r="I574" i="4" s="1"/>
  <c r="J575" i="4"/>
  <c r="E575" i="4"/>
  <c r="F575" i="4"/>
  <c r="K32" i="4"/>
  <c r="B578" i="4"/>
  <c r="C577" i="4"/>
  <c r="D577" i="4" s="1"/>
  <c r="K81" i="3" l="1"/>
  <c r="H81" i="3"/>
  <c r="D578" i="19"/>
  <c r="E578" i="19" s="1"/>
  <c r="F578" i="19"/>
  <c r="C37" i="3"/>
  <c r="G82" i="3" s="1"/>
  <c r="M576" i="3"/>
  <c r="Q575" i="3"/>
  <c r="F576" i="3"/>
  <c r="J575" i="3"/>
  <c r="C579" i="3"/>
  <c r="J576" i="4"/>
  <c r="E576" i="4"/>
  <c r="F576" i="4"/>
  <c r="R577" i="4"/>
  <c r="K577" i="20" s="1"/>
  <c r="Q577" i="4"/>
  <c r="J577" i="20" s="1"/>
  <c r="P577" i="4"/>
  <c r="I577" i="20" s="1"/>
  <c r="G577" i="4"/>
  <c r="K33" i="4"/>
  <c r="K32" i="20"/>
  <c r="R33" i="4"/>
  <c r="J35" i="4"/>
  <c r="E35" i="4"/>
  <c r="F35" i="4"/>
  <c r="C579" i="19"/>
  <c r="B579" i="4"/>
  <c r="C578" i="4"/>
  <c r="D578" i="4" s="1"/>
  <c r="P36" i="4"/>
  <c r="I36" i="20" s="1"/>
  <c r="C37" i="4"/>
  <c r="D37" i="4" s="1"/>
  <c r="G36" i="4"/>
  <c r="D579" i="18"/>
  <c r="O578" i="5"/>
  <c r="N34" i="4"/>
  <c r="H34" i="4"/>
  <c r="I34" i="4" s="1"/>
  <c r="L34" i="4" s="1"/>
  <c r="N575" i="4"/>
  <c r="H575" i="4"/>
  <c r="I575" i="4" s="1"/>
  <c r="J31" i="20"/>
  <c r="Q32" i="4"/>
  <c r="K82" i="3" l="1"/>
  <c r="H82" i="3"/>
  <c r="D579" i="19"/>
  <c r="E579" i="19" s="1"/>
  <c r="F579" i="19"/>
  <c r="C38" i="3"/>
  <c r="G83" i="3" s="1"/>
  <c r="F577" i="3"/>
  <c r="J576" i="3"/>
  <c r="M577" i="3"/>
  <c r="Q576" i="3"/>
  <c r="C580" i="3"/>
  <c r="C580" i="19"/>
  <c r="N35" i="4"/>
  <c r="H35" i="4"/>
  <c r="I35" i="4" s="1"/>
  <c r="L35" i="4" s="1"/>
  <c r="K33" i="20"/>
  <c r="R34" i="4"/>
  <c r="J32" i="20"/>
  <c r="Q33" i="4"/>
  <c r="S33" i="4" s="1"/>
  <c r="L33" i="20" s="1"/>
  <c r="E577" i="4"/>
  <c r="J577" i="4"/>
  <c r="F577" i="4"/>
  <c r="P37" i="4"/>
  <c r="I37" i="20" s="1"/>
  <c r="C38" i="4"/>
  <c r="D38" i="4" s="1"/>
  <c r="G37" i="4"/>
  <c r="D580" i="18"/>
  <c r="O579" i="5"/>
  <c r="P578" i="4"/>
  <c r="I578" i="20" s="1"/>
  <c r="R578" i="4"/>
  <c r="K578" i="20" s="1"/>
  <c r="Q578" i="4"/>
  <c r="J578" i="20" s="1"/>
  <c r="G578" i="4"/>
  <c r="S32" i="4"/>
  <c r="L32" i="20" s="1"/>
  <c r="J36" i="4"/>
  <c r="E36" i="4"/>
  <c r="F36" i="4"/>
  <c r="C579" i="4"/>
  <c r="D579" i="4" s="1"/>
  <c r="B580" i="4"/>
  <c r="K34" i="4"/>
  <c r="N576" i="4"/>
  <c r="H576" i="4"/>
  <c r="I576" i="4" s="1"/>
  <c r="H83" i="3" l="1"/>
  <c r="K83" i="3"/>
  <c r="D580" i="19"/>
  <c r="E580" i="19" s="1"/>
  <c r="F580" i="19"/>
  <c r="C39" i="3"/>
  <c r="G84" i="3" s="1"/>
  <c r="M578" i="3"/>
  <c r="Q577" i="3"/>
  <c r="F578" i="3"/>
  <c r="J577" i="3"/>
  <c r="C581" i="3"/>
  <c r="J578" i="4"/>
  <c r="E578" i="4"/>
  <c r="F578" i="4"/>
  <c r="Q579" i="4"/>
  <c r="J579" i="20" s="1"/>
  <c r="P579" i="4"/>
  <c r="I579" i="20" s="1"/>
  <c r="R579" i="4"/>
  <c r="K579" i="20" s="1"/>
  <c r="G579" i="4"/>
  <c r="J37" i="4"/>
  <c r="E37" i="4"/>
  <c r="F37" i="4"/>
  <c r="J33" i="20"/>
  <c r="Q34" i="4"/>
  <c r="S34" i="4" s="1"/>
  <c r="L34" i="20" s="1"/>
  <c r="C581" i="19"/>
  <c r="N36" i="4"/>
  <c r="H36" i="4"/>
  <c r="I36" i="4" s="1"/>
  <c r="L36" i="4" s="1"/>
  <c r="P38" i="4"/>
  <c r="I38" i="20" s="1"/>
  <c r="C39" i="4"/>
  <c r="D39" i="4" s="1"/>
  <c r="G38" i="4"/>
  <c r="K35" i="4"/>
  <c r="D581" i="18"/>
  <c r="O580" i="5"/>
  <c r="C580" i="4"/>
  <c r="D580" i="4" s="1"/>
  <c r="B581" i="4"/>
  <c r="N577" i="4"/>
  <c r="H577" i="4"/>
  <c r="I577" i="4" s="1"/>
  <c r="K34" i="20"/>
  <c r="R35" i="4"/>
  <c r="K84" i="3" l="1"/>
  <c r="H84" i="3"/>
  <c r="D581" i="19"/>
  <c r="E581" i="19" s="1"/>
  <c r="F581" i="19"/>
  <c r="C40" i="3"/>
  <c r="G85" i="3" s="1"/>
  <c r="F579" i="3"/>
  <c r="J578" i="3"/>
  <c r="M579" i="3"/>
  <c r="Q578" i="3"/>
  <c r="C582" i="3"/>
  <c r="D582" i="18"/>
  <c r="O581" i="5"/>
  <c r="K35" i="20"/>
  <c r="R36" i="4"/>
  <c r="R580" i="4"/>
  <c r="K580" i="20" s="1"/>
  <c r="Q580" i="4"/>
  <c r="J580" i="20" s="1"/>
  <c r="P580" i="4"/>
  <c r="I580" i="20" s="1"/>
  <c r="G580" i="4"/>
  <c r="K36" i="4"/>
  <c r="E38" i="4"/>
  <c r="J38" i="4"/>
  <c r="F38" i="4"/>
  <c r="C582" i="19"/>
  <c r="P39" i="4"/>
  <c r="I39" i="20" s="1"/>
  <c r="C40" i="4"/>
  <c r="D40" i="4" s="1"/>
  <c r="G39" i="4"/>
  <c r="N37" i="4"/>
  <c r="H37" i="4"/>
  <c r="I37" i="4" s="1"/>
  <c r="L37" i="4" s="1"/>
  <c r="N578" i="4"/>
  <c r="H578" i="4"/>
  <c r="I578" i="4" s="1"/>
  <c r="B582" i="4"/>
  <c r="C581" i="4"/>
  <c r="D581" i="4" s="1"/>
  <c r="J34" i="20"/>
  <c r="Q35" i="4"/>
  <c r="S35" i="4" s="1"/>
  <c r="L35" i="20" s="1"/>
  <c r="J579" i="4"/>
  <c r="E579" i="4"/>
  <c r="F579" i="4"/>
  <c r="H85" i="3" l="1"/>
  <c r="K85" i="3"/>
  <c r="D582" i="19"/>
  <c r="E582" i="19" s="1"/>
  <c r="F582" i="19"/>
  <c r="C41" i="3"/>
  <c r="G86" i="3" s="1"/>
  <c r="M580" i="3"/>
  <c r="Q579" i="3"/>
  <c r="F580" i="3"/>
  <c r="J579" i="3"/>
  <c r="C583" i="3"/>
  <c r="B583" i="4"/>
  <c r="C582" i="4"/>
  <c r="D582" i="4" s="1"/>
  <c r="N579" i="4"/>
  <c r="H579" i="4"/>
  <c r="I579" i="4" s="1"/>
  <c r="J35" i="20"/>
  <c r="Q36" i="4"/>
  <c r="S36" i="4" s="1"/>
  <c r="L36" i="20" s="1"/>
  <c r="R581" i="4"/>
  <c r="K581" i="20" s="1"/>
  <c r="Q581" i="4"/>
  <c r="J581" i="20" s="1"/>
  <c r="P581" i="4"/>
  <c r="I581" i="20" s="1"/>
  <c r="G581" i="4"/>
  <c r="J39" i="4"/>
  <c r="E39" i="4"/>
  <c r="F39" i="4"/>
  <c r="N38" i="4"/>
  <c r="H38" i="4"/>
  <c r="I38" i="4" s="1"/>
  <c r="L38" i="4" s="1"/>
  <c r="P40" i="4"/>
  <c r="I40" i="20" s="1"/>
  <c r="C41" i="4"/>
  <c r="D41" i="4" s="1"/>
  <c r="G40" i="4"/>
  <c r="J580" i="4"/>
  <c r="E580" i="4"/>
  <c r="F580" i="4"/>
  <c r="K36" i="20"/>
  <c r="R37" i="4"/>
  <c r="K37" i="4"/>
  <c r="C583" i="19"/>
  <c r="D583" i="18"/>
  <c r="O582" i="5"/>
  <c r="H86" i="3" l="1"/>
  <c r="K86" i="3"/>
  <c r="D583" i="19"/>
  <c r="E583" i="19" s="1"/>
  <c r="F583" i="19"/>
  <c r="C42" i="3"/>
  <c r="G87" i="3" s="1"/>
  <c r="F581" i="3"/>
  <c r="J580" i="3"/>
  <c r="M581" i="3"/>
  <c r="Q580" i="3"/>
  <c r="C584" i="3"/>
  <c r="J40" i="4"/>
  <c r="E40" i="4"/>
  <c r="F40" i="4"/>
  <c r="D584" i="18"/>
  <c r="O583" i="5"/>
  <c r="P41" i="4"/>
  <c r="I41" i="20" s="1"/>
  <c r="C42" i="4"/>
  <c r="D42" i="4" s="1"/>
  <c r="G41" i="4"/>
  <c r="E581" i="4"/>
  <c r="J581" i="4"/>
  <c r="F581" i="4"/>
  <c r="J36" i="20"/>
  <c r="Q37" i="4"/>
  <c r="P582" i="4"/>
  <c r="I582" i="20" s="1"/>
  <c r="R582" i="4"/>
  <c r="K582" i="20" s="1"/>
  <c r="Q582" i="4"/>
  <c r="J582" i="20" s="1"/>
  <c r="G582" i="4"/>
  <c r="N580" i="4"/>
  <c r="H580" i="4"/>
  <c r="I580" i="4" s="1"/>
  <c r="C583" i="4"/>
  <c r="D583" i="4" s="1"/>
  <c r="B584" i="4"/>
  <c r="C584" i="19"/>
  <c r="K38" i="4"/>
  <c r="K37" i="20"/>
  <c r="R38" i="4"/>
  <c r="N39" i="4"/>
  <c r="H39" i="4"/>
  <c r="I39" i="4" s="1"/>
  <c r="L39" i="4" s="1"/>
  <c r="H87" i="3" l="1"/>
  <c r="K87" i="3"/>
  <c r="D584" i="19"/>
  <c r="E584" i="19" s="1"/>
  <c r="F584" i="19"/>
  <c r="C43" i="3"/>
  <c r="G88" i="3" s="1"/>
  <c r="M582" i="3"/>
  <c r="Q581" i="3"/>
  <c r="F582" i="3"/>
  <c r="J581" i="3"/>
  <c r="C585" i="3"/>
  <c r="C584" i="4"/>
  <c r="D584" i="4" s="1"/>
  <c r="B585" i="4"/>
  <c r="J582" i="4"/>
  <c r="E582" i="4"/>
  <c r="F582" i="4"/>
  <c r="J37" i="20"/>
  <c r="Q38" i="4"/>
  <c r="N581" i="4"/>
  <c r="H581" i="4"/>
  <c r="I581" i="4" s="1"/>
  <c r="P42" i="4"/>
  <c r="I42" i="20" s="1"/>
  <c r="C43" i="4"/>
  <c r="D43" i="4" s="1"/>
  <c r="G42" i="4"/>
  <c r="S37" i="4"/>
  <c r="L37" i="20" s="1"/>
  <c r="Q583" i="4"/>
  <c r="J583" i="20" s="1"/>
  <c r="P583" i="4"/>
  <c r="I583" i="20" s="1"/>
  <c r="R583" i="4"/>
  <c r="K583" i="20" s="1"/>
  <c r="G583" i="4"/>
  <c r="K39" i="4"/>
  <c r="D585" i="18"/>
  <c r="O584" i="5"/>
  <c r="K38" i="20"/>
  <c r="R39" i="4"/>
  <c r="C585" i="19"/>
  <c r="J41" i="4"/>
  <c r="E41" i="4"/>
  <c r="F41" i="4"/>
  <c r="N40" i="4"/>
  <c r="H40" i="4"/>
  <c r="I40" i="4" s="1"/>
  <c r="L40" i="4" s="1"/>
  <c r="K88" i="3" l="1"/>
  <c r="H88" i="3"/>
  <c r="D585" i="19"/>
  <c r="E585" i="19" s="1"/>
  <c r="F585" i="19"/>
  <c r="C44" i="3"/>
  <c r="G89" i="3" s="1"/>
  <c r="F583" i="3"/>
  <c r="J582" i="3"/>
  <c r="M583" i="3"/>
  <c r="Q582" i="3"/>
  <c r="C586" i="3"/>
  <c r="E42" i="4"/>
  <c r="J42" i="4"/>
  <c r="F42" i="4"/>
  <c r="J38" i="20"/>
  <c r="Q39" i="4"/>
  <c r="S39" i="4" s="1"/>
  <c r="L39" i="20" s="1"/>
  <c r="P43" i="4"/>
  <c r="I43" i="20" s="1"/>
  <c r="C44" i="4"/>
  <c r="D44" i="4" s="1"/>
  <c r="G43" i="4"/>
  <c r="B586" i="4"/>
  <c r="C585" i="4"/>
  <c r="D585" i="4" s="1"/>
  <c r="D586" i="18"/>
  <c r="O585" i="5"/>
  <c r="K39" i="20"/>
  <c r="R40" i="4"/>
  <c r="K40" i="4"/>
  <c r="R584" i="4"/>
  <c r="K584" i="20" s="1"/>
  <c r="Q584" i="4"/>
  <c r="J584" i="20" s="1"/>
  <c r="P584" i="4"/>
  <c r="I584" i="20" s="1"/>
  <c r="G584" i="4"/>
  <c r="N41" i="4"/>
  <c r="H41" i="4"/>
  <c r="I41" i="4" s="1"/>
  <c r="L41" i="4" s="1"/>
  <c r="C586" i="19"/>
  <c r="S38" i="4"/>
  <c r="L38" i="20" s="1"/>
  <c r="J583" i="4"/>
  <c r="E583" i="4"/>
  <c r="F583" i="4"/>
  <c r="N582" i="4"/>
  <c r="H582" i="4"/>
  <c r="I582" i="4" s="1"/>
  <c r="K89" i="3" l="1"/>
  <c r="H89" i="3"/>
  <c r="D586" i="19"/>
  <c r="E586" i="19" s="1"/>
  <c r="F586" i="19"/>
  <c r="C45" i="3"/>
  <c r="G90" i="3" s="1"/>
  <c r="M584" i="3"/>
  <c r="Q583" i="3"/>
  <c r="F584" i="3"/>
  <c r="J583" i="3"/>
  <c r="C587" i="3"/>
  <c r="J584" i="4"/>
  <c r="E584" i="4"/>
  <c r="F584" i="4"/>
  <c r="K40" i="20"/>
  <c r="R41" i="4"/>
  <c r="D587" i="18"/>
  <c r="O586" i="5"/>
  <c r="J43" i="4"/>
  <c r="E43" i="4"/>
  <c r="F43" i="4"/>
  <c r="P44" i="4"/>
  <c r="I44" i="20" s="1"/>
  <c r="C45" i="4"/>
  <c r="D45" i="4" s="1"/>
  <c r="G44" i="4"/>
  <c r="C587" i="19"/>
  <c r="R585" i="4"/>
  <c r="K585" i="20" s="1"/>
  <c r="Q585" i="4"/>
  <c r="J585" i="20" s="1"/>
  <c r="P585" i="4"/>
  <c r="I585" i="20" s="1"/>
  <c r="G585" i="4"/>
  <c r="N583" i="4"/>
  <c r="H583" i="4"/>
  <c r="I583" i="4" s="1"/>
  <c r="K41" i="4"/>
  <c r="B587" i="4"/>
  <c r="C586" i="4"/>
  <c r="D586" i="4" s="1"/>
  <c r="J39" i="20"/>
  <c r="Q40" i="4"/>
  <c r="N42" i="4"/>
  <c r="H42" i="4"/>
  <c r="I42" i="4" s="1"/>
  <c r="L42" i="4" s="1"/>
  <c r="K90" i="3" l="1"/>
  <c r="H90" i="3"/>
  <c r="D587" i="19"/>
  <c r="E587" i="19" s="1"/>
  <c r="F587" i="19"/>
  <c r="C46" i="3"/>
  <c r="G91" i="3" s="1"/>
  <c r="F585" i="3"/>
  <c r="J584" i="3"/>
  <c r="M585" i="3"/>
  <c r="Q584" i="3"/>
  <c r="C588" i="3"/>
  <c r="E585" i="4"/>
  <c r="J585" i="4"/>
  <c r="F585" i="4"/>
  <c r="C588" i="19"/>
  <c r="N43" i="4"/>
  <c r="H43" i="4"/>
  <c r="I43" i="4" s="1"/>
  <c r="L43" i="4" s="1"/>
  <c r="K41" i="20"/>
  <c r="R42" i="4"/>
  <c r="J44" i="4"/>
  <c r="E44" i="4"/>
  <c r="F44" i="4"/>
  <c r="N584" i="4"/>
  <c r="H584" i="4"/>
  <c r="I584" i="4" s="1"/>
  <c r="P586" i="4"/>
  <c r="I586" i="20" s="1"/>
  <c r="R586" i="4"/>
  <c r="K586" i="20" s="1"/>
  <c r="Q586" i="4"/>
  <c r="J586" i="20" s="1"/>
  <c r="G586" i="4"/>
  <c r="P45" i="4"/>
  <c r="I45" i="20" s="1"/>
  <c r="C46" i="4"/>
  <c r="D46" i="4" s="1"/>
  <c r="G45" i="4"/>
  <c r="D588" i="18"/>
  <c r="O587" i="5"/>
  <c r="J40" i="20"/>
  <c r="Q41" i="4"/>
  <c r="S41" i="4" s="1"/>
  <c r="L41" i="20" s="1"/>
  <c r="S40" i="4"/>
  <c r="L40" i="20" s="1"/>
  <c r="C587" i="4"/>
  <c r="D587" i="4" s="1"/>
  <c r="B588" i="4"/>
  <c r="K42" i="4"/>
  <c r="K91" i="3" l="1"/>
  <c r="H91" i="3"/>
  <c r="D588" i="19"/>
  <c r="E588" i="19" s="1"/>
  <c r="F588" i="19"/>
  <c r="C47" i="3"/>
  <c r="G92" i="3" s="1"/>
  <c r="M586" i="3"/>
  <c r="Q585" i="3"/>
  <c r="F586" i="3"/>
  <c r="J585" i="3"/>
  <c r="C589" i="3"/>
  <c r="C588" i="4"/>
  <c r="D588" i="4" s="1"/>
  <c r="B589" i="4"/>
  <c r="J45" i="4"/>
  <c r="E45" i="4"/>
  <c r="F45" i="4"/>
  <c r="N44" i="4"/>
  <c r="H44" i="4"/>
  <c r="I44" i="4" s="1"/>
  <c r="L44" i="4" s="1"/>
  <c r="K42" i="20"/>
  <c r="R43" i="4"/>
  <c r="K43" i="4"/>
  <c r="J41" i="20"/>
  <c r="Q42" i="4"/>
  <c r="S42" i="4" s="1"/>
  <c r="L42" i="20" s="1"/>
  <c r="D589" i="18"/>
  <c r="O588" i="5"/>
  <c r="J586" i="4"/>
  <c r="E586" i="4"/>
  <c r="F586" i="4"/>
  <c r="C589" i="19"/>
  <c r="N585" i="4"/>
  <c r="H585" i="4"/>
  <c r="I585" i="4" s="1"/>
  <c r="Q587" i="4"/>
  <c r="J587" i="20" s="1"/>
  <c r="P587" i="4"/>
  <c r="I587" i="20" s="1"/>
  <c r="R587" i="4"/>
  <c r="K587" i="20" s="1"/>
  <c r="G587" i="4"/>
  <c r="P46" i="4"/>
  <c r="I46" i="20" s="1"/>
  <c r="C47" i="4"/>
  <c r="D47" i="4" s="1"/>
  <c r="G46" i="4"/>
  <c r="K92" i="3" l="1"/>
  <c r="H92" i="3"/>
  <c r="D589" i="19"/>
  <c r="E589" i="19" s="1"/>
  <c r="F589" i="19"/>
  <c r="C48" i="3"/>
  <c r="G93" i="3" s="1"/>
  <c r="F587" i="3"/>
  <c r="J586" i="3"/>
  <c r="M587" i="3"/>
  <c r="Q586" i="3"/>
  <c r="C590" i="3"/>
  <c r="P47" i="4"/>
  <c r="I47" i="20" s="1"/>
  <c r="C48" i="4"/>
  <c r="D48" i="4" s="1"/>
  <c r="G47" i="4"/>
  <c r="C590" i="19"/>
  <c r="D590" i="18"/>
  <c r="O589" i="5"/>
  <c r="K44" i="4"/>
  <c r="B590" i="4"/>
  <c r="C589" i="4"/>
  <c r="D589" i="4" s="1"/>
  <c r="J587" i="4"/>
  <c r="E587" i="4"/>
  <c r="F587" i="4"/>
  <c r="R588" i="4"/>
  <c r="K588" i="20" s="1"/>
  <c r="Q588" i="4"/>
  <c r="J588" i="20" s="1"/>
  <c r="P588" i="4"/>
  <c r="I588" i="20" s="1"/>
  <c r="G588" i="4"/>
  <c r="E46" i="4"/>
  <c r="J46" i="4"/>
  <c r="F46" i="4"/>
  <c r="N586" i="4"/>
  <c r="H586" i="4"/>
  <c r="I586" i="4" s="1"/>
  <c r="J42" i="20"/>
  <c r="Q43" i="4"/>
  <c r="S43" i="4" s="1"/>
  <c r="L43" i="20" s="1"/>
  <c r="K43" i="20"/>
  <c r="R44" i="4"/>
  <c r="N45" i="4"/>
  <c r="H45" i="4"/>
  <c r="I45" i="4" s="1"/>
  <c r="L45" i="4" s="1"/>
  <c r="K93" i="3" l="1"/>
  <c r="H93" i="3"/>
  <c r="D590" i="19"/>
  <c r="E590" i="19" s="1"/>
  <c r="F590" i="19"/>
  <c r="C49" i="3"/>
  <c r="G94" i="3" s="1"/>
  <c r="M588" i="3"/>
  <c r="Q587" i="3"/>
  <c r="F588" i="3"/>
  <c r="J587" i="3"/>
  <c r="C591" i="3"/>
  <c r="N587" i="4"/>
  <c r="H587" i="4"/>
  <c r="I587" i="4" s="1"/>
  <c r="K44" i="20"/>
  <c r="R45" i="4"/>
  <c r="N46" i="4"/>
  <c r="H46" i="4"/>
  <c r="I46" i="4" s="1"/>
  <c r="L46" i="4" s="1"/>
  <c r="J588" i="4"/>
  <c r="E588" i="4"/>
  <c r="F588" i="4"/>
  <c r="R589" i="4"/>
  <c r="K589" i="20" s="1"/>
  <c r="Q589" i="4"/>
  <c r="J589" i="20" s="1"/>
  <c r="P589" i="4"/>
  <c r="I589" i="20" s="1"/>
  <c r="G589" i="4"/>
  <c r="C591" i="19"/>
  <c r="J43" i="20"/>
  <c r="Q44" i="4"/>
  <c r="S44" i="4" s="1"/>
  <c r="L44" i="20" s="1"/>
  <c r="B591" i="4"/>
  <c r="C590" i="4"/>
  <c r="D590" i="4" s="1"/>
  <c r="K45" i="4"/>
  <c r="D591" i="18"/>
  <c r="O590" i="5"/>
  <c r="J47" i="4"/>
  <c r="E47" i="4"/>
  <c r="F47" i="4"/>
  <c r="P48" i="4"/>
  <c r="I48" i="20" s="1"/>
  <c r="C49" i="4"/>
  <c r="D49" i="4" s="1"/>
  <c r="G48" i="4"/>
  <c r="H94" i="3" l="1"/>
  <c r="K94" i="3"/>
  <c r="D591" i="19"/>
  <c r="E591" i="19" s="1"/>
  <c r="F591" i="19"/>
  <c r="C50" i="3"/>
  <c r="G95" i="3" s="1"/>
  <c r="F589" i="3"/>
  <c r="J588" i="3"/>
  <c r="M589" i="3"/>
  <c r="Q588" i="3"/>
  <c r="C592" i="3"/>
  <c r="E589" i="4"/>
  <c r="J589" i="4"/>
  <c r="F589" i="4"/>
  <c r="P49" i="4"/>
  <c r="I49" i="20" s="1"/>
  <c r="C50" i="4"/>
  <c r="D50" i="4" s="1"/>
  <c r="G49" i="4"/>
  <c r="D592" i="18"/>
  <c r="O591" i="5"/>
  <c r="P590" i="4"/>
  <c r="I590" i="20" s="1"/>
  <c r="R590" i="4"/>
  <c r="K590" i="20" s="1"/>
  <c r="Q590" i="4"/>
  <c r="J590" i="20" s="1"/>
  <c r="G590" i="4"/>
  <c r="C592" i="19"/>
  <c r="K46" i="4"/>
  <c r="C591" i="4"/>
  <c r="D591" i="4" s="1"/>
  <c r="B592" i="4"/>
  <c r="K45" i="20"/>
  <c r="R46" i="4"/>
  <c r="J48" i="4"/>
  <c r="E48" i="4"/>
  <c r="F48" i="4"/>
  <c r="N47" i="4"/>
  <c r="H47" i="4"/>
  <c r="I47" i="4" s="1"/>
  <c r="L47" i="4" s="1"/>
  <c r="J44" i="20"/>
  <c r="Q45" i="4"/>
  <c r="S45" i="4" s="1"/>
  <c r="L45" i="20" s="1"/>
  <c r="N588" i="4"/>
  <c r="H588" i="4"/>
  <c r="I588" i="4" s="1"/>
  <c r="H95" i="3" l="1"/>
  <c r="K95" i="3"/>
  <c r="D592" i="19"/>
  <c r="E592" i="19" s="1"/>
  <c r="F592" i="19"/>
  <c r="C51" i="3"/>
  <c r="G96" i="3" s="1"/>
  <c r="M590" i="3"/>
  <c r="Q589" i="3"/>
  <c r="F590" i="3"/>
  <c r="J589" i="3"/>
  <c r="C593" i="3"/>
  <c r="K47" i="4"/>
  <c r="J590" i="4"/>
  <c r="E590" i="4"/>
  <c r="F590" i="4"/>
  <c r="N589" i="4"/>
  <c r="H589" i="4"/>
  <c r="I589" i="4" s="1"/>
  <c r="C592" i="4"/>
  <c r="D592" i="4" s="1"/>
  <c r="B593" i="4"/>
  <c r="C593" i="19"/>
  <c r="J49" i="4"/>
  <c r="E49" i="4"/>
  <c r="F49" i="4"/>
  <c r="N48" i="4"/>
  <c r="H48" i="4"/>
  <c r="I48" i="4" s="1"/>
  <c r="L48" i="4" s="1"/>
  <c r="J45" i="20"/>
  <c r="Q46" i="4"/>
  <c r="K46" i="20"/>
  <c r="R47" i="4"/>
  <c r="Q591" i="4"/>
  <c r="J591" i="20" s="1"/>
  <c r="P591" i="4"/>
  <c r="I591" i="20" s="1"/>
  <c r="R591" i="4"/>
  <c r="K591" i="20" s="1"/>
  <c r="G591" i="4"/>
  <c r="D593" i="18"/>
  <c r="O592" i="5"/>
  <c r="P50" i="4"/>
  <c r="I50" i="20" s="1"/>
  <c r="C51" i="4"/>
  <c r="D51" i="4" s="1"/>
  <c r="G50" i="4"/>
  <c r="H96" i="3" l="1"/>
  <c r="K96" i="3"/>
  <c r="D593" i="19"/>
  <c r="E593" i="19" s="1"/>
  <c r="F593" i="19"/>
  <c r="C52" i="3"/>
  <c r="G97" i="3" s="1"/>
  <c r="F591" i="3"/>
  <c r="J590" i="3"/>
  <c r="M591" i="3"/>
  <c r="Q590" i="3"/>
  <c r="C594" i="3"/>
  <c r="B594" i="4"/>
  <c r="C593" i="4"/>
  <c r="D593" i="4" s="1"/>
  <c r="E50" i="4"/>
  <c r="J50" i="4"/>
  <c r="F50" i="4"/>
  <c r="J46" i="20"/>
  <c r="Q47" i="4"/>
  <c r="S47" i="4" s="1"/>
  <c r="L47" i="20" s="1"/>
  <c r="N49" i="4"/>
  <c r="H49" i="4"/>
  <c r="I49" i="4" s="1"/>
  <c r="L49" i="4" s="1"/>
  <c r="C594" i="19"/>
  <c r="R592" i="4"/>
  <c r="K592" i="20" s="1"/>
  <c r="Q592" i="4"/>
  <c r="J592" i="20" s="1"/>
  <c r="P592" i="4"/>
  <c r="I592" i="20" s="1"/>
  <c r="G592" i="4"/>
  <c r="N590" i="4"/>
  <c r="H590" i="4"/>
  <c r="I590" i="4" s="1"/>
  <c r="K48" i="4"/>
  <c r="D594" i="18"/>
  <c r="O593" i="5"/>
  <c r="P51" i="4"/>
  <c r="I51" i="20" s="1"/>
  <c r="C52" i="4"/>
  <c r="D52" i="4" s="1"/>
  <c r="G51" i="4"/>
  <c r="S46" i="4"/>
  <c r="L46" i="20" s="1"/>
  <c r="J591" i="4"/>
  <c r="E591" i="4"/>
  <c r="F591" i="4"/>
  <c r="K47" i="20"/>
  <c r="R48" i="4"/>
  <c r="H97" i="3" l="1"/>
  <c r="K97" i="3"/>
  <c r="D594" i="19"/>
  <c r="E594" i="19" s="1"/>
  <c r="F594" i="19"/>
  <c r="C53" i="3"/>
  <c r="G98" i="3" s="1"/>
  <c r="M592" i="3"/>
  <c r="Q591" i="3"/>
  <c r="F592" i="3"/>
  <c r="J591" i="3"/>
  <c r="C595" i="3"/>
  <c r="N591" i="4"/>
  <c r="H591" i="4"/>
  <c r="I591" i="4" s="1"/>
  <c r="K48" i="20"/>
  <c r="R49" i="4"/>
  <c r="J51" i="4"/>
  <c r="E51" i="4"/>
  <c r="F51" i="4"/>
  <c r="K49" i="4"/>
  <c r="J592" i="4"/>
  <c r="E592" i="4"/>
  <c r="F592" i="4"/>
  <c r="C595" i="19"/>
  <c r="P52" i="4"/>
  <c r="I52" i="20" s="1"/>
  <c r="C53" i="4"/>
  <c r="D53" i="4" s="1"/>
  <c r="G52" i="4"/>
  <c r="D595" i="18"/>
  <c r="O594" i="5"/>
  <c r="R593" i="4"/>
  <c r="K593" i="20" s="1"/>
  <c r="Q593" i="4"/>
  <c r="J593" i="20" s="1"/>
  <c r="P593" i="4"/>
  <c r="I593" i="20" s="1"/>
  <c r="G593" i="4"/>
  <c r="J47" i="20"/>
  <c r="Q48" i="4"/>
  <c r="S48" i="4" s="1"/>
  <c r="L48" i="20" s="1"/>
  <c r="N50" i="4"/>
  <c r="H50" i="4"/>
  <c r="I50" i="4" s="1"/>
  <c r="L50" i="4" s="1"/>
  <c r="B595" i="4"/>
  <c r="C594" i="4"/>
  <c r="D594" i="4" s="1"/>
  <c r="H98" i="3" l="1"/>
  <c r="K98" i="3"/>
  <c r="D595" i="19"/>
  <c r="E595" i="19" s="1"/>
  <c r="F595" i="19"/>
  <c r="C54" i="3"/>
  <c r="G99" i="3" s="1"/>
  <c r="F593" i="3"/>
  <c r="J592" i="3"/>
  <c r="M593" i="3"/>
  <c r="Q592" i="3"/>
  <c r="C596" i="3"/>
  <c r="N51" i="4"/>
  <c r="H51" i="4"/>
  <c r="I51" i="4" s="1"/>
  <c r="L51" i="4" s="1"/>
  <c r="E593" i="4"/>
  <c r="J593" i="4"/>
  <c r="F593" i="4"/>
  <c r="D596" i="18"/>
  <c r="O595" i="5"/>
  <c r="P594" i="4"/>
  <c r="I594" i="20" s="1"/>
  <c r="R594" i="4"/>
  <c r="K594" i="20" s="1"/>
  <c r="Q594" i="4"/>
  <c r="J594" i="20" s="1"/>
  <c r="G594" i="4"/>
  <c r="K50" i="4"/>
  <c r="K49" i="20"/>
  <c r="R50" i="4"/>
  <c r="P53" i="4"/>
  <c r="I53" i="20" s="1"/>
  <c r="C54" i="4"/>
  <c r="D54" i="4" s="1"/>
  <c r="G53" i="4"/>
  <c r="C595" i="4"/>
  <c r="D595" i="4" s="1"/>
  <c r="B596" i="4"/>
  <c r="J48" i="20"/>
  <c r="Q49" i="4"/>
  <c r="S49" i="4" s="1"/>
  <c r="L49" i="20" s="1"/>
  <c r="J52" i="4"/>
  <c r="E52" i="4"/>
  <c r="F52" i="4"/>
  <c r="C596" i="19"/>
  <c r="N592" i="4"/>
  <c r="H592" i="4"/>
  <c r="I592" i="4" s="1"/>
  <c r="H99" i="3" l="1"/>
  <c r="K99" i="3"/>
  <c r="D596" i="19"/>
  <c r="E596" i="19" s="1"/>
  <c r="F596" i="19"/>
  <c r="C55" i="3"/>
  <c r="G100" i="3" s="1"/>
  <c r="M594" i="3"/>
  <c r="Q593" i="3"/>
  <c r="F594" i="3"/>
  <c r="J593" i="3"/>
  <c r="C597" i="3"/>
  <c r="P54" i="4"/>
  <c r="I54" i="20" s="1"/>
  <c r="C55" i="4"/>
  <c r="D55" i="4" s="1"/>
  <c r="G54" i="4"/>
  <c r="K50" i="20"/>
  <c r="R51" i="4"/>
  <c r="N52" i="4"/>
  <c r="H52" i="4"/>
  <c r="I52" i="4" s="1"/>
  <c r="L52" i="4" s="1"/>
  <c r="J49" i="20"/>
  <c r="Q50" i="4"/>
  <c r="S50" i="4" s="1"/>
  <c r="L50" i="20" s="1"/>
  <c r="D597" i="18"/>
  <c r="O596" i="5"/>
  <c r="N593" i="4"/>
  <c r="H593" i="4"/>
  <c r="I593" i="4" s="1"/>
  <c r="Q595" i="4"/>
  <c r="J595" i="20" s="1"/>
  <c r="P595" i="4"/>
  <c r="I595" i="20" s="1"/>
  <c r="R595" i="4"/>
  <c r="K595" i="20" s="1"/>
  <c r="G595" i="4"/>
  <c r="J594" i="4"/>
  <c r="E594" i="4"/>
  <c r="F594" i="4"/>
  <c r="C597" i="19"/>
  <c r="C596" i="4"/>
  <c r="D596" i="4" s="1"/>
  <c r="B597" i="4"/>
  <c r="J53" i="4"/>
  <c r="E53" i="4"/>
  <c r="F53" i="4"/>
  <c r="K51" i="4"/>
  <c r="H100" i="3" l="1"/>
  <c r="K100" i="3"/>
  <c r="D597" i="19"/>
  <c r="E597" i="19" s="1"/>
  <c r="F597" i="19"/>
  <c r="C56" i="3"/>
  <c r="G101" i="3" s="1"/>
  <c r="F595" i="3"/>
  <c r="J594" i="3"/>
  <c r="M595" i="3"/>
  <c r="Q594" i="3"/>
  <c r="C598" i="3"/>
  <c r="J50" i="20"/>
  <c r="Q51" i="4"/>
  <c r="S51" i="4" s="1"/>
  <c r="L51" i="20" s="1"/>
  <c r="C598" i="19"/>
  <c r="R596" i="4"/>
  <c r="K596" i="20" s="1"/>
  <c r="Q596" i="4"/>
  <c r="J596" i="20" s="1"/>
  <c r="P596" i="4"/>
  <c r="I596" i="20" s="1"/>
  <c r="G596" i="4"/>
  <c r="J595" i="4"/>
  <c r="E595" i="4"/>
  <c r="F595" i="4"/>
  <c r="K51" i="20"/>
  <c r="R52" i="4"/>
  <c r="N53" i="4"/>
  <c r="H53" i="4"/>
  <c r="I53" i="4" s="1"/>
  <c r="L53" i="4" s="1"/>
  <c r="D598" i="18"/>
  <c r="O597" i="5"/>
  <c r="E54" i="4"/>
  <c r="J54" i="4"/>
  <c r="F54" i="4"/>
  <c r="B598" i="4"/>
  <c r="C597" i="4"/>
  <c r="D597" i="4" s="1"/>
  <c r="N594" i="4"/>
  <c r="H594" i="4"/>
  <c r="I594" i="4" s="1"/>
  <c r="K52" i="4"/>
  <c r="P55" i="4"/>
  <c r="I55" i="20" s="1"/>
  <c r="C56" i="4"/>
  <c r="D56" i="4" s="1"/>
  <c r="G55" i="4"/>
  <c r="H101" i="3" l="1"/>
  <c r="K101" i="3"/>
  <c r="D598" i="19"/>
  <c r="E598" i="19" s="1"/>
  <c r="F598" i="19"/>
  <c r="C57" i="3"/>
  <c r="G102" i="3" s="1"/>
  <c r="M596" i="3"/>
  <c r="Q595" i="3"/>
  <c r="F596" i="3"/>
  <c r="J595" i="3"/>
  <c r="C599" i="3"/>
  <c r="N595" i="4"/>
  <c r="H595" i="4"/>
  <c r="I595" i="4" s="1"/>
  <c r="D599" i="18"/>
  <c r="O598" i="5"/>
  <c r="J51" i="20"/>
  <c r="Q52" i="4"/>
  <c r="S52" i="4" s="1"/>
  <c r="L52" i="20" s="1"/>
  <c r="P56" i="4"/>
  <c r="I56" i="20" s="1"/>
  <c r="C57" i="4"/>
  <c r="D57" i="4" s="1"/>
  <c r="G56" i="4"/>
  <c r="K53" i="4"/>
  <c r="R597" i="4"/>
  <c r="K597" i="20" s="1"/>
  <c r="Q597" i="4"/>
  <c r="J597" i="20" s="1"/>
  <c r="P597" i="4"/>
  <c r="I597" i="20" s="1"/>
  <c r="G597" i="4"/>
  <c r="N54" i="4"/>
  <c r="H54" i="4"/>
  <c r="I54" i="4" s="1"/>
  <c r="L54" i="4" s="1"/>
  <c r="J596" i="4"/>
  <c r="E596" i="4"/>
  <c r="F596" i="4"/>
  <c r="C599" i="19"/>
  <c r="J55" i="4"/>
  <c r="E55" i="4"/>
  <c r="F55" i="4"/>
  <c r="B599" i="4"/>
  <c r="C598" i="4"/>
  <c r="D598" i="4" s="1"/>
  <c r="K52" i="20"/>
  <c r="R53" i="4"/>
  <c r="H102" i="3" l="1"/>
  <c r="K102" i="3"/>
  <c r="D599" i="19"/>
  <c r="E599" i="19" s="1"/>
  <c r="F599" i="19"/>
  <c r="C58" i="3"/>
  <c r="G103" i="3" s="1"/>
  <c r="F597" i="3"/>
  <c r="J596" i="3"/>
  <c r="M597" i="3"/>
  <c r="Q596" i="3"/>
  <c r="C600" i="3"/>
  <c r="N55" i="4"/>
  <c r="H55" i="4"/>
  <c r="I55" i="4" s="1"/>
  <c r="L55" i="4" s="1"/>
  <c r="K54" i="4"/>
  <c r="D600" i="18"/>
  <c r="O599" i="5"/>
  <c r="J56" i="4"/>
  <c r="E56" i="4"/>
  <c r="F56" i="4"/>
  <c r="K53" i="20"/>
  <c r="R54" i="4"/>
  <c r="C600" i="19"/>
  <c r="N596" i="4"/>
  <c r="H596" i="4"/>
  <c r="I596" i="4" s="1"/>
  <c r="P57" i="4"/>
  <c r="I57" i="20" s="1"/>
  <c r="C58" i="4"/>
  <c r="D58" i="4" s="1"/>
  <c r="G57" i="4"/>
  <c r="J52" i="20"/>
  <c r="Q53" i="4"/>
  <c r="P598" i="4"/>
  <c r="I598" i="20" s="1"/>
  <c r="R598" i="4"/>
  <c r="K598" i="20" s="1"/>
  <c r="Q598" i="4"/>
  <c r="J598" i="20" s="1"/>
  <c r="G598" i="4"/>
  <c r="C599" i="4"/>
  <c r="D599" i="4" s="1"/>
  <c r="B600" i="4"/>
  <c r="E597" i="4"/>
  <c r="J597" i="4"/>
  <c r="F597" i="4"/>
  <c r="H103" i="3" l="1"/>
  <c r="K103" i="3"/>
  <c r="D600" i="19"/>
  <c r="E600" i="19" s="1"/>
  <c r="F600" i="19"/>
  <c r="C59" i="3"/>
  <c r="G104" i="3" s="1"/>
  <c r="M598" i="3"/>
  <c r="Q597" i="3"/>
  <c r="F598" i="3"/>
  <c r="J597" i="3"/>
  <c r="C601" i="3"/>
  <c r="N597" i="4"/>
  <c r="H597" i="4"/>
  <c r="I597" i="4" s="1"/>
  <c r="Q599" i="4"/>
  <c r="J599" i="20" s="1"/>
  <c r="P599" i="4"/>
  <c r="I599" i="20" s="1"/>
  <c r="R599" i="4"/>
  <c r="K599" i="20" s="1"/>
  <c r="G599" i="4"/>
  <c r="J598" i="4"/>
  <c r="E598" i="4"/>
  <c r="F598" i="4"/>
  <c r="J57" i="4"/>
  <c r="E57" i="4"/>
  <c r="F57" i="4"/>
  <c r="K54" i="20"/>
  <c r="R55" i="4"/>
  <c r="K55" i="4"/>
  <c r="P58" i="4"/>
  <c r="I58" i="20" s="1"/>
  <c r="C59" i="4"/>
  <c r="D59" i="4" s="1"/>
  <c r="G58" i="4"/>
  <c r="C601" i="19"/>
  <c r="N56" i="4"/>
  <c r="H56" i="4"/>
  <c r="I56" i="4" s="1"/>
  <c r="L56" i="4" s="1"/>
  <c r="D601" i="18"/>
  <c r="O600" i="5"/>
  <c r="C600" i="4"/>
  <c r="D600" i="4" s="1"/>
  <c r="B601" i="4"/>
  <c r="J53" i="20"/>
  <c r="Q54" i="4"/>
  <c r="S53" i="4"/>
  <c r="L53" i="20" s="1"/>
  <c r="H104" i="3" l="1"/>
  <c r="K104" i="3"/>
  <c r="D601" i="19"/>
  <c r="E601" i="19" s="1"/>
  <c r="F601" i="19"/>
  <c r="C60" i="3"/>
  <c r="G105" i="3" s="1"/>
  <c r="F599" i="3"/>
  <c r="J598" i="3"/>
  <c r="M599" i="3"/>
  <c r="Q598" i="3"/>
  <c r="C602" i="3"/>
  <c r="D602" i="18"/>
  <c r="O601" i="5"/>
  <c r="N598" i="4"/>
  <c r="H598" i="4"/>
  <c r="I598" i="4" s="1"/>
  <c r="J599" i="4"/>
  <c r="E599" i="4"/>
  <c r="F599" i="4"/>
  <c r="C602" i="19"/>
  <c r="J54" i="20"/>
  <c r="Q55" i="4"/>
  <c r="S55" i="4" s="1"/>
  <c r="L55" i="20" s="1"/>
  <c r="K56" i="4"/>
  <c r="K55" i="20"/>
  <c r="R56" i="4"/>
  <c r="P59" i="4"/>
  <c r="I59" i="20" s="1"/>
  <c r="C60" i="4"/>
  <c r="D60" i="4" s="1"/>
  <c r="G59" i="4"/>
  <c r="B602" i="4"/>
  <c r="C601" i="4"/>
  <c r="D601" i="4" s="1"/>
  <c r="R600" i="4"/>
  <c r="K600" i="20" s="1"/>
  <c r="Q600" i="4"/>
  <c r="J600" i="20" s="1"/>
  <c r="P600" i="4"/>
  <c r="I600" i="20" s="1"/>
  <c r="G600" i="4"/>
  <c r="E58" i="4"/>
  <c r="J58" i="4"/>
  <c r="F58" i="4"/>
  <c r="S54" i="4"/>
  <c r="L54" i="20" s="1"/>
  <c r="N57" i="4"/>
  <c r="H57" i="4"/>
  <c r="I57" i="4" s="1"/>
  <c r="L57" i="4" s="1"/>
  <c r="H105" i="3" l="1"/>
  <c r="K105" i="3"/>
  <c r="D602" i="19"/>
  <c r="E602" i="19" s="1"/>
  <c r="F602" i="19"/>
  <c r="C61" i="3"/>
  <c r="G106" i="3" s="1"/>
  <c r="M600" i="3"/>
  <c r="Q599" i="3"/>
  <c r="F600" i="3"/>
  <c r="J599" i="3"/>
  <c r="C603" i="3"/>
  <c r="C603" i="19"/>
  <c r="N58" i="4"/>
  <c r="H58" i="4"/>
  <c r="I58" i="4" s="1"/>
  <c r="L58" i="4" s="1"/>
  <c r="P60" i="4"/>
  <c r="I60" i="20" s="1"/>
  <c r="C61" i="4"/>
  <c r="D61" i="4" s="1"/>
  <c r="G60" i="4"/>
  <c r="D603" i="18"/>
  <c r="O602" i="5"/>
  <c r="K57" i="4"/>
  <c r="J55" i="20"/>
  <c r="Q56" i="4"/>
  <c r="S56" i="4" s="1"/>
  <c r="L56" i="20" s="1"/>
  <c r="N599" i="4"/>
  <c r="H599" i="4"/>
  <c r="I599" i="4" s="1"/>
  <c r="J59" i="4"/>
  <c r="E59" i="4"/>
  <c r="F59" i="4"/>
  <c r="J600" i="4"/>
  <c r="E600" i="4"/>
  <c r="F600" i="4"/>
  <c r="R601" i="4"/>
  <c r="K601" i="20" s="1"/>
  <c r="Q601" i="4"/>
  <c r="J601" i="20" s="1"/>
  <c r="P601" i="4"/>
  <c r="I601" i="20" s="1"/>
  <c r="G601" i="4"/>
  <c r="B603" i="4"/>
  <c r="C602" i="4"/>
  <c r="D602" i="4" s="1"/>
  <c r="K56" i="20"/>
  <c r="R57" i="4"/>
  <c r="H106" i="3" l="1"/>
  <c r="K106" i="3"/>
  <c r="D603" i="19"/>
  <c r="E603" i="19" s="1"/>
  <c r="F603" i="19"/>
  <c r="C62" i="3"/>
  <c r="G107" i="3" s="1"/>
  <c r="F601" i="3"/>
  <c r="J600" i="3"/>
  <c r="M601" i="3"/>
  <c r="Q600" i="3"/>
  <c r="C604" i="3"/>
  <c r="N600" i="4"/>
  <c r="H600" i="4"/>
  <c r="I600" i="4" s="1"/>
  <c r="K57" i="20"/>
  <c r="R58" i="4"/>
  <c r="E601" i="4"/>
  <c r="J601" i="4"/>
  <c r="F601" i="4"/>
  <c r="N59" i="4"/>
  <c r="H59" i="4"/>
  <c r="I59" i="4" s="1"/>
  <c r="L59" i="4" s="1"/>
  <c r="J60" i="4"/>
  <c r="E60" i="4"/>
  <c r="F60" i="4"/>
  <c r="C604" i="19"/>
  <c r="P602" i="4"/>
  <c r="I602" i="20" s="1"/>
  <c r="R602" i="4"/>
  <c r="K602" i="20" s="1"/>
  <c r="Q602" i="4"/>
  <c r="J602" i="20" s="1"/>
  <c r="G602" i="4"/>
  <c r="K58" i="4"/>
  <c r="P61" i="4"/>
  <c r="I61" i="20" s="1"/>
  <c r="C62" i="4"/>
  <c r="D62" i="4" s="1"/>
  <c r="G61" i="4"/>
  <c r="C603" i="4"/>
  <c r="D603" i="4" s="1"/>
  <c r="B604" i="4"/>
  <c r="J56" i="20"/>
  <c r="Q57" i="4"/>
  <c r="D604" i="18"/>
  <c r="O603" i="5"/>
  <c r="H107" i="3" l="1"/>
  <c r="K107" i="3"/>
  <c r="D604" i="19"/>
  <c r="E604" i="19" s="1"/>
  <c r="F604" i="19"/>
  <c r="C63" i="3"/>
  <c r="G108" i="3" s="1"/>
  <c r="M602" i="3"/>
  <c r="Q601" i="3"/>
  <c r="F602" i="3"/>
  <c r="J601" i="3"/>
  <c r="C605" i="3"/>
  <c r="K58" i="20"/>
  <c r="R59" i="4"/>
  <c r="J602" i="4"/>
  <c r="E602" i="4"/>
  <c r="F602" i="4"/>
  <c r="C605" i="19"/>
  <c r="N60" i="4"/>
  <c r="H60" i="4"/>
  <c r="I60" i="4" s="1"/>
  <c r="L60" i="4" s="1"/>
  <c r="J57" i="20"/>
  <c r="Q58" i="4"/>
  <c r="K59" i="4"/>
  <c r="D605" i="18"/>
  <c r="O604" i="5"/>
  <c r="C604" i="4"/>
  <c r="D604" i="4" s="1"/>
  <c r="B605" i="4"/>
  <c r="J61" i="4"/>
  <c r="E61" i="4"/>
  <c r="F61" i="4"/>
  <c r="Q603" i="4"/>
  <c r="J603" i="20" s="1"/>
  <c r="P603" i="4"/>
  <c r="I603" i="20" s="1"/>
  <c r="R603" i="4"/>
  <c r="K603" i="20" s="1"/>
  <c r="G603" i="4"/>
  <c r="P62" i="4"/>
  <c r="I62" i="20" s="1"/>
  <c r="C63" i="4"/>
  <c r="D63" i="4" s="1"/>
  <c r="G62" i="4"/>
  <c r="S57" i="4"/>
  <c r="L57" i="20" s="1"/>
  <c r="N601" i="4"/>
  <c r="H601" i="4"/>
  <c r="I601" i="4" s="1"/>
  <c r="H108" i="3" l="1"/>
  <c r="K108" i="3"/>
  <c r="D605" i="19"/>
  <c r="E605" i="19" s="1"/>
  <c r="F605" i="19"/>
  <c r="C64" i="3"/>
  <c r="G109" i="3" s="1"/>
  <c r="F603" i="3"/>
  <c r="J602" i="3"/>
  <c r="M603" i="3"/>
  <c r="Q602" i="3"/>
  <c r="C606" i="3"/>
  <c r="D606" i="18"/>
  <c r="O605" i="5"/>
  <c r="J58" i="20"/>
  <c r="Q59" i="4"/>
  <c r="S59" i="4" s="1"/>
  <c r="L59" i="20" s="1"/>
  <c r="E62" i="4"/>
  <c r="J62" i="4"/>
  <c r="F62" i="4"/>
  <c r="K59" i="20"/>
  <c r="R60" i="4"/>
  <c r="J603" i="4"/>
  <c r="E603" i="4"/>
  <c r="F603" i="4"/>
  <c r="P63" i="4"/>
  <c r="I63" i="20" s="1"/>
  <c r="C64" i="4"/>
  <c r="D64" i="4" s="1"/>
  <c r="G63" i="4"/>
  <c r="B606" i="4"/>
  <c r="C605" i="4"/>
  <c r="D605" i="4" s="1"/>
  <c r="K60" i="4"/>
  <c r="N61" i="4"/>
  <c r="H61" i="4"/>
  <c r="I61" i="4" s="1"/>
  <c r="L61" i="4" s="1"/>
  <c r="R604" i="4"/>
  <c r="K604" i="20" s="1"/>
  <c r="Q604" i="4"/>
  <c r="J604" i="20" s="1"/>
  <c r="P604" i="4"/>
  <c r="I604" i="20" s="1"/>
  <c r="G604" i="4"/>
  <c r="S58" i="4"/>
  <c r="L58" i="20" s="1"/>
  <c r="C606" i="19"/>
  <c r="N602" i="4"/>
  <c r="H602" i="4"/>
  <c r="I602" i="4" s="1"/>
  <c r="H109" i="3" l="1"/>
  <c r="K109" i="3"/>
  <c r="D606" i="19"/>
  <c r="E606" i="19" s="1"/>
  <c r="F606" i="19"/>
  <c r="C65" i="3"/>
  <c r="G110" i="3" s="1"/>
  <c r="M604" i="3"/>
  <c r="Q603" i="3"/>
  <c r="F604" i="3"/>
  <c r="J603" i="3"/>
  <c r="C607" i="3"/>
  <c r="B607" i="4"/>
  <c r="C606" i="4"/>
  <c r="D606" i="4" s="1"/>
  <c r="C607" i="19"/>
  <c r="K61" i="4"/>
  <c r="P64" i="4"/>
  <c r="I64" i="20" s="1"/>
  <c r="C65" i="4"/>
  <c r="D65" i="4" s="1"/>
  <c r="G64" i="4"/>
  <c r="R605" i="4"/>
  <c r="K605" i="20" s="1"/>
  <c r="Q605" i="4"/>
  <c r="J605" i="20" s="1"/>
  <c r="P605" i="4"/>
  <c r="I605" i="20" s="1"/>
  <c r="G605" i="4"/>
  <c r="N603" i="4"/>
  <c r="H603" i="4"/>
  <c r="I603" i="4" s="1"/>
  <c r="N62" i="4"/>
  <c r="H62" i="4"/>
  <c r="I62" i="4" s="1"/>
  <c r="L62" i="4" s="1"/>
  <c r="J59" i="20"/>
  <c r="Q60" i="4"/>
  <c r="J63" i="4"/>
  <c r="E63" i="4"/>
  <c r="F63" i="4"/>
  <c r="K60" i="20"/>
  <c r="R61" i="4"/>
  <c r="J604" i="4"/>
  <c r="E604" i="4"/>
  <c r="F604" i="4"/>
  <c r="D607" i="18"/>
  <c r="O606" i="5"/>
  <c r="H110" i="3" l="1"/>
  <c r="K110" i="3"/>
  <c r="D607" i="19"/>
  <c r="E607" i="19" s="1"/>
  <c r="F607" i="19"/>
  <c r="C66" i="3"/>
  <c r="G111" i="3" s="1"/>
  <c r="F605" i="3"/>
  <c r="J604" i="3"/>
  <c r="M605" i="3"/>
  <c r="Q604" i="3"/>
  <c r="C608" i="3"/>
  <c r="N604" i="4"/>
  <c r="H604" i="4"/>
  <c r="I604" i="4" s="1"/>
  <c r="J60" i="20"/>
  <c r="Q61" i="4"/>
  <c r="S61" i="4" s="1"/>
  <c r="L61" i="20" s="1"/>
  <c r="P65" i="4"/>
  <c r="I65" i="20" s="1"/>
  <c r="C66" i="4"/>
  <c r="D66" i="4" s="1"/>
  <c r="G65" i="4"/>
  <c r="S60" i="4"/>
  <c r="L60" i="20" s="1"/>
  <c r="D608" i="18"/>
  <c r="O607" i="5"/>
  <c r="E605" i="4"/>
  <c r="J605" i="4"/>
  <c r="F605" i="4"/>
  <c r="K62" i="4"/>
  <c r="P606" i="4"/>
  <c r="I606" i="20" s="1"/>
  <c r="R606" i="4"/>
  <c r="K606" i="20" s="1"/>
  <c r="Q606" i="4"/>
  <c r="J606" i="20" s="1"/>
  <c r="G606" i="4"/>
  <c r="C608" i="19"/>
  <c r="B608" i="4"/>
  <c r="C607" i="4"/>
  <c r="D607" i="4" s="1"/>
  <c r="N63" i="4"/>
  <c r="H63" i="4"/>
  <c r="I63" i="4" s="1"/>
  <c r="L63" i="4" s="1"/>
  <c r="K61" i="20"/>
  <c r="R62" i="4"/>
  <c r="J64" i="4"/>
  <c r="E64" i="4"/>
  <c r="F64" i="4"/>
  <c r="H111" i="3" l="1"/>
  <c r="K111" i="3"/>
  <c r="D608" i="19"/>
  <c r="E608" i="19" s="1"/>
  <c r="F608" i="19"/>
  <c r="C67" i="3"/>
  <c r="G112" i="3" s="1"/>
  <c r="M606" i="3"/>
  <c r="Q605" i="3"/>
  <c r="F606" i="3"/>
  <c r="J605" i="3"/>
  <c r="C609" i="3"/>
  <c r="J606" i="4"/>
  <c r="E606" i="4"/>
  <c r="F606" i="4"/>
  <c r="N64" i="4"/>
  <c r="H64" i="4"/>
  <c r="I64" i="4" s="1"/>
  <c r="L64" i="4" s="1"/>
  <c r="Q607" i="4"/>
  <c r="J607" i="20" s="1"/>
  <c r="P607" i="4"/>
  <c r="I607" i="20" s="1"/>
  <c r="R607" i="4"/>
  <c r="K607" i="20" s="1"/>
  <c r="G607" i="4"/>
  <c r="K63" i="4"/>
  <c r="K62" i="20"/>
  <c r="R63" i="4"/>
  <c r="B609" i="4"/>
  <c r="C608" i="4"/>
  <c r="D608" i="4" s="1"/>
  <c r="N605" i="4"/>
  <c r="H605" i="4"/>
  <c r="I605" i="4" s="1"/>
  <c r="J65" i="4"/>
  <c r="E65" i="4"/>
  <c r="F65" i="4"/>
  <c r="C609" i="19"/>
  <c r="D609" i="18"/>
  <c r="O608" i="5"/>
  <c r="P66" i="4"/>
  <c r="I66" i="20" s="1"/>
  <c r="C67" i="4"/>
  <c r="D67" i="4" s="1"/>
  <c r="G66" i="4"/>
  <c r="J61" i="20"/>
  <c r="Q62" i="4"/>
  <c r="S62" i="4" s="1"/>
  <c r="L62" i="20" s="1"/>
  <c r="H112" i="3" l="1"/>
  <c r="K112" i="3"/>
  <c r="D609" i="19"/>
  <c r="E609" i="19" s="1"/>
  <c r="F609" i="19"/>
  <c r="C68" i="3"/>
  <c r="G113" i="3" s="1"/>
  <c r="F607" i="3"/>
  <c r="J606" i="3"/>
  <c r="M607" i="3"/>
  <c r="Q606" i="3"/>
  <c r="C610" i="3"/>
  <c r="P608" i="4"/>
  <c r="I608" i="20" s="1"/>
  <c r="R608" i="4"/>
  <c r="K608" i="20" s="1"/>
  <c r="Q608" i="4"/>
  <c r="J608" i="20" s="1"/>
  <c r="G608" i="4"/>
  <c r="C609" i="4"/>
  <c r="D609" i="4" s="1"/>
  <c r="B610" i="4"/>
  <c r="N606" i="4"/>
  <c r="H606" i="4"/>
  <c r="I606" i="4" s="1"/>
  <c r="P67" i="4"/>
  <c r="I67" i="20" s="1"/>
  <c r="C68" i="4"/>
  <c r="D68" i="4" s="1"/>
  <c r="G67" i="4"/>
  <c r="C610" i="19"/>
  <c r="J62" i="20"/>
  <c r="Q63" i="4"/>
  <c r="S63" i="4" s="1"/>
  <c r="L63" i="20" s="1"/>
  <c r="K63" i="20"/>
  <c r="R64" i="4"/>
  <c r="J607" i="4"/>
  <c r="E607" i="4"/>
  <c r="F607" i="4"/>
  <c r="E66" i="4"/>
  <c r="J66" i="4"/>
  <c r="F66" i="4"/>
  <c r="N65" i="4"/>
  <c r="H65" i="4"/>
  <c r="I65" i="4" s="1"/>
  <c r="L65" i="4" s="1"/>
  <c r="D610" i="18"/>
  <c r="O609" i="5"/>
  <c r="K64" i="4"/>
  <c r="H113" i="3" l="1"/>
  <c r="K113" i="3"/>
  <c r="D610" i="19"/>
  <c r="E610" i="19" s="1"/>
  <c r="F610" i="19"/>
  <c r="C69" i="3"/>
  <c r="G114" i="3" s="1"/>
  <c r="M608" i="3"/>
  <c r="Q607" i="3"/>
  <c r="F608" i="3"/>
  <c r="J607" i="3"/>
  <c r="C611" i="3"/>
  <c r="K65" i="4"/>
  <c r="N607" i="4"/>
  <c r="H607" i="4"/>
  <c r="I607" i="4" s="1"/>
  <c r="J63" i="20"/>
  <c r="Q64" i="4"/>
  <c r="S64" i="4" s="1"/>
  <c r="L64" i="20" s="1"/>
  <c r="D611" i="18"/>
  <c r="O610" i="5"/>
  <c r="J67" i="4"/>
  <c r="E67" i="4"/>
  <c r="F67" i="4"/>
  <c r="B611" i="4"/>
  <c r="C610" i="4"/>
  <c r="D610" i="4" s="1"/>
  <c r="N66" i="4"/>
  <c r="H66" i="4"/>
  <c r="I66" i="4" s="1"/>
  <c r="L66" i="4" s="1"/>
  <c r="K64" i="20"/>
  <c r="R65" i="4"/>
  <c r="C611" i="19"/>
  <c r="P68" i="4"/>
  <c r="I68" i="20" s="1"/>
  <c r="C69" i="4"/>
  <c r="D69" i="4" s="1"/>
  <c r="G68" i="4"/>
  <c r="Q609" i="4"/>
  <c r="J609" i="20" s="1"/>
  <c r="P609" i="4"/>
  <c r="I609" i="20" s="1"/>
  <c r="R609" i="4"/>
  <c r="K609" i="20" s="1"/>
  <c r="G609" i="4"/>
  <c r="J608" i="4"/>
  <c r="E608" i="4"/>
  <c r="F608" i="4"/>
  <c r="H114" i="3" l="1"/>
  <c r="K114" i="3"/>
  <c r="D611" i="19"/>
  <c r="E611" i="19" s="1"/>
  <c r="F611" i="19"/>
  <c r="C70" i="3"/>
  <c r="G115" i="3" s="1"/>
  <c r="F609" i="3"/>
  <c r="J608" i="3"/>
  <c r="M609" i="3"/>
  <c r="Q608" i="3"/>
  <c r="C612" i="3"/>
  <c r="D612" i="18"/>
  <c r="O611" i="5"/>
  <c r="B612" i="4"/>
  <c r="C611" i="4"/>
  <c r="D611" i="4" s="1"/>
  <c r="N608" i="4"/>
  <c r="H608" i="4"/>
  <c r="I608" i="4" s="1"/>
  <c r="J68" i="4"/>
  <c r="E68" i="4"/>
  <c r="F68" i="4"/>
  <c r="K65" i="20"/>
  <c r="R66" i="4"/>
  <c r="N67" i="4"/>
  <c r="H67" i="4"/>
  <c r="I67" i="4" s="1"/>
  <c r="L67" i="4" s="1"/>
  <c r="J64" i="20"/>
  <c r="Q65" i="4"/>
  <c r="S65" i="4" s="1"/>
  <c r="L65" i="20" s="1"/>
  <c r="K66" i="4"/>
  <c r="J609" i="4"/>
  <c r="E609" i="4"/>
  <c r="F609" i="4"/>
  <c r="P69" i="4"/>
  <c r="I69" i="20" s="1"/>
  <c r="C70" i="4"/>
  <c r="D70" i="4" s="1"/>
  <c r="G69" i="4"/>
  <c r="C612" i="19"/>
  <c r="R610" i="4"/>
  <c r="K610" i="20" s="1"/>
  <c r="Q610" i="4"/>
  <c r="J610" i="20" s="1"/>
  <c r="P610" i="4"/>
  <c r="I610" i="20" s="1"/>
  <c r="G610" i="4"/>
  <c r="H115" i="3" l="1"/>
  <c r="K115" i="3"/>
  <c r="D612" i="19"/>
  <c r="E612" i="19" s="1"/>
  <c r="F612" i="19"/>
  <c r="C71" i="3"/>
  <c r="G116" i="3" s="1"/>
  <c r="M610" i="3"/>
  <c r="Q609" i="3"/>
  <c r="F610" i="3"/>
  <c r="J609" i="3"/>
  <c r="G605" i="3"/>
  <c r="C613" i="3"/>
  <c r="N68" i="4"/>
  <c r="H68" i="4"/>
  <c r="I68" i="4" s="1"/>
  <c r="L68" i="4" s="1"/>
  <c r="J69" i="4"/>
  <c r="E69" i="4"/>
  <c r="F69" i="4"/>
  <c r="P611" i="4"/>
  <c r="I611" i="20" s="1"/>
  <c r="R611" i="4"/>
  <c r="K611" i="20" s="1"/>
  <c r="Q611" i="4"/>
  <c r="J611" i="20" s="1"/>
  <c r="G611" i="4"/>
  <c r="J610" i="4"/>
  <c r="E610" i="4"/>
  <c r="F610" i="4"/>
  <c r="C613" i="19"/>
  <c r="P70" i="4"/>
  <c r="I70" i="20" s="1"/>
  <c r="C71" i="4"/>
  <c r="D71" i="4" s="1"/>
  <c r="G70" i="4"/>
  <c r="K67" i="4"/>
  <c r="C612" i="4"/>
  <c r="D612" i="4" s="1"/>
  <c r="B613" i="4"/>
  <c r="K66" i="20"/>
  <c r="R67" i="4"/>
  <c r="N609" i="4"/>
  <c r="H609" i="4"/>
  <c r="I609" i="4" s="1"/>
  <c r="J65" i="20"/>
  <c r="Q66" i="4"/>
  <c r="S66" i="4" s="1"/>
  <c r="L66" i="20" s="1"/>
  <c r="D613" i="18"/>
  <c r="O612" i="5"/>
  <c r="H116" i="3" l="1"/>
  <c r="K116" i="3"/>
  <c r="D613" i="19"/>
  <c r="E613" i="19" s="1"/>
  <c r="F613" i="19"/>
  <c r="C72" i="3"/>
  <c r="G117" i="3" s="1"/>
  <c r="F611" i="3"/>
  <c r="J610" i="3"/>
  <c r="M611" i="3"/>
  <c r="Q610" i="3"/>
  <c r="K605" i="3"/>
  <c r="H605" i="3"/>
  <c r="G606" i="3"/>
  <c r="C614" i="3"/>
  <c r="D614" i="18"/>
  <c r="O613" i="5"/>
  <c r="K67" i="20"/>
  <c r="R68" i="4"/>
  <c r="C613" i="4"/>
  <c r="D613" i="4" s="1"/>
  <c r="B614" i="4"/>
  <c r="K68" i="4"/>
  <c r="N69" i="4"/>
  <c r="H69" i="4"/>
  <c r="I69" i="4" s="1"/>
  <c r="L69" i="4" s="1"/>
  <c r="Q612" i="4"/>
  <c r="J612" i="20" s="1"/>
  <c r="P612" i="4"/>
  <c r="I612" i="20" s="1"/>
  <c r="R612" i="4"/>
  <c r="K612" i="20" s="1"/>
  <c r="G612" i="4"/>
  <c r="J611" i="4"/>
  <c r="E611" i="4"/>
  <c r="F611" i="4"/>
  <c r="E70" i="4"/>
  <c r="J70" i="4"/>
  <c r="F70" i="4"/>
  <c r="J66" i="20"/>
  <c r="Q67" i="4"/>
  <c r="P71" i="4"/>
  <c r="I71" i="20" s="1"/>
  <c r="C72" i="4"/>
  <c r="D72" i="4" s="1"/>
  <c r="G71" i="4"/>
  <c r="C614" i="19"/>
  <c r="N610" i="4"/>
  <c r="H610" i="4"/>
  <c r="I610" i="4" s="1"/>
  <c r="H117" i="3" l="1"/>
  <c r="K117" i="3"/>
  <c r="D614" i="19"/>
  <c r="E614" i="19" s="1"/>
  <c r="F614" i="19"/>
  <c r="C73" i="3"/>
  <c r="G118" i="3" s="1"/>
  <c r="M612" i="3"/>
  <c r="Q611" i="3"/>
  <c r="F612" i="3"/>
  <c r="J611" i="3"/>
  <c r="K606" i="3"/>
  <c r="H606" i="3"/>
  <c r="G607" i="3"/>
  <c r="C615" i="3"/>
  <c r="J67" i="20"/>
  <c r="Q68" i="4"/>
  <c r="S68" i="4" s="1"/>
  <c r="L68" i="20" s="1"/>
  <c r="N611" i="4"/>
  <c r="H611" i="4"/>
  <c r="I611" i="4" s="1"/>
  <c r="S67" i="4"/>
  <c r="L67" i="20" s="1"/>
  <c r="K68" i="20"/>
  <c r="R69" i="4"/>
  <c r="C615" i="19"/>
  <c r="P72" i="4"/>
  <c r="I72" i="20" s="1"/>
  <c r="C73" i="4"/>
  <c r="D73" i="4" s="1"/>
  <c r="G72" i="4"/>
  <c r="J612" i="4"/>
  <c r="E612" i="4"/>
  <c r="F612" i="4"/>
  <c r="K69" i="4"/>
  <c r="D615" i="18"/>
  <c r="O614" i="5"/>
  <c r="N70" i="4"/>
  <c r="H70" i="4"/>
  <c r="I70" i="4" s="1"/>
  <c r="L70" i="4" s="1"/>
  <c r="B615" i="4"/>
  <c r="C614" i="4"/>
  <c r="D614" i="4" s="1"/>
  <c r="J71" i="4"/>
  <c r="E71" i="4"/>
  <c r="F71" i="4"/>
  <c r="R613" i="4"/>
  <c r="K613" i="20" s="1"/>
  <c r="Q613" i="4"/>
  <c r="J613" i="20" s="1"/>
  <c r="P613" i="4"/>
  <c r="I613" i="20" s="1"/>
  <c r="G613" i="4"/>
  <c r="H118" i="3" l="1"/>
  <c r="K118" i="3"/>
  <c r="D615" i="19"/>
  <c r="E615" i="19" s="1"/>
  <c r="F615" i="19"/>
  <c r="C74" i="3"/>
  <c r="G119" i="3" s="1"/>
  <c r="F613" i="3"/>
  <c r="J612" i="3"/>
  <c r="M613" i="3"/>
  <c r="Q612" i="3"/>
  <c r="H607" i="3"/>
  <c r="K607" i="3"/>
  <c r="G608" i="3"/>
  <c r="C616" i="3"/>
  <c r="J613" i="4"/>
  <c r="E613" i="4"/>
  <c r="F613" i="4"/>
  <c r="K70" i="4"/>
  <c r="J72" i="4"/>
  <c r="E72" i="4"/>
  <c r="F72" i="4"/>
  <c r="J68" i="20"/>
  <c r="Q69" i="4"/>
  <c r="R614" i="4"/>
  <c r="K614" i="20" s="1"/>
  <c r="Q614" i="4"/>
  <c r="J614" i="20" s="1"/>
  <c r="P614" i="4"/>
  <c r="I614" i="20" s="1"/>
  <c r="G614" i="4"/>
  <c r="D616" i="18"/>
  <c r="O615" i="5"/>
  <c r="P73" i="4"/>
  <c r="I73" i="20" s="1"/>
  <c r="C74" i="4"/>
  <c r="D74" i="4" s="1"/>
  <c r="G73" i="4"/>
  <c r="C616" i="19"/>
  <c r="N71" i="4"/>
  <c r="H71" i="4"/>
  <c r="I71" i="4" s="1"/>
  <c r="L71" i="4" s="1"/>
  <c r="B616" i="4"/>
  <c r="C615" i="4"/>
  <c r="D615" i="4" s="1"/>
  <c r="N612" i="4"/>
  <c r="H612" i="4"/>
  <c r="I612" i="4" s="1"/>
  <c r="K69" i="20"/>
  <c r="R70" i="4"/>
  <c r="H119" i="3" l="1"/>
  <c r="K119" i="3"/>
  <c r="D616" i="19"/>
  <c r="E616" i="19" s="1"/>
  <c r="F616" i="19"/>
  <c r="C75" i="3"/>
  <c r="G120" i="3" s="1"/>
  <c r="M614" i="3"/>
  <c r="Q613" i="3"/>
  <c r="F614" i="3"/>
  <c r="J613" i="3"/>
  <c r="H608" i="3"/>
  <c r="K608" i="3"/>
  <c r="G609" i="3"/>
  <c r="C617" i="3"/>
  <c r="E614" i="4"/>
  <c r="J614" i="4"/>
  <c r="F614" i="4"/>
  <c r="J69" i="20"/>
  <c r="Q70" i="4"/>
  <c r="S70" i="4" s="1"/>
  <c r="L70" i="20" s="1"/>
  <c r="J73" i="4"/>
  <c r="E73" i="4"/>
  <c r="F73" i="4"/>
  <c r="N72" i="4"/>
  <c r="H72" i="4"/>
  <c r="I72" i="4" s="1"/>
  <c r="L72" i="4" s="1"/>
  <c r="S69" i="4"/>
  <c r="L69" i="20" s="1"/>
  <c r="N613" i="4"/>
  <c r="H613" i="4"/>
  <c r="I613" i="4" s="1"/>
  <c r="K70" i="20"/>
  <c r="R71" i="4"/>
  <c r="C616" i="4"/>
  <c r="D616" i="4" s="1"/>
  <c r="B617" i="4"/>
  <c r="P615" i="4"/>
  <c r="I615" i="20" s="1"/>
  <c r="R615" i="4"/>
  <c r="K615" i="20" s="1"/>
  <c r="Q615" i="4"/>
  <c r="J615" i="20" s="1"/>
  <c r="G615" i="4"/>
  <c r="C617" i="19"/>
  <c r="P74" i="4"/>
  <c r="I74" i="20" s="1"/>
  <c r="C75" i="4"/>
  <c r="D75" i="4" s="1"/>
  <c r="G74" i="4"/>
  <c r="D617" i="18"/>
  <c r="O616" i="5"/>
  <c r="K71" i="4"/>
  <c r="H120" i="3" l="1"/>
  <c r="K120" i="3"/>
  <c r="D617" i="19"/>
  <c r="E617" i="19" s="1"/>
  <c r="F617" i="19"/>
  <c r="C76" i="3"/>
  <c r="G121" i="3" s="1"/>
  <c r="F615" i="3"/>
  <c r="J614" i="3"/>
  <c r="M615" i="3"/>
  <c r="Q614" i="3"/>
  <c r="H609" i="3"/>
  <c r="K609" i="3"/>
  <c r="G610" i="3"/>
  <c r="C618" i="3"/>
  <c r="K72" i="4"/>
  <c r="D618" i="18"/>
  <c r="O617" i="5"/>
  <c r="K71" i="20"/>
  <c r="R72" i="4"/>
  <c r="J615" i="4"/>
  <c r="E615" i="4"/>
  <c r="F615" i="4"/>
  <c r="N73" i="4"/>
  <c r="H73" i="4"/>
  <c r="I73" i="4" s="1"/>
  <c r="L73" i="4" s="1"/>
  <c r="E74" i="4"/>
  <c r="J74" i="4"/>
  <c r="F74" i="4"/>
  <c r="C617" i="4"/>
  <c r="D617" i="4" s="1"/>
  <c r="B618" i="4"/>
  <c r="P75" i="4"/>
  <c r="I75" i="20" s="1"/>
  <c r="C76" i="4"/>
  <c r="D76" i="4" s="1"/>
  <c r="G75" i="4"/>
  <c r="C618" i="19"/>
  <c r="Q616" i="4"/>
  <c r="J616" i="20" s="1"/>
  <c r="P616" i="4"/>
  <c r="I616" i="20" s="1"/>
  <c r="R616" i="4"/>
  <c r="K616" i="20" s="1"/>
  <c r="G616" i="4"/>
  <c r="J70" i="20"/>
  <c r="Q71" i="4"/>
  <c r="S71" i="4" s="1"/>
  <c r="L71" i="20" s="1"/>
  <c r="N614" i="4"/>
  <c r="H614" i="4"/>
  <c r="I614" i="4" s="1"/>
  <c r="H121" i="3" l="1"/>
  <c r="K121" i="3"/>
  <c r="D618" i="19"/>
  <c r="E618" i="19" s="1"/>
  <c r="F618" i="19"/>
  <c r="C77" i="3"/>
  <c r="G122" i="3" s="1"/>
  <c r="M616" i="3"/>
  <c r="Q615" i="3"/>
  <c r="F616" i="3"/>
  <c r="J615" i="3"/>
  <c r="K610" i="3"/>
  <c r="H610" i="3"/>
  <c r="G611" i="3"/>
  <c r="C619" i="3"/>
  <c r="J75" i="4"/>
  <c r="E75" i="4"/>
  <c r="F75" i="4"/>
  <c r="K72" i="20"/>
  <c r="R73" i="4"/>
  <c r="J616" i="4"/>
  <c r="E616" i="4"/>
  <c r="F616" i="4"/>
  <c r="C619" i="19"/>
  <c r="P76" i="4"/>
  <c r="I76" i="20" s="1"/>
  <c r="C77" i="4"/>
  <c r="D77" i="4" s="1"/>
  <c r="G76" i="4"/>
  <c r="B619" i="4"/>
  <c r="C618" i="4"/>
  <c r="D618" i="4" s="1"/>
  <c r="N74" i="4"/>
  <c r="H74" i="4"/>
  <c r="I74" i="4" s="1"/>
  <c r="L74" i="4" s="1"/>
  <c r="K73" i="4"/>
  <c r="J71" i="20"/>
  <c r="Q72" i="4"/>
  <c r="S72" i="4" s="1"/>
  <c r="L72" i="20" s="1"/>
  <c r="R617" i="4"/>
  <c r="K617" i="20" s="1"/>
  <c r="Q617" i="4"/>
  <c r="J617" i="20" s="1"/>
  <c r="P617" i="4"/>
  <c r="I617" i="20" s="1"/>
  <c r="G617" i="4"/>
  <c r="N615" i="4"/>
  <c r="H615" i="4"/>
  <c r="I615" i="4" s="1"/>
  <c r="D619" i="18"/>
  <c r="O618" i="5"/>
  <c r="H122" i="3" l="1"/>
  <c r="K122" i="3"/>
  <c r="D619" i="19"/>
  <c r="E619" i="19" s="1"/>
  <c r="F619" i="19"/>
  <c r="C78" i="3"/>
  <c r="G123" i="3" s="1"/>
  <c r="F617" i="3"/>
  <c r="J616" i="3"/>
  <c r="M617" i="3"/>
  <c r="Q616" i="3"/>
  <c r="H611" i="3"/>
  <c r="K611" i="3"/>
  <c r="G612" i="3"/>
  <c r="C620" i="3"/>
  <c r="J76" i="4"/>
  <c r="E76" i="4"/>
  <c r="F76" i="4"/>
  <c r="D620" i="18"/>
  <c r="O619" i="5"/>
  <c r="P77" i="4"/>
  <c r="I77" i="20" s="1"/>
  <c r="C78" i="4"/>
  <c r="D78" i="4" s="1"/>
  <c r="G77" i="4"/>
  <c r="N616" i="4"/>
  <c r="H616" i="4"/>
  <c r="I616" i="4" s="1"/>
  <c r="K74" i="4"/>
  <c r="R618" i="4"/>
  <c r="K618" i="20" s="1"/>
  <c r="Q618" i="4"/>
  <c r="J618" i="20" s="1"/>
  <c r="P618" i="4"/>
  <c r="I618" i="20" s="1"/>
  <c r="G618" i="4"/>
  <c r="C620" i="19"/>
  <c r="J617" i="4"/>
  <c r="E617" i="4"/>
  <c r="F617" i="4"/>
  <c r="J72" i="20"/>
  <c r="Q73" i="4"/>
  <c r="B620" i="4"/>
  <c r="C619" i="4"/>
  <c r="D619" i="4" s="1"/>
  <c r="K73" i="20"/>
  <c r="R74" i="4"/>
  <c r="N75" i="4"/>
  <c r="H75" i="4"/>
  <c r="I75" i="4" s="1"/>
  <c r="L75" i="4" s="1"/>
  <c r="H123" i="3" l="1"/>
  <c r="K123" i="3"/>
  <c r="D620" i="19"/>
  <c r="E620" i="19" s="1"/>
  <c r="F620" i="19"/>
  <c r="C79" i="3"/>
  <c r="G124" i="3" s="1"/>
  <c r="M618" i="3"/>
  <c r="Q617" i="3"/>
  <c r="F618" i="3"/>
  <c r="J617" i="3"/>
  <c r="G613" i="3"/>
  <c r="H612" i="3"/>
  <c r="K612" i="3"/>
  <c r="C621" i="3"/>
  <c r="C620" i="4"/>
  <c r="D620" i="4" s="1"/>
  <c r="B621" i="4"/>
  <c r="J73" i="20"/>
  <c r="Q74" i="4"/>
  <c r="S74" i="4" s="1"/>
  <c r="L74" i="20" s="1"/>
  <c r="E618" i="4"/>
  <c r="J618" i="4"/>
  <c r="F618" i="4"/>
  <c r="S73" i="4"/>
  <c r="L73" i="20" s="1"/>
  <c r="D621" i="18"/>
  <c r="O620" i="5"/>
  <c r="K74" i="20"/>
  <c r="R75" i="4"/>
  <c r="C621" i="19"/>
  <c r="K75" i="4"/>
  <c r="J77" i="4"/>
  <c r="E77" i="4"/>
  <c r="F77" i="4"/>
  <c r="N76" i="4"/>
  <c r="H76" i="4"/>
  <c r="I76" i="4" s="1"/>
  <c r="L76" i="4" s="1"/>
  <c r="P78" i="4"/>
  <c r="I78" i="20" s="1"/>
  <c r="C79" i="4"/>
  <c r="D79" i="4" s="1"/>
  <c r="G78" i="4"/>
  <c r="P619" i="4"/>
  <c r="I619" i="20" s="1"/>
  <c r="R619" i="4"/>
  <c r="K619" i="20" s="1"/>
  <c r="Q619" i="4"/>
  <c r="J619" i="20" s="1"/>
  <c r="G619" i="4"/>
  <c r="N617" i="4"/>
  <c r="H617" i="4"/>
  <c r="I617" i="4" s="1"/>
  <c r="H124" i="3" l="1"/>
  <c r="K124" i="3"/>
  <c r="D621" i="19"/>
  <c r="E621" i="19" s="1"/>
  <c r="F621" i="19"/>
  <c r="C80" i="3"/>
  <c r="G125" i="3" s="1"/>
  <c r="F619" i="3"/>
  <c r="J618" i="3"/>
  <c r="M619" i="3"/>
  <c r="Q618" i="3"/>
  <c r="H613" i="3"/>
  <c r="K613" i="3"/>
  <c r="G614" i="3"/>
  <c r="C622" i="3"/>
  <c r="Q620" i="4"/>
  <c r="J620" i="20" s="1"/>
  <c r="P620" i="4"/>
  <c r="I620" i="20" s="1"/>
  <c r="R620" i="4"/>
  <c r="K620" i="20" s="1"/>
  <c r="G620" i="4"/>
  <c r="J619" i="4"/>
  <c r="E619" i="4"/>
  <c r="F619" i="4"/>
  <c r="C622" i="19"/>
  <c r="D622" i="18"/>
  <c r="O621" i="5"/>
  <c r="J74" i="20"/>
  <c r="Q75" i="4"/>
  <c r="S75" i="4" s="1"/>
  <c r="L75" i="20" s="1"/>
  <c r="K76" i="4"/>
  <c r="E78" i="4"/>
  <c r="J78" i="4"/>
  <c r="F78" i="4"/>
  <c r="N618" i="4"/>
  <c r="H618" i="4"/>
  <c r="I618" i="4" s="1"/>
  <c r="P79" i="4"/>
  <c r="I79" i="20" s="1"/>
  <c r="C80" i="4"/>
  <c r="D80" i="4" s="1"/>
  <c r="G79" i="4"/>
  <c r="N77" i="4"/>
  <c r="H77" i="4"/>
  <c r="I77" i="4" s="1"/>
  <c r="L77" i="4" s="1"/>
  <c r="K75" i="20"/>
  <c r="R76" i="4"/>
  <c r="C621" i="4"/>
  <c r="D621" i="4" s="1"/>
  <c r="B622" i="4"/>
  <c r="H125" i="3" l="1"/>
  <c r="K125" i="3"/>
  <c r="D622" i="19"/>
  <c r="E622" i="19" s="1"/>
  <c r="F622" i="19"/>
  <c r="C81" i="3"/>
  <c r="G126" i="3" s="1"/>
  <c r="M620" i="3"/>
  <c r="Q619" i="3"/>
  <c r="F620" i="3"/>
  <c r="J619" i="3"/>
  <c r="K614" i="3"/>
  <c r="H614" i="3"/>
  <c r="G615" i="3"/>
  <c r="C623" i="3"/>
  <c r="K76" i="20"/>
  <c r="R77" i="4"/>
  <c r="K77" i="4"/>
  <c r="B623" i="4"/>
  <c r="C622" i="4"/>
  <c r="D622" i="4" s="1"/>
  <c r="N619" i="4"/>
  <c r="H619" i="4"/>
  <c r="I619" i="4" s="1"/>
  <c r="J620" i="4"/>
  <c r="E620" i="4"/>
  <c r="F620" i="4"/>
  <c r="R621" i="4"/>
  <c r="K621" i="20" s="1"/>
  <c r="Q621" i="4"/>
  <c r="J621" i="20" s="1"/>
  <c r="P621" i="4"/>
  <c r="I621" i="20" s="1"/>
  <c r="G621" i="4"/>
  <c r="J79" i="4"/>
  <c r="E79" i="4"/>
  <c r="F79" i="4"/>
  <c r="J75" i="20"/>
  <c r="Q76" i="4"/>
  <c r="C623" i="19"/>
  <c r="P80" i="4"/>
  <c r="I80" i="20" s="1"/>
  <c r="C81" i="4"/>
  <c r="D81" i="4" s="1"/>
  <c r="G80" i="4"/>
  <c r="N78" i="4"/>
  <c r="H78" i="4"/>
  <c r="I78" i="4" s="1"/>
  <c r="L78" i="4" s="1"/>
  <c r="D623" i="18"/>
  <c r="O622" i="5"/>
  <c r="H126" i="3" l="1"/>
  <c r="K126" i="3"/>
  <c r="D623" i="19"/>
  <c r="E623" i="19" s="1"/>
  <c r="F623" i="19"/>
  <c r="C82" i="3"/>
  <c r="G127" i="3" s="1"/>
  <c r="F621" i="3"/>
  <c r="J620" i="3"/>
  <c r="M621" i="3"/>
  <c r="Q620" i="3"/>
  <c r="H615" i="3"/>
  <c r="K615" i="3"/>
  <c r="G616" i="3"/>
  <c r="C624" i="3"/>
  <c r="P81" i="4"/>
  <c r="I81" i="20" s="1"/>
  <c r="C82" i="4"/>
  <c r="D82" i="4" s="1"/>
  <c r="G81" i="4"/>
  <c r="N79" i="4"/>
  <c r="H79" i="4"/>
  <c r="I79" i="4" s="1"/>
  <c r="L79" i="4" s="1"/>
  <c r="N620" i="4"/>
  <c r="H620" i="4"/>
  <c r="I620" i="4" s="1"/>
  <c r="K78" i="4"/>
  <c r="J76" i="20"/>
  <c r="Q77" i="4"/>
  <c r="S77" i="4" s="1"/>
  <c r="L77" i="20" s="1"/>
  <c r="R622" i="4"/>
  <c r="K622" i="20" s="1"/>
  <c r="Q622" i="4"/>
  <c r="J622" i="20" s="1"/>
  <c r="P622" i="4"/>
  <c r="I622" i="20" s="1"/>
  <c r="G622" i="4"/>
  <c r="K77" i="20"/>
  <c r="R78" i="4"/>
  <c r="D624" i="18"/>
  <c r="O623" i="5"/>
  <c r="J621" i="4"/>
  <c r="E621" i="4"/>
  <c r="F621" i="4"/>
  <c r="B624" i="4"/>
  <c r="C623" i="4"/>
  <c r="D623" i="4" s="1"/>
  <c r="C624" i="19"/>
  <c r="J80" i="4"/>
  <c r="E80" i="4"/>
  <c r="F80" i="4"/>
  <c r="S76" i="4"/>
  <c r="L76" i="20" s="1"/>
  <c r="H127" i="3" l="1"/>
  <c r="K127" i="3"/>
  <c r="D624" i="19"/>
  <c r="E624" i="19" s="1"/>
  <c r="F624" i="19"/>
  <c r="C83" i="3"/>
  <c r="G128" i="3" s="1"/>
  <c r="M622" i="3"/>
  <c r="Q621" i="3"/>
  <c r="F622" i="3"/>
  <c r="J621" i="3"/>
  <c r="G617" i="3"/>
  <c r="H616" i="3"/>
  <c r="K616" i="3"/>
  <c r="C625" i="3"/>
  <c r="N80" i="4"/>
  <c r="H80" i="4"/>
  <c r="I80" i="4" s="1"/>
  <c r="L80" i="4" s="1"/>
  <c r="C625" i="19"/>
  <c r="C624" i="4"/>
  <c r="D624" i="4" s="1"/>
  <c r="B625" i="4"/>
  <c r="N621" i="4"/>
  <c r="H621" i="4"/>
  <c r="I621" i="4" s="1"/>
  <c r="D625" i="18"/>
  <c r="O624" i="5"/>
  <c r="E622" i="4"/>
  <c r="J622" i="4"/>
  <c r="F622" i="4"/>
  <c r="K78" i="20"/>
  <c r="R79" i="4"/>
  <c r="K79" i="4"/>
  <c r="J81" i="4"/>
  <c r="E81" i="4"/>
  <c r="F81" i="4"/>
  <c r="P623" i="4"/>
  <c r="I623" i="20" s="1"/>
  <c r="R623" i="4"/>
  <c r="K623" i="20" s="1"/>
  <c r="Q623" i="4"/>
  <c r="J623" i="20" s="1"/>
  <c r="G623" i="4"/>
  <c r="J77" i="20"/>
  <c r="Q78" i="4"/>
  <c r="P82" i="4"/>
  <c r="I82" i="20" s="1"/>
  <c r="C83" i="4"/>
  <c r="D83" i="4" s="1"/>
  <c r="G82" i="4"/>
  <c r="H128" i="3" l="1"/>
  <c r="K128" i="3"/>
  <c r="D625" i="19"/>
  <c r="E625" i="19" s="1"/>
  <c r="F625" i="19"/>
  <c r="C84" i="3"/>
  <c r="G129" i="3" s="1"/>
  <c r="F623" i="3"/>
  <c r="J622" i="3"/>
  <c r="M623" i="3"/>
  <c r="Q622" i="3"/>
  <c r="H617" i="3"/>
  <c r="K617" i="3"/>
  <c r="G618" i="3"/>
  <c r="C626" i="3"/>
  <c r="J78" i="20"/>
  <c r="Q79" i="4"/>
  <c r="S79" i="4" s="1"/>
  <c r="L79" i="20" s="1"/>
  <c r="K79" i="20"/>
  <c r="R80" i="4"/>
  <c r="J623" i="4"/>
  <c r="E623" i="4"/>
  <c r="F623" i="4"/>
  <c r="E82" i="4"/>
  <c r="J82" i="4"/>
  <c r="F82" i="4"/>
  <c r="S78" i="4"/>
  <c r="L78" i="20" s="1"/>
  <c r="Q624" i="4"/>
  <c r="J624" i="20" s="1"/>
  <c r="P624" i="4"/>
  <c r="I624" i="20" s="1"/>
  <c r="R624" i="4"/>
  <c r="K624" i="20" s="1"/>
  <c r="G624" i="4"/>
  <c r="P83" i="4"/>
  <c r="I83" i="20" s="1"/>
  <c r="C84" i="4"/>
  <c r="D84" i="4" s="1"/>
  <c r="G83" i="4"/>
  <c r="N622" i="4"/>
  <c r="H622" i="4"/>
  <c r="I622" i="4" s="1"/>
  <c r="C626" i="19"/>
  <c r="N81" i="4"/>
  <c r="H81" i="4"/>
  <c r="I81" i="4" s="1"/>
  <c r="L81" i="4" s="1"/>
  <c r="D626" i="18"/>
  <c r="O625" i="5"/>
  <c r="K80" i="4"/>
  <c r="C625" i="4"/>
  <c r="D625" i="4" s="1"/>
  <c r="B626" i="4"/>
  <c r="H129" i="3" l="1"/>
  <c r="K129" i="3"/>
  <c r="D626" i="19"/>
  <c r="E626" i="19" s="1"/>
  <c r="F626" i="19"/>
  <c r="C85" i="3"/>
  <c r="G130" i="3" s="1"/>
  <c r="M624" i="3"/>
  <c r="Q623" i="3"/>
  <c r="F624" i="3"/>
  <c r="J623" i="3"/>
  <c r="G619" i="3"/>
  <c r="H618" i="3"/>
  <c r="K618" i="3"/>
  <c r="C627" i="3"/>
  <c r="R625" i="4"/>
  <c r="K625" i="20" s="1"/>
  <c r="Q625" i="4"/>
  <c r="J625" i="20" s="1"/>
  <c r="P625" i="4"/>
  <c r="I625" i="20" s="1"/>
  <c r="G625" i="4"/>
  <c r="D627" i="18"/>
  <c r="O626" i="5"/>
  <c r="C627" i="19"/>
  <c r="J83" i="4"/>
  <c r="E83" i="4"/>
  <c r="F83" i="4"/>
  <c r="B627" i="4"/>
  <c r="C626" i="4"/>
  <c r="D626" i="4" s="1"/>
  <c r="P84" i="4"/>
  <c r="I84" i="20" s="1"/>
  <c r="C85" i="4"/>
  <c r="D85" i="4" s="1"/>
  <c r="G84" i="4"/>
  <c r="J624" i="4"/>
  <c r="E624" i="4"/>
  <c r="F624" i="4"/>
  <c r="K81" i="4"/>
  <c r="N623" i="4"/>
  <c r="H623" i="4"/>
  <c r="I623" i="4" s="1"/>
  <c r="J79" i="20"/>
  <c r="Q80" i="4"/>
  <c r="S80" i="4" s="1"/>
  <c r="L80" i="20" s="1"/>
  <c r="N82" i="4"/>
  <c r="H82" i="4"/>
  <c r="I82" i="4" s="1"/>
  <c r="L82" i="4" s="1"/>
  <c r="K80" i="20"/>
  <c r="R81" i="4"/>
  <c r="H130" i="3" l="1"/>
  <c r="K130" i="3"/>
  <c r="D627" i="19"/>
  <c r="E627" i="19" s="1"/>
  <c r="F627" i="19"/>
  <c r="C86" i="3"/>
  <c r="G131" i="3" s="1"/>
  <c r="F625" i="3"/>
  <c r="J624" i="3"/>
  <c r="M625" i="3"/>
  <c r="Q624" i="3"/>
  <c r="H619" i="3"/>
  <c r="K619" i="3"/>
  <c r="G620" i="3"/>
  <c r="C628" i="3"/>
  <c r="J80" i="20"/>
  <c r="Q81" i="4"/>
  <c r="S81" i="4" s="1"/>
  <c r="L81" i="20" s="1"/>
  <c r="N624" i="4"/>
  <c r="H624" i="4"/>
  <c r="I624" i="4" s="1"/>
  <c r="N83" i="4"/>
  <c r="H83" i="4"/>
  <c r="I83" i="4" s="1"/>
  <c r="L83" i="4" s="1"/>
  <c r="K81" i="20"/>
  <c r="R82" i="4"/>
  <c r="R626" i="4"/>
  <c r="K626" i="20" s="1"/>
  <c r="Q626" i="4"/>
  <c r="J626" i="20" s="1"/>
  <c r="P626" i="4"/>
  <c r="I626" i="20" s="1"/>
  <c r="G626" i="4"/>
  <c r="K82" i="4"/>
  <c r="J84" i="4"/>
  <c r="E84" i="4"/>
  <c r="F84" i="4"/>
  <c r="B628" i="4"/>
  <c r="C627" i="4"/>
  <c r="D627" i="4" s="1"/>
  <c r="C628" i="19"/>
  <c r="P85" i="4"/>
  <c r="I85" i="20" s="1"/>
  <c r="C86" i="4"/>
  <c r="D86" i="4" s="1"/>
  <c r="G85" i="4"/>
  <c r="D628" i="18"/>
  <c r="O627" i="5"/>
  <c r="J625" i="4"/>
  <c r="E625" i="4"/>
  <c r="F625" i="4"/>
  <c r="H131" i="3" l="1"/>
  <c r="K131" i="3"/>
  <c r="D628" i="19"/>
  <c r="E628" i="19" s="1"/>
  <c r="F628" i="19"/>
  <c r="C87" i="3"/>
  <c r="G132" i="3" s="1"/>
  <c r="M626" i="3"/>
  <c r="Q625" i="3"/>
  <c r="F626" i="3"/>
  <c r="J625" i="3"/>
  <c r="G621" i="3"/>
  <c r="H620" i="3"/>
  <c r="K620" i="3"/>
  <c r="C629" i="3"/>
  <c r="P627" i="4"/>
  <c r="I627" i="20" s="1"/>
  <c r="R627" i="4"/>
  <c r="K627" i="20" s="1"/>
  <c r="Q627" i="4"/>
  <c r="J627" i="20" s="1"/>
  <c r="G627" i="4"/>
  <c r="J81" i="20"/>
  <c r="Q82" i="4"/>
  <c r="S82" i="4" s="1"/>
  <c r="L82" i="20" s="1"/>
  <c r="P86" i="4"/>
  <c r="I86" i="20" s="1"/>
  <c r="C87" i="4"/>
  <c r="D87" i="4" s="1"/>
  <c r="G86" i="4"/>
  <c r="N84" i="4"/>
  <c r="H84" i="4"/>
  <c r="I84" i="4" s="1"/>
  <c r="L84" i="4" s="1"/>
  <c r="E626" i="4"/>
  <c r="J626" i="4"/>
  <c r="F626" i="4"/>
  <c r="C629" i="19"/>
  <c r="C628" i="4"/>
  <c r="D628" i="4" s="1"/>
  <c r="B629" i="4"/>
  <c r="N625" i="4"/>
  <c r="H625" i="4"/>
  <c r="I625" i="4" s="1"/>
  <c r="D629" i="18"/>
  <c r="O628" i="5"/>
  <c r="J85" i="4"/>
  <c r="E85" i="4"/>
  <c r="F85" i="4"/>
  <c r="K83" i="4"/>
  <c r="K82" i="20"/>
  <c r="R83" i="4"/>
  <c r="H132" i="3" l="1"/>
  <c r="K132" i="3"/>
  <c r="D629" i="19"/>
  <c r="E629" i="19" s="1"/>
  <c r="F629" i="19"/>
  <c r="C88" i="3"/>
  <c r="G133" i="3" s="1"/>
  <c r="F627" i="3"/>
  <c r="J626" i="3"/>
  <c r="M627" i="3"/>
  <c r="Q626" i="3"/>
  <c r="H621" i="3"/>
  <c r="K621" i="3"/>
  <c r="G622" i="3"/>
  <c r="C630" i="3"/>
  <c r="K84" i="4"/>
  <c r="C629" i="4"/>
  <c r="D629" i="4" s="1"/>
  <c r="B630" i="4"/>
  <c r="J627" i="4"/>
  <c r="E627" i="4"/>
  <c r="F627" i="4"/>
  <c r="N85" i="4"/>
  <c r="H85" i="4"/>
  <c r="I85" i="4" s="1"/>
  <c r="L85" i="4" s="1"/>
  <c r="D630" i="18"/>
  <c r="O629" i="5"/>
  <c r="Q628" i="4"/>
  <c r="J628" i="20" s="1"/>
  <c r="P628" i="4"/>
  <c r="I628" i="20" s="1"/>
  <c r="R628" i="4"/>
  <c r="K628" i="20" s="1"/>
  <c r="G628" i="4"/>
  <c r="N626" i="4"/>
  <c r="H626" i="4"/>
  <c r="I626" i="4" s="1"/>
  <c r="E86" i="4"/>
  <c r="J86" i="4"/>
  <c r="F86" i="4"/>
  <c r="K83" i="20"/>
  <c r="R84" i="4"/>
  <c r="C630" i="19"/>
  <c r="P87" i="4"/>
  <c r="I87" i="20" s="1"/>
  <c r="C88" i="4"/>
  <c r="D88" i="4" s="1"/>
  <c r="G87" i="4"/>
  <c r="J82" i="20"/>
  <c r="Q83" i="4"/>
  <c r="S83" i="4" s="1"/>
  <c r="L83" i="20" s="1"/>
  <c r="H133" i="3" l="1"/>
  <c r="K133" i="3"/>
  <c r="D630" i="19"/>
  <c r="E630" i="19" s="1"/>
  <c r="F630" i="19"/>
  <c r="C89" i="3"/>
  <c r="G134" i="3" s="1"/>
  <c r="M628" i="3"/>
  <c r="Q627" i="3"/>
  <c r="F628" i="3"/>
  <c r="N5" i="3" s="1"/>
  <c r="O5" i="3" s="1"/>
  <c r="J627" i="3"/>
  <c r="G623" i="3"/>
  <c r="H622" i="3"/>
  <c r="K622" i="3"/>
  <c r="C631" i="3"/>
  <c r="J628" i="4"/>
  <c r="E628" i="4"/>
  <c r="F628" i="4"/>
  <c r="B631" i="4"/>
  <c r="C630" i="4"/>
  <c r="D630" i="4" s="1"/>
  <c r="J83" i="20"/>
  <c r="Q84" i="4"/>
  <c r="S84" i="4" s="1"/>
  <c r="L84" i="20" s="1"/>
  <c r="C631" i="19"/>
  <c r="R629" i="4"/>
  <c r="K629" i="20" s="1"/>
  <c r="Q629" i="4"/>
  <c r="J629" i="20" s="1"/>
  <c r="P629" i="4"/>
  <c r="I629" i="20" s="1"/>
  <c r="G629" i="4"/>
  <c r="K85" i="4"/>
  <c r="K84" i="20"/>
  <c r="R85" i="4"/>
  <c r="J87" i="4"/>
  <c r="E87" i="4"/>
  <c r="F87" i="4"/>
  <c r="N86" i="4"/>
  <c r="H86" i="4"/>
  <c r="I86" i="4" s="1"/>
  <c r="L86" i="4" s="1"/>
  <c r="N627" i="4"/>
  <c r="H627" i="4"/>
  <c r="I627" i="4" s="1"/>
  <c r="P88" i="4"/>
  <c r="I88" i="20" s="1"/>
  <c r="C89" i="4"/>
  <c r="D89" i="4" s="1"/>
  <c r="G88" i="4"/>
  <c r="D631" i="18"/>
  <c r="O630" i="5"/>
  <c r="H134" i="3" l="1"/>
  <c r="K134" i="3"/>
  <c r="D631" i="19"/>
  <c r="E631" i="19" s="1"/>
  <c r="F631" i="19"/>
  <c r="R5" i="3"/>
  <c r="N120" i="3"/>
  <c r="N99" i="3"/>
  <c r="N81" i="3"/>
  <c r="N65" i="3"/>
  <c r="N50" i="3"/>
  <c r="N31" i="3"/>
  <c r="N15" i="3"/>
  <c r="N134" i="3"/>
  <c r="N119" i="3"/>
  <c r="N100" i="3"/>
  <c r="N85" i="3"/>
  <c r="N67" i="3"/>
  <c r="N54" i="3"/>
  <c r="N36" i="3"/>
  <c r="N18" i="3"/>
  <c r="N124" i="3"/>
  <c r="N108" i="3"/>
  <c r="N92" i="3"/>
  <c r="N76" i="3"/>
  <c r="N61" i="3"/>
  <c r="N42" i="3"/>
  <c r="N26" i="3"/>
  <c r="N11" i="3"/>
  <c r="N133" i="3"/>
  <c r="N114" i="3"/>
  <c r="N97" i="3"/>
  <c r="N82" i="3"/>
  <c r="N66" i="3"/>
  <c r="N49" i="3"/>
  <c r="N33" i="3"/>
  <c r="N19" i="3"/>
  <c r="N113" i="3"/>
  <c r="N90" i="3"/>
  <c r="N75" i="3"/>
  <c r="N59" i="3"/>
  <c r="N44" i="3"/>
  <c r="N32" i="3"/>
  <c r="N14" i="3"/>
  <c r="N125" i="3"/>
  <c r="N128" i="3"/>
  <c r="N111" i="3"/>
  <c r="N95" i="3"/>
  <c r="N79" i="3"/>
  <c r="N64" i="3"/>
  <c r="N47" i="3"/>
  <c r="N29" i="3"/>
  <c r="N17" i="3"/>
  <c r="N131" i="3"/>
  <c r="N121" i="3"/>
  <c r="N102" i="3"/>
  <c r="N88" i="3"/>
  <c r="N70" i="3"/>
  <c r="N53" i="3"/>
  <c r="N38" i="3"/>
  <c r="N22" i="3"/>
  <c r="N10" i="3"/>
  <c r="N127" i="3"/>
  <c r="N109" i="3"/>
  <c r="N94" i="3"/>
  <c r="N80" i="3"/>
  <c r="N63" i="3"/>
  <c r="N48" i="3"/>
  <c r="N34" i="3"/>
  <c r="N13" i="3"/>
  <c r="N103" i="3"/>
  <c r="N91" i="3"/>
  <c r="N71" i="3"/>
  <c r="N57" i="3"/>
  <c r="N43" i="3"/>
  <c r="N24" i="3"/>
  <c r="N6" i="3"/>
  <c r="N116" i="3"/>
  <c r="N122" i="3"/>
  <c r="N107" i="3"/>
  <c r="N93" i="3"/>
  <c r="N74" i="3"/>
  <c r="N60" i="3"/>
  <c r="N46" i="3"/>
  <c r="N28" i="3"/>
  <c r="N12" i="3"/>
  <c r="N130" i="3"/>
  <c r="N117" i="3"/>
  <c r="N98" i="3"/>
  <c r="N83" i="3"/>
  <c r="N68" i="3"/>
  <c r="N51" i="3"/>
  <c r="N35" i="3"/>
  <c r="N20" i="3"/>
  <c r="N123" i="3"/>
  <c r="N104" i="3"/>
  <c r="N89" i="3"/>
  <c r="N77" i="3"/>
  <c r="N58" i="3"/>
  <c r="N41" i="3"/>
  <c r="N27" i="3"/>
  <c r="N9" i="3"/>
  <c r="N106" i="3"/>
  <c r="N84" i="3"/>
  <c r="N72" i="3"/>
  <c r="N52" i="3"/>
  <c r="N37" i="3"/>
  <c r="N21" i="3"/>
  <c r="N8" i="3"/>
  <c r="N110" i="3"/>
  <c r="N118" i="3"/>
  <c r="N105" i="3"/>
  <c r="N87" i="3"/>
  <c r="N73" i="3"/>
  <c r="N56" i="3"/>
  <c r="N40" i="3"/>
  <c r="N25" i="3"/>
  <c r="N7" i="3"/>
  <c r="N126" i="3"/>
  <c r="N112" i="3"/>
  <c r="N96" i="3"/>
  <c r="N78" i="3"/>
  <c r="N62" i="3"/>
  <c r="N45" i="3"/>
  <c r="N30" i="3"/>
  <c r="N16" i="3"/>
  <c r="N129" i="3"/>
  <c r="N132" i="3"/>
  <c r="N115" i="3"/>
  <c r="N101" i="3"/>
  <c r="N86" i="3"/>
  <c r="N69" i="3"/>
  <c r="N55" i="3"/>
  <c r="N39" i="3"/>
  <c r="N23" i="3"/>
  <c r="C90" i="3"/>
  <c r="G135" i="3" s="1"/>
  <c r="F629" i="3"/>
  <c r="J628" i="3"/>
  <c r="M629" i="3"/>
  <c r="Q628" i="3"/>
  <c r="H623" i="3"/>
  <c r="K623" i="3"/>
  <c r="G624" i="3"/>
  <c r="C632" i="3"/>
  <c r="J88" i="4"/>
  <c r="E88" i="4"/>
  <c r="F88" i="4"/>
  <c r="K85" i="20"/>
  <c r="R86" i="4"/>
  <c r="P89" i="4"/>
  <c r="I89" i="20" s="1"/>
  <c r="C90" i="4"/>
  <c r="D90" i="4" s="1"/>
  <c r="G89" i="4"/>
  <c r="R630" i="4"/>
  <c r="K630" i="20" s="1"/>
  <c r="Q630" i="4"/>
  <c r="J630" i="20" s="1"/>
  <c r="P630" i="4"/>
  <c r="I630" i="20" s="1"/>
  <c r="G630" i="4"/>
  <c r="D632" i="18"/>
  <c r="O631" i="5"/>
  <c r="N87" i="4"/>
  <c r="H87" i="4"/>
  <c r="I87" i="4" s="1"/>
  <c r="L87" i="4" s="1"/>
  <c r="K86" i="4"/>
  <c r="J84" i="20"/>
  <c r="Q85" i="4"/>
  <c r="S85" i="4" s="1"/>
  <c r="L85" i="20" s="1"/>
  <c r="B632" i="4"/>
  <c r="C631" i="4"/>
  <c r="D631" i="4" s="1"/>
  <c r="N628" i="4"/>
  <c r="H628" i="4"/>
  <c r="I628" i="4" s="1"/>
  <c r="J629" i="4"/>
  <c r="E629" i="4"/>
  <c r="F629" i="4"/>
  <c r="C632" i="19"/>
  <c r="H135" i="3" l="1"/>
  <c r="N135" i="3" s="1"/>
  <c r="K135" i="3"/>
  <c r="D632" i="19"/>
  <c r="E632" i="19" s="1"/>
  <c r="F632" i="19"/>
  <c r="O133" i="3"/>
  <c r="O129" i="3"/>
  <c r="O125" i="3"/>
  <c r="R125" i="3" s="1"/>
  <c r="O121" i="3"/>
  <c r="R121" i="3" s="1"/>
  <c r="O117" i="3"/>
  <c r="O113" i="3"/>
  <c r="O109" i="3"/>
  <c r="R109" i="3" s="1"/>
  <c r="O105" i="3"/>
  <c r="R105" i="3" s="1"/>
  <c r="O101" i="3"/>
  <c r="O97" i="3"/>
  <c r="O93" i="3"/>
  <c r="R93" i="3" s="1"/>
  <c r="O89" i="3"/>
  <c r="R89" i="3" s="1"/>
  <c r="O85" i="3"/>
  <c r="O81" i="3"/>
  <c r="O77" i="3"/>
  <c r="R77" i="3" s="1"/>
  <c r="O73" i="3"/>
  <c r="R73" i="3" s="1"/>
  <c r="O69" i="3"/>
  <c r="O65" i="3"/>
  <c r="O61" i="3"/>
  <c r="R61" i="3" s="1"/>
  <c r="O57" i="3"/>
  <c r="R57" i="3" s="1"/>
  <c r="O53" i="3"/>
  <c r="O49" i="3"/>
  <c r="O45" i="3"/>
  <c r="R45" i="3" s="1"/>
  <c r="O41" i="3"/>
  <c r="R41" i="3" s="1"/>
  <c r="O37" i="3"/>
  <c r="O33" i="3"/>
  <c r="O29" i="3"/>
  <c r="R29" i="3" s="1"/>
  <c r="O25" i="3"/>
  <c r="R25" i="3" s="1"/>
  <c r="O21" i="3"/>
  <c r="O132" i="3"/>
  <c r="O128" i="3"/>
  <c r="R128" i="3" s="1"/>
  <c r="O124" i="3"/>
  <c r="R124" i="3" s="1"/>
  <c r="O120" i="3"/>
  <c r="R120" i="3" s="1"/>
  <c r="O116" i="3"/>
  <c r="R116" i="3" s="1"/>
  <c r="O112" i="3"/>
  <c r="R112" i="3" s="1"/>
  <c r="O108" i="3"/>
  <c r="R108" i="3" s="1"/>
  <c r="O104" i="3"/>
  <c r="R104" i="3" s="1"/>
  <c r="O100" i="3"/>
  <c r="R100" i="3" s="1"/>
  <c r="O96" i="3"/>
  <c r="O92" i="3"/>
  <c r="R92" i="3" s="1"/>
  <c r="O88" i="3"/>
  <c r="R88" i="3" s="1"/>
  <c r="O84" i="3"/>
  <c r="R84" i="3" s="1"/>
  <c r="O80" i="3"/>
  <c r="O76" i="3"/>
  <c r="R76" i="3" s="1"/>
  <c r="O72" i="3"/>
  <c r="R72" i="3" s="1"/>
  <c r="O68" i="3"/>
  <c r="R68" i="3" s="1"/>
  <c r="O64" i="3"/>
  <c r="O60" i="3"/>
  <c r="R60" i="3" s="1"/>
  <c r="O56" i="3"/>
  <c r="R56" i="3" s="1"/>
  <c r="O52" i="3"/>
  <c r="O48" i="3"/>
  <c r="R48" i="3" s="1"/>
  <c r="O44" i="3"/>
  <c r="R44" i="3" s="1"/>
  <c r="O40" i="3"/>
  <c r="R40" i="3" s="1"/>
  <c r="O36" i="3"/>
  <c r="R36" i="3" s="1"/>
  <c r="O32" i="3"/>
  <c r="R32" i="3" s="1"/>
  <c r="O28" i="3"/>
  <c r="R28" i="3" s="1"/>
  <c r="O24" i="3"/>
  <c r="R24" i="3" s="1"/>
  <c r="O20" i="3"/>
  <c r="R20" i="3" s="1"/>
  <c r="O16" i="3"/>
  <c r="R16" i="3" s="1"/>
  <c r="O135" i="3"/>
  <c r="R135" i="3" s="1"/>
  <c r="O131" i="3"/>
  <c r="R131" i="3" s="1"/>
  <c r="O127" i="3"/>
  <c r="R127" i="3" s="1"/>
  <c r="O123" i="3"/>
  <c r="R123" i="3" s="1"/>
  <c r="O119" i="3"/>
  <c r="R119" i="3" s="1"/>
  <c r="O115" i="3"/>
  <c r="R115" i="3" s="1"/>
  <c r="O111" i="3"/>
  <c r="R111" i="3" s="1"/>
  <c r="O107" i="3"/>
  <c r="R107" i="3" s="1"/>
  <c r="O103" i="3"/>
  <c r="R103" i="3" s="1"/>
  <c r="O99" i="3"/>
  <c r="R99" i="3" s="1"/>
  <c r="O95" i="3"/>
  <c r="R95" i="3" s="1"/>
  <c r="O91" i="3"/>
  <c r="R91" i="3" s="1"/>
  <c r="O87" i="3"/>
  <c r="R87" i="3" s="1"/>
  <c r="O83" i="3"/>
  <c r="R83" i="3" s="1"/>
  <c r="O79" i="3"/>
  <c r="R79" i="3" s="1"/>
  <c r="O75" i="3"/>
  <c r="R75" i="3" s="1"/>
  <c r="O71" i="3"/>
  <c r="R71" i="3" s="1"/>
  <c r="O67" i="3"/>
  <c r="R67" i="3" s="1"/>
  <c r="O63" i="3"/>
  <c r="R63" i="3" s="1"/>
  <c r="O59" i="3"/>
  <c r="R59" i="3" s="1"/>
  <c r="O55" i="3"/>
  <c r="R55" i="3" s="1"/>
  <c r="O51" i="3"/>
  <c r="R51" i="3" s="1"/>
  <c r="O47" i="3"/>
  <c r="R47" i="3" s="1"/>
  <c r="O43" i="3"/>
  <c r="R43" i="3" s="1"/>
  <c r="O39" i="3"/>
  <c r="R39" i="3" s="1"/>
  <c r="O35" i="3"/>
  <c r="R35" i="3" s="1"/>
  <c r="O31" i="3"/>
  <c r="R31" i="3" s="1"/>
  <c r="O27" i="3"/>
  <c r="R27" i="3" s="1"/>
  <c r="O23" i="3"/>
  <c r="R23" i="3" s="1"/>
  <c r="O19" i="3"/>
  <c r="R19" i="3" s="1"/>
  <c r="O15" i="3"/>
  <c r="R15" i="3" s="1"/>
  <c r="O11" i="3"/>
  <c r="R11" i="3" s="1"/>
  <c r="O7" i="3"/>
  <c r="R7" i="3" s="1"/>
  <c r="O134" i="3"/>
  <c r="R134" i="3" s="1"/>
  <c r="O130" i="3"/>
  <c r="R130" i="3" s="1"/>
  <c r="O126" i="3"/>
  <c r="R126" i="3" s="1"/>
  <c r="O122" i="3"/>
  <c r="R122" i="3" s="1"/>
  <c r="O118" i="3"/>
  <c r="R118" i="3" s="1"/>
  <c r="O114" i="3"/>
  <c r="R114" i="3" s="1"/>
  <c r="O110" i="3"/>
  <c r="R110" i="3" s="1"/>
  <c r="O106" i="3"/>
  <c r="R106" i="3" s="1"/>
  <c r="O102" i="3"/>
  <c r="R102" i="3" s="1"/>
  <c r="O98" i="3"/>
  <c r="R98" i="3" s="1"/>
  <c r="O94" i="3"/>
  <c r="R94" i="3" s="1"/>
  <c r="O90" i="3"/>
  <c r="R90" i="3" s="1"/>
  <c r="O86" i="3"/>
  <c r="R86" i="3" s="1"/>
  <c r="O82" i="3"/>
  <c r="R82" i="3" s="1"/>
  <c r="O78" i="3"/>
  <c r="R78" i="3" s="1"/>
  <c r="O74" i="3"/>
  <c r="R74" i="3" s="1"/>
  <c r="O70" i="3"/>
  <c r="R70" i="3" s="1"/>
  <c r="O66" i="3"/>
  <c r="R66" i="3" s="1"/>
  <c r="O62" i="3"/>
  <c r="R62" i="3" s="1"/>
  <c r="O58" i="3"/>
  <c r="R58" i="3" s="1"/>
  <c r="O46" i="3"/>
  <c r="R46" i="3" s="1"/>
  <c r="O30" i="3"/>
  <c r="R30" i="3" s="1"/>
  <c r="O17" i="3"/>
  <c r="R17" i="3" s="1"/>
  <c r="O10" i="3"/>
  <c r="R10" i="3" s="1"/>
  <c r="O42" i="3"/>
  <c r="R42" i="3" s="1"/>
  <c r="O26" i="3"/>
  <c r="R26" i="3" s="1"/>
  <c r="O14" i="3"/>
  <c r="R14" i="3" s="1"/>
  <c r="O9" i="3"/>
  <c r="R9" i="3" s="1"/>
  <c r="O54" i="3"/>
  <c r="R54" i="3" s="1"/>
  <c r="O38" i="3"/>
  <c r="R38" i="3" s="1"/>
  <c r="O22" i="3"/>
  <c r="R22" i="3" s="1"/>
  <c r="O13" i="3"/>
  <c r="R13" i="3" s="1"/>
  <c r="O8" i="3"/>
  <c r="R8" i="3" s="1"/>
  <c r="O50" i="3"/>
  <c r="R50" i="3" s="1"/>
  <c r="O34" i="3"/>
  <c r="R34" i="3" s="1"/>
  <c r="O18" i="3"/>
  <c r="R18" i="3" s="1"/>
  <c r="O12" i="3"/>
  <c r="R12" i="3" s="1"/>
  <c r="O6" i="3"/>
  <c r="R6" i="3" s="1"/>
  <c r="R37" i="3"/>
  <c r="R96" i="3"/>
  <c r="R133" i="3"/>
  <c r="R69" i="3"/>
  <c r="R129" i="3"/>
  <c r="R117" i="3"/>
  <c r="R113" i="3"/>
  <c r="R101" i="3"/>
  <c r="R97" i="3"/>
  <c r="R81" i="3"/>
  <c r="R65" i="3"/>
  <c r="R49" i="3"/>
  <c r="R21" i="3"/>
  <c r="R85" i="3"/>
  <c r="R53" i="3"/>
  <c r="R33" i="3"/>
  <c r="R52" i="3"/>
  <c r="R80" i="3"/>
  <c r="R132" i="3"/>
  <c r="R64" i="3"/>
  <c r="C91" i="3"/>
  <c r="G136" i="3" s="1"/>
  <c r="M630" i="3"/>
  <c r="Q629" i="3"/>
  <c r="F630" i="3"/>
  <c r="J629" i="3"/>
  <c r="G625" i="3"/>
  <c r="K624" i="3"/>
  <c r="H624" i="3"/>
  <c r="C633" i="3"/>
  <c r="D633" i="18"/>
  <c r="O632" i="5"/>
  <c r="E630" i="4"/>
  <c r="J630" i="4"/>
  <c r="F630" i="4"/>
  <c r="P631" i="4"/>
  <c r="I631" i="20" s="1"/>
  <c r="R631" i="4"/>
  <c r="K631" i="20" s="1"/>
  <c r="Q631" i="4"/>
  <c r="J631" i="20" s="1"/>
  <c r="G631" i="4"/>
  <c r="K87" i="4"/>
  <c r="C632" i="4"/>
  <c r="D632" i="4" s="1"/>
  <c r="B633" i="4"/>
  <c r="J85" i="20"/>
  <c r="Q86" i="4"/>
  <c r="J89" i="4"/>
  <c r="E89" i="4"/>
  <c r="F89" i="4"/>
  <c r="N88" i="4"/>
  <c r="H88" i="4"/>
  <c r="I88" i="4" s="1"/>
  <c r="L88" i="4" s="1"/>
  <c r="C633" i="19"/>
  <c r="N629" i="4"/>
  <c r="H629" i="4"/>
  <c r="I629" i="4" s="1"/>
  <c r="P90" i="4"/>
  <c r="I90" i="20" s="1"/>
  <c r="C91" i="4"/>
  <c r="D91" i="4" s="1"/>
  <c r="G90" i="4"/>
  <c r="K86" i="20"/>
  <c r="R87" i="4"/>
  <c r="H136" i="3" l="1"/>
  <c r="N136" i="3" s="1"/>
  <c r="K136" i="3"/>
  <c r="D633" i="19"/>
  <c r="E633" i="19" s="1"/>
  <c r="F633" i="19"/>
  <c r="C92" i="3"/>
  <c r="G137" i="3" s="1"/>
  <c r="F631" i="3"/>
  <c r="J630" i="3"/>
  <c r="M631" i="3"/>
  <c r="Q630" i="3"/>
  <c r="G626" i="3"/>
  <c r="H625" i="3"/>
  <c r="K625" i="3"/>
  <c r="C634" i="3"/>
  <c r="E90" i="4"/>
  <c r="J90" i="4"/>
  <c r="F90" i="4"/>
  <c r="Q632" i="4"/>
  <c r="J632" i="20" s="1"/>
  <c r="P632" i="4"/>
  <c r="I632" i="20" s="1"/>
  <c r="R632" i="4"/>
  <c r="K632" i="20" s="1"/>
  <c r="G632" i="4"/>
  <c r="K88" i="4"/>
  <c r="D634" i="18"/>
  <c r="O633" i="5"/>
  <c r="K87" i="20"/>
  <c r="R88" i="4"/>
  <c r="P91" i="4"/>
  <c r="I91" i="20" s="1"/>
  <c r="C92" i="4"/>
  <c r="D92" i="4" s="1"/>
  <c r="G91" i="4"/>
  <c r="N89" i="4"/>
  <c r="H89" i="4"/>
  <c r="I89" i="4" s="1"/>
  <c r="L89" i="4" s="1"/>
  <c r="J86" i="20"/>
  <c r="Q87" i="4"/>
  <c r="S87" i="4" s="1"/>
  <c r="L87" i="20" s="1"/>
  <c r="S86" i="4"/>
  <c r="L86" i="20" s="1"/>
  <c r="C634" i="19"/>
  <c r="J631" i="4"/>
  <c r="E631" i="4"/>
  <c r="F631" i="4"/>
  <c r="C633" i="4"/>
  <c r="D633" i="4" s="1"/>
  <c r="B634" i="4"/>
  <c r="N630" i="4"/>
  <c r="H630" i="4"/>
  <c r="I630" i="4" s="1"/>
  <c r="H137" i="3" l="1"/>
  <c r="N137" i="3" s="1"/>
  <c r="O137" i="3" s="1"/>
  <c r="R137" i="3" s="1"/>
  <c r="K137" i="3"/>
  <c r="O136" i="3"/>
  <c r="R136" i="3" s="1"/>
  <c r="D634" i="19"/>
  <c r="E634" i="19" s="1"/>
  <c r="F634" i="19"/>
  <c r="C93" i="3"/>
  <c r="G138" i="3" s="1"/>
  <c r="M632" i="3"/>
  <c r="Q631" i="3"/>
  <c r="F632" i="3"/>
  <c r="J631" i="3"/>
  <c r="K626" i="3"/>
  <c r="H626" i="3"/>
  <c r="G627" i="3"/>
  <c r="C635" i="3"/>
  <c r="B635" i="4"/>
  <c r="C634" i="4"/>
  <c r="D634" i="4" s="1"/>
  <c r="J87" i="20"/>
  <c r="Q88" i="4"/>
  <c r="S88" i="4" s="1"/>
  <c r="L88" i="20" s="1"/>
  <c r="P92" i="4"/>
  <c r="I92" i="20" s="1"/>
  <c r="C93" i="4"/>
  <c r="D93" i="4" s="1"/>
  <c r="G92" i="4"/>
  <c r="K88" i="20"/>
  <c r="R89" i="4"/>
  <c r="R633" i="4"/>
  <c r="K633" i="20" s="1"/>
  <c r="Q633" i="4"/>
  <c r="J633" i="20" s="1"/>
  <c r="P633" i="4"/>
  <c r="I633" i="20" s="1"/>
  <c r="G633" i="4"/>
  <c r="N631" i="4"/>
  <c r="H631" i="4"/>
  <c r="I631" i="4" s="1"/>
  <c r="N90" i="4"/>
  <c r="H90" i="4"/>
  <c r="I90" i="4" s="1"/>
  <c r="L90" i="4" s="1"/>
  <c r="D635" i="18"/>
  <c r="O634" i="5"/>
  <c r="C635" i="19"/>
  <c r="J91" i="4"/>
  <c r="E91" i="4"/>
  <c r="F91" i="4"/>
  <c r="K89" i="4"/>
  <c r="J632" i="4"/>
  <c r="E632" i="4"/>
  <c r="F632" i="4"/>
  <c r="H138" i="3" l="1"/>
  <c r="N138" i="3" s="1"/>
  <c r="K138" i="3"/>
  <c r="D635" i="19"/>
  <c r="E635" i="19" s="1"/>
  <c r="F635" i="19"/>
  <c r="C94" i="3"/>
  <c r="G139" i="3" s="1"/>
  <c r="F633" i="3"/>
  <c r="J632" i="3"/>
  <c r="M633" i="3"/>
  <c r="Q632" i="3"/>
  <c r="K627" i="3"/>
  <c r="H627" i="3"/>
  <c r="G628" i="3"/>
  <c r="C636" i="3"/>
  <c r="C636" i="19"/>
  <c r="K90" i="4"/>
  <c r="D636" i="18"/>
  <c r="O635" i="5"/>
  <c r="K89" i="20"/>
  <c r="R90" i="4"/>
  <c r="J633" i="4"/>
  <c r="E633" i="4"/>
  <c r="F633" i="4"/>
  <c r="R634" i="4"/>
  <c r="K634" i="20" s="1"/>
  <c r="Q634" i="4"/>
  <c r="J634" i="20" s="1"/>
  <c r="P634" i="4"/>
  <c r="I634" i="20" s="1"/>
  <c r="G634" i="4"/>
  <c r="J92" i="4"/>
  <c r="E92" i="4"/>
  <c r="F92" i="4"/>
  <c r="B636" i="4"/>
  <c r="C635" i="4"/>
  <c r="D635" i="4" s="1"/>
  <c r="N632" i="4"/>
  <c r="H632" i="4"/>
  <c r="I632" i="4" s="1"/>
  <c r="N91" i="4"/>
  <c r="H91" i="4"/>
  <c r="I91" i="4" s="1"/>
  <c r="L91" i="4" s="1"/>
  <c r="P93" i="4"/>
  <c r="I93" i="20" s="1"/>
  <c r="C94" i="4"/>
  <c r="D94" i="4" s="1"/>
  <c r="G93" i="4"/>
  <c r="J88" i="20"/>
  <c r="Q89" i="4"/>
  <c r="H139" i="3" l="1"/>
  <c r="N139" i="3" s="1"/>
  <c r="K139" i="3"/>
  <c r="O138" i="3"/>
  <c r="R138" i="3" s="1"/>
  <c r="D636" i="19"/>
  <c r="E636" i="19" s="1"/>
  <c r="F636" i="19"/>
  <c r="C95" i="3"/>
  <c r="G140" i="3" s="1"/>
  <c r="M634" i="3"/>
  <c r="Q633" i="3"/>
  <c r="F634" i="3"/>
  <c r="J633" i="3"/>
  <c r="H628" i="3"/>
  <c r="K628" i="3"/>
  <c r="G629" i="3"/>
  <c r="C637" i="3"/>
  <c r="J89" i="20"/>
  <c r="Q90" i="4"/>
  <c r="S90" i="4" s="1"/>
  <c r="L90" i="20" s="1"/>
  <c r="C637" i="19"/>
  <c r="N92" i="4"/>
  <c r="H92" i="4"/>
  <c r="I92" i="4" s="1"/>
  <c r="L92" i="4" s="1"/>
  <c r="E634" i="4"/>
  <c r="J634" i="4"/>
  <c r="F634" i="4"/>
  <c r="K90" i="20"/>
  <c r="R91" i="4"/>
  <c r="D637" i="18"/>
  <c r="O636" i="5"/>
  <c r="S89" i="4"/>
  <c r="L89" i="20" s="1"/>
  <c r="N633" i="4"/>
  <c r="H633" i="4"/>
  <c r="I633" i="4" s="1"/>
  <c r="P635" i="4"/>
  <c r="I635" i="20" s="1"/>
  <c r="R635" i="4"/>
  <c r="K635" i="20" s="1"/>
  <c r="Q635" i="4"/>
  <c r="J635" i="20" s="1"/>
  <c r="G635" i="4"/>
  <c r="J93" i="4"/>
  <c r="E93" i="4"/>
  <c r="F93" i="4"/>
  <c r="C636" i="4"/>
  <c r="D636" i="4" s="1"/>
  <c r="B637" i="4"/>
  <c r="P94" i="4"/>
  <c r="I94" i="20" s="1"/>
  <c r="C95" i="4"/>
  <c r="D95" i="4" s="1"/>
  <c r="G94" i="4"/>
  <c r="K91" i="4"/>
  <c r="O139" i="3" l="1"/>
  <c r="R139" i="3" s="1"/>
  <c r="H140" i="3"/>
  <c r="N140" i="3" s="1"/>
  <c r="K140" i="3"/>
  <c r="D637" i="19"/>
  <c r="E637" i="19" s="1"/>
  <c r="F637" i="19"/>
  <c r="C96" i="3"/>
  <c r="G141" i="3" s="1"/>
  <c r="M635" i="3"/>
  <c r="Q634" i="3"/>
  <c r="F635" i="3"/>
  <c r="J634" i="3"/>
  <c r="K629" i="3"/>
  <c r="H629" i="3"/>
  <c r="G630" i="3"/>
  <c r="C638" i="3"/>
  <c r="D638" i="18"/>
  <c r="O637" i="5"/>
  <c r="N93" i="4"/>
  <c r="H93" i="4"/>
  <c r="I93" i="4" s="1"/>
  <c r="L93" i="4" s="1"/>
  <c r="J90" i="20"/>
  <c r="Q91" i="4"/>
  <c r="S91" i="4" s="1"/>
  <c r="L91" i="20" s="1"/>
  <c r="E94" i="4"/>
  <c r="J94" i="4"/>
  <c r="F94" i="4"/>
  <c r="K92" i="4"/>
  <c r="P95" i="4"/>
  <c r="I95" i="20" s="1"/>
  <c r="C96" i="4"/>
  <c r="D96" i="4" s="1"/>
  <c r="G95" i="4"/>
  <c r="C637" i="4"/>
  <c r="D637" i="4" s="1"/>
  <c r="B638" i="4"/>
  <c r="K91" i="20"/>
  <c r="R92" i="4"/>
  <c r="N634" i="4"/>
  <c r="H634" i="4"/>
  <c r="I634" i="4" s="1"/>
  <c r="C638" i="19"/>
  <c r="Q636" i="4"/>
  <c r="J636" i="20" s="1"/>
  <c r="P636" i="4"/>
  <c r="I636" i="20" s="1"/>
  <c r="R636" i="4"/>
  <c r="K636" i="20" s="1"/>
  <c r="G636" i="4"/>
  <c r="J635" i="4"/>
  <c r="E635" i="4"/>
  <c r="F635" i="4"/>
  <c r="H141" i="3" l="1"/>
  <c r="N141" i="3" s="1"/>
  <c r="O141" i="3" s="1"/>
  <c r="R141" i="3" s="1"/>
  <c r="K141" i="3"/>
  <c r="O140" i="3"/>
  <c r="R140" i="3" s="1"/>
  <c r="D638" i="19"/>
  <c r="E638" i="19" s="1"/>
  <c r="F638" i="19"/>
  <c r="C97" i="3"/>
  <c r="G142" i="3" s="1"/>
  <c r="M636" i="3"/>
  <c r="Q635" i="3"/>
  <c r="F636" i="3"/>
  <c r="J635" i="3"/>
  <c r="G631" i="3"/>
  <c r="K630" i="3"/>
  <c r="H630" i="3"/>
  <c r="C639" i="3"/>
  <c r="D639" i="18"/>
  <c r="O638" i="5"/>
  <c r="C639" i="19"/>
  <c r="K92" i="20"/>
  <c r="R93" i="4"/>
  <c r="N94" i="4"/>
  <c r="H94" i="4"/>
  <c r="I94" i="4" s="1"/>
  <c r="L94" i="4" s="1"/>
  <c r="B639" i="4"/>
  <c r="C638" i="4"/>
  <c r="D638" i="4" s="1"/>
  <c r="N635" i="4"/>
  <c r="H635" i="4"/>
  <c r="I635" i="4" s="1"/>
  <c r="R637" i="4"/>
  <c r="K637" i="20" s="1"/>
  <c r="Q637" i="4"/>
  <c r="J637" i="20" s="1"/>
  <c r="P637" i="4"/>
  <c r="I637" i="20" s="1"/>
  <c r="G637" i="4"/>
  <c r="J95" i="4"/>
  <c r="E95" i="4"/>
  <c r="F95" i="4"/>
  <c r="J636" i="4"/>
  <c r="E636" i="4"/>
  <c r="F636" i="4"/>
  <c r="P96" i="4"/>
  <c r="I96" i="20" s="1"/>
  <c r="C97" i="4"/>
  <c r="D97" i="4" s="1"/>
  <c r="G96" i="4"/>
  <c r="K93" i="4"/>
  <c r="J91" i="20"/>
  <c r="Q92" i="4"/>
  <c r="H142" i="3" l="1"/>
  <c r="N142" i="3" s="1"/>
  <c r="O142" i="3" s="1"/>
  <c r="R142" i="3" s="1"/>
  <c r="K142" i="3"/>
  <c r="D639" i="19"/>
  <c r="E639" i="19" s="1"/>
  <c r="F639" i="19"/>
  <c r="C98" i="3"/>
  <c r="G143" i="3" s="1"/>
  <c r="F637" i="3"/>
  <c r="J636" i="3"/>
  <c r="M637" i="3"/>
  <c r="Q636" i="3"/>
  <c r="H631" i="3"/>
  <c r="K631" i="3"/>
  <c r="G632" i="3"/>
  <c r="C640" i="3"/>
  <c r="J92" i="20"/>
  <c r="Q93" i="4"/>
  <c r="S93" i="4" s="1"/>
  <c r="L93" i="20" s="1"/>
  <c r="P97" i="4"/>
  <c r="I97" i="20" s="1"/>
  <c r="C98" i="4"/>
  <c r="D98" i="4" s="1"/>
  <c r="G97" i="4"/>
  <c r="K93" i="20"/>
  <c r="R94" i="4"/>
  <c r="S92" i="4"/>
  <c r="L92" i="20" s="1"/>
  <c r="N95" i="4"/>
  <c r="H95" i="4"/>
  <c r="I95" i="4" s="1"/>
  <c r="L95" i="4" s="1"/>
  <c r="R638" i="4"/>
  <c r="K638" i="20" s="1"/>
  <c r="Q638" i="4"/>
  <c r="J638" i="20" s="1"/>
  <c r="P638" i="4"/>
  <c r="I638" i="20" s="1"/>
  <c r="G638" i="4"/>
  <c r="D640" i="18"/>
  <c r="O639" i="5"/>
  <c r="K94" i="4"/>
  <c r="J96" i="4"/>
  <c r="E96" i="4"/>
  <c r="F96" i="4"/>
  <c r="N636" i="4"/>
  <c r="H636" i="4"/>
  <c r="I636" i="4" s="1"/>
  <c r="B640" i="4"/>
  <c r="C639" i="4"/>
  <c r="D639" i="4" s="1"/>
  <c r="C640" i="19"/>
  <c r="J637" i="4"/>
  <c r="E637" i="4"/>
  <c r="F637" i="4"/>
  <c r="H143" i="3" l="1"/>
  <c r="N143" i="3" s="1"/>
  <c r="O143" i="3" s="1"/>
  <c r="R143" i="3" s="1"/>
  <c r="K143" i="3"/>
  <c r="D640" i="19"/>
  <c r="E640" i="19" s="1"/>
  <c r="F640" i="19"/>
  <c r="C99" i="3"/>
  <c r="G144" i="3" s="1"/>
  <c r="M638" i="3"/>
  <c r="Q637" i="3"/>
  <c r="F638" i="3"/>
  <c r="J637" i="3"/>
  <c r="K632" i="3"/>
  <c r="H632" i="3"/>
  <c r="G633" i="3"/>
  <c r="C641" i="3"/>
  <c r="N96" i="4"/>
  <c r="H96" i="4"/>
  <c r="I96" i="4" s="1"/>
  <c r="L96" i="4" s="1"/>
  <c r="N637" i="4"/>
  <c r="H637" i="4"/>
  <c r="I637" i="4" s="1"/>
  <c r="C641" i="19"/>
  <c r="P639" i="4"/>
  <c r="I639" i="20" s="1"/>
  <c r="R639" i="4"/>
  <c r="K639" i="20" s="1"/>
  <c r="Q639" i="4"/>
  <c r="J639" i="20" s="1"/>
  <c r="G639" i="4"/>
  <c r="D641" i="18"/>
  <c r="O640" i="5"/>
  <c r="K94" i="20"/>
  <c r="R95" i="4"/>
  <c r="J97" i="4"/>
  <c r="E97" i="4"/>
  <c r="F97" i="4"/>
  <c r="J93" i="20"/>
  <c r="Q94" i="4"/>
  <c r="S94" i="4" s="1"/>
  <c r="L94" i="20" s="1"/>
  <c r="C640" i="4"/>
  <c r="D640" i="4" s="1"/>
  <c r="B641" i="4"/>
  <c r="K95" i="4"/>
  <c r="P98" i="4"/>
  <c r="I98" i="20" s="1"/>
  <c r="C99" i="4"/>
  <c r="D99" i="4" s="1"/>
  <c r="G98" i="4"/>
  <c r="E638" i="4"/>
  <c r="J638" i="4"/>
  <c r="F638" i="4"/>
  <c r="K144" i="3" l="1"/>
  <c r="H144" i="3"/>
  <c r="N144" i="3" s="1"/>
  <c r="O144" i="3" s="1"/>
  <c r="R144" i="3" s="1"/>
  <c r="D641" i="19"/>
  <c r="E641" i="19" s="1"/>
  <c r="F641" i="19"/>
  <c r="C100" i="3"/>
  <c r="G145" i="3" s="1"/>
  <c r="F639" i="3"/>
  <c r="J638" i="3"/>
  <c r="M639" i="3"/>
  <c r="Q638" i="3"/>
  <c r="G634" i="3"/>
  <c r="K633" i="3"/>
  <c r="H633" i="3"/>
  <c r="C642" i="3"/>
  <c r="N638" i="4"/>
  <c r="H638" i="4"/>
  <c r="I638" i="4" s="1"/>
  <c r="E98" i="4"/>
  <c r="J98" i="4"/>
  <c r="F98" i="4"/>
  <c r="K95" i="20"/>
  <c r="R96" i="4"/>
  <c r="J639" i="4"/>
  <c r="E639" i="4"/>
  <c r="F639" i="4"/>
  <c r="C642" i="19"/>
  <c r="K96" i="4"/>
  <c r="J94" i="20"/>
  <c r="Q95" i="4"/>
  <c r="S95" i="4" s="1"/>
  <c r="L95" i="20" s="1"/>
  <c r="P99" i="4"/>
  <c r="I99" i="20" s="1"/>
  <c r="C100" i="4"/>
  <c r="D100" i="4" s="1"/>
  <c r="G99" i="4"/>
  <c r="C641" i="4"/>
  <c r="D641" i="4" s="1"/>
  <c r="B642" i="4"/>
  <c r="Q640" i="4"/>
  <c r="J640" i="20" s="1"/>
  <c r="P640" i="4"/>
  <c r="I640" i="20" s="1"/>
  <c r="R640" i="4"/>
  <c r="K640" i="20" s="1"/>
  <c r="G640" i="4"/>
  <c r="N97" i="4"/>
  <c r="H97" i="4"/>
  <c r="I97" i="4" s="1"/>
  <c r="L97" i="4" s="1"/>
  <c r="D642" i="18"/>
  <c r="O641" i="5"/>
  <c r="K145" i="3" l="1"/>
  <c r="H145" i="3"/>
  <c r="N145" i="3" s="1"/>
  <c r="O145" i="3" s="1"/>
  <c r="R145" i="3" s="1"/>
  <c r="D642" i="19"/>
  <c r="E642" i="19" s="1"/>
  <c r="F642" i="19"/>
  <c r="C101" i="3"/>
  <c r="G146" i="3" s="1"/>
  <c r="M640" i="3"/>
  <c r="Q639" i="3"/>
  <c r="F640" i="3"/>
  <c r="J639" i="3"/>
  <c r="H634" i="3"/>
  <c r="K634" i="3"/>
  <c r="G635" i="3"/>
  <c r="C643" i="3"/>
  <c r="J99" i="4"/>
  <c r="E99" i="4"/>
  <c r="F99" i="4"/>
  <c r="K97" i="4"/>
  <c r="D643" i="18"/>
  <c r="O642" i="5"/>
  <c r="P100" i="4"/>
  <c r="I100" i="20" s="1"/>
  <c r="C101" i="4"/>
  <c r="D101" i="4" s="1"/>
  <c r="G100" i="4"/>
  <c r="J95" i="20"/>
  <c r="Q96" i="4"/>
  <c r="C643" i="19"/>
  <c r="N639" i="4"/>
  <c r="H639" i="4"/>
  <c r="I639" i="4" s="1"/>
  <c r="J640" i="4"/>
  <c r="E640" i="4"/>
  <c r="F640" i="4"/>
  <c r="B643" i="4"/>
  <c r="C642" i="4"/>
  <c r="D642" i="4" s="1"/>
  <c r="R641" i="4"/>
  <c r="K641" i="20" s="1"/>
  <c r="Q641" i="4"/>
  <c r="J641" i="20" s="1"/>
  <c r="P641" i="4"/>
  <c r="I641" i="20" s="1"/>
  <c r="G641" i="4"/>
  <c r="K96" i="20"/>
  <c r="R97" i="4"/>
  <c r="N98" i="4"/>
  <c r="H98" i="4"/>
  <c r="I98" i="4" s="1"/>
  <c r="L98" i="4" s="1"/>
  <c r="H146" i="3" l="1"/>
  <c r="N146" i="3" s="1"/>
  <c r="O146" i="3" s="1"/>
  <c r="R146" i="3" s="1"/>
  <c r="K146" i="3"/>
  <c r="D643" i="19"/>
  <c r="E643" i="19" s="1"/>
  <c r="F643" i="19"/>
  <c r="C102" i="3"/>
  <c r="G147" i="3" s="1"/>
  <c r="F641" i="3"/>
  <c r="J640" i="3"/>
  <c r="M641" i="3"/>
  <c r="Q640" i="3"/>
  <c r="G636" i="3"/>
  <c r="H635" i="3"/>
  <c r="K635" i="3"/>
  <c r="C644" i="3"/>
  <c r="K97" i="20"/>
  <c r="R98" i="4"/>
  <c r="J641" i="4"/>
  <c r="E641" i="4"/>
  <c r="F641" i="4"/>
  <c r="R642" i="4"/>
  <c r="K642" i="20" s="1"/>
  <c r="Q642" i="4"/>
  <c r="J642" i="20" s="1"/>
  <c r="P642" i="4"/>
  <c r="I642" i="20" s="1"/>
  <c r="G642" i="4"/>
  <c r="K98" i="4"/>
  <c r="J100" i="4"/>
  <c r="E100" i="4"/>
  <c r="F100" i="4"/>
  <c r="D644" i="18"/>
  <c r="O643" i="5"/>
  <c r="B644" i="4"/>
  <c r="C643" i="4"/>
  <c r="D643" i="4" s="1"/>
  <c r="C644" i="19"/>
  <c r="P101" i="4"/>
  <c r="I101" i="20" s="1"/>
  <c r="C102" i="4"/>
  <c r="D102" i="4" s="1"/>
  <c r="G101" i="4"/>
  <c r="N99" i="4"/>
  <c r="H99" i="4"/>
  <c r="I99" i="4" s="1"/>
  <c r="L99" i="4" s="1"/>
  <c r="N640" i="4"/>
  <c r="H640" i="4"/>
  <c r="I640" i="4" s="1"/>
  <c r="J96" i="20"/>
  <c r="Q97" i="4"/>
  <c r="S96" i="4"/>
  <c r="L96" i="20" s="1"/>
  <c r="H147" i="3" l="1"/>
  <c r="N147" i="3" s="1"/>
  <c r="O147" i="3" s="1"/>
  <c r="R147" i="3" s="1"/>
  <c r="K147" i="3"/>
  <c r="D644" i="19"/>
  <c r="E644" i="19" s="1"/>
  <c r="F644" i="19"/>
  <c r="C103" i="3"/>
  <c r="G148" i="3" s="1"/>
  <c r="M642" i="3"/>
  <c r="Q641" i="3"/>
  <c r="F642" i="3"/>
  <c r="J641" i="3"/>
  <c r="H636" i="3"/>
  <c r="K636" i="3"/>
  <c r="G637" i="3"/>
  <c r="C645" i="3"/>
  <c r="D645" i="18"/>
  <c r="O644" i="5"/>
  <c r="K99" i="4"/>
  <c r="N641" i="4"/>
  <c r="H641" i="4"/>
  <c r="I641" i="4" s="1"/>
  <c r="K98" i="20"/>
  <c r="R99" i="4"/>
  <c r="J101" i="4"/>
  <c r="E101" i="4"/>
  <c r="F101" i="4"/>
  <c r="P643" i="4"/>
  <c r="I643" i="20" s="1"/>
  <c r="R643" i="4"/>
  <c r="K643" i="20" s="1"/>
  <c r="Q643" i="4"/>
  <c r="J643" i="20" s="1"/>
  <c r="G643" i="4"/>
  <c r="J97" i="20"/>
  <c r="Q98" i="4"/>
  <c r="S98" i="4" s="1"/>
  <c r="L98" i="20" s="1"/>
  <c r="P102" i="4"/>
  <c r="I102" i="20" s="1"/>
  <c r="C103" i="4"/>
  <c r="D103" i="4" s="1"/>
  <c r="G102" i="4"/>
  <c r="C645" i="19"/>
  <c r="C644" i="4"/>
  <c r="D644" i="4" s="1"/>
  <c r="B645" i="4"/>
  <c r="N100" i="4"/>
  <c r="H100" i="4"/>
  <c r="I100" i="4" s="1"/>
  <c r="L100" i="4" s="1"/>
  <c r="S97" i="4"/>
  <c r="L97" i="20" s="1"/>
  <c r="E642" i="4"/>
  <c r="J642" i="4"/>
  <c r="F642" i="4"/>
  <c r="H148" i="3" l="1"/>
  <c r="N148" i="3" s="1"/>
  <c r="O148" i="3" s="1"/>
  <c r="R148" i="3" s="1"/>
  <c r="K148" i="3"/>
  <c r="D645" i="19"/>
  <c r="E645" i="19" s="1"/>
  <c r="F645" i="19"/>
  <c r="C104" i="3"/>
  <c r="G149" i="3" s="1"/>
  <c r="F643" i="3"/>
  <c r="J642" i="3"/>
  <c r="M643" i="3"/>
  <c r="Q642" i="3"/>
  <c r="K637" i="3"/>
  <c r="H637" i="3"/>
  <c r="G638" i="3"/>
  <c r="C646" i="3"/>
  <c r="C645" i="4"/>
  <c r="D645" i="4" s="1"/>
  <c r="B646" i="4"/>
  <c r="Q644" i="4"/>
  <c r="J644" i="20" s="1"/>
  <c r="P644" i="4"/>
  <c r="I644" i="20" s="1"/>
  <c r="R644" i="4"/>
  <c r="K644" i="20" s="1"/>
  <c r="G644" i="4"/>
  <c r="E102" i="4"/>
  <c r="J102" i="4"/>
  <c r="F102" i="4"/>
  <c r="J98" i="20"/>
  <c r="Q99" i="4"/>
  <c r="S99" i="4" s="1"/>
  <c r="L99" i="20" s="1"/>
  <c r="J643" i="4"/>
  <c r="E643" i="4"/>
  <c r="F643" i="4"/>
  <c r="K99" i="20"/>
  <c r="R100" i="4"/>
  <c r="C646" i="19"/>
  <c r="P103" i="4"/>
  <c r="I103" i="20" s="1"/>
  <c r="C104" i="4"/>
  <c r="D104" i="4" s="1"/>
  <c r="G103" i="4"/>
  <c r="N101" i="4"/>
  <c r="H101" i="4"/>
  <c r="I101" i="4" s="1"/>
  <c r="L101" i="4" s="1"/>
  <c r="K100" i="4"/>
  <c r="N642" i="4"/>
  <c r="H642" i="4"/>
  <c r="I642" i="4" s="1"/>
  <c r="D646" i="18"/>
  <c r="O645" i="5"/>
  <c r="H149" i="3" l="1"/>
  <c r="N149" i="3" s="1"/>
  <c r="O149" i="3" s="1"/>
  <c r="R149" i="3" s="1"/>
  <c r="K149" i="3"/>
  <c r="D646" i="19"/>
  <c r="E646" i="19" s="1"/>
  <c r="F646" i="19"/>
  <c r="C105" i="3"/>
  <c r="G150" i="3" s="1"/>
  <c r="M644" i="3"/>
  <c r="Q643" i="3"/>
  <c r="F644" i="3"/>
  <c r="J643" i="3"/>
  <c r="H638" i="3"/>
  <c r="K638" i="3"/>
  <c r="G639" i="3"/>
  <c r="C647" i="3"/>
  <c r="K101" i="4"/>
  <c r="J103" i="4"/>
  <c r="E103" i="4"/>
  <c r="F103" i="4"/>
  <c r="D647" i="18"/>
  <c r="O646" i="5"/>
  <c r="P104" i="4"/>
  <c r="I104" i="20" s="1"/>
  <c r="C105" i="4"/>
  <c r="D105" i="4" s="1"/>
  <c r="G104" i="4"/>
  <c r="C647" i="19"/>
  <c r="N643" i="4"/>
  <c r="H643" i="4"/>
  <c r="I643" i="4" s="1"/>
  <c r="B647" i="4"/>
  <c r="C646" i="4"/>
  <c r="D646" i="4" s="1"/>
  <c r="J99" i="20"/>
  <c r="Q100" i="4"/>
  <c r="S100" i="4" s="1"/>
  <c r="L100" i="20" s="1"/>
  <c r="N102" i="4"/>
  <c r="H102" i="4"/>
  <c r="I102" i="4" s="1"/>
  <c r="L102" i="4" s="1"/>
  <c r="R645" i="4"/>
  <c r="K645" i="20" s="1"/>
  <c r="Q645" i="4"/>
  <c r="J645" i="20" s="1"/>
  <c r="P645" i="4"/>
  <c r="I645" i="20" s="1"/>
  <c r="G645" i="4"/>
  <c r="K100" i="20"/>
  <c r="R101" i="4"/>
  <c r="J644" i="4"/>
  <c r="E644" i="4"/>
  <c r="F644" i="4"/>
  <c r="H150" i="3" l="1"/>
  <c r="K150" i="3"/>
  <c r="D647" i="19"/>
  <c r="E647" i="19" s="1"/>
  <c r="F647" i="19"/>
  <c r="C106" i="3"/>
  <c r="G151" i="3" s="1"/>
  <c r="F645" i="3"/>
  <c r="J644" i="3"/>
  <c r="M645" i="3"/>
  <c r="Q644" i="3"/>
  <c r="H639" i="3"/>
  <c r="K639" i="3"/>
  <c r="G640" i="3"/>
  <c r="C648" i="3"/>
  <c r="J104" i="4"/>
  <c r="E104" i="4"/>
  <c r="F104" i="4"/>
  <c r="N103" i="4"/>
  <c r="H103" i="4"/>
  <c r="I103" i="4" s="1"/>
  <c r="L103" i="4" s="1"/>
  <c r="K102" i="4"/>
  <c r="K101" i="20"/>
  <c r="R102" i="4"/>
  <c r="J100" i="20"/>
  <c r="Q101" i="4"/>
  <c r="R646" i="4"/>
  <c r="K646" i="20" s="1"/>
  <c r="Q646" i="4"/>
  <c r="J646" i="20" s="1"/>
  <c r="P646" i="4"/>
  <c r="I646" i="20" s="1"/>
  <c r="G646" i="4"/>
  <c r="N644" i="4"/>
  <c r="H644" i="4"/>
  <c r="I644" i="4" s="1"/>
  <c r="J645" i="4"/>
  <c r="E645" i="4"/>
  <c r="F645" i="4"/>
  <c r="B648" i="4"/>
  <c r="C647" i="4"/>
  <c r="D647" i="4" s="1"/>
  <c r="C648" i="19"/>
  <c r="P105" i="4"/>
  <c r="I105" i="20" s="1"/>
  <c r="C106" i="4"/>
  <c r="D106" i="4" s="1"/>
  <c r="G105" i="4"/>
  <c r="D648" i="18"/>
  <c r="O647" i="5"/>
  <c r="H151" i="3" l="1"/>
  <c r="K151" i="3"/>
  <c r="D648" i="19"/>
  <c r="E648" i="19" s="1"/>
  <c r="F648" i="19"/>
  <c r="C107" i="3"/>
  <c r="G152" i="3" s="1"/>
  <c r="M646" i="3"/>
  <c r="Q645" i="3"/>
  <c r="F646" i="3"/>
  <c r="J645" i="3"/>
  <c r="H640" i="3"/>
  <c r="K640" i="3"/>
  <c r="G641" i="3"/>
  <c r="C649" i="3"/>
  <c r="K102" i="20"/>
  <c r="R103" i="4"/>
  <c r="N104" i="4"/>
  <c r="H104" i="4"/>
  <c r="I104" i="4" s="1"/>
  <c r="L104" i="4" s="1"/>
  <c r="P106" i="4"/>
  <c r="I106" i="20" s="1"/>
  <c r="C107" i="4"/>
  <c r="D107" i="4" s="1"/>
  <c r="G106" i="4"/>
  <c r="C649" i="19"/>
  <c r="N645" i="4"/>
  <c r="H645" i="4"/>
  <c r="I645" i="4" s="1"/>
  <c r="J105" i="4"/>
  <c r="E105" i="4"/>
  <c r="F105" i="4"/>
  <c r="P647" i="4"/>
  <c r="I647" i="20" s="1"/>
  <c r="R647" i="4"/>
  <c r="K647" i="20" s="1"/>
  <c r="Q647" i="4"/>
  <c r="J647" i="20" s="1"/>
  <c r="G647" i="4"/>
  <c r="E646" i="4"/>
  <c r="J646" i="4"/>
  <c r="F646" i="4"/>
  <c r="J101" i="20"/>
  <c r="Q102" i="4"/>
  <c r="S102" i="4" s="1"/>
  <c r="L102" i="20" s="1"/>
  <c r="S101" i="4"/>
  <c r="L101" i="20" s="1"/>
  <c r="D649" i="18"/>
  <c r="O648" i="5"/>
  <c r="C648" i="4"/>
  <c r="D648" i="4" s="1"/>
  <c r="B649" i="4"/>
  <c r="K103" i="4"/>
  <c r="H152" i="3" l="1"/>
  <c r="K152" i="3"/>
  <c r="D649" i="19"/>
  <c r="E649" i="19" s="1"/>
  <c r="F649" i="19"/>
  <c r="C108" i="3"/>
  <c r="G153" i="3" s="1"/>
  <c r="F647" i="3"/>
  <c r="J646" i="3"/>
  <c r="M647" i="3"/>
  <c r="Q646" i="3"/>
  <c r="K641" i="3"/>
  <c r="H641" i="3"/>
  <c r="G642" i="3"/>
  <c r="C650" i="3"/>
  <c r="N105" i="4"/>
  <c r="H105" i="4"/>
  <c r="I105" i="4" s="1"/>
  <c r="L105" i="4" s="1"/>
  <c r="C649" i="4"/>
  <c r="D649" i="4" s="1"/>
  <c r="B650" i="4"/>
  <c r="Q648" i="4"/>
  <c r="J648" i="20" s="1"/>
  <c r="P648" i="4"/>
  <c r="I648" i="20" s="1"/>
  <c r="R648" i="4"/>
  <c r="K648" i="20" s="1"/>
  <c r="G648" i="4"/>
  <c r="J102" i="20"/>
  <c r="Q103" i="4"/>
  <c r="S103" i="4" s="1"/>
  <c r="L103" i="20" s="1"/>
  <c r="N646" i="4"/>
  <c r="H646" i="4"/>
  <c r="I646" i="4" s="1"/>
  <c r="E106" i="4"/>
  <c r="J106" i="4"/>
  <c r="F106" i="4"/>
  <c r="K104" i="4"/>
  <c r="D650" i="18"/>
  <c r="O649" i="5"/>
  <c r="J647" i="4"/>
  <c r="E647" i="4"/>
  <c r="F647" i="4"/>
  <c r="C650" i="19"/>
  <c r="P107" i="4"/>
  <c r="I107" i="20" s="1"/>
  <c r="C108" i="4"/>
  <c r="D108" i="4" s="1"/>
  <c r="G107" i="4"/>
  <c r="K103" i="20"/>
  <c r="R104" i="4"/>
  <c r="H153" i="3" l="1"/>
  <c r="K153" i="3"/>
  <c r="D650" i="19"/>
  <c r="E650" i="19" s="1"/>
  <c r="F650" i="19"/>
  <c r="C109" i="3"/>
  <c r="M648" i="3"/>
  <c r="Q647" i="3"/>
  <c r="F648" i="3"/>
  <c r="J647" i="3"/>
  <c r="H642" i="3"/>
  <c r="K642" i="3"/>
  <c r="G643" i="3"/>
  <c r="C651" i="3"/>
  <c r="D651" i="18"/>
  <c r="O650" i="5"/>
  <c r="J648" i="4"/>
  <c r="E648" i="4"/>
  <c r="F648" i="4"/>
  <c r="K104" i="20"/>
  <c r="R105" i="4"/>
  <c r="J107" i="4"/>
  <c r="E107" i="4"/>
  <c r="F107" i="4"/>
  <c r="N647" i="4"/>
  <c r="H647" i="4"/>
  <c r="I647" i="4" s="1"/>
  <c r="N106" i="4"/>
  <c r="H106" i="4"/>
  <c r="I106" i="4" s="1"/>
  <c r="L106" i="4" s="1"/>
  <c r="J103" i="20"/>
  <c r="Q104" i="4"/>
  <c r="B651" i="4"/>
  <c r="C650" i="4"/>
  <c r="D650" i="4" s="1"/>
  <c r="P108" i="4"/>
  <c r="I108" i="20" s="1"/>
  <c r="C109" i="4"/>
  <c r="D109" i="4" s="1"/>
  <c r="G108" i="4"/>
  <c r="C651" i="19"/>
  <c r="K105" i="4"/>
  <c r="R649" i="4"/>
  <c r="K649" i="20" s="1"/>
  <c r="Q649" i="4"/>
  <c r="J649" i="20" s="1"/>
  <c r="P649" i="4"/>
  <c r="I649" i="20" s="1"/>
  <c r="G649" i="4"/>
  <c r="C110" i="3" l="1"/>
  <c r="G154" i="3"/>
  <c r="D651" i="19"/>
  <c r="E651" i="19" s="1"/>
  <c r="F651" i="19"/>
  <c r="F649" i="3"/>
  <c r="J648" i="3"/>
  <c r="M649" i="3"/>
  <c r="Q648" i="3"/>
  <c r="H643" i="3"/>
  <c r="K643" i="3"/>
  <c r="G644" i="3"/>
  <c r="C652" i="3"/>
  <c r="D652" i="18"/>
  <c r="O651" i="5"/>
  <c r="K106" i="4"/>
  <c r="J108" i="4"/>
  <c r="E108" i="4"/>
  <c r="F108" i="4"/>
  <c r="R650" i="4"/>
  <c r="K650" i="20" s="1"/>
  <c r="Q650" i="4"/>
  <c r="J650" i="20" s="1"/>
  <c r="P650" i="4"/>
  <c r="I650" i="20" s="1"/>
  <c r="G650" i="4"/>
  <c r="N107" i="4"/>
  <c r="H107" i="4"/>
  <c r="I107" i="4" s="1"/>
  <c r="L107" i="4" s="1"/>
  <c r="J649" i="4"/>
  <c r="E649" i="4"/>
  <c r="F649" i="4"/>
  <c r="P109" i="4"/>
  <c r="I109" i="20" s="1"/>
  <c r="C110" i="4"/>
  <c r="D110" i="4" s="1"/>
  <c r="G109" i="4"/>
  <c r="B652" i="4"/>
  <c r="C651" i="4"/>
  <c r="D651" i="4" s="1"/>
  <c r="N648" i="4"/>
  <c r="H648" i="4"/>
  <c r="I648" i="4" s="1"/>
  <c r="J104" i="20"/>
  <c r="Q105" i="4"/>
  <c r="S105" i="4" s="1"/>
  <c r="L105" i="20" s="1"/>
  <c r="K105" i="20"/>
  <c r="R106" i="4"/>
  <c r="C652" i="19"/>
  <c r="S104" i="4"/>
  <c r="L104" i="20" s="1"/>
  <c r="H154" i="3" l="1"/>
  <c r="K154" i="3"/>
  <c r="C111" i="3"/>
  <c r="G155" i="3"/>
  <c r="D652" i="19"/>
  <c r="E652" i="19" s="1"/>
  <c r="F652" i="19"/>
  <c r="M650" i="3"/>
  <c r="Q649" i="3"/>
  <c r="F650" i="3"/>
  <c r="J649" i="3"/>
  <c r="G645" i="3"/>
  <c r="K644" i="3"/>
  <c r="H644" i="3"/>
  <c r="C653" i="3"/>
  <c r="K106" i="20"/>
  <c r="R107" i="4"/>
  <c r="C652" i="4"/>
  <c r="D652" i="4" s="1"/>
  <c r="B653" i="4"/>
  <c r="J109" i="4"/>
  <c r="E109" i="4"/>
  <c r="F109" i="4"/>
  <c r="D653" i="18"/>
  <c r="O652" i="5"/>
  <c r="E650" i="4"/>
  <c r="J650" i="4"/>
  <c r="F650" i="4"/>
  <c r="K107" i="4"/>
  <c r="J105" i="20"/>
  <c r="Q106" i="4"/>
  <c r="S106" i="4" s="1"/>
  <c r="L106" i="20" s="1"/>
  <c r="P110" i="4"/>
  <c r="I110" i="20" s="1"/>
  <c r="C111" i="4"/>
  <c r="D111" i="4" s="1"/>
  <c r="G110" i="4"/>
  <c r="C653" i="19"/>
  <c r="P651" i="4"/>
  <c r="I651" i="20" s="1"/>
  <c r="R651" i="4"/>
  <c r="K651" i="20" s="1"/>
  <c r="Q651" i="4"/>
  <c r="J651" i="20" s="1"/>
  <c r="G651" i="4"/>
  <c r="N649" i="4"/>
  <c r="H649" i="4"/>
  <c r="I649" i="4" s="1"/>
  <c r="N108" i="4"/>
  <c r="H108" i="4"/>
  <c r="I108" i="4" s="1"/>
  <c r="L108" i="4" s="1"/>
  <c r="H155" i="3" l="1"/>
  <c r="K155" i="3"/>
  <c r="C112" i="3"/>
  <c r="G156" i="3"/>
  <c r="D653" i="19"/>
  <c r="E653" i="19" s="1"/>
  <c r="F653" i="19"/>
  <c r="F651" i="3"/>
  <c r="J650" i="3"/>
  <c r="M651" i="3"/>
  <c r="Q650" i="3"/>
  <c r="K645" i="3"/>
  <c r="H645" i="3"/>
  <c r="G646" i="3"/>
  <c r="C654" i="3"/>
  <c r="Q652" i="4"/>
  <c r="J652" i="20" s="1"/>
  <c r="P652" i="4"/>
  <c r="I652" i="20" s="1"/>
  <c r="R652" i="4"/>
  <c r="K652" i="20" s="1"/>
  <c r="G652" i="4"/>
  <c r="P111" i="4"/>
  <c r="I111" i="20" s="1"/>
  <c r="C112" i="4"/>
  <c r="D112" i="4" s="1"/>
  <c r="G111" i="4"/>
  <c r="J106" i="20"/>
  <c r="Q107" i="4"/>
  <c r="S107" i="4" s="1"/>
  <c r="L107" i="20" s="1"/>
  <c r="N109" i="4"/>
  <c r="H109" i="4"/>
  <c r="I109" i="4" s="1"/>
  <c r="L109" i="4" s="1"/>
  <c r="K107" i="20"/>
  <c r="R108" i="4"/>
  <c r="E110" i="4"/>
  <c r="J110" i="4"/>
  <c r="F110" i="4"/>
  <c r="J651" i="4"/>
  <c r="E651" i="4"/>
  <c r="F651" i="4"/>
  <c r="D654" i="18"/>
  <c r="O653" i="5"/>
  <c r="C654" i="19"/>
  <c r="K108" i="4"/>
  <c r="N650" i="4"/>
  <c r="H650" i="4"/>
  <c r="I650" i="4" s="1"/>
  <c r="C653" i="4"/>
  <c r="D653" i="4" s="1"/>
  <c r="B654" i="4"/>
  <c r="H156" i="3" l="1"/>
  <c r="K156" i="3"/>
  <c r="C113" i="3"/>
  <c r="G157" i="3"/>
  <c r="D654" i="19"/>
  <c r="E654" i="19" s="1"/>
  <c r="F654" i="19"/>
  <c r="M652" i="3"/>
  <c r="Q651" i="3"/>
  <c r="F652" i="3"/>
  <c r="J651" i="3"/>
  <c r="H646" i="3"/>
  <c r="K646" i="3"/>
  <c r="G647" i="3"/>
  <c r="C655" i="3"/>
  <c r="R653" i="4"/>
  <c r="K653" i="20" s="1"/>
  <c r="Q653" i="4"/>
  <c r="J653" i="20" s="1"/>
  <c r="P653" i="4"/>
  <c r="I653" i="20" s="1"/>
  <c r="G653" i="4"/>
  <c r="K109" i="4"/>
  <c r="J111" i="4"/>
  <c r="E111" i="4"/>
  <c r="F111" i="4"/>
  <c r="B655" i="4"/>
  <c r="C654" i="4"/>
  <c r="D654" i="4" s="1"/>
  <c r="N651" i="4"/>
  <c r="H651" i="4"/>
  <c r="I651" i="4" s="1"/>
  <c r="K108" i="20"/>
  <c r="R109" i="4"/>
  <c r="P112" i="4"/>
  <c r="I112" i="20" s="1"/>
  <c r="C113" i="4"/>
  <c r="D113" i="4" s="1"/>
  <c r="G112" i="4"/>
  <c r="D655" i="18"/>
  <c r="O654" i="5"/>
  <c r="D656" i="18" s="1"/>
  <c r="N110" i="4"/>
  <c r="H110" i="4"/>
  <c r="I110" i="4" s="1"/>
  <c r="L110" i="4" s="1"/>
  <c r="J107" i="20"/>
  <c r="Q108" i="4"/>
  <c r="S108" i="4" s="1"/>
  <c r="L108" i="20" s="1"/>
  <c r="J652" i="4"/>
  <c r="E652" i="4"/>
  <c r="F652" i="4"/>
  <c r="K157" i="3" l="1"/>
  <c r="H157" i="3"/>
  <c r="C114" i="3"/>
  <c r="G158" i="3"/>
  <c r="D5" i="19"/>
  <c r="E5" i="19" s="1"/>
  <c r="D218" i="19"/>
  <c r="E218" i="19" s="1"/>
  <c r="D222" i="19"/>
  <c r="E222" i="19" s="1"/>
  <c r="D217" i="19"/>
  <c r="E217" i="19" s="1"/>
  <c r="D216" i="19"/>
  <c r="E216" i="19" s="1"/>
  <c r="D220" i="19"/>
  <c r="E220" i="19" s="1"/>
  <c r="D219" i="19"/>
  <c r="E219" i="19" s="1"/>
  <c r="D221" i="19"/>
  <c r="E221" i="19" s="1"/>
  <c r="D180" i="19"/>
  <c r="E180" i="19" s="1"/>
  <c r="D178" i="19"/>
  <c r="E178" i="19" s="1"/>
  <c r="D177" i="19"/>
  <c r="E177" i="19" s="1"/>
  <c r="D182" i="19"/>
  <c r="E182" i="19" s="1"/>
  <c r="D179" i="19"/>
  <c r="E179" i="19" s="1"/>
  <c r="D181" i="19"/>
  <c r="E181" i="19" s="1"/>
  <c r="D183" i="19"/>
  <c r="E183" i="19" s="1"/>
  <c r="D185" i="19"/>
  <c r="E185" i="19" s="1"/>
  <c r="D184" i="19"/>
  <c r="E184" i="19" s="1"/>
  <c r="D186" i="19"/>
  <c r="E186" i="19" s="1"/>
  <c r="D187" i="19"/>
  <c r="E187" i="19" s="1"/>
  <c r="D188" i="19"/>
  <c r="E188" i="19" s="1"/>
  <c r="D190" i="19"/>
  <c r="E190" i="19" s="1"/>
  <c r="D189" i="19"/>
  <c r="E189" i="19" s="1"/>
  <c r="D191" i="19"/>
  <c r="E191" i="19" s="1"/>
  <c r="D192" i="19"/>
  <c r="E192" i="19" s="1"/>
  <c r="D195" i="19"/>
  <c r="E195" i="19" s="1"/>
  <c r="D193" i="19"/>
  <c r="E193" i="19" s="1"/>
  <c r="D194" i="19"/>
  <c r="E194" i="19" s="1"/>
  <c r="D197" i="19"/>
  <c r="E197" i="19" s="1"/>
  <c r="D196" i="19"/>
  <c r="E196" i="19" s="1"/>
  <c r="D198" i="19"/>
  <c r="E198" i="19" s="1"/>
  <c r="D199" i="19"/>
  <c r="E199" i="19" s="1"/>
  <c r="D202" i="19"/>
  <c r="E202" i="19" s="1"/>
  <c r="D200" i="19"/>
  <c r="E200" i="19" s="1"/>
  <c r="D201" i="19"/>
  <c r="E201" i="19" s="1"/>
  <c r="D203" i="19"/>
  <c r="E203" i="19" s="1"/>
  <c r="D206" i="19"/>
  <c r="E206" i="19" s="1"/>
  <c r="D204" i="19"/>
  <c r="E204" i="19" s="1"/>
  <c r="D205" i="19"/>
  <c r="E205" i="19" s="1"/>
  <c r="D209" i="19"/>
  <c r="E209" i="19" s="1"/>
  <c r="D207" i="19"/>
  <c r="E207" i="19" s="1"/>
  <c r="D208" i="19"/>
  <c r="E208" i="19" s="1"/>
  <c r="D212" i="19"/>
  <c r="E212" i="19" s="1"/>
  <c r="D210" i="19"/>
  <c r="E210" i="19" s="1"/>
  <c r="D211" i="19"/>
  <c r="E211" i="19" s="1"/>
  <c r="D214" i="19"/>
  <c r="E214" i="19" s="1"/>
  <c r="D213" i="19"/>
  <c r="E213" i="19" s="1"/>
  <c r="D215" i="19"/>
  <c r="E215" i="19" s="1"/>
  <c r="D6" i="19"/>
  <c r="D7" i="19"/>
  <c r="E7" i="19" s="1"/>
  <c r="D8" i="19"/>
  <c r="E8" i="19" s="1"/>
  <c r="D9" i="19"/>
  <c r="E9" i="19" s="1"/>
  <c r="D10" i="19"/>
  <c r="E10" i="19" s="1"/>
  <c r="D11" i="19"/>
  <c r="E11" i="19" s="1"/>
  <c r="D13" i="19"/>
  <c r="E13" i="19" s="1"/>
  <c r="D12" i="19"/>
  <c r="E12" i="19" s="1"/>
  <c r="D14" i="19"/>
  <c r="E14" i="19" s="1"/>
  <c r="D15" i="19"/>
  <c r="E15" i="19" s="1"/>
  <c r="D16" i="19"/>
  <c r="E16" i="19" s="1"/>
  <c r="D17" i="19"/>
  <c r="E17" i="19" s="1"/>
  <c r="D18" i="19"/>
  <c r="E18" i="19" s="1"/>
  <c r="D19" i="19"/>
  <c r="E19" i="19" s="1"/>
  <c r="D20" i="19"/>
  <c r="E20" i="19" s="1"/>
  <c r="D21" i="19"/>
  <c r="E21" i="19" s="1"/>
  <c r="D23" i="19"/>
  <c r="E23" i="19" s="1"/>
  <c r="D22" i="19"/>
  <c r="E22" i="19" s="1"/>
  <c r="D24" i="19"/>
  <c r="E24" i="19" s="1"/>
  <c r="D26" i="19"/>
  <c r="E26" i="19" s="1"/>
  <c r="D25" i="19"/>
  <c r="E25" i="19" s="1"/>
  <c r="D27" i="19"/>
  <c r="E27" i="19" s="1"/>
  <c r="D29" i="19"/>
  <c r="E29" i="19" s="1"/>
  <c r="D28" i="19"/>
  <c r="E28" i="19" s="1"/>
  <c r="D30" i="19"/>
  <c r="E30" i="19" s="1"/>
  <c r="D31" i="19"/>
  <c r="E31" i="19" s="1"/>
  <c r="D32" i="19"/>
  <c r="E32" i="19" s="1"/>
  <c r="D33" i="19"/>
  <c r="E33" i="19" s="1"/>
  <c r="D34" i="19"/>
  <c r="E34" i="19" s="1"/>
  <c r="D36" i="19"/>
  <c r="E36" i="19" s="1"/>
  <c r="D35" i="19"/>
  <c r="E35" i="19" s="1"/>
  <c r="D38" i="19"/>
  <c r="E38" i="19" s="1"/>
  <c r="D37" i="19"/>
  <c r="E37" i="19" s="1"/>
  <c r="D39" i="19"/>
  <c r="E39" i="19" s="1"/>
  <c r="D40" i="19"/>
  <c r="E40" i="19" s="1"/>
  <c r="D41" i="19"/>
  <c r="E41" i="19" s="1"/>
  <c r="D42" i="19"/>
  <c r="E42" i="19" s="1"/>
  <c r="D43" i="19"/>
  <c r="E43" i="19" s="1"/>
  <c r="D45" i="19"/>
  <c r="E45" i="19" s="1"/>
  <c r="D44" i="19"/>
  <c r="E44" i="19" s="1"/>
  <c r="D46" i="19"/>
  <c r="E46" i="19" s="1"/>
  <c r="D47" i="19"/>
  <c r="E47" i="19" s="1"/>
  <c r="D49" i="19"/>
  <c r="E49" i="19" s="1"/>
  <c r="D48" i="19"/>
  <c r="E48" i="19" s="1"/>
  <c r="D50" i="19"/>
  <c r="E50" i="19" s="1"/>
  <c r="D51" i="19"/>
  <c r="E51" i="19" s="1"/>
  <c r="D52" i="19"/>
  <c r="E52" i="19" s="1"/>
  <c r="D54" i="19"/>
  <c r="E54" i="19" s="1"/>
  <c r="D53" i="19"/>
  <c r="E53" i="19" s="1"/>
  <c r="D55" i="19"/>
  <c r="E55" i="19" s="1"/>
  <c r="D56" i="19"/>
  <c r="E56" i="19" s="1"/>
  <c r="D58" i="19"/>
  <c r="E58" i="19" s="1"/>
  <c r="D57" i="19"/>
  <c r="E57" i="19" s="1"/>
  <c r="D60" i="19"/>
  <c r="E60" i="19" s="1"/>
  <c r="D59" i="19"/>
  <c r="E59" i="19" s="1"/>
  <c r="D61" i="19"/>
  <c r="E61" i="19" s="1"/>
  <c r="D62" i="19"/>
  <c r="E62" i="19" s="1"/>
  <c r="D64" i="19"/>
  <c r="E64" i="19" s="1"/>
  <c r="D63" i="19"/>
  <c r="E63" i="19" s="1"/>
  <c r="D65" i="19"/>
  <c r="E65" i="19" s="1"/>
  <c r="D68" i="19"/>
  <c r="E68" i="19" s="1"/>
  <c r="D66" i="19"/>
  <c r="E66" i="19" s="1"/>
  <c r="D69" i="19"/>
  <c r="E69" i="19" s="1"/>
  <c r="D67" i="19"/>
  <c r="E67" i="19" s="1"/>
  <c r="D70" i="19"/>
  <c r="E70" i="19" s="1"/>
  <c r="D71" i="19"/>
  <c r="E71" i="19" s="1"/>
  <c r="D72" i="19"/>
  <c r="E72" i="19" s="1"/>
  <c r="D73" i="19"/>
  <c r="E73" i="19" s="1"/>
  <c r="D74" i="19"/>
  <c r="E74" i="19" s="1"/>
  <c r="D75" i="19"/>
  <c r="E75" i="19" s="1"/>
  <c r="D76" i="19"/>
  <c r="E76" i="19" s="1"/>
  <c r="D78" i="19"/>
  <c r="E78" i="19" s="1"/>
  <c r="D77" i="19"/>
  <c r="E77" i="19" s="1"/>
  <c r="D79" i="19"/>
  <c r="E79" i="19" s="1"/>
  <c r="D81" i="19"/>
  <c r="E81" i="19" s="1"/>
  <c r="D80" i="19"/>
  <c r="E80" i="19" s="1"/>
  <c r="D82" i="19"/>
  <c r="E82" i="19" s="1"/>
  <c r="D84" i="19"/>
  <c r="E84" i="19" s="1"/>
  <c r="D83" i="19"/>
  <c r="E83" i="19" s="1"/>
  <c r="D85" i="19"/>
  <c r="E85" i="19" s="1"/>
  <c r="D87" i="19"/>
  <c r="E87" i="19" s="1"/>
  <c r="D86" i="19"/>
  <c r="E86" i="19" s="1"/>
  <c r="D88" i="19"/>
  <c r="E88" i="19" s="1"/>
  <c r="D89" i="19"/>
  <c r="E89" i="19" s="1"/>
  <c r="D90" i="19"/>
  <c r="E90" i="19" s="1"/>
  <c r="D91" i="19"/>
  <c r="E91" i="19" s="1"/>
  <c r="D92" i="19"/>
  <c r="E92" i="19" s="1"/>
  <c r="D94" i="19"/>
  <c r="E94" i="19" s="1"/>
  <c r="D93" i="19"/>
  <c r="E93" i="19" s="1"/>
  <c r="D95" i="19"/>
  <c r="E95" i="19" s="1"/>
  <c r="D96" i="19"/>
  <c r="E96" i="19" s="1"/>
  <c r="D97" i="19"/>
  <c r="E97" i="19" s="1"/>
  <c r="D98" i="19"/>
  <c r="E98" i="19" s="1"/>
  <c r="D99" i="19"/>
  <c r="E99" i="19" s="1"/>
  <c r="D100" i="19"/>
  <c r="E100" i="19" s="1"/>
  <c r="D101" i="19"/>
  <c r="E101" i="19" s="1"/>
  <c r="D102" i="19"/>
  <c r="E102" i="19" s="1"/>
  <c r="D104" i="19"/>
  <c r="E104" i="19" s="1"/>
  <c r="D103" i="19"/>
  <c r="E103" i="19" s="1"/>
  <c r="D105" i="19"/>
  <c r="E105" i="19" s="1"/>
  <c r="D106" i="19"/>
  <c r="E106" i="19" s="1"/>
  <c r="D107" i="19"/>
  <c r="E107" i="19" s="1"/>
  <c r="D108" i="19"/>
  <c r="E108" i="19" s="1"/>
  <c r="D109" i="19"/>
  <c r="E109" i="19" s="1"/>
  <c r="D111" i="19"/>
  <c r="E111" i="19" s="1"/>
  <c r="D110" i="19"/>
  <c r="E110" i="19" s="1"/>
  <c r="D113" i="19"/>
  <c r="E113" i="19" s="1"/>
  <c r="D112" i="19"/>
  <c r="E112" i="19" s="1"/>
  <c r="D114" i="19"/>
  <c r="E114" i="19" s="1"/>
  <c r="D116" i="19"/>
  <c r="E116" i="19" s="1"/>
  <c r="D115" i="19"/>
  <c r="E115" i="19" s="1"/>
  <c r="D117" i="19"/>
  <c r="E117" i="19" s="1"/>
  <c r="D118" i="19"/>
  <c r="E118" i="19" s="1"/>
  <c r="D119" i="19"/>
  <c r="E119" i="19" s="1"/>
  <c r="D120" i="19"/>
  <c r="E120" i="19" s="1"/>
  <c r="D121" i="19"/>
  <c r="E121" i="19" s="1"/>
  <c r="D123" i="19"/>
  <c r="E123" i="19" s="1"/>
  <c r="D122" i="19"/>
  <c r="E122" i="19" s="1"/>
  <c r="D124" i="19"/>
  <c r="E124" i="19" s="1"/>
  <c r="D126" i="19"/>
  <c r="E126" i="19" s="1"/>
  <c r="D125" i="19"/>
  <c r="E125" i="19" s="1"/>
  <c r="D127" i="19"/>
  <c r="E127" i="19" s="1"/>
  <c r="D128" i="19"/>
  <c r="E128" i="19" s="1"/>
  <c r="D129" i="19"/>
  <c r="E129" i="19" s="1"/>
  <c r="D130" i="19"/>
  <c r="E130" i="19" s="1"/>
  <c r="D131" i="19"/>
  <c r="E131" i="19" s="1"/>
  <c r="D132" i="19"/>
  <c r="E132" i="19" s="1"/>
  <c r="D134" i="19"/>
  <c r="E134" i="19" s="1"/>
  <c r="D133" i="19"/>
  <c r="E133" i="19" s="1"/>
  <c r="D136" i="19"/>
  <c r="E136" i="19" s="1"/>
  <c r="D135" i="19"/>
  <c r="E135" i="19" s="1"/>
  <c r="D137" i="19"/>
  <c r="E137" i="19" s="1"/>
  <c r="D139" i="19"/>
  <c r="E139" i="19" s="1"/>
  <c r="D138" i="19"/>
  <c r="E138" i="19" s="1"/>
  <c r="D140" i="19"/>
  <c r="E140" i="19" s="1"/>
  <c r="D141" i="19"/>
  <c r="E141" i="19" s="1"/>
  <c r="D142" i="19"/>
  <c r="E142" i="19" s="1"/>
  <c r="D144" i="19"/>
  <c r="E144" i="19" s="1"/>
  <c r="D143" i="19"/>
  <c r="E143" i="19" s="1"/>
  <c r="D145" i="19"/>
  <c r="E145" i="19" s="1"/>
  <c r="D147" i="19"/>
  <c r="E147" i="19" s="1"/>
  <c r="D146" i="19"/>
  <c r="E146" i="19" s="1"/>
  <c r="D148" i="19"/>
  <c r="E148" i="19" s="1"/>
  <c r="D149" i="19"/>
  <c r="E149" i="19" s="1"/>
  <c r="D150" i="19"/>
  <c r="E150" i="19" s="1"/>
  <c r="D151" i="19"/>
  <c r="E151" i="19" s="1"/>
  <c r="D152" i="19"/>
  <c r="E152" i="19" s="1"/>
  <c r="D153" i="19"/>
  <c r="E153" i="19" s="1"/>
  <c r="D154" i="19"/>
  <c r="E154" i="19" s="1"/>
  <c r="D155" i="19"/>
  <c r="E155" i="19" s="1"/>
  <c r="D156" i="19"/>
  <c r="E156" i="19" s="1"/>
  <c r="D158" i="19"/>
  <c r="E158" i="19" s="1"/>
  <c r="D157" i="19"/>
  <c r="E157" i="19" s="1"/>
  <c r="D159" i="19"/>
  <c r="E159" i="19" s="1"/>
  <c r="D160" i="19"/>
  <c r="E160" i="19" s="1"/>
  <c r="D161" i="19"/>
  <c r="E161" i="19" s="1"/>
  <c r="D162" i="19"/>
  <c r="E162" i="19" s="1"/>
  <c r="D163" i="19"/>
  <c r="E163" i="19" s="1"/>
  <c r="D164" i="19"/>
  <c r="E164" i="19" s="1"/>
  <c r="D165" i="19"/>
  <c r="E165" i="19" s="1"/>
  <c r="D166" i="19"/>
  <c r="E166" i="19" s="1"/>
  <c r="D167" i="19"/>
  <c r="E167" i="19" s="1"/>
  <c r="D168" i="19"/>
  <c r="E168" i="19" s="1"/>
  <c r="D170" i="19"/>
  <c r="E170" i="19" s="1"/>
  <c r="D169" i="19"/>
  <c r="E169" i="19" s="1"/>
  <c r="D172" i="19"/>
  <c r="E172" i="19" s="1"/>
  <c r="D171" i="19"/>
  <c r="E171" i="19" s="1"/>
  <c r="D174" i="19"/>
  <c r="E174" i="19" s="1"/>
  <c r="D173" i="19"/>
  <c r="E173" i="19" s="1"/>
  <c r="D175" i="19"/>
  <c r="E175" i="19" s="1"/>
  <c r="D176" i="19"/>
  <c r="E176" i="19" s="1"/>
  <c r="F653" i="3"/>
  <c r="J652" i="3"/>
  <c r="M653" i="3"/>
  <c r="Q652" i="3"/>
  <c r="H647" i="3"/>
  <c r="K647" i="3"/>
  <c r="G648" i="3"/>
  <c r="C656" i="3"/>
  <c r="N652" i="4"/>
  <c r="H652" i="4"/>
  <c r="I652" i="4" s="1"/>
  <c r="J112" i="4"/>
  <c r="E112" i="4"/>
  <c r="F112" i="4"/>
  <c r="N111" i="4"/>
  <c r="H111" i="4"/>
  <c r="I111" i="4" s="1"/>
  <c r="L111" i="4" s="1"/>
  <c r="J653" i="4"/>
  <c r="E653" i="4"/>
  <c r="F653" i="4"/>
  <c r="B656" i="4"/>
  <c r="C655" i="4"/>
  <c r="D655" i="4" s="1"/>
  <c r="J108" i="20"/>
  <c r="Q109" i="4"/>
  <c r="S109" i="4" s="1"/>
  <c r="L109" i="20" s="1"/>
  <c r="P113" i="4"/>
  <c r="I113" i="20" s="1"/>
  <c r="C114" i="4"/>
  <c r="D114" i="4" s="1"/>
  <c r="G113" i="4"/>
  <c r="K109" i="20"/>
  <c r="R110" i="4"/>
  <c r="R654" i="4"/>
  <c r="K654" i="20" s="1"/>
  <c r="Q654" i="4"/>
  <c r="J654" i="20" s="1"/>
  <c r="P654" i="4"/>
  <c r="I654" i="20" s="1"/>
  <c r="G654" i="4"/>
  <c r="K110" i="4"/>
  <c r="K158" i="3" l="1"/>
  <c r="H158" i="3"/>
  <c r="C115" i="3"/>
  <c r="G159" i="3"/>
  <c r="F5" i="19"/>
  <c r="E6" i="19"/>
  <c r="F161" i="19" s="1"/>
  <c r="K46" i="16"/>
  <c r="K50" i="16" s="1"/>
  <c r="M654" i="3"/>
  <c r="Q653" i="3"/>
  <c r="F654" i="3"/>
  <c r="J653" i="3"/>
  <c r="K648" i="3"/>
  <c r="H648" i="3"/>
  <c r="G649" i="3"/>
  <c r="C657" i="3"/>
  <c r="J113" i="4"/>
  <c r="E113" i="4"/>
  <c r="F113" i="4"/>
  <c r="C656" i="4"/>
  <c r="D656" i="4" s="1"/>
  <c r="B657" i="4"/>
  <c r="K111" i="4"/>
  <c r="P114" i="4"/>
  <c r="I114" i="20" s="1"/>
  <c r="C115" i="4"/>
  <c r="D115" i="4" s="1"/>
  <c r="G114" i="4"/>
  <c r="J109" i="20"/>
  <c r="Q110" i="4"/>
  <c r="N653" i="4"/>
  <c r="H653" i="4"/>
  <c r="I653" i="4" s="1"/>
  <c r="E654" i="4"/>
  <c r="J654" i="4"/>
  <c r="F654" i="4"/>
  <c r="K110" i="20"/>
  <c r="R111" i="4"/>
  <c r="P655" i="4"/>
  <c r="I655" i="20" s="1"/>
  <c r="R655" i="4"/>
  <c r="K655" i="20" s="1"/>
  <c r="Q655" i="4"/>
  <c r="J655" i="20" s="1"/>
  <c r="G655" i="4"/>
  <c r="N112" i="4"/>
  <c r="H112" i="4"/>
  <c r="I112" i="4" s="1"/>
  <c r="L112" i="4" s="1"/>
  <c r="F220" i="19" l="1"/>
  <c r="F216" i="19"/>
  <c r="F212" i="19"/>
  <c r="F208" i="19"/>
  <c r="F204" i="19"/>
  <c r="F200" i="19"/>
  <c r="F196" i="19"/>
  <c r="F192" i="19"/>
  <c r="F188" i="19"/>
  <c r="F184" i="19"/>
  <c r="F180" i="19"/>
  <c r="F176" i="19"/>
  <c r="F172" i="19"/>
  <c r="F168" i="19"/>
  <c r="F164" i="19"/>
  <c r="F219" i="19"/>
  <c r="F215" i="19"/>
  <c r="F211" i="19"/>
  <c r="F207" i="19"/>
  <c r="F203" i="19"/>
  <c r="F199" i="19"/>
  <c r="F195" i="19"/>
  <c r="F191" i="19"/>
  <c r="F187" i="19"/>
  <c r="F183" i="19"/>
  <c r="F179" i="19"/>
  <c r="F175" i="19"/>
  <c r="F171" i="19"/>
  <c r="F167" i="19"/>
  <c r="F163" i="19"/>
  <c r="F218" i="19"/>
  <c r="F214" i="19"/>
  <c r="F210" i="19"/>
  <c r="F206" i="19"/>
  <c r="F202" i="19"/>
  <c r="F198" i="19"/>
  <c r="F194" i="19"/>
  <c r="F190" i="19"/>
  <c r="F186" i="19"/>
  <c r="F182" i="19"/>
  <c r="F178" i="19"/>
  <c r="F174" i="19"/>
  <c r="F170" i="19"/>
  <c r="F166" i="19"/>
  <c r="F162" i="19"/>
  <c r="F221" i="19"/>
  <c r="F217" i="19"/>
  <c r="F213" i="19"/>
  <c r="F209" i="19"/>
  <c r="F205" i="19"/>
  <c r="F201" i="19"/>
  <c r="F197" i="19"/>
  <c r="F193" i="19"/>
  <c r="F189" i="19"/>
  <c r="F185" i="19"/>
  <c r="F181" i="19"/>
  <c r="F177" i="19"/>
  <c r="F173" i="19"/>
  <c r="F169" i="19"/>
  <c r="F165" i="19"/>
  <c r="K159" i="3"/>
  <c r="H159" i="3"/>
  <c r="C116" i="3"/>
  <c r="G160" i="3"/>
  <c r="F159" i="19"/>
  <c r="F160" i="19"/>
  <c r="F153" i="19"/>
  <c r="F154" i="19"/>
  <c r="F155" i="19"/>
  <c r="F156" i="19"/>
  <c r="F157" i="19"/>
  <c r="F158" i="19"/>
  <c r="F138" i="19"/>
  <c r="F152" i="19"/>
  <c r="F149" i="19"/>
  <c r="F145" i="19"/>
  <c r="F141" i="19"/>
  <c r="F137" i="19"/>
  <c r="F148" i="19"/>
  <c r="F144" i="19"/>
  <c r="F140" i="19"/>
  <c r="F136" i="19"/>
  <c r="F151" i="19"/>
  <c r="F147" i="19"/>
  <c r="F143" i="19"/>
  <c r="F139" i="19"/>
  <c r="F135" i="19"/>
  <c r="F150" i="19"/>
  <c r="F146" i="19"/>
  <c r="F142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126" i="19"/>
  <c r="F127" i="19"/>
  <c r="F128" i="19"/>
  <c r="F129" i="19"/>
  <c r="F130" i="19"/>
  <c r="F131" i="19"/>
  <c r="F132" i="19"/>
  <c r="F133" i="19"/>
  <c r="F134" i="19"/>
  <c r="F655" i="3"/>
  <c r="J654" i="3"/>
  <c r="M655" i="3"/>
  <c r="Q654" i="3"/>
  <c r="H649" i="3"/>
  <c r="K649" i="3"/>
  <c r="G650" i="3"/>
  <c r="C658" i="3"/>
  <c r="K111" i="20"/>
  <c r="R112" i="4"/>
  <c r="P115" i="4"/>
  <c r="I115" i="20" s="1"/>
  <c r="C116" i="4"/>
  <c r="D116" i="4" s="1"/>
  <c r="G115" i="4"/>
  <c r="K112" i="4"/>
  <c r="C657" i="4"/>
  <c r="D657" i="4" s="1"/>
  <c r="B658" i="4"/>
  <c r="J110" i="20"/>
  <c r="Q111" i="4"/>
  <c r="J655" i="4"/>
  <c r="E655" i="4"/>
  <c r="F655" i="4"/>
  <c r="N654" i="4"/>
  <c r="H654" i="4"/>
  <c r="I654" i="4" s="1"/>
  <c r="S110" i="4"/>
  <c r="L110" i="20" s="1"/>
  <c r="Q656" i="4"/>
  <c r="J656" i="20" s="1"/>
  <c r="P656" i="4"/>
  <c r="I656" i="20" s="1"/>
  <c r="R656" i="4"/>
  <c r="K656" i="20" s="1"/>
  <c r="G656" i="4"/>
  <c r="E114" i="4"/>
  <c r="J114" i="4"/>
  <c r="F114" i="4"/>
  <c r="N113" i="4"/>
  <c r="H113" i="4"/>
  <c r="I113" i="4" s="1"/>
  <c r="L113" i="4" s="1"/>
  <c r="K52" i="16" l="1"/>
  <c r="K56" i="16" s="1"/>
  <c r="H160" i="3"/>
  <c r="K160" i="3"/>
  <c r="C117" i="3"/>
  <c r="G161" i="3"/>
  <c r="M656" i="3"/>
  <c r="Q655" i="3"/>
  <c r="F656" i="3"/>
  <c r="J655" i="3"/>
  <c r="K650" i="3"/>
  <c r="H650" i="3"/>
  <c r="G651" i="3"/>
  <c r="C659" i="3"/>
  <c r="J656" i="4"/>
  <c r="E656" i="4"/>
  <c r="F656" i="4"/>
  <c r="N114" i="4"/>
  <c r="H114" i="4"/>
  <c r="I114" i="4" s="1"/>
  <c r="L114" i="4" s="1"/>
  <c r="J111" i="20"/>
  <c r="Q112" i="4"/>
  <c r="S112" i="4" s="1"/>
  <c r="L112" i="20" s="1"/>
  <c r="S111" i="4"/>
  <c r="L111" i="20" s="1"/>
  <c r="N655" i="4"/>
  <c r="H655" i="4"/>
  <c r="I655" i="4" s="1"/>
  <c r="K113" i="4"/>
  <c r="K112" i="20"/>
  <c r="R113" i="4"/>
  <c r="B659" i="4"/>
  <c r="C658" i="4"/>
  <c r="D658" i="4" s="1"/>
  <c r="J115" i="4"/>
  <c r="E115" i="4"/>
  <c r="F115" i="4"/>
  <c r="R657" i="4"/>
  <c r="K657" i="20" s="1"/>
  <c r="Q657" i="4"/>
  <c r="J657" i="20" s="1"/>
  <c r="P657" i="4"/>
  <c r="I657" i="20" s="1"/>
  <c r="G657" i="4"/>
  <c r="P116" i="4"/>
  <c r="I116" i="20" s="1"/>
  <c r="C117" i="4"/>
  <c r="D117" i="4" s="1"/>
  <c r="G116" i="4"/>
  <c r="H161" i="3" l="1"/>
  <c r="K161" i="3"/>
  <c r="C118" i="3"/>
  <c r="G162" i="3"/>
  <c r="F657" i="3"/>
  <c r="J656" i="3"/>
  <c r="M657" i="3"/>
  <c r="Q656" i="3"/>
  <c r="K651" i="3"/>
  <c r="H651" i="3"/>
  <c r="G652" i="3"/>
  <c r="C660" i="3"/>
  <c r="N115" i="4"/>
  <c r="H115" i="4"/>
  <c r="I115" i="4" s="1"/>
  <c r="L115" i="4" s="1"/>
  <c r="K113" i="20"/>
  <c r="R114" i="4"/>
  <c r="N656" i="4"/>
  <c r="H656" i="4"/>
  <c r="I656" i="4" s="1"/>
  <c r="J116" i="4"/>
  <c r="E116" i="4"/>
  <c r="F116" i="4"/>
  <c r="R658" i="4"/>
  <c r="K658" i="20" s="1"/>
  <c r="Q658" i="4"/>
  <c r="J658" i="20" s="1"/>
  <c r="P658" i="4"/>
  <c r="I658" i="20" s="1"/>
  <c r="G658" i="4"/>
  <c r="P117" i="4"/>
  <c r="I117" i="20" s="1"/>
  <c r="C118" i="4"/>
  <c r="D118" i="4" s="1"/>
  <c r="G117" i="4"/>
  <c r="J657" i="4"/>
  <c r="E657" i="4"/>
  <c r="F657" i="4"/>
  <c r="B660" i="4"/>
  <c r="C659" i="4"/>
  <c r="D659" i="4" s="1"/>
  <c r="K114" i="4"/>
  <c r="J112" i="20"/>
  <c r="Q113" i="4"/>
  <c r="S113" i="4" s="1"/>
  <c r="L113" i="20" s="1"/>
  <c r="H162" i="3" l="1"/>
  <c r="K162" i="3"/>
  <c r="C119" i="3"/>
  <c r="G163" i="3"/>
  <c r="M658" i="3"/>
  <c r="Q657" i="3"/>
  <c r="F658" i="3"/>
  <c r="J657" i="3"/>
  <c r="H652" i="3"/>
  <c r="K652" i="3"/>
  <c r="C482" i="3"/>
  <c r="G653" i="3"/>
  <c r="C661" i="3"/>
  <c r="K114" i="20"/>
  <c r="R115" i="4"/>
  <c r="P659" i="4"/>
  <c r="I659" i="20" s="1"/>
  <c r="R659" i="4"/>
  <c r="K659" i="20" s="1"/>
  <c r="Q659" i="4"/>
  <c r="J659" i="20" s="1"/>
  <c r="G659" i="4"/>
  <c r="J113" i="20"/>
  <c r="Q114" i="4"/>
  <c r="S114" i="4" s="1"/>
  <c r="L114" i="20" s="1"/>
  <c r="C660" i="4"/>
  <c r="D660" i="4" s="1"/>
  <c r="B661" i="4"/>
  <c r="J117" i="4"/>
  <c r="E117" i="4"/>
  <c r="F117" i="4"/>
  <c r="P118" i="4"/>
  <c r="I118" i="20" s="1"/>
  <c r="C119" i="4"/>
  <c r="D119" i="4" s="1"/>
  <c r="G118" i="4"/>
  <c r="E658" i="4"/>
  <c r="J658" i="4"/>
  <c r="F658" i="4"/>
  <c r="K115" i="4"/>
  <c r="N657" i="4"/>
  <c r="H657" i="4"/>
  <c r="I657" i="4" s="1"/>
  <c r="N116" i="4"/>
  <c r="H116" i="4"/>
  <c r="I116" i="4" s="1"/>
  <c r="L116" i="4" s="1"/>
  <c r="H163" i="3" l="1"/>
  <c r="K163" i="3"/>
  <c r="C120" i="3"/>
  <c r="G164" i="3"/>
  <c r="F659" i="3"/>
  <c r="J658" i="3"/>
  <c r="M659" i="3"/>
  <c r="Q658" i="3"/>
  <c r="H653" i="3"/>
  <c r="K653" i="3"/>
  <c r="C483" i="3"/>
  <c r="G654" i="3"/>
  <c r="C662" i="3"/>
  <c r="K116" i="4"/>
  <c r="Q660" i="4"/>
  <c r="J660" i="20" s="1"/>
  <c r="P660" i="4"/>
  <c r="I660" i="20" s="1"/>
  <c r="R660" i="4"/>
  <c r="K660" i="20" s="1"/>
  <c r="G660" i="4"/>
  <c r="N117" i="4"/>
  <c r="H117" i="4"/>
  <c r="I117" i="4" s="1"/>
  <c r="L117" i="4" s="1"/>
  <c r="J114" i="20"/>
  <c r="Q115" i="4"/>
  <c r="S115" i="4" s="1"/>
  <c r="L115" i="20" s="1"/>
  <c r="E118" i="4"/>
  <c r="J118" i="4"/>
  <c r="F118" i="4"/>
  <c r="N658" i="4"/>
  <c r="H658" i="4"/>
  <c r="I658" i="4" s="1"/>
  <c r="P119" i="4"/>
  <c r="I119" i="20" s="1"/>
  <c r="C120" i="4"/>
  <c r="D120" i="4" s="1"/>
  <c r="G119" i="4"/>
  <c r="C661" i="4"/>
  <c r="D661" i="4" s="1"/>
  <c r="B662" i="4"/>
  <c r="J659" i="4"/>
  <c r="E659" i="4"/>
  <c r="F659" i="4"/>
  <c r="K115" i="20"/>
  <c r="R116" i="4"/>
  <c r="K164" i="3" l="1"/>
  <c r="H164" i="3"/>
  <c r="C121" i="3"/>
  <c r="G165" i="3"/>
  <c r="M660" i="3"/>
  <c r="Q659" i="3"/>
  <c r="F660" i="3"/>
  <c r="J659" i="3"/>
  <c r="H654" i="3"/>
  <c r="K654" i="3"/>
  <c r="C484" i="3"/>
  <c r="G655" i="3"/>
  <c r="C663" i="3"/>
  <c r="R661" i="4"/>
  <c r="K661" i="20" s="1"/>
  <c r="Q661" i="4"/>
  <c r="J661" i="20" s="1"/>
  <c r="P661" i="4"/>
  <c r="I661" i="20" s="1"/>
  <c r="G661" i="4"/>
  <c r="N659" i="4"/>
  <c r="H659" i="4"/>
  <c r="I659" i="4" s="1"/>
  <c r="K116" i="20"/>
  <c r="R117" i="4"/>
  <c r="J119" i="4"/>
  <c r="E119" i="4"/>
  <c r="F119" i="4"/>
  <c r="N118" i="4"/>
  <c r="H118" i="4"/>
  <c r="I118" i="4" s="1"/>
  <c r="L118" i="4" s="1"/>
  <c r="J660" i="4"/>
  <c r="E660" i="4"/>
  <c r="F660" i="4"/>
  <c r="B663" i="4"/>
  <c r="C662" i="4"/>
  <c r="D662" i="4" s="1"/>
  <c r="P120" i="4"/>
  <c r="I120" i="20" s="1"/>
  <c r="C121" i="4"/>
  <c r="D121" i="4" s="1"/>
  <c r="G120" i="4"/>
  <c r="J115" i="20"/>
  <c r="Q116" i="4"/>
  <c r="S116" i="4" s="1"/>
  <c r="L116" i="20" s="1"/>
  <c r="K117" i="4"/>
  <c r="K165" i="3" l="1"/>
  <c r="H165" i="3"/>
  <c r="C122" i="3"/>
  <c r="G166" i="3"/>
  <c r="F661" i="3"/>
  <c r="J660" i="3"/>
  <c r="M661" i="3"/>
  <c r="Q660" i="3"/>
  <c r="C485" i="3"/>
  <c r="G656" i="3"/>
  <c r="H655" i="3"/>
  <c r="K655" i="3"/>
  <c r="C664" i="3"/>
  <c r="N660" i="4"/>
  <c r="H660" i="4"/>
  <c r="I660" i="4" s="1"/>
  <c r="N119" i="4"/>
  <c r="H119" i="4"/>
  <c r="I119" i="4" s="1"/>
  <c r="L119" i="4" s="1"/>
  <c r="K117" i="20"/>
  <c r="R118" i="4"/>
  <c r="K118" i="4"/>
  <c r="J120" i="4"/>
  <c r="E120" i="4"/>
  <c r="F120" i="4"/>
  <c r="R662" i="4"/>
  <c r="K662" i="20" s="1"/>
  <c r="Q662" i="4"/>
  <c r="J662" i="20" s="1"/>
  <c r="P662" i="4"/>
  <c r="I662" i="20" s="1"/>
  <c r="G662" i="4"/>
  <c r="J661" i="4"/>
  <c r="E661" i="4"/>
  <c r="F661" i="4"/>
  <c r="P121" i="4"/>
  <c r="I121" i="20" s="1"/>
  <c r="C122" i="4"/>
  <c r="D122" i="4" s="1"/>
  <c r="G121" i="4"/>
  <c r="B664" i="4"/>
  <c r="C663" i="4"/>
  <c r="D663" i="4" s="1"/>
  <c r="J116" i="20"/>
  <c r="Q117" i="4"/>
  <c r="H166" i="3" l="1"/>
  <c r="K166" i="3"/>
  <c r="C123" i="3"/>
  <c r="G167" i="3"/>
  <c r="M662" i="3"/>
  <c r="Q661" i="3"/>
  <c r="F662" i="3"/>
  <c r="J661" i="3"/>
  <c r="H656" i="3"/>
  <c r="K656" i="3"/>
  <c r="C486" i="3"/>
  <c r="G657" i="3"/>
  <c r="C665" i="3"/>
  <c r="J117" i="20"/>
  <c r="Q118" i="4"/>
  <c r="S118" i="4" s="1"/>
  <c r="L118" i="20" s="1"/>
  <c r="C664" i="4"/>
  <c r="D664" i="4" s="1"/>
  <c r="B665" i="4"/>
  <c r="N661" i="4"/>
  <c r="H661" i="4"/>
  <c r="I661" i="4" s="1"/>
  <c r="E662" i="4"/>
  <c r="J662" i="4"/>
  <c r="F662" i="4"/>
  <c r="K119" i="4"/>
  <c r="N120" i="4"/>
  <c r="H120" i="4"/>
  <c r="I120" i="4" s="1"/>
  <c r="L120" i="4" s="1"/>
  <c r="J121" i="4"/>
  <c r="E121" i="4"/>
  <c r="F121" i="4"/>
  <c r="P122" i="4"/>
  <c r="I122" i="20" s="1"/>
  <c r="C123" i="4"/>
  <c r="D123" i="4" s="1"/>
  <c r="G122" i="4"/>
  <c r="P663" i="4"/>
  <c r="I663" i="20" s="1"/>
  <c r="R663" i="4"/>
  <c r="K663" i="20" s="1"/>
  <c r="Q663" i="4"/>
  <c r="J663" i="20" s="1"/>
  <c r="G663" i="4"/>
  <c r="S117" i="4"/>
  <c r="L117" i="20" s="1"/>
  <c r="K118" i="20"/>
  <c r="R119" i="4"/>
  <c r="H167" i="3" l="1"/>
  <c r="K167" i="3"/>
  <c r="C124" i="3"/>
  <c r="G168" i="3"/>
  <c r="F663" i="3"/>
  <c r="J662" i="3"/>
  <c r="M663" i="3"/>
  <c r="Q662" i="3"/>
  <c r="C487" i="3"/>
  <c r="G658" i="3"/>
  <c r="K657" i="3"/>
  <c r="H657" i="3"/>
  <c r="C666" i="3"/>
  <c r="Q664" i="4"/>
  <c r="J664" i="20" s="1"/>
  <c r="P664" i="4"/>
  <c r="I664" i="20" s="1"/>
  <c r="R664" i="4"/>
  <c r="K664" i="20" s="1"/>
  <c r="G664" i="4"/>
  <c r="E122" i="4"/>
  <c r="J122" i="4"/>
  <c r="F122" i="4"/>
  <c r="J118" i="20"/>
  <c r="Q119" i="4"/>
  <c r="J663" i="4"/>
  <c r="E663" i="4"/>
  <c r="F663" i="4"/>
  <c r="K119" i="20"/>
  <c r="R120" i="4"/>
  <c r="P123" i="4"/>
  <c r="I123" i="20" s="1"/>
  <c r="C124" i="4"/>
  <c r="D124" i="4" s="1"/>
  <c r="G123" i="4"/>
  <c r="N121" i="4"/>
  <c r="H121" i="4"/>
  <c r="I121" i="4" s="1"/>
  <c r="L121" i="4" s="1"/>
  <c r="K120" i="4"/>
  <c r="N662" i="4"/>
  <c r="H662" i="4"/>
  <c r="I662" i="4" s="1"/>
  <c r="C665" i="4"/>
  <c r="D665" i="4" s="1"/>
  <c r="B666" i="4"/>
  <c r="H168" i="3" l="1"/>
  <c r="K168" i="3"/>
  <c r="C125" i="3"/>
  <c r="G169" i="3"/>
  <c r="M664" i="3"/>
  <c r="Q663" i="3"/>
  <c r="F664" i="3"/>
  <c r="J663" i="3"/>
  <c r="H658" i="3"/>
  <c r="K658" i="3"/>
  <c r="C488" i="3"/>
  <c r="G659" i="3"/>
  <c r="C667" i="3"/>
  <c r="K120" i="20"/>
  <c r="R121" i="4"/>
  <c r="J119" i="20"/>
  <c r="Q120" i="4"/>
  <c r="S120" i="4" s="1"/>
  <c r="L120" i="20" s="1"/>
  <c r="N122" i="4"/>
  <c r="H122" i="4"/>
  <c r="I122" i="4" s="1"/>
  <c r="L122" i="4" s="1"/>
  <c r="K121" i="4"/>
  <c r="B667" i="4"/>
  <c r="C666" i="4"/>
  <c r="D666" i="4" s="1"/>
  <c r="J123" i="4"/>
  <c r="E123" i="4"/>
  <c r="F123" i="4"/>
  <c r="R665" i="4"/>
  <c r="K665" i="20" s="1"/>
  <c r="Q665" i="4"/>
  <c r="J665" i="20" s="1"/>
  <c r="P665" i="4"/>
  <c r="I665" i="20" s="1"/>
  <c r="G665" i="4"/>
  <c r="S119" i="4"/>
  <c r="L119" i="20" s="1"/>
  <c r="P124" i="4"/>
  <c r="I124" i="20" s="1"/>
  <c r="C125" i="4"/>
  <c r="D125" i="4" s="1"/>
  <c r="G124" i="4"/>
  <c r="N663" i="4"/>
  <c r="H663" i="4"/>
  <c r="I663" i="4" s="1"/>
  <c r="J664" i="4"/>
  <c r="E664" i="4"/>
  <c r="F664" i="4"/>
  <c r="H169" i="3" l="1"/>
  <c r="K169" i="3"/>
  <c r="C126" i="3"/>
  <c r="G170" i="3"/>
  <c r="F665" i="3"/>
  <c r="J664" i="3"/>
  <c r="M665" i="3"/>
  <c r="Q664" i="3"/>
  <c r="H659" i="3"/>
  <c r="K659" i="3"/>
  <c r="C489" i="3"/>
  <c r="G660" i="3"/>
  <c r="C668" i="3"/>
  <c r="B668" i="4"/>
  <c r="C667" i="4"/>
  <c r="D667" i="4" s="1"/>
  <c r="N664" i="4"/>
  <c r="H664" i="4"/>
  <c r="I664" i="4" s="1"/>
  <c r="K121" i="20"/>
  <c r="R122" i="4"/>
  <c r="P125" i="4"/>
  <c r="I125" i="20" s="1"/>
  <c r="C126" i="4"/>
  <c r="D126" i="4" s="1"/>
  <c r="G125" i="4"/>
  <c r="N123" i="4"/>
  <c r="H123" i="4"/>
  <c r="I123" i="4" s="1"/>
  <c r="L123" i="4" s="1"/>
  <c r="K122" i="4"/>
  <c r="J120" i="20"/>
  <c r="Q121" i="4"/>
  <c r="S121" i="4" s="1"/>
  <c r="L121" i="20" s="1"/>
  <c r="J124" i="4"/>
  <c r="E124" i="4"/>
  <c r="F124" i="4"/>
  <c r="J665" i="4"/>
  <c r="E665" i="4"/>
  <c r="F665" i="4"/>
  <c r="R666" i="4"/>
  <c r="K666" i="20" s="1"/>
  <c r="Q666" i="4"/>
  <c r="J666" i="20" s="1"/>
  <c r="P666" i="4"/>
  <c r="I666" i="20" s="1"/>
  <c r="G666" i="4"/>
  <c r="H170" i="3" l="1"/>
  <c r="K170" i="3"/>
  <c r="C127" i="3"/>
  <c r="G171" i="3"/>
  <c r="C429" i="3"/>
  <c r="M666" i="3"/>
  <c r="Q665" i="3"/>
  <c r="F666" i="3"/>
  <c r="J665" i="3"/>
  <c r="K660" i="3"/>
  <c r="H660" i="3"/>
  <c r="C490" i="3"/>
  <c r="G661" i="3"/>
  <c r="C669" i="3"/>
  <c r="E666" i="4"/>
  <c r="J666" i="4"/>
  <c r="F666" i="4"/>
  <c r="N665" i="4"/>
  <c r="H665" i="4"/>
  <c r="I665" i="4" s="1"/>
  <c r="J121" i="20"/>
  <c r="Q122" i="4"/>
  <c r="S122" i="4" s="1"/>
  <c r="L122" i="20" s="1"/>
  <c r="K122" i="20"/>
  <c r="R123" i="4"/>
  <c r="C668" i="4"/>
  <c r="D668" i="4" s="1"/>
  <c r="B669" i="4"/>
  <c r="J125" i="4"/>
  <c r="E125" i="4"/>
  <c r="F125" i="4"/>
  <c r="N124" i="4"/>
  <c r="H124" i="4"/>
  <c r="I124" i="4" s="1"/>
  <c r="L124" i="4" s="1"/>
  <c r="K123" i="4"/>
  <c r="P126" i="4"/>
  <c r="I126" i="20" s="1"/>
  <c r="C127" i="4"/>
  <c r="D127" i="4" s="1"/>
  <c r="G126" i="4"/>
  <c r="P667" i="4"/>
  <c r="I667" i="20" s="1"/>
  <c r="R667" i="4"/>
  <c r="K667" i="20" s="1"/>
  <c r="Q667" i="4"/>
  <c r="J667" i="20" s="1"/>
  <c r="G667" i="4"/>
  <c r="H171" i="3" l="1"/>
  <c r="K171" i="3"/>
  <c r="C128" i="3"/>
  <c r="G172" i="3"/>
  <c r="C430" i="3"/>
  <c r="F667" i="3"/>
  <c r="J666" i="3"/>
  <c r="M667" i="3"/>
  <c r="Q666" i="3"/>
  <c r="H661" i="3"/>
  <c r="K661" i="3"/>
  <c r="C491" i="3"/>
  <c r="G662" i="3"/>
  <c r="C670" i="3"/>
  <c r="N125" i="4"/>
  <c r="H125" i="4"/>
  <c r="I125" i="4" s="1"/>
  <c r="L125" i="4" s="1"/>
  <c r="C669" i="4"/>
  <c r="D669" i="4" s="1"/>
  <c r="B670" i="4"/>
  <c r="P127" i="4"/>
  <c r="I127" i="20" s="1"/>
  <c r="C128" i="4"/>
  <c r="D128" i="4" s="1"/>
  <c r="G127" i="4"/>
  <c r="J667" i="4"/>
  <c r="E667" i="4"/>
  <c r="F667" i="4"/>
  <c r="E126" i="4"/>
  <c r="J126" i="4"/>
  <c r="F126" i="4"/>
  <c r="Q668" i="4"/>
  <c r="J668" i="20" s="1"/>
  <c r="P668" i="4"/>
  <c r="I668" i="20" s="1"/>
  <c r="R668" i="4"/>
  <c r="K668" i="20" s="1"/>
  <c r="G668" i="4"/>
  <c r="K123" i="20"/>
  <c r="R124" i="4"/>
  <c r="J122" i="20"/>
  <c r="Q123" i="4"/>
  <c r="S123" i="4" s="1"/>
  <c r="L123" i="20" s="1"/>
  <c r="N666" i="4"/>
  <c r="H666" i="4"/>
  <c r="I666" i="4" s="1"/>
  <c r="K124" i="4"/>
  <c r="H172" i="3" l="1"/>
  <c r="K172" i="3"/>
  <c r="C129" i="3"/>
  <c r="G173" i="3"/>
  <c r="C431" i="3"/>
  <c r="M668" i="3"/>
  <c r="Q667" i="3"/>
  <c r="F668" i="3"/>
  <c r="J667" i="3"/>
  <c r="H662" i="3"/>
  <c r="K662" i="3"/>
  <c r="C492" i="3"/>
  <c r="G663" i="3"/>
  <c r="C671" i="3"/>
  <c r="K124" i="20"/>
  <c r="R125" i="4"/>
  <c r="K125" i="4"/>
  <c r="N126" i="4"/>
  <c r="H126" i="4"/>
  <c r="I126" i="4" s="1"/>
  <c r="L126" i="4" s="1"/>
  <c r="J127" i="4"/>
  <c r="E127" i="4"/>
  <c r="F127" i="4"/>
  <c r="P128" i="4"/>
  <c r="I128" i="20" s="1"/>
  <c r="C129" i="4"/>
  <c r="D129" i="4" s="1"/>
  <c r="G128" i="4"/>
  <c r="B671" i="4"/>
  <c r="C670" i="4"/>
  <c r="D670" i="4" s="1"/>
  <c r="J123" i="20"/>
  <c r="Q124" i="4"/>
  <c r="J668" i="4"/>
  <c r="E668" i="4"/>
  <c r="F668" i="4"/>
  <c r="N667" i="4"/>
  <c r="H667" i="4"/>
  <c r="I667" i="4" s="1"/>
  <c r="R669" i="4"/>
  <c r="K669" i="20" s="1"/>
  <c r="Q669" i="4"/>
  <c r="J669" i="20" s="1"/>
  <c r="P669" i="4"/>
  <c r="I669" i="20" s="1"/>
  <c r="G669" i="4"/>
  <c r="H173" i="3" l="1"/>
  <c r="K173" i="3"/>
  <c r="C130" i="3"/>
  <c r="G174" i="3"/>
  <c r="C432" i="3"/>
  <c r="F669" i="3"/>
  <c r="J668" i="3"/>
  <c r="M669" i="3"/>
  <c r="Q668" i="3"/>
  <c r="C493" i="3"/>
  <c r="G664" i="3"/>
  <c r="K663" i="3"/>
  <c r="H663" i="3"/>
  <c r="C672" i="3"/>
  <c r="J669" i="4"/>
  <c r="E669" i="4"/>
  <c r="F669" i="4"/>
  <c r="J124" i="20"/>
  <c r="Q125" i="4"/>
  <c r="S125" i="4" s="1"/>
  <c r="L125" i="20" s="1"/>
  <c r="S124" i="4"/>
  <c r="L124" i="20" s="1"/>
  <c r="R670" i="4"/>
  <c r="K670" i="20" s="1"/>
  <c r="Q670" i="4"/>
  <c r="J670" i="20" s="1"/>
  <c r="P670" i="4"/>
  <c r="I670" i="20" s="1"/>
  <c r="G670" i="4"/>
  <c r="J128" i="4"/>
  <c r="E128" i="4"/>
  <c r="F128" i="4"/>
  <c r="K126" i="4"/>
  <c r="K125" i="20"/>
  <c r="R126" i="4"/>
  <c r="N668" i="4"/>
  <c r="H668" i="4"/>
  <c r="I668" i="4" s="1"/>
  <c r="B672" i="4"/>
  <c r="C671" i="4"/>
  <c r="D671" i="4" s="1"/>
  <c r="P129" i="4"/>
  <c r="I129" i="20" s="1"/>
  <c r="C130" i="4"/>
  <c r="D130" i="4" s="1"/>
  <c r="G129" i="4"/>
  <c r="N127" i="4"/>
  <c r="H127" i="4"/>
  <c r="I127" i="4" s="1"/>
  <c r="L127" i="4" s="1"/>
  <c r="H174" i="3" l="1"/>
  <c r="K174" i="3"/>
  <c r="C131" i="3"/>
  <c r="G175" i="3"/>
  <c r="C433" i="3"/>
  <c r="M670" i="3"/>
  <c r="Q669" i="3"/>
  <c r="F670" i="3"/>
  <c r="J669" i="3"/>
  <c r="H664" i="3"/>
  <c r="K664" i="3"/>
  <c r="C494" i="3"/>
  <c r="G665" i="3"/>
  <c r="C673" i="3"/>
  <c r="J129" i="4"/>
  <c r="E129" i="4"/>
  <c r="F129" i="4"/>
  <c r="K127" i="4"/>
  <c r="E670" i="4"/>
  <c r="J670" i="4"/>
  <c r="F670" i="4"/>
  <c r="N669" i="4"/>
  <c r="H669" i="4"/>
  <c r="I669" i="4" s="1"/>
  <c r="K126" i="20"/>
  <c r="R127" i="4"/>
  <c r="J125" i="20"/>
  <c r="Q126" i="4"/>
  <c r="S126" i="4" s="1"/>
  <c r="L126" i="20" s="1"/>
  <c r="P130" i="4"/>
  <c r="I130" i="20" s="1"/>
  <c r="C131" i="4"/>
  <c r="D131" i="4" s="1"/>
  <c r="G130" i="4"/>
  <c r="P671" i="4"/>
  <c r="I671" i="20" s="1"/>
  <c r="R671" i="4"/>
  <c r="K671" i="20" s="1"/>
  <c r="Q671" i="4"/>
  <c r="J671" i="20" s="1"/>
  <c r="G671" i="4"/>
  <c r="C672" i="4"/>
  <c r="D672" i="4" s="1"/>
  <c r="B673" i="4"/>
  <c r="N128" i="4"/>
  <c r="H128" i="4"/>
  <c r="I128" i="4" s="1"/>
  <c r="L128" i="4" s="1"/>
  <c r="H175" i="3" l="1"/>
  <c r="K175" i="3"/>
  <c r="C132" i="3"/>
  <c r="G176" i="3"/>
  <c r="C434" i="3"/>
  <c r="F671" i="3"/>
  <c r="J670" i="3"/>
  <c r="M671" i="3"/>
  <c r="Q670" i="3"/>
  <c r="H665" i="3"/>
  <c r="K665" i="3"/>
  <c r="C495" i="3"/>
  <c r="G666" i="3"/>
  <c r="C674" i="3"/>
  <c r="J671" i="4"/>
  <c r="E671" i="4"/>
  <c r="F671" i="4"/>
  <c r="E130" i="4"/>
  <c r="J130" i="4"/>
  <c r="F130" i="4"/>
  <c r="C673" i="4"/>
  <c r="D673" i="4" s="1"/>
  <c r="B674" i="4"/>
  <c r="Q672" i="4"/>
  <c r="J672" i="20" s="1"/>
  <c r="P672" i="4"/>
  <c r="I672" i="20" s="1"/>
  <c r="R672" i="4"/>
  <c r="K672" i="20" s="1"/>
  <c r="G672" i="4"/>
  <c r="K127" i="20"/>
  <c r="R128" i="4"/>
  <c r="N670" i="4"/>
  <c r="H670" i="4"/>
  <c r="I670" i="4" s="1"/>
  <c r="N129" i="4"/>
  <c r="H129" i="4"/>
  <c r="I129" i="4" s="1"/>
  <c r="L129" i="4" s="1"/>
  <c r="P131" i="4"/>
  <c r="I131" i="20" s="1"/>
  <c r="C132" i="4"/>
  <c r="D132" i="4" s="1"/>
  <c r="G131" i="4"/>
  <c r="J126" i="20"/>
  <c r="Q127" i="4"/>
  <c r="S127" i="4" s="1"/>
  <c r="L127" i="20" s="1"/>
  <c r="K128" i="4"/>
  <c r="H176" i="3" l="1"/>
  <c r="K176" i="3"/>
  <c r="C133" i="3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C218" i="3" s="1"/>
  <c r="C219" i="3" s="1"/>
  <c r="C220" i="3" s="1"/>
  <c r="C221" i="3" s="1"/>
  <c r="C222" i="3" s="1"/>
  <c r="C223" i="3" s="1"/>
  <c r="C224" i="3" s="1"/>
  <c r="C225" i="3" s="1"/>
  <c r="C226" i="3" s="1"/>
  <c r="C227" i="3" s="1"/>
  <c r="C228" i="3" s="1"/>
  <c r="C229" i="3" s="1"/>
  <c r="C230" i="3" s="1"/>
  <c r="C231" i="3" s="1"/>
  <c r="C232" i="3" s="1"/>
  <c r="C233" i="3" s="1"/>
  <c r="C234" i="3" s="1"/>
  <c r="C235" i="3" s="1"/>
  <c r="C236" i="3" s="1"/>
  <c r="C237" i="3" s="1"/>
  <c r="C238" i="3" s="1"/>
  <c r="C239" i="3" s="1"/>
  <c r="C240" i="3" s="1"/>
  <c r="C241" i="3" s="1"/>
  <c r="C242" i="3" s="1"/>
  <c r="C243" i="3" s="1"/>
  <c r="C244" i="3" s="1"/>
  <c r="C245" i="3" s="1"/>
  <c r="C246" i="3" s="1"/>
  <c r="C247" i="3" s="1"/>
  <c r="C248" i="3" s="1"/>
  <c r="C249" i="3" s="1"/>
  <c r="C250" i="3" s="1"/>
  <c r="C251" i="3" s="1"/>
  <c r="C252" i="3" s="1"/>
  <c r="C253" i="3" s="1"/>
  <c r="C254" i="3" s="1"/>
  <c r="C255" i="3" s="1"/>
  <c r="C256" i="3" s="1"/>
  <c r="C257" i="3" s="1"/>
  <c r="C258" i="3" s="1"/>
  <c r="C259" i="3" s="1"/>
  <c r="C260" i="3" s="1"/>
  <c r="C261" i="3" s="1"/>
  <c r="C262" i="3" s="1"/>
  <c r="C263" i="3" s="1"/>
  <c r="C264" i="3" s="1"/>
  <c r="C265" i="3" s="1"/>
  <c r="C266" i="3" s="1"/>
  <c r="C267" i="3" s="1"/>
  <c r="C268" i="3" s="1"/>
  <c r="C269" i="3" s="1"/>
  <c r="C270" i="3" s="1"/>
  <c r="C271" i="3" s="1"/>
  <c r="C272" i="3" s="1"/>
  <c r="C273" i="3" s="1"/>
  <c r="C274" i="3" s="1"/>
  <c r="C275" i="3" s="1"/>
  <c r="C276" i="3" s="1"/>
  <c r="C277" i="3" s="1"/>
  <c r="C278" i="3" s="1"/>
  <c r="C279" i="3" s="1"/>
  <c r="C280" i="3" s="1"/>
  <c r="C281" i="3" s="1"/>
  <c r="C282" i="3" s="1"/>
  <c r="C283" i="3" s="1"/>
  <c r="C284" i="3" s="1"/>
  <c r="C285" i="3" s="1"/>
  <c r="C286" i="3" s="1"/>
  <c r="C287" i="3" s="1"/>
  <c r="C288" i="3" s="1"/>
  <c r="C289" i="3" s="1"/>
  <c r="C290" i="3" s="1"/>
  <c r="C291" i="3" s="1"/>
  <c r="C292" i="3" s="1"/>
  <c r="C293" i="3" s="1"/>
  <c r="C294" i="3" s="1"/>
  <c r="C295" i="3" s="1"/>
  <c r="C296" i="3" s="1"/>
  <c r="C297" i="3" s="1"/>
  <c r="C298" i="3" s="1"/>
  <c r="C299" i="3" s="1"/>
  <c r="C300" i="3" s="1"/>
  <c r="C301" i="3" s="1"/>
  <c r="C302" i="3" s="1"/>
  <c r="C303" i="3" s="1"/>
  <c r="C304" i="3" s="1"/>
  <c r="C305" i="3" s="1"/>
  <c r="C306" i="3" s="1"/>
  <c r="C307" i="3" s="1"/>
  <c r="C308" i="3" s="1"/>
  <c r="C309" i="3" s="1"/>
  <c r="C310" i="3" s="1"/>
  <c r="C311" i="3" s="1"/>
  <c r="C312" i="3" s="1"/>
  <c r="C313" i="3" s="1"/>
  <c r="C314" i="3" s="1"/>
  <c r="C315" i="3" s="1"/>
  <c r="C316" i="3" s="1"/>
  <c r="C317" i="3" s="1"/>
  <c r="C318" i="3" s="1"/>
  <c r="C319" i="3" s="1"/>
  <c r="C320" i="3" s="1"/>
  <c r="C321" i="3" s="1"/>
  <c r="C322" i="3" s="1"/>
  <c r="C323" i="3" s="1"/>
  <c r="G177" i="3"/>
  <c r="C435" i="3"/>
  <c r="M672" i="3"/>
  <c r="Q671" i="3"/>
  <c r="F672" i="3"/>
  <c r="J671" i="3"/>
  <c r="K666" i="3"/>
  <c r="H666" i="3"/>
  <c r="C496" i="3"/>
  <c r="G667" i="3"/>
  <c r="C675" i="3"/>
  <c r="J127" i="20"/>
  <c r="Q128" i="4"/>
  <c r="K128" i="20"/>
  <c r="R129" i="4"/>
  <c r="J672" i="4"/>
  <c r="E672" i="4"/>
  <c r="F672" i="4"/>
  <c r="B675" i="4"/>
  <c r="C674" i="4"/>
  <c r="D674" i="4" s="1"/>
  <c r="N671" i="4"/>
  <c r="H671" i="4"/>
  <c r="I671" i="4" s="1"/>
  <c r="K129" i="4"/>
  <c r="J131" i="4"/>
  <c r="E131" i="4"/>
  <c r="F131" i="4"/>
  <c r="R673" i="4"/>
  <c r="K673" i="20" s="1"/>
  <c r="Q673" i="4"/>
  <c r="J673" i="20" s="1"/>
  <c r="P673" i="4"/>
  <c r="I673" i="20" s="1"/>
  <c r="G673" i="4"/>
  <c r="P132" i="4"/>
  <c r="I132" i="20" s="1"/>
  <c r="C133" i="4"/>
  <c r="D133" i="4" s="1"/>
  <c r="G132" i="4"/>
  <c r="N130" i="4"/>
  <c r="H130" i="4"/>
  <c r="I130" i="4" s="1"/>
  <c r="L130" i="4" s="1"/>
  <c r="C324" i="3" l="1"/>
  <c r="G540" i="3"/>
  <c r="H177" i="3"/>
  <c r="K177" i="3"/>
  <c r="C436" i="3"/>
  <c r="F673" i="3"/>
  <c r="J672" i="3"/>
  <c r="M673" i="3"/>
  <c r="Q672" i="3"/>
  <c r="H667" i="3"/>
  <c r="K667" i="3"/>
  <c r="C497" i="3"/>
  <c r="G668" i="3"/>
  <c r="C676" i="3"/>
  <c r="N131" i="4"/>
  <c r="H131" i="4"/>
  <c r="I131" i="4" s="1"/>
  <c r="L131" i="4" s="1"/>
  <c r="K130" i="4"/>
  <c r="R674" i="4"/>
  <c r="K674" i="20" s="1"/>
  <c r="Q674" i="4"/>
  <c r="J674" i="20" s="1"/>
  <c r="P674" i="4"/>
  <c r="I674" i="20" s="1"/>
  <c r="G674" i="4"/>
  <c r="B676" i="4"/>
  <c r="C675" i="4"/>
  <c r="D675" i="4" s="1"/>
  <c r="J128" i="20"/>
  <c r="Q129" i="4"/>
  <c r="J132" i="4"/>
  <c r="E132" i="4"/>
  <c r="F132" i="4"/>
  <c r="J673" i="4"/>
  <c r="E673" i="4"/>
  <c r="F673" i="4"/>
  <c r="K129" i="20"/>
  <c r="R130" i="4"/>
  <c r="P133" i="4"/>
  <c r="I133" i="20" s="1"/>
  <c r="C134" i="4"/>
  <c r="D134" i="4" s="1"/>
  <c r="G133" i="4"/>
  <c r="S128" i="4"/>
  <c r="L128" i="20" s="1"/>
  <c r="N672" i="4"/>
  <c r="H672" i="4"/>
  <c r="I672" i="4" s="1"/>
  <c r="H540" i="3" l="1"/>
  <c r="K540" i="3"/>
  <c r="C325" i="3"/>
  <c r="G541" i="3"/>
  <c r="C437" i="3"/>
  <c r="M674" i="3"/>
  <c r="Q673" i="3"/>
  <c r="F674" i="3"/>
  <c r="J673" i="3"/>
  <c r="C498" i="3"/>
  <c r="G669" i="3"/>
  <c r="H668" i="3"/>
  <c r="K668" i="3"/>
  <c r="C677" i="3"/>
  <c r="N673" i="4"/>
  <c r="H673" i="4"/>
  <c r="I673" i="4" s="1"/>
  <c r="C676" i="4"/>
  <c r="D676" i="4" s="1"/>
  <c r="B677" i="4"/>
  <c r="J133" i="4"/>
  <c r="E133" i="4"/>
  <c r="F133" i="4"/>
  <c r="K130" i="20"/>
  <c r="R131" i="4"/>
  <c r="J129" i="20"/>
  <c r="Q130" i="4"/>
  <c r="S130" i="4" s="1"/>
  <c r="L130" i="20" s="1"/>
  <c r="P134" i="4"/>
  <c r="I134" i="20" s="1"/>
  <c r="C135" i="4"/>
  <c r="D135" i="4" s="1"/>
  <c r="G134" i="4"/>
  <c r="E674" i="4"/>
  <c r="J674" i="4"/>
  <c r="F674" i="4"/>
  <c r="S129" i="4"/>
  <c r="L129" i="20" s="1"/>
  <c r="N132" i="4"/>
  <c r="H132" i="4"/>
  <c r="I132" i="4" s="1"/>
  <c r="L132" i="4" s="1"/>
  <c r="P675" i="4"/>
  <c r="I675" i="20" s="1"/>
  <c r="R675" i="4"/>
  <c r="K675" i="20" s="1"/>
  <c r="Q675" i="4"/>
  <c r="J675" i="20" s="1"/>
  <c r="G675" i="4"/>
  <c r="K131" i="4"/>
  <c r="H541" i="3" l="1"/>
  <c r="K541" i="3"/>
  <c r="C326" i="3"/>
  <c r="G542" i="3"/>
  <c r="C438" i="3"/>
  <c r="F675" i="3"/>
  <c r="J674" i="3"/>
  <c r="M675" i="3"/>
  <c r="Q674" i="3"/>
  <c r="H669" i="3"/>
  <c r="K669" i="3"/>
  <c r="C499" i="3"/>
  <c r="G670" i="3"/>
  <c r="C678" i="3"/>
  <c r="P135" i="4"/>
  <c r="I135" i="20" s="1"/>
  <c r="C136" i="4"/>
  <c r="D136" i="4" s="1"/>
  <c r="G135" i="4"/>
  <c r="N133" i="4"/>
  <c r="H133" i="4"/>
  <c r="I133" i="4" s="1"/>
  <c r="L133" i="4" s="1"/>
  <c r="K132" i="4"/>
  <c r="J675" i="4"/>
  <c r="E675" i="4"/>
  <c r="F675" i="4"/>
  <c r="K131" i="20"/>
  <c r="R132" i="4"/>
  <c r="C677" i="4"/>
  <c r="D677" i="4" s="1"/>
  <c r="B678" i="4"/>
  <c r="N674" i="4"/>
  <c r="H674" i="4"/>
  <c r="I674" i="4" s="1"/>
  <c r="E134" i="4"/>
  <c r="J134" i="4"/>
  <c r="F134" i="4"/>
  <c r="J130" i="20"/>
  <c r="Q131" i="4"/>
  <c r="Q676" i="4"/>
  <c r="J676" i="20" s="1"/>
  <c r="P676" i="4"/>
  <c r="I676" i="20" s="1"/>
  <c r="R676" i="4"/>
  <c r="K676" i="20" s="1"/>
  <c r="G676" i="4"/>
  <c r="H542" i="3" l="1"/>
  <c r="K542" i="3"/>
  <c r="C327" i="3"/>
  <c r="G543" i="3"/>
  <c r="C439" i="3"/>
  <c r="M676" i="3"/>
  <c r="Q675" i="3"/>
  <c r="F676" i="3"/>
  <c r="J675" i="3"/>
  <c r="C500" i="3"/>
  <c r="G671" i="3"/>
  <c r="H670" i="3"/>
  <c r="K670" i="3"/>
  <c r="C679" i="3"/>
  <c r="J676" i="4"/>
  <c r="E676" i="4"/>
  <c r="F676" i="4"/>
  <c r="R677" i="4"/>
  <c r="K677" i="20" s="1"/>
  <c r="Q677" i="4"/>
  <c r="J677" i="20" s="1"/>
  <c r="P677" i="4"/>
  <c r="I677" i="20" s="1"/>
  <c r="G677" i="4"/>
  <c r="N675" i="4"/>
  <c r="H675" i="4"/>
  <c r="I675" i="4" s="1"/>
  <c r="J131" i="20"/>
  <c r="Q132" i="4"/>
  <c r="S132" i="4" s="1"/>
  <c r="L132" i="20" s="1"/>
  <c r="P136" i="4"/>
  <c r="I136" i="20" s="1"/>
  <c r="C137" i="4"/>
  <c r="D137" i="4" s="1"/>
  <c r="G136" i="4"/>
  <c r="S131" i="4"/>
  <c r="L131" i="20" s="1"/>
  <c r="N134" i="4"/>
  <c r="H134" i="4"/>
  <c r="I134" i="4" s="1"/>
  <c r="L134" i="4" s="1"/>
  <c r="B679" i="4"/>
  <c r="C678" i="4"/>
  <c r="D678" i="4" s="1"/>
  <c r="K132" i="20"/>
  <c r="R133" i="4"/>
  <c r="K133" i="4"/>
  <c r="J135" i="4"/>
  <c r="E135" i="4"/>
  <c r="F135" i="4"/>
  <c r="C328" i="3" l="1"/>
  <c r="G544" i="3"/>
  <c r="H543" i="3"/>
  <c r="K543" i="3"/>
  <c r="C440" i="3"/>
  <c r="F677" i="3"/>
  <c r="J676" i="3"/>
  <c r="M677" i="3"/>
  <c r="Q676" i="3"/>
  <c r="K671" i="3"/>
  <c r="H671" i="3"/>
  <c r="C501" i="3"/>
  <c r="G672" i="3"/>
  <c r="C680" i="3"/>
  <c r="N135" i="4"/>
  <c r="H135" i="4"/>
  <c r="I135" i="4" s="1"/>
  <c r="L135" i="4" s="1"/>
  <c r="K133" i="20"/>
  <c r="R134" i="4"/>
  <c r="R678" i="4"/>
  <c r="K678" i="20" s="1"/>
  <c r="Q678" i="4"/>
  <c r="J678" i="20" s="1"/>
  <c r="P678" i="4"/>
  <c r="I678" i="20" s="1"/>
  <c r="G678" i="4"/>
  <c r="K134" i="4"/>
  <c r="B680" i="4"/>
  <c r="C679" i="4"/>
  <c r="D679" i="4" s="1"/>
  <c r="E136" i="4"/>
  <c r="J136" i="4"/>
  <c r="F136" i="4"/>
  <c r="J132" i="20"/>
  <c r="Q133" i="4"/>
  <c r="S133" i="4" s="1"/>
  <c r="L133" i="20" s="1"/>
  <c r="N676" i="4"/>
  <c r="H676" i="4"/>
  <c r="I676" i="4" s="1"/>
  <c r="P137" i="4"/>
  <c r="I137" i="20" s="1"/>
  <c r="C138" i="4"/>
  <c r="D138" i="4" s="1"/>
  <c r="G137" i="4"/>
  <c r="J677" i="4"/>
  <c r="E677" i="4"/>
  <c r="F677" i="4"/>
  <c r="H544" i="3" l="1"/>
  <c r="K544" i="3"/>
  <c r="C329" i="3"/>
  <c r="G545" i="3"/>
  <c r="C441" i="3"/>
  <c r="M678" i="3"/>
  <c r="Q677" i="3"/>
  <c r="F678" i="3"/>
  <c r="J677" i="3"/>
  <c r="C502" i="3"/>
  <c r="G673" i="3"/>
  <c r="K672" i="3"/>
  <c r="H672" i="3"/>
  <c r="C681" i="3"/>
  <c r="P679" i="4"/>
  <c r="I679" i="20" s="1"/>
  <c r="R679" i="4"/>
  <c r="K679" i="20" s="1"/>
  <c r="Q679" i="4"/>
  <c r="J679" i="20" s="1"/>
  <c r="G679" i="4"/>
  <c r="E678" i="4"/>
  <c r="J678" i="4"/>
  <c r="F678" i="4"/>
  <c r="K134" i="20"/>
  <c r="R135" i="4"/>
  <c r="N677" i="4"/>
  <c r="H677" i="4"/>
  <c r="I677" i="4" s="1"/>
  <c r="J133" i="20"/>
  <c r="Q134" i="4"/>
  <c r="S134" i="4" s="1"/>
  <c r="L134" i="20" s="1"/>
  <c r="C680" i="4"/>
  <c r="D680" i="4" s="1"/>
  <c r="B681" i="4"/>
  <c r="J137" i="4"/>
  <c r="E137" i="4"/>
  <c r="F137" i="4"/>
  <c r="P138" i="4"/>
  <c r="I138" i="20" s="1"/>
  <c r="C139" i="4"/>
  <c r="D139" i="4" s="1"/>
  <c r="G138" i="4"/>
  <c r="N136" i="4"/>
  <c r="H136" i="4"/>
  <c r="I136" i="4" s="1"/>
  <c r="L136" i="4" s="1"/>
  <c r="K135" i="4"/>
  <c r="H545" i="3" l="1"/>
  <c r="K545" i="3"/>
  <c r="C330" i="3"/>
  <c r="G546" i="3"/>
  <c r="C442" i="3"/>
  <c r="F679" i="3"/>
  <c r="J678" i="3"/>
  <c r="M679" i="3"/>
  <c r="Q678" i="3"/>
  <c r="H673" i="3"/>
  <c r="K673" i="3"/>
  <c r="C503" i="3"/>
  <c r="G674" i="3"/>
  <c r="C682" i="3"/>
  <c r="J138" i="4"/>
  <c r="E138" i="4"/>
  <c r="F138" i="4"/>
  <c r="Q680" i="4"/>
  <c r="J680" i="20" s="1"/>
  <c r="P680" i="4"/>
  <c r="I680" i="20" s="1"/>
  <c r="R680" i="4"/>
  <c r="K680" i="20" s="1"/>
  <c r="G680" i="4"/>
  <c r="K135" i="20"/>
  <c r="R136" i="4"/>
  <c r="N678" i="4"/>
  <c r="H678" i="4"/>
  <c r="I678" i="4" s="1"/>
  <c r="J679" i="4"/>
  <c r="E679" i="4"/>
  <c r="F679" i="4"/>
  <c r="P139" i="4"/>
  <c r="I139" i="20" s="1"/>
  <c r="C140" i="4"/>
  <c r="D140" i="4" s="1"/>
  <c r="G139" i="4"/>
  <c r="N137" i="4"/>
  <c r="H137" i="4"/>
  <c r="I137" i="4" s="1"/>
  <c r="L137" i="4" s="1"/>
  <c r="K136" i="4"/>
  <c r="C681" i="4"/>
  <c r="D681" i="4" s="1"/>
  <c r="B682" i="4"/>
  <c r="J134" i="20"/>
  <c r="Q135" i="4"/>
  <c r="H546" i="3" l="1"/>
  <c r="K546" i="3"/>
  <c r="C331" i="3"/>
  <c r="G547" i="3"/>
  <c r="C443" i="3"/>
  <c r="M680" i="3"/>
  <c r="Q679" i="3"/>
  <c r="F680" i="3"/>
  <c r="J679" i="3"/>
  <c r="C504" i="3"/>
  <c r="G675" i="3"/>
  <c r="H674" i="3"/>
  <c r="K674" i="3"/>
  <c r="C683" i="3"/>
  <c r="R681" i="4"/>
  <c r="K681" i="20" s="1"/>
  <c r="Q681" i="4"/>
  <c r="J681" i="20" s="1"/>
  <c r="P681" i="4"/>
  <c r="I681" i="20" s="1"/>
  <c r="G681" i="4"/>
  <c r="P140" i="4"/>
  <c r="I140" i="20" s="1"/>
  <c r="C141" i="4"/>
  <c r="D141" i="4" s="1"/>
  <c r="G140" i="4"/>
  <c r="K137" i="4"/>
  <c r="B683" i="4"/>
  <c r="C682" i="4"/>
  <c r="D682" i="4" s="1"/>
  <c r="J139" i="4"/>
  <c r="E139" i="4"/>
  <c r="F139" i="4"/>
  <c r="J680" i="4"/>
  <c r="E680" i="4"/>
  <c r="F680" i="4"/>
  <c r="N138" i="4"/>
  <c r="H138" i="4"/>
  <c r="I138" i="4" s="1"/>
  <c r="L138" i="4" s="1"/>
  <c r="J135" i="20"/>
  <c r="Q136" i="4"/>
  <c r="S135" i="4"/>
  <c r="L135" i="20" s="1"/>
  <c r="K136" i="20"/>
  <c r="R137" i="4"/>
  <c r="N679" i="4"/>
  <c r="H679" i="4"/>
  <c r="I679" i="4" s="1"/>
  <c r="C332" i="3" l="1"/>
  <c r="G548" i="3"/>
  <c r="H547" i="3"/>
  <c r="K547" i="3"/>
  <c r="C444" i="3"/>
  <c r="F681" i="3"/>
  <c r="J680" i="3"/>
  <c r="M681" i="3"/>
  <c r="Q680" i="3"/>
  <c r="C505" i="3"/>
  <c r="G676" i="3"/>
  <c r="H675" i="3"/>
  <c r="K675" i="3"/>
  <c r="C684" i="3"/>
  <c r="K137" i="20"/>
  <c r="R138" i="4"/>
  <c r="N139" i="4"/>
  <c r="H139" i="4"/>
  <c r="I139" i="4" s="1"/>
  <c r="L139" i="4" s="1"/>
  <c r="R682" i="4"/>
  <c r="K682" i="20" s="1"/>
  <c r="Q682" i="4"/>
  <c r="J682" i="20" s="1"/>
  <c r="P682" i="4"/>
  <c r="I682" i="20" s="1"/>
  <c r="G682" i="4"/>
  <c r="P141" i="4"/>
  <c r="I141" i="20" s="1"/>
  <c r="C142" i="4"/>
  <c r="D142" i="4" s="1"/>
  <c r="G141" i="4"/>
  <c r="B684" i="4"/>
  <c r="C683" i="4"/>
  <c r="D683" i="4" s="1"/>
  <c r="K138" i="4"/>
  <c r="J136" i="20"/>
  <c r="Q137" i="4"/>
  <c r="N680" i="4"/>
  <c r="H680" i="4"/>
  <c r="I680" i="4" s="1"/>
  <c r="S136" i="4"/>
  <c r="L136" i="20" s="1"/>
  <c r="E140" i="4"/>
  <c r="J140" i="4"/>
  <c r="F140" i="4"/>
  <c r="J681" i="4"/>
  <c r="E681" i="4"/>
  <c r="F681" i="4"/>
  <c r="K548" i="3" l="1"/>
  <c r="H548" i="3"/>
  <c r="C333" i="3"/>
  <c r="G549" i="3"/>
  <c r="C445" i="3"/>
  <c r="M682" i="3"/>
  <c r="Q681" i="3"/>
  <c r="F682" i="3"/>
  <c r="J681" i="3"/>
  <c r="H676" i="3"/>
  <c r="K676" i="3"/>
  <c r="C506" i="3"/>
  <c r="G677" i="3"/>
  <c r="C685" i="3"/>
  <c r="K139" i="4"/>
  <c r="J137" i="20"/>
  <c r="Q138" i="4"/>
  <c r="S138" i="4" s="1"/>
  <c r="L138" i="20" s="1"/>
  <c r="P683" i="4"/>
  <c r="I683" i="20" s="1"/>
  <c r="R683" i="4"/>
  <c r="K683" i="20" s="1"/>
  <c r="Q683" i="4"/>
  <c r="J683" i="20" s="1"/>
  <c r="G683" i="4"/>
  <c r="N681" i="4"/>
  <c r="H681" i="4"/>
  <c r="I681" i="4" s="1"/>
  <c r="N140" i="4"/>
  <c r="H140" i="4"/>
  <c r="I140" i="4" s="1"/>
  <c r="L140" i="4" s="1"/>
  <c r="C684" i="4"/>
  <c r="D684" i="4" s="1"/>
  <c r="B685" i="4"/>
  <c r="J141" i="4"/>
  <c r="E141" i="4"/>
  <c r="F141" i="4"/>
  <c r="E682" i="4"/>
  <c r="J682" i="4"/>
  <c r="F682" i="4"/>
  <c r="S137" i="4"/>
  <c r="L137" i="20" s="1"/>
  <c r="P142" i="4"/>
  <c r="I142" i="20" s="1"/>
  <c r="C143" i="4"/>
  <c r="D143" i="4" s="1"/>
  <c r="G142" i="4"/>
  <c r="K138" i="20"/>
  <c r="R139" i="4"/>
  <c r="C334" i="3" l="1"/>
  <c r="G550" i="3"/>
  <c r="H549" i="3"/>
  <c r="K549" i="3"/>
  <c r="C446" i="3"/>
  <c r="F683" i="3"/>
  <c r="J682" i="3"/>
  <c r="M683" i="3"/>
  <c r="Q682" i="3"/>
  <c r="H677" i="3"/>
  <c r="K677" i="3"/>
  <c r="C507" i="3"/>
  <c r="G678" i="3"/>
  <c r="C686" i="3"/>
  <c r="K139" i="20"/>
  <c r="R140" i="4"/>
  <c r="Q684" i="4"/>
  <c r="J684" i="20" s="1"/>
  <c r="P684" i="4"/>
  <c r="I684" i="20" s="1"/>
  <c r="R684" i="4"/>
  <c r="K684" i="20" s="1"/>
  <c r="G684" i="4"/>
  <c r="J142" i="4"/>
  <c r="E142" i="4"/>
  <c r="F142" i="4"/>
  <c r="K140" i="4"/>
  <c r="N141" i="4"/>
  <c r="H141" i="4"/>
  <c r="I141" i="4" s="1"/>
  <c r="L141" i="4" s="1"/>
  <c r="J683" i="4"/>
  <c r="E683" i="4"/>
  <c r="F683" i="4"/>
  <c r="P143" i="4"/>
  <c r="I143" i="20" s="1"/>
  <c r="C144" i="4"/>
  <c r="D144" i="4" s="1"/>
  <c r="G143" i="4"/>
  <c r="N682" i="4"/>
  <c r="H682" i="4"/>
  <c r="I682" i="4" s="1"/>
  <c r="C685" i="4"/>
  <c r="D685" i="4" s="1"/>
  <c r="B686" i="4"/>
  <c r="J138" i="20"/>
  <c r="Q139" i="4"/>
  <c r="S139" i="4" s="1"/>
  <c r="L139" i="20" s="1"/>
  <c r="H550" i="3" l="1"/>
  <c r="K550" i="3"/>
  <c r="C335" i="3"/>
  <c r="G551" i="3"/>
  <c r="C447" i="3"/>
  <c r="M684" i="3"/>
  <c r="Q683" i="3"/>
  <c r="F684" i="3"/>
  <c r="J683" i="3"/>
  <c r="K678" i="3"/>
  <c r="H678" i="3"/>
  <c r="C508" i="3"/>
  <c r="G679" i="3"/>
  <c r="C687" i="3"/>
  <c r="J143" i="4"/>
  <c r="E143" i="4"/>
  <c r="F143" i="4"/>
  <c r="P144" i="4"/>
  <c r="I144" i="20" s="1"/>
  <c r="C145" i="4"/>
  <c r="D145" i="4" s="1"/>
  <c r="G144" i="4"/>
  <c r="N683" i="4"/>
  <c r="H683" i="4"/>
  <c r="I683" i="4" s="1"/>
  <c r="K141" i="4"/>
  <c r="N142" i="4"/>
  <c r="H142" i="4"/>
  <c r="I142" i="4" s="1"/>
  <c r="L142" i="4" s="1"/>
  <c r="K140" i="20"/>
  <c r="R141" i="4"/>
  <c r="J139" i="20"/>
  <c r="Q140" i="4"/>
  <c r="B687" i="4"/>
  <c r="C686" i="4"/>
  <c r="D686" i="4" s="1"/>
  <c r="R685" i="4"/>
  <c r="K685" i="20" s="1"/>
  <c r="Q685" i="4"/>
  <c r="J685" i="20" s="1"/>
  <c r="P685" i="4"/>
  <c r="I685" i="20" s="1"/>
  <c r="G685" i="4"/>
  <c r="J684" i="4"/>
  <c r="E684" i="4"/>
  <c r="F684" i="4"/>
  <c r="K551" i="3" l="1"/>
  <c r="H551" i="3"/>
  <c r="C336" i="3"/>
  <c r="G552" i="3"/>
  <c r="C448" i="3"/>
  <c r="F685" i="3"/>
  <c r="J684" i="3"/>
  <c r="M685" i="3"/>
  <c r="Q684" i="3"/>
  <c r="K679" i="3"/>
  <c r="H679" i="3"/>
  <c r="C509" i="3"/>
  <c r="G680" i="3"/>
  <c r="C688" i="3"/>
  <c r="N684" i="4"/>
  <c r="H684" i="4"/>
  <c r="I684" i="4" s="1"/>
  <c r="J140" i="20"/>
  <c r="Q141" i="4"/>
  <c r="S141" i="4" s="1"/>
  <c r="L141" i="20" s="1"/>
  <c r="S140" i="4"/>
  <c r="L140" i="20" s="1"/>
  <c r="P145" i="4"/>
  <c r="I145" i="20" s="1"/>
  <c r="C146" i="4"/>
  <c r="D146" i="4" s="1"/>
  <c r="G145" i="4"/>
  <c r="J685" i="4"/>
  <c r="E685" i="4"/>
  <c r="F685" i="4"/>
  <c r="R686" i="4"/>
  <c r="K686" i="20" s="1"/>
  <c r="Q686" i="4"/>
  <c r="J686" i="20" s="1"/>
  <c r="P686" i="4"/>
  <c r="I686" i="20" s="1"/>
  <c r="G686" i="4"/>
  <c r="K141" i="20"/>
  <c r="R142" i="4"/>
  <c r="B688" i="4"/>
  <c r="C687" i="4"/>
  <c r="D687" i="4" s="1"/>
  <c r="K142" i="4"/>
  <c r="E144" i="4"/>
  <c r="J144" i="4"/>
  <c r="F144" i="4"/>
  <c r="N143" i="4"/>
  <c r="H143" i="4"/>
  <c r="I143" i="4" s="1"/>
  <c r="L143" i="4" s="1"/>
  <c r="H552" i="3" l="1"/>
  <c r="K552" i="3"/>
  <c r="C337" i="3"/>
  <c r="G553" i="3"/>
  <c r="C449" i="3"/>
  <c r="M686" i="3"/>
  <c r="Q685" i="3"/>
  <c r="F686" i="3"/>
  <c r="J685" i="3"/>
  <c r="C510" i="3"/>
  <c r="G681" i="3"/>
  <c r="H680" i="3"/>
  <c r="K680" i="3"/>
  <c r="C689" i="3"/>
  <c r="E686" i="4"/>
  <c r="J686" i="4"/>
  <c r="F686" i="4"/>
  <c r="P146" i="4"/>
  <c r="I146" i="20" s="1"/>
  <c r="C147" i="4"/>
  <c r="D147" i="4" s="1"/>
  <c r="G146" i="4"/>
  <c r="J141" i="20"/>
  <c r="Q142" i="4"/>
  <c r="S142" i="4" s="1"/>
  <c r="L142" i="20" s="1"/>
  <c r="K143" i="4"/>
  <c r="N685" i="4"/>
  <c r="H685" i="4"/>
  <c r="I685" i="4" s="1"/>
  <c r="P687" i="4"/>
  <c r="I687" i="20" s="1"/>
  <c r="R687" i="4"/>
  <c r="K687" i="20" s="1"/>
  <c r="Q687" i="4"/>
  <c r="J687" i="20" s="1"/>
  <c r="G687" i="4"/>
  <c r="K142" i="20"/>
  <c r="R143" i="4"/>
  <c r="N144" i="4"/>
  <c r="H144" i="4"/>
  <c r="I144" i="4" s="1"/>
  <c r="L144" i="4" s="1"/>
  <c r="C688" i="4"/>
  <c r="D688" i="4" s="1"/>
  <c r="B689" i="4"/>
  <c r="J145" i="4"/>
  <c r="E145" i="4"/>
  <c r="F145" i="4"/>
  <c r="C338" i="3" l="1"/>
  <c r="G554" i="3"/>
  <c r="H553" i="3"/>
  <c r="K553" i="3"/>
  <c r="G572" i="3"/>
  <c r="C450" i="3"/>
  <c r="F687" i="3"/>
  <c r="J686" i="3"/>
  <c r="M687" i="3"/>
  <c r="Q686" i="3"/>
  <c r="H681" i="3"/>
  <c r="K681" i="3"/>
  <c r="C511" i="3"/>
  <c r="G682" i="3"/>
  <c r="C690" i="3"/>
  <c r="C689" i="4"/>
  <c r="D689" i="4" s="1"/>
  <c r="B690" i="4"/>
  <c r="J146" i="4"/>
  <c r="E146" i="4"/>
  <c r="F146" i="4"/>
  <c r="J687" i="4"/>
  <c r="E687" i="4"/>
  <c r="F687" i="4"/>
  <c r="Q688" i="4"/>
  <c r="J688" i="20" s="1"/>
  <c r="P688" i="4"/>
  <c r="I688" i="20" s="1"/>
  <c r="R688" i="4"/>
  <c r="K688" i="20" s="1"/>
  <c r="G688" i="4"/>
  <c r="K143" i="20"/>
  <c r="R144" i="4"/>
  <c r="K144" i="4"/>
  <c r="P147" i="4"/>
  <c r="I147" i="20" s="1"/>
  <c r="C148" i="4"/>
  <c r="D148" i="4" s="1"/>
  <c r="G147" i="4"/>
  <c r="N145" i="4"/>
  <c r="H145" i="4"/>
  <c r="I145" i="4" s="1"/>
  <c r="L145" i="4" s="1"/>
  <c r="N686" i="4"/>
  <c r="H686" i="4"/>
  <c r="I686" i="4" s="1"/>
  <c r="J142" i="20"/>
  <c r="Q143" i="4"/>
  <c r="K554" i="3" l="1"/>
  <c r="H554" i="3"/>
  <c r="C339" i="3"/>
  <c r="G555" i="3"/>
  <c r="G573" i="3"/>
  <c r="C451" i="3"/>
  <c r="H572" i="3"/>
  <c r="K572" i="3"/>
  <c r="M688" i="3"/>
  <c r="Q687" i="3"/>
  <c r="F688" i="3"/>
  <c r="J687" i="3"/>
  <c r="K682" i="3"/>
  <c r="H682" i="3"/>
  <c r="C512" i="3"/>
  <c r="G683" i="3"/>
  <c r="C691" i="3"/>
  <c r="K145" i="4"/>
  <c r="J688" i="4"/>
  <c r="E688" i="4"/>
  <c r="F688" i="4"/>
  <c r="N687" i="4"/>
  <c r="H687" i="4"/>
  <c r="I687" i="4" s="1"/>
  <c r="B691" i="4"/>
  <c r="C690" i="4"/>
  <c r="D690" i="4" s="1"/>
  <c r="P148" i="4"/>
  <c r="I148" i="20" s="1"/>
  <c r="C149" i="4"/>
  <c r="D149" i="4" s="1"/>
  <c r="G148" i="4"/>
  <c r="K144" i="20"/>
  <c r="R145" i="4"/>
  <c r="J143" i="20"/>
  <c r="Q144" i="4"/>
  <c r="J147" i="4"/>
  <c r="E147" i="4"/>
  <c r="F147" i="4"/>
  <c r="S143" i="4"/>
  <c r="L143" i="20" s="1"/>
  <c r="N146" i="4"/>
  <c r="H146" i="4"/>
  <c r="I146" i="4" s="1"/>
  <c r="L146" i="4" s="1"/>
  <c r="R689" i="4"/>
  <c r="K689" i="20" s="1"/>
  <c r="Q689" i="4"/>
  <c r="J689" i="20" s="1"/>
  <c r="P689" i="4"/>
  <c r="I689" i="20" s="1"/>
  <c r="G689" i="4"/>
  <c r="C340" i="3" l="1"/>
  <c r="G556" i="3"/>
  <c r="H555" i="3"/>
  <c r="K555" i="3"/>
  <c r="G574" i="3"/>
  <c r="C452" i="3"/>
  <c r="H573" i="3"/>
  <c r="K573" i="3"/>
  <c r="F689" i="3"/>
  <c r="J688" i="3"/>
  <c r="M689" i="3"/>
  <c r="Q688" i="3"/>
  <c r="C513" i="3"/>
  <c r="G684" i="3"/>
  <c r="H683" i="3"/>
  <c r="K683" i="3"/>
  <c r="C692" i="3"/>
  <c r="N147" i="4"/>
  <c r="H147" i="4"/>
  <c r="I147" i="4" s="1"/>
  <c r="L147" i="4" s="1"/>
  <c r="K145" i="20"/>
  <c r="R146" i="4"/>
  <c r="N688" i="4"/>
  <c r="H688" i="4"/>
  <c r="I688" i="4" s="1"/>
  <c r="J144" i="20"/>
  <c r="Q145" i="4"/>
  <c r="S145" i="4" s="1"/>
  <c r="L145" i="20" s="1"/>
  <c r="E148" i="4"/>
  <c r="J148" i="4"/>
  <c r="F148" i="4"/>
  <c r="B692" i="4"/>
  <c r="C691" i="4"/>
  <c r="D691" i="4" s="1"/>
  <c r="K146" i="4"/>
  <c r="J689" i="4"/>
  <c r="E689" i="4"/>
  <c r="F689" i="4"/>
  <c r="R690" i="4"/>
  <c r="K690" i="20" s="1"/>
  <c r="Q690" i="4"/>
  <c r="J690" i="20" s="1"/>
  <c r="P690" i="4"/>
  <c r="I690" i="20" s="1"/>
  <c r="G690" i="4"/>
  <c r="P149" i="4"/>
  <c r="I149" i="20" s="1"/>
  <c r="C150" i="4"/>
  <c r="D150" i="4" s="1"/>
  <c r="G149" i="4"/>
  <c r="S144" i="4"/>
  <c r="L144" i="20" s="1"/>
  <c r="K556" i="3" l="1"/>
  <c r="H556" i="3"/>
  <c r="C341" i="3"/>
  <c r="G557" i="3"/>
  <c r="G575" i="3"/>
  <c r="C453" i="3"/>
  <c r="H574" i="3"/>
  <c r="K574" i="3"/>
  <c r="M690" i="3"/>
  <c r="Q689" i="3"/>
  <c r="F690" i="3"/>
  <c r="J689" i="3"/>
  <c r="H684" i="3"/>
  <c r="K684" i="3"/>
  <c r="C514" i="3"/>
  <c r="G685" i="3"/>
  <c r="C693" i="3"/>
  <c r="E690" i="4"/>
  <c r="J690" i="4"/>
  <c r="F690" i="4"/>
  <c r="N689" i="4"/>
  <c r="H689" i="4"/>
  <c r="I689" i="4" s="1"/>
  <c r="P691" i="4"/>
  <c r="I691" i="20" s="1"/>
  <c r="R691" i="4"/>
  <c r="K691" i="20" s="1"/>
  <c r="Q691" i="4"/>
  <c r="J691" i="20" s="1"/>
  <c r="G691" i="4"/>
  <c r="N148" i="4"/>
  <c r="H148" i="4"/>
  <c r="I148" i="4" s="1"/>
  <c r="L148" i="4" s="1"/>
  <c r="K146" i="20"/>
  <c r="R147" i="4"/>
  <c r="P150" i="4"/>
  <c r="I150" i="20" s="1"/>
  <c r="C151" i="4"/>
  <c r="D151" i="4" s="1"/>
  <c r="G150" i="4"/>
  <c r="K147" i="4"/>
  <c r="J149" i="4"/>
  <c r="E149" i="4"/>
  <c r="F149" i="4"/>
  <c r="C692" i="4"/>
  <c r="D692" i="4" s="1"/>
  <c r="B693" i="4"/>
  <c r="J145" i="20"/>
  <c r="Q146" i="4"/>
  <c r="K557" i="3" l="1"/>
  <c r="H557" i="3"/>
  <c r="C342" i="3"/>
  <c r="G558" i="3"/>
  <c r="G576" i="3"/>
  <c r="C454" i="3"/>
  <c r="H575" i="3"/>
  <c r="K575" i="3"/>
  <c r="F691" i="3"/>
  <c r="J690" i="3"/>
  <c r="M691" i="3"/>
  <c r="Q690" i="3"/>
  <c r="C515" i="3"/>
  <c r="G686" i="3"/>
  <c r="K685" i="3"/>
  <c r="H685" i="3"/>
  <c r="C694" i="3"/>
  <c r="P151" i="4"/>
  <c r="I151" i="20" s="1"/>
  <c r="C152" i="4"/>
  <c r="D152" i="4" s="1"/>
  <c r="G151" i="4"/>
  <c r="K147" i="20"/>
  <c r="R148" i="4"/>
  <c r="Q692" i="4"/>
  <c r="J692" i="20" s="1"/>
  <c r="P692" i="4"/>
  <c r="I692" i="20" s="1"/>
  <c r="R692" i="4"/>
  <c r="K692" i="20" s="1"/>
  <c r="G692" i="4"/>
  <c r="J146" i="20"/>
  <c r="Q147" i="4"/>
  <c r="S147" i="4" s="1"/>
  <c r="L147" i="20" s="1"/>
  <c r="K148" i="4"/>
  <c r="N690" i="4"/>
  <c r="H690" i="4"/>
  <c r="I690" i="4" s="1"/>
  <c r="N149" i="4"/>
  <c r="H149" i="4"/>
  <c r="I149" i="4" s="1"/>
  <c r="L149" i="4" s="1"/>
  <c r="C693" i="4"/>
  <c r="D693" i="4" s="1"/>
  <c r="B694" i="4"/>
  <c r="J691" i="4"/>
  <c r="E691" i="4"/>
  <c r="F691" i="4"/>
  <c r="J150" i="4"/>
  <c r="E150" i="4"/>
  <c r="F150" i="4"/>
  <c r="S146" i="4"/>
  <c r="L146" i="20" s="1"/>
  <c r="H558" i="3" l="1"/>
  <c r="K558" i="3"/>
  <c r="C343" i="3"/>
  <c r="G559" i="3"/>
  <c r="G577" i="3"/>
  <c r="C455" i="3"/>
  <c r="H576" i="3"/>
  <c r="K576" i="3"/>
  <c r="M692" i="3"/>
  <c r="Q691" i="3"/>
  <c r="F692" i="3"/>
  <c r="J691" i="3"/>
  <c r="K686" i="3"/>
  <c r="H686" i="3"/>
  <c r="C516" i="3"/>
  <c r="G687" i="3"/>
  <c r="C695" i="3"/>
  <c r="J692" i="4"/>
  <c r="E692" i="4"/>
  <c r="F692" i="4"/>
  <c r="K148" i="20"/>
  <c r="R149" i="4"/>
  <c r="R693" i="4"/>
  <c r="K693" i="20" s="1"/>
  <c r="Q693" i="4"/>
  <c r="J693" i="20" s="1"/>
  <c r="P693" i="4"/>
  <c r="I693" i="20" s="1"/>
  <c r="G693" i="4"/>
  <c r="N150" i="4"/>
  <c r="H150" i="4"/>
  <c r="I150" i="4" s="1"/>
  <c r="L150" i="4" s="1"/>
  <c r="B695" i="4"/>
  <c r="C694" i="4"/>
  <c r="D694" i="4" s="1"/>
  <c r="N691" i="4"/>
  <c r="H691" i="4"/>
  <c r="I691" i="4" s="1"/>
  <c r="J147" i="20"/>
  <c r="Q148" i="4"/>
  <c r="S148" i="4" s="1"/>
  <c r="L148" i="20" s="1"/>
  <c r="J151" i="4"/>
  <c r="E151" i="4"/>
  <c r="F151" i="4"/>
  <c r="K149" i="4"/>
  <c r="P152" i="4"/>
  <c r="I152" i="20" s="1"/>
  <c r="C153" i="4"/>
  <c r="D153" i="4" s="1"/>
  <c r="G152" i="4"/>
  <c r="K559" i="3" l="1"/>
  <c r="H559" i="3"/>
  <c r="C344" i="3"/>
  <c r="G560" i="3"/>
  <c r="G578" i="3"/>
  <c r="C456" i="3"/>
  <c r="H577" i="3"/>
  <c r="K577" i="3"/>
  <c r="F693" i="3"/>
  <c r="J692" i="3"/>
  <c r="M693" i="3"/>
  <c r="Q692" i="3"/>
  <c r="H687" i="3"/>
  <c r="K687" i="3"/>
  <c r="C517" i="3"/>
  <c r="G688" i="3"/>
  <c r="C696" i="3"/>
  <c r="B696" i="4"/>
  <c r="C695" i="4"/>
  <c r="D695" i="4" s="1"/>
  <c r="J693" i="4"/>
  <c r="E693" i="4"/>
  <c r="F693" i="4"/>
  <c r="N151" i="4"/>
  <c r="H151" i="4"/>
  <c r="I151" i="4" s="1"/>
  <c r="L151" i="4" s="1"/>
  <c r="N692" i="4"/>
  <c r="H692" i="4"/>
  <c r="I692" i="4" s="1"/>
  <c r="K149" i="20"/>
  <c r="R150" i="4"/>
  <c r="E152" i="4"/>
  <c r="J152" i="4"/>
  <c r="F152" i="4"/>
  <c r="P153" i="4"/>
  <c r="I153" i="20" s="1"/>
  <c r="C154" i="4"/>
  <c r="D154" i="4" s="1"/>
  <c r="G153" i="4"/>
  <c r="K150" i="4"/>
  <c r="J148" i="20"/>
  <c r="Q149" i="4"/>
  <c r="R694" i="4"/>
  <c r="K694" i="20" s="1"/>
  <c r="Q694" i="4"/>
  <c r="J694" i="20" s="1"/>
  <c r="P694" i="4"/>
  <c r="I694" i="20" s="1"/>
  <c r="G694" i="4"/>
  <c r="C345" i="3" l="1"/>
  <c r="G561" i="3"/>
  <c r="H560" i="3"/>
  <c r="K560" i="3"/>
  <c r="G579" i="3"/>
  <c r="C457" i="3"/>
  <c r="H578" i="3"/>
  <c r="K578" i="3"/>
  <c r="M694" i="3"/>
  <c r="Q693" i="3"/>
  <c r="F694" i="3"/>
  <c r="J693" i="3"/>
  <c r="H688" i="3"/>
  <c r="K688" i="3"/>
  <c r="C518" i="3"/>
  <c r="G689" i="3"/>
  <c r="C697" i="3"/>
  <c r="P154" i="4"/>
  <c r="I154" i="20" s="1"/>
  <c r="C155" i="4"/>
  <c r="D155" i="4" s="1"/>
  <c r="G154" i="4"/>
  <c r="P695" i="4"/>
  <c r="I695" i="20" s="1"/>
  <c r="R695" i="4"/>
  <c r="K695" i="20" s="1"/>
  <c r="Q695" i="4"/>
  <c r="J695" i="20" s="1"/>
  <c r="G695" i="4"/>
  <c r="E694" i="4"/>
  <c r="J694" i="4"/>
  <c r="F694" i="4"/>
  <c r="J149" i="20"/>
  <c r="Q150" i="4"/>
  <c r="J153" i="4"/>
  <c r="E153" i="4"/>
  <c r="F153" i="4"/>
  <c r="K150" i="20"/>
  <c r="R151" i="4"/>
  <c r="S149" i="4"/>
  <c r="L149" i="20" s="1"/>
  <c r="C696" i="4"/>
  <c r="D696" i="4" s="1"/>
  <c r="B697" i="4"/>
  <c r="K151" i="4"/>
  <c r="N152" i="4"/>
  <c r="H152" i="4"/>
  <c r="I152" i="4" s="1"/>
  <c r="L152" i="4" s="1"/>
  <c r="N693" i="4"/>
  <c r="H693" i="4"/>
  <c r="I693" i="4" s="1"/>
  <c r="H561" i="3" l="1"/>
  <c r="K561" i="3"/>
  <c r="C346" i="3"/>
  <c r="G562" i="3"/>
  <c r="G580" i="3"/>
  <c r="C458" i="3"/>
  <c r="H579" i="3"/>
  <c r="K579" i="3"/>
  <c r="F695" i="3"/>
  <c r="J694" i="3"/>
  <c r="M695" i="3"/>
  <c r="Q694" i="3"/>
  <c r="H689" i="3"/>
  <c r="K689" i="3"/>
  <c r="C519" i="3"/>
  <c r="G690" i="3"/>
  <c r="C698" i="3"/>
  <c r="K151" i="20"/>
  <c r="R152" i="4"/>
  <c r="K152" i="4"/>
  <c r="Q696" i="4"/>
  <c r="J696" i="20" s="1"/>
  <c r="P696" i="4"/>
  <c r="I696" i="20" s="1"/>
  <c r="R696" i="4"/>
  <c r="K696" i="20" s="1"/>
  <c r="G696" i="4"/>
  <c r="N153" i="4"/>
  <c r="H153" i="4"/>
  <c r="I153" i="4" s="1"/>
  <c r="L153" i="4" s="1"/>
  <c r="J154" i="4"/>
  <c r="E154" i="4"/>
  <c r="F154" i="4"/>
  <c r="P155" i="4"/>
  <c r="I155" i="20" s="1"/>
  <c r="C156" i="4"/>
  <c r="D156" i="4" s="1"/>
  <c r="G155" i="4"/>
  <c r="J150" i="20"/>
  <c r="Q151" i="4"/>
  <c r="N694" i="4"/>
  <c r="H694" i="4"/>
  <c r="I694" i="4" s="1"/>
  <c r="S150" i="4"/>
  <c r="L150" i="20" s="1"/>
  <c r="C697" i="4"/>
  <c r="D697" i="4" s="1"/>
  <c r="B698" i="4"/>
  <c r="J695" i="4"/>
  <c r="E695" i="4"/>
  <c r="F695" i="4"/>
  <c r="G314" i="3"/>
  <c r="H314" i="3" s="1"/>
  <c r="H562" i="3" l="1"/>
  <c r="K562" i="3"/>
  <c r="C347" i="3"/>
  <c r="G563" i="3"/>
  <c r="G581" i="3"/>
  <c r="C459" i="3"/>
  <c r="H580" i="3"/>
  <c r="K580" i="3"/>
  <c r="M696" i="3"/>
  <c r="Q695" i="3"/>
  <c r="F696" i="3"/>
  <c r="J695" i="3"/>
  <c r="K690" i="3"/>
  <c r="H690" i="3"/>
  <c r="C520" i="3"/>
  <c r="G691" i="3"/>
  <c r="C700" i="3"/>
  <c r="C699" i="3"/>
  <c r="G184" i="3"/>
  <c r="H184" i="3" s="1"/>
  <c r="N156" i="3" s="1"/>
  <c r="G197" i="3"/>
  <c r="H197" i="3" s="1"/>
  <c r="G210" i="3"/>
  <c r="H210" i="3" s="1"/>
  <c r="G223" i="3"/>
  <c r="H223" i="3" s="1"/>
  <c r="G236" i="3"/>
  <c r="H236" i="3" s="1"/>
  <c r="G249" i="3"/>
  <c r="H249" i="3" s="1"/>
  <c r="G262" i="3"/>
  <c r="H262" i="3" s="1"/>
  <c r="G275" i="3"/>
  <c r="H275" i="3" s="1"/>
  <c r="G288" i="3"/>
  <c r="H288" i="3" s="1"/>
  <c r="G301" i="3"/>
  <c r="H301" i="3" s="1"/>
  <c r="K153" i="4"/>
  <c r="K152" i="20"/>
  <c r="R153" i="4"/>
  <c r="B699" i="4"/>
  <c r="C698" i="4"/>
  <c r="D698" i="4" s="1"/>
  <c r="J151" i="20"/>
  <c r="Q152" i="4"/>
  <c r="J155" i="4"/>
  <c r="E155" i="4"/>
  <c r="F155" i="4"/>
  <c r="N154" i="4"/>
  <c r="H154" i="4"/>
  <c r="I154" i="4" s="1"/>
  <c r="L154" i="4" s="1"/>
  <c r="K314" i="3"/>
  <c r="N695" i="4"/>
  <c r="H695" i="4"/>
  <c r="I695" i="4" s="1"/>
  <c r="R697" i="4"/>
  <c r="K697" i="20" s="1"/>
  <c r="Q697" i="4"/>
  <c r="J697" i="20" s="1"/>
  <c r="P697" i="4"/>
  <c r="I697" i="20" s="1"/>
  <c r="G697" i="4"/>
  <c r="P156" i="4"/>
  <c r="I156" i="20" s="1"/>
  <c r="C157" i="4"/>
  <c r="D157" i="4" s="1"/>
  <c r="G156" i="4"/>
  <c r="J696" i="4"/>
  <c r="E696" i="4"/>
  <c r="F696" i="4"/>
  <c r="S151" i="4"/>
  <c r="L151" i="20" s="1"/>
  <c r="H563" i="3" l="1"/>
  <c r="K563" i="3"/>
  <c r="C348" i="3"/>
  <c r="G564" i="3"/>
  <c r="G582" i="3"/>
  <c r="C460" i="3"/>
  <c r="K581" i="3"/>
  <c r="H581" i="3"/>
  <c r="F697" i="3"/>
  <c r="J696" i="3"/>
  <c r="M697" i="3"/>
  <c r="Q696" i="3"/>
  <c r="H691" i="3"/>
  <c r="K691" i="3"/>
  <c r="C521" i="3"/>
  <c r="G692" i="3"/>
  <c r="C701" i="3"/>
  <c r="K262" i="3"/>
  <c r="K210" i="3"/>
  <c r="K301" i="3"/>
  <c r="K249" i="3"/>
  <c r="K197" i="3"/>
  <c r="K288" i="3"/>
  <c r="K236" i="3"/>
  <c r="K184" i="3"/>
  <c r="K275" i="3"/>
  <c r="K223" i="3"/>
  <c r="N696" i="4"/>
  <c r="H696" i="4"/>
  <c r="I696" i="4" s="1"/>
  <c r="E156" i="4"/>
  <c r="J156" i="4"/>
  <c r="F156" i="4"/>
  <c r="N155" i="4"/>
  <c r="H155" i="4"/>
  <c r="I155" i="4" s="1"/>
  <c r="L155" i="4" s="1"/>
  <c r="R698" i="4"/>
  <c r="K698" i="20" s="1"/>
  <c r="Q698" i="4"/>
  <c r="J698" i="20" s="1"/>
  <c r="P698" i="4"/>
  <c r="I698" i="20" s="1"/>
  <c r="G698" i="4"/>
  <c r="P157" i="4"/>
  <c r="I157" i="20" s="1"/>
  <c r="C158" i="4"/>
  <c r="D158" i="4" s="1"/>
  <c r="G157" i="4"/>
  <c r="J697" i="4"/>
  <c r="E697" i="4"/>
  <c r="F697" i="4"/>
  <c r="B700" i="4"/>
  <c r="C700" i="4" s="1"/>
  <c r="D700" i="4" s="1"/>
  <c r="C699" i="4"/>
  <c r="D699" i="4" s="1"/>
  <c r="K154" i="4"/>
  <c r="J152" i="20"/>
  <c r="Q153" i="4"/>
  <c r="S153" i="4" s="1"/>
  <c r="L153" i="20" s="1"/>
  <c r="K153" i="20"/>
  <c r="R154" i="4"/>
  <c r="S152" i="4"/>
  <c r="L152" i="20" s="1"/>
  <c r="H564" i="3" l="1"/>
  <c r="K564" i="3"/>
  <c r="C349" i="3"/>
  <c r="G565" i="3"/>
  <c r="G583" i="3"/>
  <c r="C461" i="3"/>
  <c r="H582" i="3"/>
  <c r="K582" i="3"/>
  <c r="M698" i="3"/>
  <c r="Q697" i="3"/>
  <c r="F698" i="3"/>
  <c r="J697" i="3"/>
  <c r="H692" i="3"/>
  <c r="K692" i="3"/>
  <c r="C522" i="3"/>
  <c r="G693" i="3"/>
  <c r="C702" i="3"/>
  <c r="P699" i="4"/>
  <c r="I699" i="20" s="1"/>
  <c r="R699" i="4"/>
  <c r="K699" i="20" s="1"/>
  <c r="Q699" i="4"/>
  <c r="J699" i="20" s="1"/>
  <c r="G699" i="4"/>
  <c r="J157" i="4"/>
  <c r="E157" i="4"/>
  <c r="F157" i="4"/>
  <c r="K154" i="20"/>
  <c r="R155" i="4"/>
  <c r="J153" i="20"/>
  <c r="Q154" i="4"/>
  <c r="S154" i="4" s="1"/>
  <c r="L154" i="20" s="1"/>
  <c r="K155" i="4"/>
  <c r="Q700" i="4"/>
  <c r="J700" i="20" s="1"/>
  <c r="P700" i="4"/>
  <c r="R700" i="4"/>
  <c r="K700" i="20" s="1"/>
  <c r="G700" i="4"/>
  <c r="P158" i="4"/>
  <c r="I158" i="20" s="1"/>
  <c r="C159" i="4"/>
  <c r="D159" i="4" s="1"/>
  <c r="G158" i="4"/>
  <c r="E698" i="4"/>
  <c r="J698" i="4"/>
  <c r="F698" i="4"/>
  <c r="N697" i="4"/>
  <c r="H697" i="4"/>
  <c r="I697" i="4" s="1"/>
  <c r="N156" i="4"/>
  <c r="H156" i="4"/>
  <c r="I156" i="4" s="1"/>
  <c r="L156" i="4" s="1"/>
  <c r="H565" i="3" l="1"/>
  <c r="K565" i="3"/>
  <c r="C350" i="3"/>
  <c r="G566" i="3"/>
  <c r="G584" i="3"/>
  <c r="C462" i="3"/>
  <c r="K583" i="3"/>
  <c r="H583" i="3"/>
  <c r="F699" i="3"/>
  <c r="J698" i="3"/>
  <c r="M699" i="3"/>
  <c r="Q698" i="3"/>
  <c r="K693" i="3"/>
  <c r="H693" i="3"/>
  <c r="C523" i="3"/>
  <c r="G694" i="3"/>
  <c r="C703" i="3"/>
  <c r="P159" i="4"/>
  <c r="I159" i="20" s="1"/>
  <c r="C160" i="4"/>
  <c r="D160" i="4" s="1"/>
  <c r="G159" i="4"/>
  <c r="J699" i="4"/>
  <c r="E699" i="4"/>
  <c r="F699" i="4"/>
  <c r="K155" i="20"/>
  <c r="R156" i="4"/>
  <c r="N698" i="4"/>
  <c r="H698" i="4"/>
  <c r="I698" i="4" s="1"/>
  <c r="K156" i="4"/>
  <c r="N157" i="4"/>
  <c r="H157" i="4"/>
  <c r="I157" i="4" s="1"/>
  <c r="L157" i="4" s="1"/>
  <c r="J700" i="4"/>
  <c r="E700" i="4"/>
  <c r="F700" i="4"/>
  <c r="J158" i="4"/>
  <c r="E158" i="4"/>
  <c r="F158" i="4"/>
  <c r="I700" i="20"/>
  <c r="J154" i="20"/>
  <c r="Q155" i="4"/>
  <c r="S155" i="4" s="1"/>
  <c r="L155" i="20" s="1"/>
  <c r="H566" i="3" l="1"/>
  <c r="K566" i="3"/>
  <c r="C351" i="3"/>
  <c r="G567" i="3"/>
  <c r="G585" i="3"/>
  <c r="C463" i="3"/>
  <c r="H584" i="3"/>
  <c r="K584" i="3"/>
  <c r="M700" i="3"/>
  <c r="Q699" i="3"/>
  <c r="F700" i="3"/>
  <c r="J699" i="3"/>
  <c r="H694" i="3"/>
  <c r="K694" i="3"/>
  <c r="C524" i="3"/>
  <c r="G695" i="3"/>
  <c r="C704" i="3"/>
  <c r="J155" i="20"/>
  <c r="Q156" i="4"/>
  <c r="S156" i="4" s="1"/>
  <c r="L156" i="20" s="1"/>
  <c r="K157" i="4"/>
  <c r="N699" i="4"/>
  <c r="H699" i="4"/>
  <c r="I699" i="4" s="1"/>
  <c r="N158" i="4"/>
  <c r="H158" i="4"/>
  <c r="I158" i="4" s="1"/>
  <c r="L158" i="4" s="1"/>
  <c r="K156" i="20"/>
  <c r="R157" i="4"/>
  <c r="N700" i="4"/>
  <c r="H700" i="4"/>
  <c r="I700" i="4" s="1"/>
  <c r="J159" i="4"/>
  <c r="E159" i="4"/>
  <c r="F159" i="4"/>
  <c r="P160" i="4"/>
  <c r="C161" i="4"/>
  <c r="D161" i="4" s="1"/>
  <c r="G160" i="4"/>
  <c r="H567" i="3" l="1"/>
  <c r="K567" i="3"/>
  <c r="C352" i="3"/>
  <c r="G568" i="3"/>
  <c r="G586" i="3"/>
  <c r="C464" i="3"/>
  <c r="K585" i="3"/>
  <c r="H585" i="3"/>
  <c r="F701" i="3"/>
  <c r="J700" i="3"/>
  <c r="M701" i="3"/>
  <c r="Q700" i="3"/>
  <c r="C525" i="3"/>
  <c r="G696" i="3"/>
  <c r="K695" i="3"/>
  <c r="H695" i="3"/>
  <c r="C705" i="3"/>
  <c r="I160" i="20"/>
  <c r="N159" i="4"/>
  <c r="H159" i="4"/>
  <c r="I159" i="4" s="1"/>
  <c r="L159" i="4" s="1"/>
  <c r="K157" i="20"/>
  <c r="R158" i="4"/>
  <c r="E160" i="4"/>
  <c r="J160" i="4"/>
  <c r="F160" i="4"/>
  <c r="P161" i="4"/>
  <c r="I161" i="20" s="1"/>
  <c r="C162" i="4"/>
  <c r="D162" i="4" s="1"/>
  <c r="G161" i="4"/>
  <c r="K158" i="4"/>
  <c r="J156" i="20"/>
  <c r="Q157" i="4"/>
  <c r="S157" i="4" s="1"/>
  <c r="L157" i="20" s="1"/>
  <c r="H568" i="3" l="1"/>
  <c r="K568" i="3"/>
  <c r="C353" i="3"/>
  <c r="G569" i="3"/>
  <c r="G587" i="3"/>
  <c r="C465" i="3"/>
  <c r="H586" i="3"/>
  <c r="K586" i="3"/>
  <c r="M702" i="3"/>
  <c r="Q701" i="3"/>
  <c r="F702" i="3"/>
  <c r="J701" i="3"/>
  <c r="H696" i="3"/>
  <c r="K696" i="3"/>
  <c r="C526" i="3"/>
  <c r="G697" i="3"/>
  <c r="C706" i="3"/>
  <c r="N160" i="4"/>
  <c r="H160" i="4"/>
  <c r="I160" i="4" s="1"/>
  <c r="L160" i="4" s="1"/>
  <c r="J161" i="4"/>
  <c r="E161" i="4"/>
  <c r="F161" i="4"/>
  <c r="K158" i="20"/>
  <c r="R159" i="4"/>
  <c r="K159" i="4"/>
  <c r="P162" i="4"/>
  <c r="C163" i="4"/>
  <c r="D163" i="4" s="1"/>
  <c r="G162" i="4"/>
  <c r="J157" i="20"/>
  <c r="Q158" i="4"/>
  <c r="S158" i="4" s="1"/>
  <c r="L158" i="20" s="1"/>
  <c r="H569" i="3" l="1"/>
  <c r="K569" i="3"/>
  <c r="C354" i="3"/>
  <c r="G570" i="3"/>
  <c r="G588" i="3"/>
  <c r="C466" i="3"/>
  <c r="K587" i="3"/>
  <c r="H587" i="3"/>
  <c r="F703" i="3"/>
  <c r="J702" i="3"/>
  <c r="M703" i="3"/>
  <c r="Q702" i="3"/>
  <c r="K697" i="3"/>
  <c r="H697" i="3"/>
  <c r="C527" i="3"/>
  <c r="G698" i="3"/>
  <c r="C707" i="3"/>
  <c r="J162" i="4"/>
  <c r="E162" i="4"/>
  <c r="F162" i="4"/>
  <c r="N161" i="4"/>
  <c r="H161" i="4"/>
  <c r="I161" i="4" s="1"/>
  <c r="L161" i="4" s="1"/>
  <c r="I162" i="20"/>
  <c r="P163" i="4"/>
  <c r="I163" i="20" s="1"/>
  <c r="C164" i="4"/>
  <c r="D164" i="4" s="1"/>
  <c r="G163" i="4"/>
  <c r="K159" i="20"/>
  <c r="R160" i="4"/>
  <c r="J158" i="20"/>
  <c r="Q159" i="4"/>
  <c r="S159" i="4" s="1"/>
  <c r="L159" i="20" s="1"/>
  <c r="K160" i="4"/>
  <c r="H570" i="3" l="1"/>
  <c r="K570" i="3"/>
  <c r="C355" i="3"/>
  <c r="C356" i="3" s="1"/>
  <c r="C357" i="3" s="1"/>
  <c r="C358" i="3" s="1"/>
  <c r="C359" i="3" s="1"/>
  <c r="C360" i="3" s="1"/>
  <c r="C361" i="3" s="1"/>
  <c r="C362" i="3" s="1"/>
  <c r="C363" i="3" s="1"/>
  <c r="C364" i="3" s="1"/>
  <c r="C365" i="3" s="1"/>
  <c r="C366" i="3" s="1"/>
  <c r="C367" i="3" s="1"/>
  <c r="C368" i="3" s="1"/>
  <c r="C369" i="3" s="1"/>
  <c r="C370" i="3" s="1"/>
  <c r="C371" i="3" s="1"/>
  <c r="C372" i="3" s="1"/>
  <c r="C373" i="3" s="1"/>
  <c r="C374" i="3" s="1"/>
  <c r="C375" i="3" s="1"/>
  <c r="C376" i="3" s="1"/>
  <c r="C377" i="3" s="1"/>
  <c r="C378" i="3" s="1"/>
  <c r="C379" i="3" s="1"/>
  <c r="C380" i="3" s="1"/>
  <c r="C381" i="3" s="1"/>
  <c r="C382" i="3" s="1"/>
  <c r="C383" i="3" s="1"/>
  <c r="C384" i="3" s="1"/>
  <c r="C385" i="3" s="1"/>
  <c r="C386" i="3" s="1"/>
  <c r="C387" i="3" s="1"/>
  <c r="C388" i="3" s="1"/>
  <c r="C389" i="3" s="1"/>
  <c r="C390" i="3" s="1"/>
  <c r="C391" i="3" s="1"/>
  <c r="C392" i="3" s="1"/>
  <c r="C393" i="3" s="1"/>
  <c r="C394" i="3" s="1"/>
  <c r="C395" i="3" s="1"/>
  <c r="C396" i="3" s="1"/>
  <c r="C397" i="3" s="1"/>
  <c r="C398" i="3" s="1"/>
  <c r="C399" i="3" s="1"/>
  <c r="C400" i="3" s="1"/>
  <c r="C401" i="3" s="1"/>
  <c r="C402" i="3" s="1"/>
  <c r="C403" i="3" s="1"/>
  <c r="C404" i="3" s="1"/>
  <c r="C405" i="3" s="1"/>
  <c r="C406" i="3" s="1"/>
  <c r="C407" i="3" s="1"/>
  <c r="C408" i="3" s="1"/>
  <c r="C409" i="3" s="1"/>
  <c r="C410" i="3" s="1"/>
  <c r="C411" i="3" s="1"/>
  <c r="C412" i="3" s="1"/>
  <c r="C413" i="3" s="1"/>
  <c r="C414" i="3" s="1"/>
  <c r="C415" i="3" s="1"/>
  <c r="C416" i="3" s="1"/>
  <c r="C417" i="3" s="1"/>
  <c r="C418" i="3" s="1"/>
  <c r="C419" i="3" s="1"/>
  <c r="C420" i="3" s="1"/>
  <c r="C421" i="3" s="1"/>
  <c r="C422" i="3" s="1"/>
  <c r="C423" i="3" s="1"/>
  <c r="C424" i="3" s="1"/>
  <c r="C425" i="3" s="1"/>
  <c r="C426" i="3" s="1"/>
  <c r="C427" i="3" s="1"/>
  <c r="C428" i="3" s="1"/>
  <c r="G571" i="3"/>
  <c r="G589" i="3"/>
  <c r="C467" i="3"/>
  <c r="H588" i="3"/>
  <c r="K588" i="3"/>
  <c r="M704" i="3"/>
  <c r="Q703" i="3"/>
  <c r="F704" i="3"/>
  <c r="J703" i="3"/>
  <c r="C528" i="3"/>
  <c r="G699" i="3"/>
  <c r="H698" i="3"/>
  <c r="K698" i="3"/>
  <c r="C708" i="3"/>
  <c r="K161" i="4"/>
  <c r="P164" i="4"/>
  <c r="C165" i="4"/>
  <c r="D165" i="4" s="1"/>
  <c r="G164" i="4"/>
  <c r="K160" i="20"/>
  <c r="R161" i="4"/>
  <c r="G178" i="3"/>
  <c r="H178" i="3" s="1"/>
  <c r="N150" i="3" s="1"/>
  <c r="J159" i="20"/>
  <c r="Q160" i="4"/>
  <c r="J163" i="4"/>
  <c r="E163" i="4"/>
  <c r="F163" i="4"/>
  <c r="N162" i="4"/>
  <c r="H162" i="4"/>
  <c r="I162" i="4" s="1"/>
  <c r="L162" i="4" s="1"/>
  <c r="K571" i="3" l="1"/>
  <c r="H571" i="3"/>
  <c r="O150" i="3"/>
  <c r="G590" i="3"/>
  <c r="C468" i="3"/>
  <c r="H589" i="3"/>
  <c r="K589" i="3"/>
  <c r="F705" i="3"/>
  <c r="J704" i="3"/>
  <c r="M705" i="3"/>
  <c r="Q704" i="3"/>
  <c r="H699" i="3"/>
  <c r="K699" i="3"/>
  <c r="C529" i="3"/>
  <c r="G700" i="3"/>
  <c r="C709" i="3"/>
  <c r="K178" i="3"/>
  <c r="G179" i="3"/>
  <c r="H179" i="3" s="1"/>
  <c r="N151" i="3" s="1"/>
  <c r="P165" i="4"/>
  <c r="I165" i="20" s="1"/>
  <c r="C166" i="4"/>
  <c r="D166" i="4" s="1"/>
  <c r="G165" i="4"/>
  <c r="J160" i="20"/>
  <c r="Q161" i="4"/>
  <c r="K161" i="20"/>
  <c r="R162" i="4"/>
  <c r="I164" i="20"/>
  <c r="N163" i="4"/>
  <c r="H163" i="4"/>
  <c r="I163" i="4" s="1"/>
  <c r="L163" i="4" s="1"/>
  <c r="K162" i="4"/>
  <c r="E164" i="4"/>
  <c r="J164" i="4"/>
  <c r="F164" i="4"/>
  <c r="S160" i="4"/>
  <c r="L160" i="20" s="1"/>
  <c r="O151" i="3" l="1"/>
  <c r="G591" i="3"/>
  <c r="C469" i="3"/>
  <c r="K590" i="3"/>
  <c r="H590" i="3"/>
  <c r="R150" i="3"/>
  <c r="M706" i="3"/>
  <c r="Q705" i="3"/>
  <c r="F706" i="3"/>
  <c r="J705" i="3"/>
  <c r="C530" i="3"/>
  <c r="G701" i="3"/>
  <c r="K700" i="3"/>
  <c r="H700" i="3"/>
  <c r="C710" i="3"/>
  <c r="K179" i="3"/>
  <c r="K162" i="20"/>
  <c r="R163" i="4"/>
  <c r="J165" i="4"/>
  <c r="E165" i="4"/>
  <c r="F165" i="4"/>
  <c r="N164" i="4"/>
  <c r="H164" i="4"/>
  <c r="I164" i="4" s="1"/>
  <c r="L164" i="4" s="1"/>
  <c r="K163" i="4"/>
  <c r="P166" i="4"/>
  <c r="C167" i="4"/>
  <c r="D167" i="4" s="1"/>
  <c r="G166" i="4"/>
  <c r="J161" i="20"/>
  <c r="Q162" i="4"/>
  <c r="G180" i="3"/>
  <c r="H180" i="3" s="1"/>
  <c r="N152" i="3" s="1"/>
  <c r="S161" i="4"/>
  <c r="L161" i="20" s="1"/>
  <c r="O152" i="3" l="1"/>
  <c r="G592" i="3"/>
  <c r="C470" i="3"/>
  <c r="H591" i="3"/>
  <c r="K591" i="3"/>
  <c r="R151" i="3"/>
  <c r="F707" i="3"/>
  <c r="J706" i="3"/>
  <c r="M707" i="3"/>
  <c r="Q706" i="3"/>
  <c r="K701" i="3"/>
  <c r="H701" i="3"/>
  <c r="C531" i="3"/>
  <c r="G702" i="3"/>
  <c r="C711" i="3"/>
  <c r="K180" i="3"/>
  <c r="K163" i="20"/>
  <c r="R164" i="4"/>
  <c r="K164" i="4"/>
  <c r="G181" i="3"/>
  <c r="H181" i="3" s="1"/>
  <c r="N153" i="3" s="1"/>
  <c r="J162" i="20"/>
  <c r="Q163" i="4"/>
  <c r="J166" i="4"/>
  <c r="E166" i="4"/>
  <c r="F166" i="4"/>
  <c r="P167" i="4"/>
  <c r="I167" i="20" s="1"/>
  <c r="C168" i="4"/>
  <c r="D168" i="4" s="1"/>
  <c r="G167" i="4"/>
  <c r="I166" i="20"/>
  <c r="S162" i="4"/>
  <c r="L162" i="20" s="1"/>
  <c r="N165" i="4"/>
  <c r="H165" i="4"/>
  <c r="I165" i="4" s="1"/>
  <c r="L165" i="4" s="1"/>
  <c r="O153" i="3" l="1"/>
  <c r="G593" i="3"/>
  <c r="C471" i="3"/>
  <c r="H592" i="3"/>
  <c r="K592" i="3"/>
  <c r="R152" i="3"/>
  <c r="M708" i="3"/>
  <c r="Q707" i="3"/>
  <c r="F708" i="3"/>
  <c r="J707" i="3"/>
  <c r="K702" i="3"/>
  <c r="H702" i="3"/>
  <c r="C532" i="3"/>
  <c r="G703" i="3"/>
  <c r="C712" i="3"/>
  <c r="K181" i="3"/>
  <c r="P168" i="4"/>
  <c r="I168" i="20" s="1"/>
  <c r="C169" i="4"/>
  <c r="D169" i="4" s="1"/>
  <c r="G168" i="4"/>
  <c r="G182" i="3"/>
  <c r="H182" i="3" s="1"/>
  <c r="N154" i="3" s="1"/>
  <c r="G327" i="3"/>
  <c r="H327" i="3" s="1"/>
  <c r="N166" i="4"/>
  <c r="H166" i="4"/>
  <c r="I166" i="4" s="1"/>
  <c r="L166" i="4" s="1"/>
  <c r="J163" i="20"/>
  <c r="Q164" i="4"/>
  <c r="S164" i="4" s="1"/>
  <c r="L164" i="20" s="1"/>
  <c r="S163" i="4"/>
  <c r="L163" i="20" s="1"/>
  <c r="K164" i="20"/>
  <c r="R165" i="4"/>
  <c r="J167" i="4"/>
  <c r="E167" i="4"/>
  <c r="F167" i="4"/>
  <c r="K165" i="4"/>
  <c r="O154" i="3" l="1"/>
  <c r="R154" i="3" s="1"/>
  <c r="G594" i="3"/>
  <c r="C472" i="3"/>
  <c r="K593" i="3"/>
  <c r="H593" i="3"/>
  <c r="R153" i="3"/>
  <c r="F709" i="3"/>
  <c r="J708" i="3"/>
  <c r="M709" i="3"/>
  <c r="Q708" i="3"/>
  <c r="K703" i="3"/>
  <c r="H703" i="3"/>
  <c r="C533" i="3"/>
  <c r="G704" i="3"/>
  <c r="C713" i="3"/>
  <c r="N169" i="3"/>
  <c r="K182" i="3"/>
  <c r="J164" i="20"/>
  <c r="Q165" i="4"/>
  <c r="S165" i="4" s="1"/>
  <c r="L165" i="20" s="1"/>
  <c r="K327" i="3"/>
  <c r="E168" i="4"/>
  <c r="J168" i="4"/>
  <c r="F168" i="4"/>
  <c r="N167" i="4"/>
  <c r="H167" i="4"/>
  <c r="I167" i="4" s="1"/>
  <c r="L167" i="4" s="1"/>
  <c r="K165" i="20"/>
  <c r="R166" i="4"/>
  <c r="K166" i="4"/>
  <c r="G183" i="3"/>
  <c r="H183" i="3" s="1"/>
  <c r="N155" i="3" s="1"/>
  <c r="P169" i="4"/>
  <c r="I169" i="20" s="1"/>
  <c r="C170" i="4"/>
  <c r="D170" i="4" s="1"/>
  <c r="G169" i="4"/>
  <c r="O155" i="3" l="1"/>
  <c r="O156" i="3"/>
  <c r="G595" i="3"/>
  <c r="C473" i="3"/>
  <c r="K594" i="3"/>
  <c r="H594" i="3"/>
  <c r="M710" i="3"/>
  <c r="Q709" i="3"/>
  <c r="F710" i="3"/>
  <c r="J709" i="3"/>
  <c r="C534" i="3"/>
  <c r="G705" i="3"/>
  <c r="K704" i="3"/>
  <c r="H704" i="3"/>
  <c r="C714" i="3"/>
  <c r="K183" i="3"/>
  <c r="P170" i="4"/>
  <c r="I170" i="20" s="1"/>
  <c r="C171" i="4"/>
  <c r="D171" i="4" s="1"/>
  <c r="G170" i="4"/>
  <c r="J169" i="4"/>
  <c r="E169" i="4"/>
  <c r="F169" i="4"/>
  <c r="K167" i="4"/>
  <c r="N168" i="4"/>
  <c r="H168" i="4"/>
  <c r="I168" i="4" s="1"/>
  <c r="L168" i="4" s="1"/>
  <c r="J165" i="20"/>
  <c r="Q166" i="4"/>
  <c r="S166" i="4" s="1"/>
  <c r="L166" i="20" s="1"/>
  <c r="K166" i="20"/>
  <c r="R167" i="4"/>
  <c r="G185" i="3"/>
  <c r="H185" i="3" s="1"/>
  <c r="N157" i="3" s="1"/>
  <c r="O157" i="3" l="1"/>
  <c r="R157" i="3" s="1"/>
  <c r="G596" i="3"/>
  <c r="C474" i="3"/>
  <c r="H595" i="3"/>
  <c r="K595" i="3"/>
  <c r="R155" i="3"/>
  <c r="R156" i="3"/>
  <c r="F711" i="3"/>
  <c r="J710" i="3"/>
  <c r="M711" i="3"/>
  <c r="Q710" i="3"/>
  <c r="K705" i="3"/>
  <c r="H705" i="3"/>
  <c r="C535" i="3"/>
  <c r="G706" i="3"/>
  <c r="C715" i="3"/>
  <c r="K185" i="3"/>
  <c r="N169" i="4"/>
  <c r="H169" i="4"/>
  <c r="I169" i="4" s="1"/>
  <c r="L169" i="4" s="1"/>
  <c r="G186" i="3"/>
  <c r="H186" i="3" s="1"/>
  <c r="N158" i="3" s="1"/>
  <c r="O158" i="3" s="1"/>
  <c r="K168" i="4"/>
  <c r="J170" i="4"/>
  <c r="E170" i="4"/>
  <c r="F170" i="4"/>
  <c r="K167" i="20"/>
  <c r="R168" i="4"/>
  <c r="J166" i="20"/>
  <c r="Q167" i="4"/>
  <c r="S167" i="4" s="1"/>
  <c r="L167" i="20" s="1"/>
  <c r="P171" i="4"/>
  <c r="I171" i="20" s="1"/>
  <c r="C172" i="4"/>
  <c r="D172" i="4" s="1"/>
  <c r="G171" i="4"/>
  <c r="R158" i="3" l="1"/>
  <c r="G597" i="3"/>
  <c r="C475" i="3"/>
  <c r="K596" i="3"/>
  <c r="H596" i="3"/>
  <c r="M712" i="3"/>
  <c r="Q711" i="3"/>
  <c r="F712" i="3"/>
  <c r="J711" i="3"/>
  <c r="K706" i="3"/>
  <c r="H706" i="3"/>
  <c r="C536" i="3"/>
  <c r="G707" i="3"/>
  <c r="C716" i="3"/>
  <c r="K186" i="3"/>
  <c r="N170" i="4"/>
  <c r="H170" i="4"/>
  <c r="I170" i="4" s="1"/>
  <c r="L170" i="4" s="1"/>
  <c r="J171" i="4"/>
  <c r="E171" i="4"/>
  <c r="F171" i="4"/>
  <c r="P172" i="4"/>
  <c r="I172" i="20" s="1"/>
  <c r="C173" i="4"/>
  <c r="D173" i="4" s="1"/>
  <c r="G172" i="4"/>
  <c r="J167" i="20"/>
  <c r="Q168" i="4"/>
  <c r="S168" i="4" s="1"/>
  <c r="L168" i="20" s="1"/>
  <c r="K169" i="4"/>
  <c r="K168" i="20"/>
  <c r="R169" i="4"/>
  <c r="G187" i="3"/>
  <c r="H187" i="3" s="1"/>
  <c r="N159" i="3" s="1"/>
  <c r="O159" i="3" s="1"/>
  <c r="G598" i="3" l="1"/>
  <c r="C476" i="3"/>
  <c r="K597" i="3"/>
  <c r="H597" i="3"/>
  <c r="F713" i="3"/>
  <c r="J712" i="3"/>
  <c r="M713" i="3"/>
  <c r="Q712" i="3"/>
  <c r="K707" i="3"/>
  <c r="H707" i="3"/>
  <c r="C537" i="3"/>
  <c r="G708" i="3"/>
  <c r="C717" i="3"/>
  <c r="K187" i="3"/>
  <c r="J168" i="20"/>
  <c r="Q169" i="4"/>
  <c r="S169" i="4" s="1"/>
  <c r="L169" i="20" s="1"/>
  <c r="N171" i="4"/>
  <c r="H171" i="4"/>
  <c r="I171" i="4" s="1"/>
  <c r="L171" i="4" s="1"/>
  <c r="K170" i="4"/>
  <c r="E172" i="4"/>
  <c r="J172" i="4"/>
  <c r="F172" i="4"/>
  <c r="G188" i="3"/>
  <c r="H188" i="3" s="1"/>
  <c r="N160" i="3" s="1"/>
  <c r="O160" i="3" s="1"/>
  <c r="P173" i="4"/>
  <c r="I173" i="20" s="1"/>
  <c r="C174" i="4"/>
  <c r="D174" i="4" s="1"/>
  <c r="G173" i="4"/>
  <c r="K169" i="20"/>
  <c r="R170" i="4"/>
  <c r="R160" i="3" l="1"/>
  <c r="G599" i="3"/>
  <c r="C477" i="3"/>
  <c r="H598" i="3"/>
  <c r="K598" i="3"/>
  <c r="R159" i="3"/>
  <c r="M714" i="3"/>
  <c r="Q713" i="3"/>
  <c r="F714" i="3"/>
  <c r="J713" i="3"/>
  <c r="K708" i="3"/>
  <c r="H708" i="3"/>
  <c r="C538" i="3"/>
  <c r="G709" i="3"/>
  <c r="C718" i="3"/>
  <c r="K188" i="3"/>
  <c r="J173" i="4"/>
  <c r="E173" i="4"/>
  <c r="F173" i="4"/>
  <c r="G189" i="3"/>
  <c r="H189" i="3" s="1"/>
  <c r="N161" i="3" s="1"/>
  <c r="O161" i="3" s="1"/>
  <c r="P174" i="4"/>
  <c r="I174" i="20" s="1"/>
  <c r="C175" i="4"/>
  <c r="D175" i="4" s="1"/>
  <c r="G174" i="4"/>
  <c r="N172" i="4"/>
  <c r="H172" i="4"/>
  <c r="I172" i="4" s="1"/>
  <c r="L172" i="4" s="1"/>
  <c r="K170" i="20"/>
  <c r="R171" i="4"/>
  <c r="K171" i="4"/>
  <c r="J169" i="20"/>
  <c r="Q170" i="4"/>
  <c r="S170" i="4" s="1"/>
  <c r="L170" i="20" s="1"/>
  <c r="R161" i="3" l="1"/>
  <c r="G600" i="3"/>
  <c r="C478" i="3"/>
  <c r="H599" i="3"/>
  <c r="K599" i="3"/>
  <c r="F715" i="3"/>
  <c r="J714" i="3"/>
  <c r="M715" i="3"/>
  <c r="Q714" i="3"/>
  <c r="K709" i="3"/>
  <c r="H709" i="3"/>
  <c r="C539" i="3"/>
  <c r="G710" i="3"/>
  <c r="C719" i="3"/>
  <c r="K189" i="3"/>
  <c r="P175" i="4"/>
  <c r="I175" i="20" s="1"/>
  <c r="C176" i="4"/>
  <c r="D176" i="4" s="1"/>
  <c r="G175" i="4"/>
  <c r="J170" i="20"/>
  <c r="Q171" i="4"/>
  <c r="S171" i="4" s="1"/>
  <c r="L171" i="20" s="1"/>
  <c r="K171" i="20"/>
  <c r="R172" i="4"/>
  <c r="J174" i="4"/>
  <c r="E174" i="4"/>
  <c r="F174" i="4"/>
  <c r="G190" i="3"/>
  <c r="H190" i="3" s="1"/>
  <c r="N162" i="3" s="1"/>
  <c r="O162" i="3" s="1"/>
  <c r="N173" i="4"/>
  <c r="H173" i="4"/>
  <c r="I173" i="4" s="1"/>
  <c r="L173" i="4" s="1"/>
  <c r="K172" i="4"/>
  <c r="R162" i="3" l="1"/>
  <c r="G601" i="3"/>
  <c r="C479" i="3"/>
  <c r="K600" i="3"/>
  <c r="H600" i="3"/>
  <c r="M716" i="3"/>
  <c r="Q715" i="3"/>
  <c r="F716" i="3"/>
  <c r="J715" i="3"/>
  <c r="K710" i="3"/>
  <c r="H710" i="3"/>
  <c r="C540" i="3"/>
  <c r="G711" i="3"/>
  <c r="C720" i="3"/>
  <c r="K190" i="3"/>
  <c r="G191" i="3"/>
  <c r="H191" i="3" s="1"/>
  <c r="N163" i="3" s="1"/>
  <c r="O163" i="3" s="1"/>
  <c r="K172" i="20"/>
  <c r="R173" i="4"/>
  <c r="J175" i="4"/>
  <c r="E175" i="4"/>
  <c r="F175" i="4"/>
  <c r="K173" i="4"/>
  <c r="P176" i="4"/>
  <c r="I176" i="20" s="1"/>
  <c r="C177" i="4"/>
  <c r="D177" i="4" s="1"/>
  <c r="G176" i="4"/>
  <c r="N174" i="4"/>
  <c r="H174" i="4"/>
  <c r="I174" i="4" s="1"/>
  <c r="L174" i="4" s="1"/>
  <c r="J171" i="20"/>
  <c r="Q172" i="4"/>
  <c r="R163" i="3" l="1"/>
  <c r="G602" i="3"/>
  <c r="C480" i="3"/>
  <c r="H601" i="3"/>
  <c r="K601" i="3"/>
  <c r="F717" i="3"/>
  <c r="J716" i="3"/>
  <c r="M717" i="3"/>
  <c r="Q716" i="3"/>
  <c r="C541" i="3"/>
  <c r="G712" i="3"/>
  <c r="K711" i="3"/>
  <c r="H711" i="3"/>
  <c r="C721" i="3"/>
  <c r="K191" i="3"/>
  <c r="P177" i="4"/>
  <c r="I177" i="20" s="1"/>
  <c r="C178" i="4"/>
  <c r="D178" i="4" s="1"/>
  <c r="G177" i="4"/>
  <c r="N175" i="4"/>
  <c r="H175" i="4"/>
  <c r="I175" i="4" s="1"/>
  <c r="L175" i="4" s="1"/>
  <c r="K174" i="4"/>
  <c r="G192" i="3"/>
  <c r="H192" i="3" s="1"/>
  <c r="N164" i="3" s="1"/>
  <c r="O164" i="3" s="1"/>
  <c r="J172" i="20"/>
  <c r="Q173" i="4"/>
  <c r="E176" i="4"/>
  <c r="J176" i="4"/>
  <c r="F176" i="4"/>
  <c r="S172" i="4"/>
  <c r="L172" i="20" s="1"/>
  <c r="K173" i="20"/>
  <c r="R174" i="4"/>
  <c r="R164" i="3" l="1"/>
  <c r="G603" i="3"/>
  <c r="C481" i="3"/>
  <c r="G604" i="3" s="1"/>
  <c r="H602" i="3"/>
  <c r="K602" i="3"/>
  <c r="M718" i="3"/>
  <c r="Q717" i="3"/>
  <c r="F718" i="3"/>
  <c r="J717" i="3"/>
  <c r="K712" i="3"/>
  <c r="H712" i="3"/>
  <c r="C542" i="3"/>
  <c r="G713" i="3"/>
  <c r="C722" i="3"/>
  <c r="K192" i="3"/>
  <c r="J173" i="20"/>
  <c r="Q174" i="4"/>
  <c r="S174" i="4" s="1"/>
  <c r="L174" i="20" s="1"/>
  <c r="K174" i="20"/>
  <c r="R175" i="4"/>
  <c r="N176" i="4"/>
  <c r="H176" i="4"/>
  <c r="I176" i="4" s="1"/>
  <c r="L176" i="4" s="1"/>
  <c r="K175" i="4"/>
  <c r="J177" i="4"/>
  <c r="E177" i="4"/>
  <c r="F177" i="4"/>
  <c r="P178" i="4"/>
  <c r="I178" i="20" s="1"/>
  <c r="C179" i="4"/>
  <c r="D179" i="4" s="1"/>
  <c r="G178" i="4"/>
  <c r="G193" i="3"/>
  <c r="H193" i="3" s="1"/>
  <c r="N165" i="3" s="1"/>
  <c r="O165" i="3" s="1"/>
  <c r="S173" i="4"/>
  <c r="L173" i="20" s="1"/>
  <c r="R165" i="3" l="1"/>
  <c r="H604" i="3"/>
  <c r="K604" i="3"/>
  <c r="K603" i="3"/>
  <c r="H603" i="3"/>
  <c r="F719" i="3"/>
  <c r="J718" i="3"/>
  <c r="M719" i="3"/>
  <c r="Q718" i="3"/>
  <c r="C543" i="3"/>
  <c r="G714" i="3"/>
  <c r="K713" i="3"/>
  <c r="H713" i="3"/>
  <c r="C723" i="3"/>
  <c r="K193" i="3"/>
  <c r="J178" i="4"/>
  <c r="E178" i="4"/>
  <c r="F178" i="4"/>
  <c r="N177" i="4"/>
  <c r="H177" i="4"/>
  <c r="I177" i="4" s="1"/>
  <c r="L177" i="4" s="1"/>
  <c r="P179" i="4"/>
  <c r="I179" i="20" s="1"/>
  <c r="C180" i="4"/>
  <c r="D180" i="4" s="1"/>
  <c r="G179" i="4"/>
  <c r="G194" i="3"/>
  <c r="H194" i="3" s="1"/>
  <c r="N166" i="3" s="1"/>
  <c r="O166" i="3" s="1"/>
  <c r="K176" i="4"/>
  <c r="J174" i="20"/>
  <c r="Q175" i="4"/>
  <c r="S175" i="4" s="1"/>
  <c r="L175" i="20" s="1"/>
  <c r="K175" i="20"/>
  <c r="R176" i="4"/>
  <c r="R166" i="3" l="1"/>
  <c r="M720" i="3"/>
  <c r="Q719" i="3"/>
  <c r="F720" i="3"/>
  <c r="J719" i="3"/>
  <c r="K714" i="3"/>
  <c r="H714" i="3"/>
  <c r="C544" i="3"/>
  <c r="G715" i="3"/>
  <c r="C724" i="3"/>
  <c r="G539" i="3" s="1"/>
  <c r="K194" i="3"/>
  <c r="J179" i="4"/>
  <c r="E179" i="4"/>
  <c r="F179" i="4"/>
  <c r="K176" i="20"/>
  <c r="R177" i="4"/>
  <c r="J175" i="20"/>
  <c r="Q176" i="4"/>
  <c r="S176" i="4" s="1"/>
  <c r="L176" i="20" s="1"/>
  <c r="G195" i="3"/>
  <c r="H195" i="3" s="1"/>
  <c r="N167" i="3" s="1"/>
  <c r="O167" i="3" s="1"/>
  <c r="K177" i="4"/>
  <c r="P180" i="4"/>
  <c r="I180" i="20" s="1"/>
  <c r="C181" i="4"/>
  <c r="D181" i="4" s="1"/>
  <c r="G180" i="4"/>
  <c r="N178" i="4"/>
  <c r="H178" i="4"/>
  <c r="I178" i="4" s="1"/>
  <c r="L178" i="4" s="1"/>
  <c r="R167" i="3" l="1"/>
  <c r="F721" i="3"/>
  <c r="J720" i="3"/>
  <c r="M721" i="3"/>
  <c r="Q720" i="3"/>
  <c r="C545" i="3"/>
  <c r="G716" i="3"/>
  <c r="H539" i="3"/>
  <c r="K539" i="3"/>
  <c r="K715" i="3"/>
  <c r="H715" i="3"/>
  <c r="K195" i="3"/>
  <c r="K177" i="20"/>
  <c r="R178" i="4"/>
  <c r="J176" i="20"/>
  <c r="Q177" i="4"/>
  <c r="P181" i="4"/>
  <c r="I181" i="20" s="1"/>
  <c r="C182" i="4"/>
  <c r="D182" i="4" s="1"/>
  <c r="G181" i="4"/>
  <c r="K178" i="4"/>
  <c r="G196" i="3"/>
  <c r="H196" i="3" s="1"/>
  <c r="N168" i="3" s="1"/>
  <c r="G340" i="3"/>
  <c r="H340" i="3" s="1"/>
  <c r="E180" i="4"/>
  <c r="J180" i="4"/>
  <c r="F180" i="4"/>
  <c r="N179" i="4"/>
  <c r="H179" i="4"/>
  <c r="I179" i="4" s="1"/>
  <c r="L179" i="4" s="1"/>
  <c r="O168" i="3" l="1"/>
  <c r="O169" i="3"/>
  <c r="M722" i="3"/>
  <c r="Q721" i="3"/>
  <c r="F722" i="3"/>
  <c r="J721" i="3"/>
  <c r="K716" i="3"/>
  <c r="H716" i="3"/>
  <c r="C546" i="3"/>
  <c r="G717" i="3"/>
  <c r="K196" i="3"/>
  <c r="N182" i="3"/>
  <c r="K340" i="3"/>
  <c r="J181" i="4"/>
  <c r="E181" i="4"/>
  <c r="F181" i="4"/>
  <c r="G198" i="3"/>
  <c r="H198" i="3" s="1"/>
  <c r="N170" i="3" s="1"/>
  <c r="O170" i="3" s="1"/>
  <c r="P182" i="4"/>
  <c r="I182" i="20" s="1"/>
  <c r="C183" i="4"/>
  <c r="D183" i="4" s="1"/>
  <c r="G182" i="4"/>
  <c r="J177" i="20"/>
  <c r="Q178" i="4"/>
  <c r="S178" i="4" s="1"/>
  <c r="L178" i="20" s="1"/>
  <c r="S177" i="4"/>
  <c r="L177" i="20" s="1"/>
  <c r="N180" i="4"/>
  <c r="H180" i="4"/>
  <c r="I180" i="4" s="1"/>
  <c r="L180" i="4" s="1"/>
  <c r="K179" i="4"/>
  <c r="K178" i="20"/>
  <c r="R179" i="4"/>
  <c r="R170" i="3" l="1"/>
  <c r="R168" i="3"/>
  <c r="R169" i="3"/>
  <c r="M723" i="3"/>
  <c r="Q722" i="3"/>
  <c r="F723" i="3"/>
  <c r="J722" i="3"/>
  <c r="G722" i="3"/>
  <c r="K722" i="3" s="1"/>
  <c r="K717" i="3"/>
  <c r="H717" i="3"/>
  <c r="C547" i="3"/>
  <c r="G718" i="3"/>
  <c r="K198" i="3"/>
  <c r="J182" i="4"/>
  <c r="E182" i="4"/>
  <c r="F182" i="4"/>
  <c r="K180" i="4"/>
  <c r="P183" i="4"/>
  <c r="I183" i="20" s="1"/>
  <c r="C184" i="4"/>
  <c r="D184" i="4" s="1"/>
  <c r="G183" i="4"/>
  <c r="K179" i="20"/>
  <c r="R180" i="4"/>
  <c r="J178" i="20"/>
  <c r="Q179" i="4"/>
  <c r="G199" i="3"/>
  <c r="H199" i="3" s="1"/>
  <c r="N171" i="3" s="1"/>
  <c r="O171" i="3" s="1"/>
  <c r="N181" i="4"/>
  <c r="H181" i="4"/>
  <c r="I181" i="4" s="1"/>
  <c r="L181" i="4" s="1"/>
  <c r="R171" i="3" l="1"/>
  <c r="H722" i="3"/>
  <c r="F724" i="3"/>
  <c r="J723" i="3"/>
  <c r="G723" i="3"/>
  <c r="K723" i="3" s="1"/>
  <c r="M724" i="3"/>
  <c r="Q723" i="3"/>
  <c r="K718" i="3"/>
  <c r="H718" i="3"/>
  <c r="C548" i="3"/>
  <c r="G719" i="3"/>
  <c r="K199" i="3"/>
  <c r="G200" i="3"/>
  <c r="H200" i="3" s="1"/>
  <c r="N172" i="3" s="1"/>
  <c r="O172" i="3" s="1"/>
  <c r="J179" i="20"/>
  <c r="Q180" i="4"/>
  <c r="S180" i="4" s="1"/>
  <c r="L180" i="20" s="1"/>
  <c r="J183" i="4"/>
  <c r="E183" i="4"/>
  <c r="F183" i="4"/>
  <c r="P184" i="4"/>
  <c r="I184" i="20" s="1"/>
  <c r="C185" i="4"/>
  <c r="D185" i="4" s="1"/>
  <c r="G184" i="4"/>
  <c r="S179" i="4"/>
  <c r="L179" i="20" s="1"/>
  <c r="K180" i="20"/>
  <c r="R181" i="4"/>
  <c r="K181" i="4"/>
  <c r="N182" i="4"/>
  <c r="H182" i="4"/>
  <c r="I182" i="4" s="1"/>
  <c r="L182" i="4" s="1"/>
  <c r="R172" i="3" l="1"/>
  <c r="H723" i="3"/>
  <c r="Q724" i="3"/>
  <c r="J724" i="3"/>
  <c r="G724" i="3"/>
  <c r="K724" i="3" s="1"/>
  <c r="C549" i="3"/>
  <c r="G721" i="3" s="1"/>
  <c r="G720" i="3"/>
  <c r="K719" i="3"/>
  <c r="H719" i="3"/>
  <c r="K200" i="3"/>
  <c r="K181" i="20"/>
  <c r="R182" i="4"/>
  <c r="G201" i="3"/>
  <c r="H201" i="3" s="1"/>
  <c r="N173" i="3" s="1"/>
  <c r="O173" i="3" s="1"/>
  <c r="E184" i="4"/>
  <c r="J184" i="4"/>
  <c r="F184" i="4"/>
  <c r="N183" i="4"/>
  <c r="H183" i="4"/>
  <c r="I183" i="4" s="1"/>
  <c r="L183" i="4" s="1"/>
  <c r="K182" i="4"/>
  <c r="P185" i="4"/>
  <c r="I185" i="20" s="1"/>
  <c r="C186" i="4"/>
  <c r="D186" i="4" s="1"/>
  <c r="G185" i="4"/>
  <c r="J180" i="20"/>
  <c r="Q181" i="4"/>
  <c r="S181" i="4" s="1"/>
  <c r="L181" i="20" s="1"/>
  <c r="R173" i="3" l="1"/>
  <c r="H724" i="3"/>
  <c r="K720" i="3"/>
  <c r="H720" i="3"/>
  <c r="K721" i="3"/>
  <c r="H721" i="3"/>
  <c r="G538" i="3"/>
  <c r="K201" i="3"/>
  <c r="P186" i="4"/>
  <c r="I186" i="20" s="1"/>
  <c r="C187" i="4"/>
  <c r="D187" i="4" s="1"/>
  <c r="G186" i="4"/>
  <c r="J181" i="20"/>
  <c r="Q182" i="4"/>
  <c r="S182" i="4" s="1"/>
  <c r="L182" i="20" s="1"/>
  <c r="J185" i="4"/>
  <c r="E185" i="4"/>
  <c r="F185" i="4"/>
  <c r="N184" i="4"/>
  <c r="H184" i="4"/>
  <c r="I184" i="4" s="1"/>
  <c r="L184" i="4" s="1"/>
  <c r="K182" i="20"/>
  <c r="R183" i="4"/>
  <c r="K183" i="4"/>
  <c r="G202" i="3"/>
  <c r="H202" i="3" s="1"/>
  <c r="N174" i="3" s="1"/>
  <c r="O174" i="3" s="1"/>
  <c r="R174" i="3" l="1"/>
  <c r="H538" i="3"/>
  <c r="K538" i="3"/>
  <c r="K202" i="3"/>
  <c r="K183" i="20"/>
  <c r="R184" i="4"/>
  <c r="G203" i="3"/>
  <c r="H203" i="3" s="1"/>
  <c r="N175" i="3" s="1"/>
  <c r="O175" i="3" s="1"/>
  <c r="J182" i="20"/>
  <c r="Q183" i="4"/>
  <c r="S183" i="4" s="1"/>
  <c r="L183" i="20" s="1"/>
  <c r="J186" i="4"/>
  <c r="E186" i="4"/>
  <c r="F186" i="4"/>
  <c r="N185" i="4"/>
  <c r="H185" i="4"/>
  <c r="I185" i="4" s="1"/>
  <c r="L185" i="4" s="1"/>
  <c r="K184" i="4"/>
  <c r="P187" i="4"/>
  <c r="I187" i="20" s="1"/>
  <c r="C188" i="4"/>
  <c r="D188" i="4" s="1"/>
  <c r="G187" i="4"/>
  <c r="R175" i="3" l="1"/>
  <c r="K203" i="3"/>
  <c r="P188" i="4"/>
  <c r="I188" i="20" s="1"/>
  <c r="C189" i="4"/>
  <c r="D189" i="4" s="1"/>
  <c r="G188" i="4"/>
  <c r="N186" i="4"/>
  <c r="H186" i="4"/>
  <c r="I186" i="4" s="1"/>
  <c r="L186" i="4" s="1"/>
  <c r="K185" i="4"/>
  <c r="J183" i="20"/>
  <c r="Q184" i="4"/>
  <c r="S184" i="4" s="1"/>
  <c r="L184" i="20" s="1"/>
  <c r="J187" i="4"/>
  <c r="E187" i="4"/>
  <c r="F187" i="4"/>
  <c r="G204" i="3"/>
  <c r="H204" i="3" s="1"/>
  <c r="N176" i="3" s="1"/>
  <c r="O176" i="3" s="1"/>
  <c r="K184" i="20"/>
  <c r="R185" i="4"/>
  <c r="R176" i="3" l="1"/>
  <c r="K204" i="3"/>
  <c r="K185" i="20"/>
  <c r="R186" i="4"/>
  <c r="N187" i="4"/>
  <c r="H187" i="4"/>
  <c r="I187" i="4" s="1"/>
  <c r="L187" i="4" s="1"/>
  <c r="K186" i="4"/>
  <c r="E188" i="4"/>
  <c r="J188" i="4"/>
  <c r="F188" i="4"/>
  <c r="G205" i="3"/>
  <c r="H205" i="3" s="1"/>
  <c r="N177" i="3" s="1"/>
  <c r="O177" i="3" s="1"/>
  <c r="J184" i="20"/>
  <c r="Q185" i="4"/>
  <c r="S185" i="4" s="1"/>
  <c r="L185" i="20" s="1"/>
  <c r="P189" i="4"/>
  <c r="I189" i="20" s="1"/>
  <c r="C190" i="4"/>
  <c r="D190" i="4" s="1"/>
  <c r="G189" i="4"/>
  <c r="R177" i="3" l="1"/>
  <c r="K205" i="3"/>
  <c r="J189" i="4"/>
  <c r="E189" i="4"/>
  <c r="F189" i="4"/>
  <c r="G206" i="3"/>
  <c r="H206" i="3" s="1"/>
  <c r="N178" i="3" s="1"/>
  <c r="O178" i="3" s="1"/>
  <c r="K187" i="4"/>
  <c r="K186" i="20"/>
  <c r="R187" i="4"/>
  <c r="P190" i="4"/>
  <c r="I190" i="20" s="1"/>
  <c r="C191" i="4"/>
  <c r="D191" i="4" s="1"/>
  <c r="G190" i="4"/>
  <c r="J185" i="20"/>
  <c r="Q186" i="4"/>
  <c r="N188" i="4"/>
  <c r="H188" i="4"/>
  <c r="I188" i="4" s="1"/>
  <c r="L188" i="4" s="1"/>
  <c r="R178" i="3" l="1"/>
  <c r="K206" i="3"/>
  <c r="P191" i="4"/>
  <c r="I191" i="20" s="1"/>
  <c r="C192" i="4"/>
  <c r="D192" i="4" s="1"/>
  <c r="G191" i="4"/>
  <c r="K187" i="20"/>
  <c r="R188" i="4"/>
  <c r="J186" i="20"/>
  <c r="Q187" i="4"/>
  <c r="S187" i="4" s="1"/>
  <c r="L187" i="20" s="1"/>
  <c r="G207" i="3"/>
  <c r="H207" i="3" s="1"/>
  <c r="N179" i="3" s="1"/>
  <c r="O179" i="3" s="1"/>
  <c r="S186" i="4"/>
  <c r="L186" i="20" s="1"/>
  <c r="J190" i="4"/>
  <c r="E190" i="4"/>
  <c r="F190" i="4"/>
  <c r="K188" i="4"/>
  <c r="N189" i="4"/>
  <c r="H189" i="4"/>
  <c r="I189" i="4" s="1"/>
  <c r="L189" i="4" s="1"/>
  <c r="R179" i="3" l="1"/>
  <c r="K207" i="3"/>
  <c r="K188" i="20"/>
  <c r="R189" i="4"/>
  <c r="K189" i="4"/>
  <c r="P192" i="4"/>
  <c r="I192" i="20" s="1"/>
  <c r="C193" i="4"/>
  <c r="D193" i="4" s="1"/>
  <c r="G192" i="4"/>
  <c r="N190" i="4"/>
  <c r="H190" i="4"/>
  <c r="I190" i="4" s="1"/>
  <c r="L190" i="4" s="1"/>
  <c r="G208" i="3"/>
  <c r="H208" i="3" s="1"/>
  <c r="N180" i="3" s="1"/>
  <c r="O180" i="3" s="1"/>
  <c r="J187" i="20"/>
  <c r="Q188" i="4"/>
  <c r="S188" i="4" s="1"/>
  <c r="L188" i="20" s="1"/>
  <c r="J191" i="4"/>
  <c r="E191" i="4"/>
  <c r="F191" i="4"/>
  <c r="R180" i="3" l="1"/>
  <c r="K208" i="3"/>
  <c r="N191" i="4"/>
  <c r="H191" i="4"/>
  <c r="I191" i="4" s="1"/>
  <c r="L191" i="4" s="1"/>
  <c r="G209" i="3"/>
  <c r="H209" i="3" s="1"/>
  <c r="N181" i="3" s="1"/>
  <c r="E192" i="4"/>
  <c r="J192" i="4"/>
  <c r="F192" i="4"/>
  <c r="J188" i="20"/>
  <c r="Q189" i="4"/>
  <c r="S189" i="4" s="1"/>
  <c r="L189" i="20" s="1"/>
  <c r="P193" i="4"/>
  <c r="I193" i="20" s="1"/>
  <c r="C194" i="4"/>
  <c r="D194" i="4" s="1"/>
  <c r="G193" i="4"/>
  <c r="K190" i="4"/>
  <c r="K189" i="20"/>
  <c r="R190" i="4"/>
  <c r="O181" i="3" l="1"/>
  <c r="O182" i="3"/>
  <c r="K209" i="3"/>
  <c r="K191" i="4"/>
  <c r="K190" i="20"/>
  <c r="R191" i="4"/>
  <c r="J193" i="4"/>
  <c r="E193" i="4"/>
  <c r="F193" i="4"/>
  <c r="P194" i="4"/>
  <c r="I194" i="20" s="1"/>
  <c r="C195" i="4"/>
  <c r="D195" i="4" s="1"/>
  <c r="G194" i="4"/>
  <c r="J189" i="20"/>
  <c r="Q190" i="4"/>
  <c r="G211" i="3"/>
  <c r="H211" i="3" s="1"/>
  <c r="N183" i="3" s="1"/>
  <c r="O183" i="3" s="1"/>
  <c r="G353" i="3"/>
  <c r="H353" i="3" s="1"/>
  <c r="N192" i="4"/>
  <c r="H192" i="4"/>
  <c r="I192" i="4" s="1"/>
  <c r="L192" i="4" s="1"/>
  <c r="R183" i="3" l="1"/>
  <c r="R181" i="3"/>
  <c r="R182" i="3"/>
  <c r="K211" i="3"/>
  <c r="N195" i="3"/>
  <c r="K192" i="4"/>
  <c r="G212" i="3"/>
  <c r="H212" i="3" s="1"/>
  <c r="N184" i="3" s="1"/>
  <c r="O184" i="3" s="1"/>
  <c r="P195" i="4"/>
  <c r="I195" i="20" s="1"/>
  <c r="C196" i="4"/>
  <c r="D196" i="4" s="1"/>
  <c r="G195" i="4"/>
  <c r="J190" i="20"/>
  <c r="Q191" i="4"/>
  <c r="K191" i="20"/>
  <c r="R192" i="4"/>
  <c r="K353" i="3"/>
  <c r="J194" i="4"/>
  <c r="E194" i="4"/>
  <c r="F194" i="4"/>
  <c r="N193" i="4"/>
  <c r="H193" i="4"/>
  <c r="I193" i="4" s="1"/>
  <c r="L193" i="4" s="1"/>
  <c r="S190" i="4"/>
  <c r="L190" i="20" s="1"/>
  <c r="R184" i="3" l="1"/>
  <c r="K212" i="3"/>
  <c r="P196" i="4"/>
  <c r="I196" i="20" s="1"/>
  <c r="C197" i="4"/>
  <c r="D197" i="4" s="1"/>
  <c r="G196" i="4"/>
  <c r="N194" i="4"/>
  <c r="H194" i="4"/>
  <c r="I194" i="4" s="1"/>
  <c r="L194" i="4" s="1"/>
  <c r="J191" i="20"/>
  <c r="Q192" i="4"/>
  <c r="S192" i="4" s="1"/>
  <c r="L192" i="20" s="1"/>
  <c r="G213" i="3"/>
  <c r="H213" i="3" s="1"/>
  <c r="N185" i="3" s="1"/>
  <c r="O185" i="3" s="1"/>
  <c r="K192" i="20"/>
  <c r="R193" i="4"/>
  <c r="S191" i="4"/>
  <c r="L191" i="20" s="1"/>
  <c r="J195" i="4"/>
  <c r="E195" i="4"/>
  <c r="F195" i="4"/>
  <c r="K193" i="4"/>
  <c r="R185" i="3" l="1"/>
  <c r="K213" i="3"/>
  <c r="K193" i="20"/>
  <c r="R194" i="4"/>
  <c r="N195" i="4"/>
  <c r="H195" i="4"/>
  <c r="I195" i="4" s="1"/>
  <c r="L195" i="4" s="1"/>
  <c r="G214" i="3"/>
  <c r="H214" i="3" s="1"/>
  <c r="N186" i="3" s="1"/>
  <c r="O186" i="3" s="1"/>
  <c r="J192" i="20"/>
  <c r="Q193" i="4"/>
  <c r="S193" i="4" s="1"/>
  <c r="L193" i="20" s="1"/>
  <c r="K194" i="4"/>
  <c r="E196" i="4"/>
  <c r="J196" i="4"/>
  <c r="F196" i="4"/>
  <c r="P197" i="4"/>
  <c r="I197" i="20" s="1"/>
  <c r="C198" i="4"/>
  <c r="D198" i="4" s="1"/>
  <c r="G197" i="4"/>
  <c r="R186" i="3" l="1"/>
  <c r="K214" i="3"/>
  <c r="N196" i="4"/>
  <c r="H196" i="4"/>
  <c r="I196" i="4" s="1"/>
  <c r="L196" i="4" s="1"/>
  <c r="G215" i="3"/>
  <c r="H215" i="3" s="1"/>
  <c r="N187" i="3" s="1"/>
  <c r="O187" i="3" s="1"/>
  <c r="K194" i="20"/>
  <c r="R195" i="4"/>
  <c r="J193" i="20"/>
  <c r="Q194" i="4"/>
  <c r="S194" i="4" s="1"/>
  <c r="L194" i="20" s="1"/>
  <c r="J197" i="4"/>
  <c r="E197" i="4"/>
  <c r="F197" i="4"/>
  <c r="P198" i="4"/>
  <c r="I198" i="20" s="1"/>
  <c r="C199" i="4"/>
  <c r="D199" i="4" s="1"/>
  <c r="G198" i="4"/>
  <c r="K195" i="4"/>
  <c r="R187" i="3" l="1"/>
  <c r="K215" i="3"/>
  <c r="J198" i="4"/>
  <c r="E198" i="4"/>
  <c r="F198" i="4"/>
  <c r="P199" i="4"/>
  <c r="I199" i="20" s="1"/>
  <c r="C200" i="4"/>
  <c r="D200" i="4" s="1"/>
  <c r="G199" i="4"/>
  <c r="N197" i="4"/>
  <c r="H197" i="4"/>
  <c r="I197" i="4" s="1"/>
  <c r="L197" i="4" s="1"/>
  <c r="K195" i="20"/>
  <c r="R196" i="4"/>
  <c r="J194" i="20"/>
  <c r="Q195" i="4"/>
  <c r="S195" i="4" s="1"/>
  <c r="L195" i="20" s="1"/>
  <c r="G216" i="3"/>
  <c r="H216" i="3" s="1"/>
  <c r="N188" i="3" s="1"/>
  <c r="O188" i="3" s="1"/>
  <c r="K196" i="4"/>
  <c r="R188" i="3" l="1"/>
  <c r="K216" i="3"/>
  <c r="K196" i="20"/>
  <c r="R197" i="4"/>
  <c r="K197" i="4"/>
  <c r="J199" i="4"/>
  <c r="E199" i="4"/>
  <c r="F199" i="4"/>
  <c r="J195" i="20"/>
  <c r="Q196" i="4"/>
  <c r="P200" i="4"/>
  <c r="I200" i="20" s="1"/>
  <c r="C201" i="4"/>
  <c r="D201" i="4" s="1"/>
  <c r="G200" i="4"/>
  <c r="G217" i="3"/>
  <c r="H217" i="3" s="1"/>
  <c r="N189" i="3" s="1"/>
  <c r="O189" i="3" s="1"/>
  <c r="N198" i="4"/>
  <c r="H198" i="4"/>
  <c r="I198" i="4" s="1"/>
  <c r="L198" i="4" s="1"/>
  <c r="R189" i="3" l="1"/>
  <c r="K217" i="3"/>
  <c r="G218" i="3"/>
  <c r="H218" i="3" s="1"/>
  <c r="N190" i="3" s="1"/>
  <c r="O190" i="3" s="1"/>
  <c r="P201" i="4"/>
  <c r="I201" i="20" s="1"/>
  <c r="C202" i="4"/>
  <c r="D202" i="4" s="1"/>
  <c r="G201" i="4"/>
  <c r="J196" i="20"/>
  <c r="Q197" i="4"/>
  <c r="S197" i="4" s="1"/>
  <c r="L197" i="20" s="1"/>
  <c r="S196" i="4"/>
  <c r="L196" i="20" s="1"/>
  <c r="K197" i="20"/>
  <c r="R198" i="4"/>
  <c r="E200" i="4"/>
  <c r="J200" i="4"/>
  <c r="F200" i="4"/>
  <c r="N199" i="4"/>
  <c r="H199" i="4"/>
  <c r="I199" i="4" s="1"/>
  <c r="L199" i="4" s="1"/>
  <c r="K198" i="4"/>
  <c r="R190" i="3" l="1"/>
  <c r="K218" i="3"/>
  <c r="K199" i="4"/>
  <c r="J201" i="4"/>
  <c r="E201" i="4"/>
  <c r="F201" i="4"/>
  <c r="P202" i="4"/>
  <c r="I202" i="20" s="1"/>
  <c r="C203" i="4"/>
  <c r="D203" i="4" s="1"/>
  <c r="G202" i="4"/>
  <c r="N200" i="4"/>
  <c r="H200" i="4"/>
  <c r="I200" i="4" s="1"/>
  <c r="L200" i="4" s="1"/>
  <c r="J197" i="20"/>
  <c r="Q198" i="4"/>
  <c r="G219" i="3"/>
  <c r="H219" i="3" s="1"/>
  <c r="N191" i="3" s="1"/>
  <c r="O191" i="3" s="1"/>
  <c r="K198" i="20"/>
  <c r="R199" i="4"/>
  <c r="R191" i="3" l="1"/>
  <c r="K219" i="3"/>
  <c r="K199" i="20"/>
  <c r="R200" i="4"/>
  <c r="J198" i="20"/>
  <c r="Q199" i="4"/>
  <c r="S199" i="4" s="1"/>
  <c r="L199" i="20" s="1"/>
  <c r="P203" i="4"/>
  <c r="I203" i="20" s="1"/>
  <c r="C204" i="4"/>
  <c r="D204" i="4" s="1"/>
  <c r="G203" i="4"/>
  <c r="S198" i="4"/>
  <c r="L198" i="20" s="1"/>
  <c r="K200" i="4"/>
  <c r="G220" i="3"/>
  <c r="H220" i="3" s="1"/>
  <c r="N192" i="3" s="1"/>
  <c r="O192" i="3" s="1"/>
  <c r="J202" i="4"/>
  <c r="E202" i="4"/>
  <c r="F202" i="4"/>
  <c r="N201" i="4"/>
  <c r="H201" i="4"/>
  <c r="I201" i="4" s="1"/>
  <c r="L201" i="4" s="1"/>
  <c r="R192" i="3" l="1"/>
  <c r="K220" i="3"/>
  <c r="G221" i="3"/>
  <c r="H221" i="3" s="1"/>
  <c r="N193" i="3" s="1"/>
  <c r="O193" i="3" s="1"/>
  <c r="K200" i="20"/>
  <c r="R201" i="4"/>
  <c r="N202" i="4"/>
  <c r="H202" i="4"/>
  <c r="I202" i="4" s="1"/>
  <c r="L202" i="4" s="1"/>
  <c r="K201" i="4"/>
  <c r="J203" i="4"/>
  <c r="E203" i="4"/>
  <c r="F203" i="4"/>
  <c r="P204" i="4"/>
  <c r="I204" i="20" s="1"/>
  <c r="C205" i="4"/>
  <c r="D205" i="4" s="1"/>
  <c r="G204" i="4"/>
  <c r="J199" i="20"/>
  <c r="Q200" i="4"/>
  <c r="S200" i="4" s="1"/>
  <c r="L200" i="20" s="1"/>
  <c r="R193" i="3" l="1"/>
  <c r="K221" i="3"/>
  <c r="G222" i="3"/>
  <c r="H222" i="3" s="1"/>
  <c r="N194" i="3" s="1"/>
  <c r="P205" i="4"/>
  <c r="I205" i="20" s="1"/>
  <c r="C206" i="4"/>
  <c r="D206" i="4" s="1"/>
  <c r="G205" i="4"/>
  <c r="J200" i="20"/>
  <c r="Q201" i="4"/>
  <c r="S201" i="4" s="1"/>
  <c r="L201" i="20" s="1"/>
  <c r="N203" i="4"/>
  <c r="H203" i="4"/>
  <c r="I203" i="4" s="1"/>
  <c r="L203" i="4" s="1"/>
  <c r="K201" i="20"/>
  <c r="R202" i="4"/>
  <c r="E204" i="4"/>
  <c r="J204" i="4"/>
  <c r="F204" i="4"/>
  <c r="K202" i="4"/>
  <c r="O194" i="3" l="1"/>
  <c r="O195" i="3"/>
  <c r="K222" i="3"/>
  <c r="J205" i="4"/>
  <c r="E205" i="4"/>
  <c r="F205" i="4"/>
  <c r="P206" i="4"/>
  <c r="I206" i="20" s="1"/>
  <c r="C207" i="4"/>
  <c r="D207" i="4" s="1"/>
  <c r="G206" i="4"/>
  <c r="N204" i="4"/>
  <c r="H204" i="4"/>
  <c r="I204" i="4" s="1"/>
  <c r="L204" i="4" s="1"/>
  <c r="J201" i="20"/>
  <c r="Q202" i="4"/>
  <c r="S202" i="4" s="1"/>
  <c r="L202" i="20" s="1"/>
  <c r="G224" i="3"/>
  <c r="H224" i="3" s="1"/>
  <c r="N196" i="3" s="1"/>
  <c r="O196" i="3" s="1"/>
  <c r="K203" i="4"/>
  <c r="K202" i="20"/>
  <c r="R203" i="4"/>
  <c r="R196" i="3" l="1"/>
  <c r="R194" i="3"/>
  <c r="R195" i="3"/>
  <c r="K224" i="3"/>
  <c r="K203" i="20"/>
  <c r="R204" i="4"/>
  <c r="G225" i="3"/>
  <c r="H225" i="3" s="1"/>
  <c r="N197" i="3" s="1"/>
  <c r="O197" i="3" s="1"/>
  <c r="G366" i="3"/>
  <c r="H366" i="3" s="1"/>
  <c r="J206" i="4"/>
  <c r="E206" i="4"/>
  <c r="F206" i="4"/>
  <c r="N205" i="4"/>
  <c r="H205" i="4"/>
  <c r="I205" i="4" s="1"/>
  <c r="L205" i="4" s="1"/>
  <c r="J202" i="20"/>
  <c r="Q203" i="4"/>
  <c r="P207" i="4"/>
  <c r="I207" i="20" s="1"/>
  <c r="C208" i="4"/>
  <c r="D208" i="4" s="1"/>
  <c r="G207" i="4"/>
  <c r="K204" i="4"/>
  <c r="R197" i="3" l="1"/>
  <c r="K225" i="3"/>
  <c r="N208" i="3"/>
  <c r="K205" i="4"/>
  <c r="P208" i="4"/>
  <c r="I208" i="20" s="1"/>
  <c r="C209" i="4"/>
  <c r="D209" i="4" s="1"/>
  <c r="G208" i="4"/>
  <c r="J203" i="20"/>
  <c r="Q204" i="4"/>
  <c r="N206" i="4"/>
  <c r="H206" i="4"/>
  <c r="I206" i="4" s="1"/>
  <c r="L206" i="4" s="1"/>
  <c r="S203" i="4"/>
  <c r="L203" i="20" s="1"/>
  <c r="G226" i="3"/>
  <c r="H226" i="3" s="1"/>
  <c r="N198" i="3" s="1"/>
  <c r="O198" i="3" s="1"/>
  <c r="K204" i="20"/>
  <c r="R205" i="4"/>
  <c r="J207" i="4"/>
  <c r="E207" i="4"/>
  <c r="F207" i="4"/>
  <c r="K366" i="3"/>
  <c r="R198" i="3" l="1"/>
  <c r="K226" i="3"/>
  <c r="E208" i="4"/>
  <c r="J208" i="4"/>
  <c r="F208" i="4"/>
  <c r="G227" i="3"/>
  <c r="H227" i="3" s="1"/>
  <c r="N199" i="3" s="1"/>
  <c r="O199" i="3" s="1"/>
  <c r="P209" i="4"/>
  <c r="I209" i="20" s="1"/>
  <c r="C210" i="4"/>
  <c r="D210" i="4" s="1"/>
  <c r="G209" i="4"/>
  <c r="K206" i="4"/>
  <c r="N207" i="4"/>
  <c r="H207" i="4"/>
  <c r="I207" i="4" s="1"/>
  <c r="L207" i="4" s="1"/>
  <c r="K205" i="20"/>
  <c r="R206" i="4"/>
  <c r="J204" i="20"/>
  <c r="Q205" i="4"/>
  <c r="S204" i="4"/>
  <c r="L204" i="20" s="1"/>
  <c r="R199" i="3" l="1"/>
  <c r="K227" i="3"/>
  <c r="N208" i="4"/>
  <c r="H208" i="4"/>
  <c r="I208" i="4" s="1"/>
  <c r="L208" i="4" s="1"/>
  <c r="G228" i="3"/>
  <c r="H228" i="3" s="1"/>
  <c r="N200" i="3" s="1"/>
  <c r="O200" i="3" s="1"/>
  <c r="K207" i="4"/>
  <c r="J205" i="20"/>
  <c r="Q206" i="4"/>
  <c r="S206" i="4" s="1"/>
  <c r="L206" i="20" s="1"/>
  <c r="P210" i="4"/>
  <c r="I210" i="20" s="1"/>
  <c r="C211" i="4"/>
  <c r="D211" i="4" s="1"/>
  <c r="G210" i="4"/>
  <c r="S205" i="4"/>
  <c r="L205" i="20" s="1"/>
  <c r="K206" i="20"/>
  <c r="R207" i="4"/>
  <c r="J209" i="4"/>
  <c r="E209" i="4"/>
  <c r="F209" i="4"/>
  <c r="R200" i="3" l="1"/>
  <c r="K228" i="3"/>
  <c r="N209" i="4"/>
  <c r="H209" i="4"/>
  <c r="I209" i="4" s="1"/>
  <c r="L209" i="4" s="1"/>
  <c r="J210" i="4"/>
  <c r="E210" i="4"/>
  <c r="F210" i="4"/>
  <c r="K208" i="4"/>
  <c r="K207" i="20"/>
  <c r="R208" i="4"/>
  <c r="P211" i="4"/>
  <c r="I211" i="20" s="1"/>
  <c r="C212" i="4"/>
  <c r="D212" i="4" s="1"/>
  <c r="G211" i="4"/>
  <c r="J206" i="20"/>
  <c r="Q207" i="4"/>
  <c r="S207" i="4" s="1"/>
  <c r="L207" i="20" s="1"/>
  <c r="G229" i="3"/>
  <c r="H229" i="3" s="1"/>
  <c r="N201" i="3" s="1"/>
  <c r="O201" i="3" s="1"/>
  <c r="R201" i="3" l="1"/>
  <c r="K229" i="3"/>
  <c r="J211" i="4"/>
  <c r="E211" i="4"/>
  <c r="F211" i="4"/>
  <c r="N210" i="4"/>
  <c r="H210" i="4"/>
  <c r="I210" i="4" s="1"/>
  <c r="L210" i="4" s="1"/>
  <c r="G230" i="3"/>
  <c r="H230" i="3" s="1"/>
  <c r="N202" i="3" s="1"/>
  <c r="O202" i="3" s="1"/>
  <c r="P212" i="4"/>
  <c r="I212" i="20" s="1"/>
  <c r="C213" i="4"/>
  <c r="D213" i="4" s="1"/>
  <c r="G212" i="4"/>
  <c r="K208" i="20"/>
  <c r="R209" i="4"/>
  <c r="J207" i="20"/>
  <c r="Q208" i="4"/>
  <c r="S208" i="4" s="1"/>
  <c r="L208" i="20" s="1"/>
  <c r="K209" i="4"/>
  <c r="R202" i="3" l="1"/>
  <c r="K230" i="3"/>
  <c r="P213" i="4"/>
  <c r="I213" i="20" s="1"/>
  <c r="C214" i="4"/>
  <c r="D214" i="4" s="1"/>
  <c r="G213" i="4"/>
  <c r="K210" i="4"/>
  <c r="K209" i="20"/>
  <c r="R210" i="4"/>
  <c r="G231" i="3"/>
  <c r="H231" i="3" s="1"/>
  <c r="N203" i="3" s="1"/>
  <c r="O203" i="3" s="1"/>
  <c r="J208" i="20"/>
  <c r="Q209" i="4"/>
  <c r="S209" i="4" s="1"/>
  <c r="L209" i="20" s="1"/>
  <c r="E212" i="4"/>
  <c r="J212" i="4"/>
  <c r="F212" i="4"/>
  <c r="N211" i="4"/>
  <c r="H211" i="4"/>
  <c r="I211" i="4" s="1"/>
  <c r="L211" i="4" s="1"/>
  <c r="R203" i="3" l="1"/>
  <c r="K231" i="3"/>
  <c r="J209" i="20"/>
  <c r="Q210" i="4"/>
  <c r="S210" i="4" s="1"/>
  <c r="L210" i="20" s="1"/>
  <c r="G232" i="3"/>
  <c r="H232" i="3" s="1"/>
  <c r="N204" i="3" s="1"/>
  <c r="O204" i="3" s="1"/>
  <c r="K211" i="4"/>
  <c r="K210" i="20"/>
  <c r="R211" i="4"/>
  <c r="J213" i="4"/>
  <c r="E213" i="4"/>
  <c r="F213" i="4"/>
  <c r="N212" i="4"/>
  <c r="H212" i="4"/>
  <c r="I212" i="4" s="1"/>
  <c r="L212" i="4" s="1"/>
  <c r="P214" i="4"/>
  <c r="I214" i="20" s="1"/>
  <c r="C215" i="4"/>
  <c r="D215" i="4" s="1"/>
  <c r="G214" i="4"/>
  <c r="R204" i="3" l="1"/>
  <c r="K232" i="3"/>
  <c r="P215" i="4"/>
  <c r="I215" i="20" s="1"/>
  <c r="C216" i="4"/>
  <c r="D216" i="4" s="1"/>
  <c r="G215" i="4"/>
  <c r="J214" i="4"/>
  <c r="E214" i="4"/>
  <c r="F214" i="4"/>
  <c r="K212" i="4"/>
  <c r="K211" i="20"/>
  <c r="R212" i="4"/>
  <c r="G233" i="3"/>
  <c r="H233" i="3" s="1"/>
  <c r="N205" i="3" s="1"/>
  <c r="O205" i="3" s="1"/>
  <c r="N213" i="4"/>
  <c r="H213" i="4"/>
  <c r="I213" i="4" s="1"/>
  <c r="L213" i="4" s="1"/>
  <c r="J210" i="20"/>
  <c r="Q211" i="4"/>
  <c r="R205" i="3" l="1"/>
  <c r="K233" i="3"/>
  <c r="J211" i="20"/>
  <c r="Q212" i="4"/>
  <c r="S212" i="4" s="1"/>
  <c r="L212" i="20" s="1"/>
  <c r="G234" i="3"/>
  <c r="H234" i="3" s="1"/>
  <c r="N206" i="3" s="1"/>
  <c r="O206" i="3" s="1"/>
  <c r="N214" i="4"/>
  <c r="H214" i="4"/>
  <c r="I214" i="4" s="1"/>
  <c r="L214" i="4" s="1"/>
  <c r="S211" i="4"/>
  <c r="L211" i="20" s="1"/>
  <c r="K213" i="4"/>
  <c r="J215" i="4"/>
  <c r="E215" i="4"/>
  <c r="F215" i="4"/>
  <c r="K212" i="20"/>
  <c r="R213" i="4"/>
  <c r="P216" i="4"/>
  <c r="I216" i="20" s="1"/>
  <c r="C217" i="4"/>
  <c r="D217" i="4" s="1"/>
  <c r="G216" i="4"/>
  <c r="R206" i="3" l="1"/>
  <c r="K234" i="3"/>
  <c r="N215" i="4"/>
  <c r="H215" i="4"/>
  <c r="I215" i="4" s="1"/>
  <c r="L215" i="4" s="1"/>
  <c r="E216" i="4"/>
  <c r="J216" i="4"/>
  <c r="F216" i="4"/>
  <c r="K214" i="4"/>
  <c r="P217" i="4"/>
  <c r="I217" i="20" s="1"/>
  <c r="C218" i="4"/>
  <c r="D218" i="4" s="1"/>
  <c r="G217" i="4"/>
  <c r="K213" i="20"/>
  <c r="R214" i="4"/>
  <c r="G235" i="3"/>
  <c r="H235" i="3" s="1"/>
  <c r="N207" i="3" s="1"/>
  <c r="J212" i="20"/>
  <c r="Q213" i="4"/>
  <c r="O207" i="3" l="1"/>
  <c r="O208" i="3"/>
  <c r="K235" i="3"/>
  <c r="J213" i="20"/>
  <c r="Q214" i="4"/>
  <c r="K215" i="4"/>
  <c r="K214" i="20"/>
  <c r="R215" i="4"/>
  <c r="J217" i="4"/>
  <c r="E217" i="4"/>
  <c r="F217" i="4"/>
  <c r="G237" i="3"/>
  <c r="H237" i="3" s="1"/>
  <c r="N209" i="3" s="1"/>
  <c r="O209" i="3" s="1"/>
  <c r="P218" i="4"/>
  <c r="I218" i="20" s="1"/>
  <c r="C219" i="4"/>
  <c r="D219" i="4" s="1"/>
  <c r="G218" i="4"/>
  <c r="S213" i="4"/>
  <c r="L213" i="20" s="1"/>
  <c r="N216" i="4"/>
  <c r="H216" i="4"/>
  <c r="I216" i="4" s="1"/>
  <c r="L216" i="4" s="1"/>
  <c r="R209" i="3" l="1"/>
  <c r="R207" i="3"/>
  <c r="R208" i="3"/>
  <c r="K237" i="3"/>
  <c r="K216" i="4"/>
  <c r="J218" i="4"/>
  <c r="E218" i="4"/>
  <c r="F218" i="4"/>
  <c r="P219" i="4"/>
  <c r="I219" i="20" s="1"/>
  <c r="C220" i="4"/>
  <c r="D220" i="4" s="1"/>
  <c r="G219" i="4"/>
  <c r="G238" i="3"/>
  <c r="H238" i="3" s="1"/>
  <c r="N210" i="3" s="1"/>
  <c r="O210" i="3" s="1"/>
  <c r="N217" i="4"/>
  <c r="H217" i="4"/>
  <c r="I217" i="4" s="1"/>
  <c r="L217" i="4" s="1"/>
  <c r="K215" i="20"/>
  <c r="R216" i="4"/>
  <c r="J214" i="20"/>
  <c r="Q215" i="4"/>
  <c r="S214" i="4"/>
  <c r="L214" i="20" s="1"/>
  <c r="R210" i="3" l="1"/>
  <c r="K238" i="3"/>
  <c r="J219" i="4"/>
  <c r="E219" i="4"/>
  <c r="F219" i="4"/>
  <c r="N218" i="4"/>
  <c r="H218" i="4"/>
  <c r="I218" i="4" s="1"/>
  <c r="L218" i="4" s="1"/>
  <c r="K216" i="20"/>
  <c r="R217" i="4"/>
  <c r="P220" i="4"/>
  <c r="I220" i="20" s="1"/>
  <c r="C221" i="4"/>
  <c r="D221" i="4" s="1"/>
  <c r="G220" i="4"/>
  <c r="J215" i="20"/>
  <c r="Q216" i="4"/>
  <c r="S216" i="4" s="1"/>
  <c r="L216" i="20" s="1"/>
  <c r="G239" i="3"/>
  <c r="H239" i="3" s="1"/>
  <c r="N211" i="3" s="1"/>
  <c r="O211" i="3" s="1"/>
  <c r="G379" i="3"/>
  <c r="H379" i="3" s="1"/>
  <c r="K217" i="4"/>
  <c r="S215" i="4"/>
  <c r="L215" i="20" s="1"/>
  <c r="R211" i="3" l="1"/>
  <c r="K239" i="3"/>
  <c r="N221" i="3"/>
  <c r="K218" i="4"/>
  <c r="J216" i="20"/>
  <c r="Q217" i="4"/>
  <c r="S217" i="4" s="1"/>
  <c r="L217" i="20" s="1"/>
  <c r="N219" i="4"/>
  <c r="H219" i="4"/>
  <c r="I219" i="4" s="1"/>
  <c r="L219" i="4" s="1"/>
  <c r="K379" i="3"/>
  <c r="E220" i="4"/>
  <c r="J220" i="4"/>
  <c r="F220" i="4"/>
  <c r="G240" i="3"/>
  <c r="H240" i="3" s="1"/>
  <c r="N212" i="3" s="1"/>
  <c r="O212" i="3" s="1"/>
  <c r="P221" i="4"/>
  <c r="I221" i="20" s="1"/>
  <c r="C222" i="4"/>
  <c r="D222" i="4" s="1"/>
  <c r="G221" i="4"/>
  <c r="K217" i="20"/>
  <c r="R218" i="4"/>
  <c r="R212" i="3" l="1"/>
  <c r="K240" i="3"/>
  <c r="P222" i="4"/>
  <c r="I222" i="20" s="1"/>
  <c r="C223" i="4"/>
  <c r="D223" i="4" s="1"/>
  <c r="G222" i="4"/>
  <c r="K218" i="20"/>
  <c r="R219" i="4"/>
  <c r="G241" i="3"/>
  <c r="H241" i="3" s="1"/>
  <c r="N213" i="3" s="1"/>
  <c r="O213" i="3" s="1"/>
  <c r="J221" i="4"/>
  <c r="E221" i="4"/>
  <c r="F221" i="4"/>
  <c r="K219" i="4"/>
  <c r="N220" i="4"/>
  <c r="H220" i="4"/>
  <c r="I220" i="4" s="1"/>
  <c r="L220" i="4" s="1"/>
  <c r="J217" i="20"/>
  <c r="Q218" i="4"/>
  <c r="R213" i="3" l="1"/>
  <c r="K241" i="3"/>
  <c r="J218" i="20"/>
  <c r="Q219" i="4"/>
  <c r="K220" i="4"/>
  <c r="N221" i="4"/>
  <c r="H221" i="4"/>
  <c r="I221" i="4" s="1"/>
  <c r="L221" i="4" s="1"/>
  <c r="K219" i="20"/>
  <c r="R220" i="4"/>
  <c r="J222" i="4"/>
  <c r="E222" i="4"/>
  <c r="F222" i="4"/>
  <c r="S218" i="4"/>
  <c r="L218" i="20" s="1"/>
  <c r="G242" i="3"/>
  <c r="H242" i="3" s="1"/>
  <c r="N214" i="3" s="1"/>
  <c r="O214" i="3" s="1"/>
  <c r="P223" i="4"/>
  <c r="I223" i="20" s="1"/>
  <c r="C224" i="4"/>
  <c r="D224" i="4" s="1"/>
  <c r="G223" i="4"/>
  <c r="R214" i="3" l="1"/>
  <c r="K242" i="3"/>
  <c r="K221" i="4"/>
  <c r="G243" i="3"/>
  <c r="H243" i="3" s="1"/>
  <c r="N215" i="3" s="1"/>
  <c r="O215" i="3" s="1"/>
  <c r="J219" i="20"/>
  <c r="Q220" i="4"/>
  <c r="J223" i="4"/>
  <c r="E223" i="4"/>
  <c r="F223" i="4"/>
  <c r="P224" i="4"/>
  <c r="I224" i="20" s="1"/>
  <c r="C225" i="4"/>
  <c r="D225" i="4" s="1"/>
  <c r="G224" i="4"/>
  <c r="N222" i="4"/>
  <c r="H222" i="4"/>
  <c r="I222" i="4" s="1"/>
  <c r="L222" i="4" s="1"/>
  <c r="K220" i="20"/>
  <c r="R221" i="4"/>
  <c r="S219" i="4"/>
  <c r="L219" i="20" s="1"/>
  <c r="R215" i="3" l="1"/>
  <c r="K243" i="3"/>
  <c r="E224" i="4"/>
  <c r="J224" i="4"/>
  <c r="F224" i="4"/>
  <c r="J220" i="20"/>
  <c r="Q221" i="4"/>
  <c r="S221" i="4" s="1"/>
  <c r="L221" i="20" s="1"/>
  <c r="K221" i="20"/>
  <c r="R222" i="4"/>
  <c r="P225" i="4"/>
  <c r="I225" i="20" s="1"/>
  <c r="C226" i="4"/>
  <c r="D226" i="4" s="1"/>
  <c r="G225" i="4"/>
  <c r="K222" i="4"/>
  <c r="N223" i="4"/>
  <c r="H223" i="4"/>
  <c r="I223" i="4" s="1"/>
  <c r="L223" i="4" s="1"/>
  <c r="G244" i="3"/>
  <c r="H244" i="3" s="1"/>
  <c r="N216" i="3" s="1"/>
  <c r="O216" i="3" s="1"/>
  <c r="S220" i="4"/>
  <c r="L220" i="20" s="1"/>
  <c r="R216" i="3" l="1"/>
  <c r="K244" i="3"/>
  <c r="K223" i="4"/>
  <c r="P226" i="4"/>
  <c r="I226" i="20" s="1"/>
  <c r="C227" i="4"/>
  <c r="D227" i="4" s="1"/>
  <c r="G226" i="4"/>
  <c r="K222" i="20"/>
  <c r="R223" i="4"/>
  <c r="J221" i="20"/>
  <c r="Q222" i="4"/>
  <c r="N224" i="4"/>
  <c r="H224" i="4"/>
  <c r="I224" i="4" s="1"/>
  <c r="L224" i="4" s="1"/>
  <c r="G245" i="3"/>
  <c r="H245" i="3" s="1"/>
  <c r="N217" i="3" s="1"/>
  <c r="O217" i="3" s="1"/>
  <c r="J225" i="4"/>
  <c r="E225" i="4"/>
  <c r="F225" i="4"/>
  <c r="R217" i="3" l="1"/>
  <c r="K245" i="3"/>
  <c r="N225" i="4"/>
  <c r="H225" i="4"/>
  <c r="I225" i="4" s="1"/>
  <c r="L225" i="4" s="1"/>
  <c r="K223" i="20"/>
  <c r="R224" i="4"/>
  <c r="K224" i="4"/>
  <c r="G246" i="3"/>
  <c r="H246" i="3" s="1"/>
  <c r="N218" i="3" s="1"/>
  <c r="O218" i="3" s="1"/>
  <c r="J222" i="20"/>
  <c r="Q223" i="4"/>
  <c r="S223" i="4" s="1"/>
  <c r="L223" i="20" s="1"/>
  <c r="J226" i="4"/>
  <c r="E226" i="4"/>
  <c r="F226" i="4"/>
  <c r="P227" i="4"/>
  <c r="I227" i="20" s="1"/>
  <c r="C228" i="4"/>
  <c r="D228" i="4" s="1"/>
  <c r="G227" i="4"/>
  <c r="S222" i="4"/>
  <c r="L222" i="20" s="1"/>
  <c r="R218" i="3" l="1"/>
  <c r="K246" i="3"/>
  <c r="K224" i="20"/>
  <c r="R225" i="4"/>
  <c r="N226" i="4"/>
  <c r="H226" i="4"/>
  <c r="I226" i="4" s="1"/>
  <c r="L226" i="4" s="1"/>
  <c r="J227" i="4"/>
  <c r="E227" i="4"/>
  <c r="F227" i="4"/>
  <c r="J223" i="20"/>
  <c r="Q224" i="4"/>
  <c r="P228" i="4"/>
  <c r="I228" i="20" s="1"/>
  <c r="C229" i="4"/>
  <c r="D229" i="4" s="1"/>
  <c r="G228" i="4"/>
  <c r="G247" i="3"/>
  <c r="H247" i="3" s="1"/>
  <c r="N219" i="3" s="1"/>
  <c r="O219" i="3" s="1"/>
  <c r="K225" i="4"/>
  <c r="R219" i="3" l="1"/>
  <c r="K247" i="3"/>
  <c r="E228" i="4"/>
  <c r="J228" i="4"/>
  <c r="F228" i="4"/>
  <c r="N227" i="4"/>
  <c r="H227" i="4"/>
  <c r="I227" i="4" s="1"/>
  <c r="L227" i="4" s="1"/>
  <c r="G248" i="3"/>
  <c r="H248" i="3" s="1"/>
  <c r="N220" i="3" s="1"/>
  <c r="P229" i="4"/>
  <c r="I229" i="20" s="1"/>
  <c r="C230" i="4"/>
  <c r="D230" i="4" s="1"/>
  <c r="G229" i="4"/>
  <c r="J224" i="20"/>
  <c r="Q225" i="4"/>
  <c r="S225" i="4" s="1"/>
  <c r="L225" i="20" s="1"/>
  <c r="K225" i="20"/>
  <c r="R226" i="4"/>
  <c r="K226" i="4"/>
  <c r="S224" i="4"/>
  <c r="L224" i="20" s="1"/>
  <c r="O220" i="3" l="1"/>
  <c r="O221" i="3"/>
  <c r="K248" i="3"/>
  <c r="K227" i="4"/>
  <c r="P230" i="4"/>
  <c r="I230" i="20" s="1"/>
  <c r="C231" i="4"/>
  <c r="D231" i="4" s="1"/>
  <c r="G230" i="4"/>
  <c r="K226" i="20"/>
  <c r="R227" i="4"/>
  <c r="J229" i="4"/>
  <c r="E229" i="4"/>
  <c r="F229" i="4"/>
  <c r="N228" i="4"/>
  <c r="H228" i="4"/>
  <c r="I228" i="4" s="1"/>
  <c r="L228" i="4" s="1"/>
  <c r="J225" i="20"/>
  <c r="Q226" i="4"/>
  <c r="S226" i="4" s="1"/>
  <c r="L226" i="20" s="1"/>
  <c r="G250" i="3"/>
  <c r="H250" i="3" s="1"/>
  <c r="N222" i="3" s="1"/>
  <c r="O222" i="3" s="1"/>
  <c r="R222" i="3" l="1"/>
  <c r="R220" i="3"/>
  <c r="R221" i="3"/>
  <c r="K250" i="3"/>
  <c r="N229" i="4"/>
  <c r="H229" i="4"/>
  <c r="I229" i="4" s="1"/>
  <c r="L229" i="4" s="1"/>
  <c r="J230" i="4"/>
  <c r="E230" i="4"/>
  <c r="F230" i="4"/>
  <c r="G251" i="3"/>
  <c r="H251" i="3" s="1"/>
  <c r="N223" i="3" s="1"/>
  <c r="O223" i="3" s="1"/>
  <c r="P231" i="4"/>
  <c r="I231" i="20" s="1"/>
  <c r="C232" i="4"/>
  <c r="D232" i="4" s="1"/>
  <c r="G231" i="4"/>
  <c r="K228" i="4"/>
  <c r="J226" i="20"/>
  <c r="Q227" i="4"/>
  <c r="S227" i="4" s="1"/>
  <c r="L227" i="20" s="1"/>
  <c r="K227" i="20"/>
  <c r="R228" i="4"/>
  <c r="R223" i="3" l="1"/>
  <c r="K251" i="3"/>
  <c r="J231" i="4"/>
  <c r="E231" i="4"/>
  <c r="F231" i="4"/>
  <c r="N230" i="4"/>
  <c r="H230" i="4"/>
  <c r="I230" i="4" s="1"/>
  <c r="L230" i="4" s="1"/>
  <c r="P232" i="4"/>
  <c r="I232" i="20" s="1"/>
  <c r="C233" i="4"/>
  <c r="D233" i="4" s="1"/>
  <c r="G232" i="4"/>
  <c r="G252" i="3"/>
  <c r="H252" i="3" s="1"/>
  <c r="N224" i="3" s="1"/>
  <c r="O224" i="3" s="1"/>
  <c r="K228" i="20"/>
  <c r="R229" i="4"/>
  <c r="J227" i="20"/>
  <c r="Q228" i="4"/>
  <c r="S228" i="4" s="1"/>
  <c r="L228" i="20" s="1"/>
  <c r="K229" i="4"/>
  <c r="R224" i="3" l="1"/>
  <c r="K252" i="3"/>
  <c r="P233" i="4"/>
  <c r="I233" i="20" s="1"/>
  <c r="C234" i="4"/>
  <c r="D234" i="4" s="1"/>
  <c r="G233" i="4"/>
  <c r="K230" i="4"/>
  <c r="G253" i="3"/>
  <c r="H253" i="3" s="1"/>
  <c r="N225" i="3" s="1"/>
  <c r="O225" i="3" s="1"/>
  <c r="G392" i="3"/>
  <c r="H392" i="3" s="1"/>
  <c r="N231" i="4"/>
  <c r="H231" i="4"/>
  <c r="I231" i="4" s="1"/>
  <c r="L231" i="4" s="1"/>
  <c r="J228" i="20"/>
  <c r="Q229" i="4"/>
  <c r="S229" i="4" s="1"/>
  <c r="L229" i="20" s="1"/>
  <c r="K229" i="20"/>
  <c r="R230" i="4"/>
  <c r="E232" i="4"/>
  <c r="J232" i="4"/>
  <c r="F232" i="4"/>
  <c r="R225" i="3" l="1"/>
  <c r="K253" i="3"/>
  <c r="N234" i="3"/>
  <c r="J229" i="20"/>
  <c r="Q230" i="4"/>
  <c r="S230" i="4" s="1"/>
  <c r="L230" i="20" s="1"/>
  <c r="K231" i="4"/>
  <c r="J233" i="4"/>
  <c r="E233" i="4"/>
  <c r="F233" i="4"/>
  <c r="N232" i="4"/>
  <c r="H232" i="4"/>
  <c r="I232" i="4" s="1"/>
  <c r="L232" i="4" s="1"/>
  <c r="K392" i="3"/>
  <c r="K230" i="20"/>
  <c r="R231" i="4"/>
  <c r="G254" i="3"/>
  <c r="H254" i="3" s="1"/>
  <c r="N226" i="3" s="1"/>
  <c r="O226" i="3" s="1"/>
  <c r="P234" i="4"/>
  <c r="I234" i="20" s="1"/>
  <c r="C235" i="4"/>
  <c r="D235" i="4" s="1"/>
  <c r="G234" i="4"/>
  <c r="R226" i="3" l="1"/>
  <c r="K254" i="3"/>
  <c r="J230" i="20"/>
  <c r="Q231" i="4"/>
  <c r="S231" i="4" s="1"/>
  <c r="L231" i="20" s="1"/>
  <c r="K231" i="20"/>
  <c r="R232" i="4"/>
  <c r="N233" i="4"/>
  <c r="H233" i="4"/>
  <c r="I233" i="4" s="1"/>
  <c r="L233" i="4" s="1"/>
  <c r="J234" i="4"/>
  <c r="E234" i="4"/>
  <c r="F234" i="4"/>
  <c r="P235" i="4"/>
  <c r="I235" i="20" s="1"/>
  <c r="C236" i="4"/>
  <c r="D236" i="4" s="1"/>
  <c r="G235" i="4"/>
  <c r="G255" i="3"/>
  <c r="H255" i="3" s="1"/>
  <c r="N227" i="3" s="1"/>
  <c r="O227" i="3" s="1"/>
  <c r="K232" i="4"/>
  <c r="R227" i="3" l="1"/>
  <c r="K255" i="3"/>
  <c r="K233" i="4"/>
  <c r="J231" i="20"/>
  <c r="Q232" i="4"/>
  <c r="S232" i="4" s="1"/>
  <c r="L232" i="20" s="1"/>
  <c r="G256" i="3"/>
  <c r="H256" i="3" s="1"/>
  <c r="N228" i="3" s="1"/>
  <c r="O228" i="3" s="1"/>
  <c r="P236" i="4"/>
  <c r="I236" i="20" s="1"/>
  <c r="C237" i="4"/>
  <c r="D237" i="4" s="1"/>
  <c r="G236" i="4"/>
  <c r="J235" i="4"/>
  <c r="E235" i="4"/>
  <c r="F235" i="4"/>
  <c r="N234" i="4"/>
  <c r="H234" i="4"/>
  <c r="I234" i="4" s="1"/>
  <c r="L234" i="4" s="1"/>
  <c r="K232" i="20"/>
  <c r="R233" i="4"/>
  <c r="R228" i="3" l="1"/>
  <c r="K256" i="3"/>
  <c r="G257" i="3"/>
  <c r="H257" i="3" s="1"/>
  <c r="N229" i="3" s="1"/>
  <c r="O229" i="3" s="1"/>
  <c r="J232" i="20"/>
  <c r="Q233" i="4"/>
  <c r="S233" i="4" s="1"/>
  <c r="L233" i="20" s="1"/>
  <c r="N235" i="4"/>
  <c r="H235" i="4"/>
  <c r="I235" i="4" s="1"/>
  <c r="L235" i="4" s="1"/>
  <c r="E236" i="4"/>
  <c r="J236" i="4"/>
  <c r="F236" i="4"/>
  <c r="K233" i="20"/>
  <c r="R234" i="4"/>
  <c r="P237" i="4"/>
  <c r="I237" i="20" s="1"/>
  <c r="C238" i="4"/>
  <c r="D238" i="4" s="1"/>
  <c r="G237" i="4"/>
  <c r="K234" i="4"/>
  <c r="R229" i="3" l="1"/>
  <c r="K257" i="3"/>
  <c r="K235" i="4"/>
  <c r="P238" i="4"/>
  <c r="I238" i="20" s="1"/>
  <c r="C239" i="4"/>
  <c r="D239" i="4" s="1"/>
  <c r="G238" i="4"/>
  <c r="K234" i="20"/>
  <c r="R235" i="4"/>
  <c r="J237" i="4"/>
  <c r="E237" i="4"/>
  <c r="F237" i="4"/>
  <c r="G258" i="3"/>
  <c r="H258" i="3" s="1"/>
  <c r="N230" i="3" s="1"/>
  <c r="O230" i="3" s="1"/>
  <c r="N236" i="4"/>
  <c r="H236" i="4"/>
  <c r="I236" i="4" s="1"/>
  <c r="L236" i="4" s="1"/>
  <c r="J233" i="20"/>
  <c r="Q234" i="4"/>
  <c r="R230" i="3" l="1"/>
  <c r="K258" i="3"/>
  <c r="J234" i="20"/>
  <c r="Q235" i="4"/>
  <c r="S235" i="4" s="1"/>
  <c r="L235" i="20" s="1"/>
  <c r="N237" i="4"/>
  <c r="H237" i="4"/>
  <c r="I237" i="4" s="1"/>
  <c r="L237" i="4" s="1"/>
  <c r="J238" i="4"/>
  <c r="E238" i="4"/>
  <c r="F238" i="4"/>
  <c r="P239" i="4"/>
  <c r="I239" i="20" s="1"/>
  <c r="C240" i="4"/>
  <c r="D240" i="4" s="1"/>
  <c r="G239" i="4"/>
  <c r="S234" i="4"/>
  <c r="L234" i="20" s="1"/>
  <c r="G259" i="3"/>
  <c r="H259" i="3" s="1"/>
  <c r="N231" i="3" s="1"/>
  <c r="O231" i="3" s="1"/>
  <c r="K235" i="20"/>
  <c r="R236" i="4"/>
  <c r="K236" i="4"/>
  <c r="R231" i="3" l="1"/>
  <c r="K259" i="3"/>
  <c r="K237" i="4"/>
  <c r="N238" i="4"/>
  <c r="H238" i="4"/>
  <c r="I238" i="4" s="1"/>
  <c r="L238" i="4" s="1"/>
  <c r="J235" i="20"/>
  <c r="Q236" i="4"/>
  <c r="K236" i="20"/>
  <c r="R237" i="4"/>
  <c r="G260" i="3"/>
  <c r="H260" i="3" s="1"/>
  <c r="N232" i="3" s="1"/>
  <c r="O232" i="3" s="1"/>
  <c r="J239" i="4"/>
  <c r="E239" i="4"/>
  <c r="F239" i="4"/>
  <c r="P240" i="4"/>
  <c r="I240" i="20" s="1"/>
  <c r="C241" i="4"/>
  <c r="D241" i="4" s="1"/>
  <c r="G240" i="4"/>
  <c r="R232" i="3" l="1"/>
  <c r="K260" i="3"/>
  <c r="J236" i="20"/>
  <c r="Q237" i="4"/>
  <c r="S237" i="4" s="1"/>
  <c r="L237" i="20" s="1"/>
  <c r="N239" i="4"/>
  <c r="H239" i="4"/>
  <c r="I239" i="4" s="1"/>
  <c r="L239" i="4" s="1"/>
  <c r="K237" i="20"/>
  <c r="R238" i="4"/>
  <c r="E240" i="4"/>
  <c r="J240" i="4"/>
  <c r="F240" i="4"/>
  <c r="P241" i="4"/>
  <c r="I241" i="20" s="1"/>
  <c r="C242" i="4"/>
  <c r="D242" i="4" s="1"/>
  <c r="G241" i="4"/>
  <c r="G261" i="3"/>
  <c r="H261" i="3" s="1"/>
  <c r="N233" i="3" s="1"/>
  <c r="K238" i="4"/>
  <c r="S236" i="4"/>
  <c r="L236" i="20" s="1"/>
  <c r="O233" i="3" l="1"/>
  <c r="O234" i="3"/>
  <c r="K261" i="3"/>
  <c r="K239" i="4"/>
  <c r="P242" i="4"/>
  <c r="I242" i="20" s="1"/>
  <c r="C243" i="4"/>
  <c r="D243" i="4" s="1"/>
  <c r="G242" i="4"/>
  <c r="J241" i="4"/>
  <c r="E241" i="4"/>
  <c r="F241" i="4"/>
  <c r="K238" i="20"/>
  <c r="R239" i="4"/>
  <c r="G263" i="3"/>
  <c r="H263" i="3" s="1"/>
  <c r="N235" i="3" s="1"/>
  <c r="O235" i="3" s="1"/>
  <c r="N240" i="4"/>
  <c r="H240" i="4"/>
  <c r="I240" i="4" s="1"/>
  <c r="L240" i="4" s="1"/>
  <c r="J237" i="20"/>
  <c r="Q238" i="4"/>
  <c r="R235" i="3" l="1"/>
  <c r="R233" i="3"/>
  <c r="R234" i="3"/>
  <c r="K263" i="3"/>
  <c r="J238" i="20"/>
  <c r="Q239" i="4"/>
  <c r="S239" i="4" s="1"/>
  <c r="L239" i="20" s="1"/>
  <c r="J242" i="4"/>
  <c r="E242" i="4"/>
  <c r="F242" i="4"/>
  <c r="P243" i="4"/>
  <c r="I243" i="20" s="1"/>
  <c r="C244" i="4"/>
  <c r="D244" i="4" s="1"/>
  <c r="G243" i="4"/>
  <c r="S238" i="4"/>
  <c r="L238" i="20" s="1"/>
  <c r="G264" i="3"/>
  <c r="H264" i="3" s="1"/>
  <c r="N236" i="3" s="1"/>
  <c r="O236" i="3" s="1"/>
  <c r="N241" i="4"/>
  <c r="H241" i="4"/>
  <c r="I241" i="4" s="1"/>
  <c r="L241" i="4" s="1"/>
  <c r="K240" i="4"/>
  <c r="K239" i="20"/>
  <c r="R240" i="4"/>
  <c r="R236" i="3" l="1"/>
  <c r="K264" i="3"/>
  <c r="J243" i="4"/>
  <c r="E243" i="4"/>
  <c r="F243" i="4"/>
  <c r="K241" i="4"/>
  <c r="P244" i="4"/>
  <c r="I244" i="20" s="1"/>
  <c r="C245" i="4"/>
  <c r="D245" i="4" s="1"/>
  <c r="G244" i="4"/>
  <c r="K240" i="20"/>
  <c r="R241" i="4"/>
  <c r="G265" i="3"/>
  <c r="H265" i="3" s="1"/>
  <c r="N237" i="3" s="1"/>
  <c r="O237" i="3" s="1"/>
  <c r="N242" i="4"/>
  <c r="H242" i="4"/>
  <c r="I242" i="4" s="1"/>
  <c r="L242" i="4" s="1"/>
  <c r="J239" i="20"/>
  <c r="Q240" i="4"/>
  <c r="R237" i="3" l="1"/>
  <c r="K265" i="3"/>
  <c r="N243" i="4"/>
  <c r="H243" i="4"/>
  <c r="I243" i="4" s="1"/>
  <c r="L243" i="4" s="1"/>
  <c r="K242" i="4"/>
  <c r="J240" i="20"/>
  <c r="Q241" i="4"/>
  <c r="P245" i="4"/>
  <c r="I245" i="20" s="1"/>
  <c r="C246" i="4"/>
  <c r="D246" i="4" s="1"/>
  <c r="G245" i="4"/>
  <c r="G266" i="3"/>
  <c r="H266" i="3" s="1"/>
  <c r="N238" i="3" s="1"/>
  <c r="O238" i="3" s="1"/>
  <c r="K241" i="20"/>
  <c r="R242" i="4"/>
  <c r="E244" i="4"/>
  <c r="J244" i="4"/>
  <c r="F244" i="4"/>
  <c r="S240" i="4"/>
  <c r="L240" i="20" s="1"/>
  <c r="R238" i="3" l="1"/>
  <c r="K266" i="3"/>
  <c r="P246" i="4"/>
  <c r="I246" i="20" s="1"/>
  <c r="C247" i="4"/>
  <c r="D247" i="4" s="1"/>
  <c r="G246" i="4"/>
  <c r="J241" i="20"/>
  <c r="Q242" i="4"/>
  <c r="S242" i="4" s="1"/>
  <c r="L242" i="20" s="1"/>
  <c r="N244" i="4"/>
  <c r="H244" i="4"/>
  <c r="I244" i="4" s="1"/>
  <c r="L244" i="4" s="1"/>
  <c r="G267" i="3"/>
  <c r="H267" i="3" s="1"/>
  <c r="N239" i="3" s="1"/>
  <c r="O239" i="3" s="1"/>
  <c r="G405" i="3"/>
  <c r="H405" i="3" s="1"/>
  <c r="S241" i="4"/>
  <c r="L241" i="20" s="1"/>
  <c r="K242" i="20"/>
  <c r="R243" i="4"/>
  <c r="J245" i="4"/>
  <c r="E245" i="4"/>
  <c r="F245" i="4"/>
  <c r="K243" i="4"/>
  <c r="R239" i="3" l="1"/>
  <c r="N247" i="3"/>
  <c r="K267" i="3"/>
  <c r="K405" i="3"/>
  <c r="K244" i="4"/>
  <c r="K243" i="20"/>
  <c r="R244" i="4"/>
  <c r="G268" i="3"/>
  <c r="H268" i="3" s="1"/>
  <c r="N240" i="3" s="1"/>
  <c r="O240" i="3" s="1"/>
  <c r="J242" i="20"/>
  <c r="Q243" i="4"/>
  <c r="P247" i="4"/>
  <c r="I247" i="20" s="1"/>
  <c r="C248" i="4"/>
  <c r="D248" i="4" s="1"/>
  <c r="G247" i="4"/>
  <c r="N245" i="4"/>
  <c r="H245" i="4"/>
  <c r="I245" i="4" s="1"/>
  <c r="L245" i="4" s="1"/>
  <c r="J246" i="4"/>
  <c r="E246" i="4"/>
  <c r="F246" i="4"/>
  <c r="R240" i="3" l="1"/>
  <c r="K268" i="3"/>
  <c r="G269" i="3"/>
  <c r="H269" i="3" s="1"/>
  <c r="N241" i="3" s="1"/>
  <c r="O241" i="3" s="1"/>
  <c r="K245" i="4"/>
  <c r="P248" i="4"/>
  <c r="I248" i="20" s="1"/>
  <c r="C249" i="4"/>
  <c r="D249" i="4" s="1"/>
  <c r="G248" i="4"/>
  <c r="N246" i="4"/>
  <c r="H246" i="4"/>
  <c r="I246" i="4" s="1"/>
  <c r="L246" i="4" s="1"/>
  <c r="J243" i="20"/>
  <c r="Q244" i="4"/>
  <c r="K244" i="20"/>
  <c r="R245" i="4"/>
  <c r="J247" i="4"/>
  <c r="E247" i="4"/>
  <c r="F247" i="4"/>
  <c r="S243" i="4"/>
  <c r="L243" i="20" s="1"/>
  <c r="R241" i="3" l="1"/>
  <c r="K269" i="3"/>
  <c r="E248" i="4"/>
  <c r="J248" i="4"/>
  <c r="F248" i="4"/>
  <c r="G270" i="3"/>
  <c r="H270" i="3" s="1"/>
  <c r="N242" i="3" s="1"/>
  <c r="O242" i="3" s="1"/>
  <c r="N247" i="4"/>
  <c r="H247" i="4"/>
  <c r="I247" i="4" s="1"/>
  <c r="L247" i="4" s="1"/>
  <c r="J244" i="20"/>
  <c r="Q245" i="4"/>
  <c r="S245" i="4" s="1"/>
  <c r="L245" i="20" s="1"/>
  <c r="K245" i="20"/>
  <c r="R246" i="4"/>
  <c r="P249" i="4"/>
  <c r="I249" i="20" s="1"/>
  <c r="C250" i="4"/>
  <c r="D250" i="4" s="1"/>
  <c r="G249" i="4"/>
  <c r="K246" i="4"/>
  <c r="S244" i="4"/>
  <c r="L244" i="20" s="1"/>
  <c r="R242" i="3" l="1"/>
  <c r="K270" i="3"/>
  <c r="J249" i="4"/>
  <c r="E249" i="4"/>
  <c r="F249" i="4"/>
  <c r="K247" i="4"/>
  <c r="J245" i="20"/>
  <c r="Q246" i="4"/>
  <c r="S246" i="4" s="1"/>
  <c r="L246" i="20" s="1"/>
  <c r="N248" i="4"/>
  <c r="H248" i="4"/>
  <c r="I248" i="4" s="1"/>
  <c r="L248" i="4" s="1"/>
  <c r="P250" i="4"/>
  <c r="I250" i="20" s="1"/>
  <c r="C251" i="4"/>
  <c r="D251" i="4" s="1"/>
  <c r="G250" i="4"/>
  <c r="K246" i="20"/>
  <c r="R247" i="4"/>
  <c r="G271" i="3"/>
  <c r="H271" i="3" s="1"/>
  <c r="N243" i="3" s="1"/>
  <c r="O243" i="3" s="1"/>
  <c r="R243" i="3" l="1"/>
  <c r="K271" i="3"/>
  <c r="G272" i="3"/>
  <c r="H272" i="3" s="1"/>
  <c r="N244" i="3" s="1"/>
  <c r="O244" i="3" s="1"/>
  <c r="K248" i="4"/>
  <c r="J246" i="20"/>
  <c r="Q247" i="4"/>
  <c r="J250" i="4"/>
  <c r="E250" i="4"/>
  <c r="F250" i="4"/>
  <c r="P251" i="4"/>
  <c r="I251" i="20" s="1"/>
  <c r="C252" i="4"/>
  <c r="D252" i="4" s="1"/>
  <c r="G251" i="4"/>
  <c r="K247" i="20"/>
  <c r="R248" i="4"/>
  <c r="N249" i="4"/>
  <c r="H249" i="4"/>
  <c r="I249" i="4" s="1"/>
  <c r="L249" i="4" s="1"/>
  <c r="R244" i="3" l="1"/>
  <c r="K272" i="3"/>
  <c r="J251" i="4"/>
  <c r="E251" i="4"/>
  <c r="F251" i="4"/>
  <c r="K248" i="20"/>
  <c r="R249" i="4"/>
  <c r="N250" i="4"/>
  <c r="H250" i="4"/>
  <c r="I250" i="4" s="1"/>
  <c r="L250" i="4" s="1"/>
  <c r="J247" i="20"/>
  <c r="Q248" i="4"/>
  <c r="S248" i="4" s="1"/>
  <c r="L248" i="20" s="1"/>
  <c r="G273" i="3"/>
  <c r="H273" i="3" s="1"/>
  <c r="N245" i="3" s="1"/>
  <c r="O245" i="3" s="1"/>
  <c r="S247" i="4"/>
  <c r="L247" i="20" s="1"/>
  <c r="P252" i="4"/>
  <c r="I252" i="20" s="1"/>
  <c r="C253" i="4"/>
  <c r="D253" i="4" s="1"/>
  <c r="G252" i="4"/>
  <c r="K249" i="4"/>
  <c r="R245" i="3" l="1"/>
  <c r="K273" i="3"/>
  <c r="G274" i="3"/>
  <c r="H274" i="3" s="1"/>
  <c r="N246" i="3" s="1"/>
  <c r="K250" i="4"/>
  <c r="E252" i="4"/>
  <c r="J252" i="4"/>
  <c r="F252" i="4"/>
  <c r="J248" i="20"/>
  <c r="Q249" i="4"/>
  <c r="S249" i="4" s="1"/>
  <c r="L249" i="20" s="1"/>
  <c r="N251" i="4"/>
  <c r="H251" i="4"/>
  <c r="I251" i="4" s="1"/>
  <c r="L251" i="4" s="1"/>
  <c r="P253" i="4"/>
  <c r="I253" i="20" s="1"/>
  <c r="C254" i="4"/>
  <c r="D254" i="4" s="1"/>
  <c r="G253" i="4"/>
  <c r="K249" i="20"/>
  <c r="R250" i="4"/>
  <c r="O246" i="3" l="1"/>
  <c r="O247" i="3"/>
  <c r="K274" i="3"/>
  <c r="J253" i="4"/>
  <c r="E253" i="4"/>
  <c r="F253" i="4"/>
  <c r="J249" i="20"/>
  <c r="Q250" i="4"/>
  <c r="S250" i="4" s="1"/>
  <c r="L250" i="20" s="1"/>
  <c r="N252" i="4"/>
  <c r="H252" i="4"/>
  <c r="I252" i="4" s="1"/>
  <c r="L252" i="4" s="1"/>
  <c r="G276" i="3"/>
  <c r="H276" i="3" s="1"/>
  <c r="N248" i="3" s="1"/>
  <c r="O248" i="3" s="1"/>
  <c r="P254" i="4"/>
  <c r="I254" i="20" s="1"/>
  <c r="C255" i="4"/>
  <c r="D255" i="4" s="1"/>
  <c r="G254" i="4"/>
  <c r="K250" i="20"/>
  <c r="R251" i="4"/>
  <c r="K251" i="4"/>
  <c r="R248" i="3" l="1"/>
  <c r="R246" i="3"/>
  <c r="R247" i="3"/>
  <c r="K276" i="3"/>
  <c r="J254" i="4"/>
  <c r="E254" i="4"/>
  <c r="F254" i="4"/>
  <c r="N253" i="4"/>
  <c r="H253" i="4"/>
  <c r="I253" i="4" s="1"/>
  <c r="L253" i="4" s="1"/>
  <c r="G277" i="3"/>
  <c r="H277" i="3" s="1"/>
  <c r="N249" i="3" s="1"/>
  <c r="O249" i="3" s="1"/>
  <c r="J250" i="20"/>
  <c r="Q251" i="4"/>
  <c r="S251" i="4" s="1"/>
  <c r="L251" i="20" s="1"/>
  <c r="K252" i="4"/>
  <c r="P255" i="4"/>
  <c r="I255" i="20" s="1"/>
  <c r="C256" i="4"/>
  <c r="D256" i="4" s="1"/>
  <c r="G255" i="4"/>
  <c r="K251" i="20"/>
  <c r="R252" i="4"/>
  <c r="R249" i="3" l="1"/>
  <c r="K277" i="3"/>
  <c r="J255" i="4"/>
  <c r="E255" i="4"/>
  <c r="F255" i="4"/>
  <c r="N254" i="4"/>
  <c r="H254" i="4"/>
  <c r="I254" i="4" s="1"/>
  <c r="L254" i="4" s="1"/>
  <c r="P256" i="4"/>
  <c r="I256" i="20" s="1"/>
  <c r="C257" i="4"/>
  <c r="D257" i="4" s="1"/>
  <c r="G256" i="4"/>
  <c r="K252" i="20"/>
  <c r="R253" i="4"/>
  <c r="K253" i="4"/>
  <c r="G278" i="3"/>
  <c r="H278" i="3" s="1"/>
  <c r="N250" i="3" s="1"/>
  <c r="O250" i="3" s="1"/>
  <c r="J251" i="20"/>
  <c r="Q252" i="4"/>
  <c r="S252" i="4" s="1"/>
  <c r="L252" i="20" s="1"/>
  <c r="R250" i="3" l="1"/>
  <c r="K278" i="3"/>
  <c r="P257" i="4"/>
  <c r="I257" i="20" s="1"/>
  <c r="C258" i="4"/>
  <c r="D258" i="4" s="1"/>
  <c r="G257" i="4"/>
  <c r="J252" i="20"/>
  <c r="Q253" i="4"/>
  <c r="S253" i="4" s="1"/>
  <c r="L253" i="20" s="1"/>
  <c r="K254" i="4"/>
  <c r="E256" i="4"/>
  <c r="J256" i="4"/>
  <c r="F256" i="4"/>
  <c r="N255" i="4"/>
  <c r="H255" i="4"/>
  <c r="I255" i="4" s="1"/>
  <c r="L255" i="4" s="1"/>
  <c r="K253" i="20"/>
  <c r="R254" i="4"/>
  <c r="G279" i="3"/>
  <c r="H279" i="3" s="1"/>
  <c r="N251" i="3" s="1"/>
  <c r="O251" i="3" s="1"/>
  <c r="R251" i="3" l="1"/>
  <c r="K279" i="3"/>
  <c r="K254" i="20"/>
  <c r="R255" i="4"/>
  <c r="J253" i="20"/>
  <c r="Q254" i="4"/>
  <c r="S254" i="4" s="1"/>
  <c r="L254" i="20" s="1"/>
  <c r="G280" i="3"/>
  <c r="H280" i="3" s="1"/>
  <c r="N252" i="3" s="1"/>
  <c r="O252" i="3" s="1"/>
  <c r="N256" i="4"/>
  <c r="H256" i="4"/>
  <c r="I256" i="4" s="1"/>
  <c r="L256" i="4" s="1"/>
  <c r="J257" i="4"/>
  <c r="E257" i="4"/>
  <c r="F257" i="4"/>
  <c r="K255" i="4"/>
  <c r="P258" i="4"/>
  <c r="I258" i="20" s="1"/>
  <c r="C259" i="4"/>
  <c r="D259" i="4" s="1"/>
  <c r="G258" i="4"/>
  <c r="R252" i="3" l="1"/>
  <c r="K280" i="3"/>
  <c r="J258" i="4"/>
  <c r="E258" i="4"/>
  <c r="F258" i="4"/>
  <c r="G281" i="3"/>
  <c r="H281" i="3" s="1"/>
  <c r="N253" i="3" s="1"/>
  <c r="O253" i="3" s="1"/>
  <c r="G418" i="3"/>
  <c r="H418" i="3" s="1"/>
  <c r="P259" i="4"/>
  <c r="I259" i="20" s="1"/>
  <c r="C260" i="4"/>
  <c r="D260" i="4" s="1"/>
  <c r="G259" i="4"/>
  <c r="J254" i="20"/>
  <c r="Q255" i="4"/>
  <c r="K256" i="4"/>
  <c r="N257" i="4"/>
  <c r="H257" i="4"/>
  <c r="I257" i="4" s="1"/>
  <c r="L257" i="4" s="1"/>
  <c r="K255" i="20"/>
  <c r="R256" i="4"/>
  <c r="R253" i="3" l="1"/>
  <c r="K281" i="3"/>
  <c r="N260" i="3"/>
  <c r="K418" i="3"/>
  <c r="K256" i="20"/>
  <c r="R257" i="4"/>
  <c r="K257" i="4"/>
  <c r="P260" i="4"/>
  <c r="I260" i="20" s="1"/>
  <c r="C261" i="4"/>
  <c r="D261" i="4" s="1"/>
  <c r="G260" i="4"/>
  <c r="J255" i="20"/>
  <c r="Q256" i="4"/>
  <c r="G282" i="3"/>
  <c r="H282" i="3" s="1"/>
  <c r="N254" i="3" s="1"/>
  <c r="O254" i="3" s="1"/>
  <c r="N258" i="4"/>
  <c r="H258" i="4"/>
  <c r="I258" i="4" s="1"/>
  <c r="L258" i="4" s="1"/>
  <c r="S255" i="4"/>
  <c r="L255" i="20" s="1"/>
  <c r="J259" i="4"/>
  <c r="E259" i="4"/>
  <c r="F259" i="4"/>
  <c r="R254" i="3" l="1"/>
  <c r="K282" i="3"/>
  <c r="E260" i="4"/>
  <c r="J260" i="4"/>
  <c r="F260" i="4"/>
  <c r="G283" i="3"/>
  <c r="H283" i="3" s="1"/>
  <c r="N255" i="3" s="1"/>
  <c r="O255" i="3" s="1"/>
  <c r="P261" i="4"/>
  <c r="I261" i="20" s="1"/>
  <c r="C262" i="4"/>
  <c r="D262" i="4" s="1"/>
  <c r="G261" i="4"/>
  <c r="K258" i="4"/>
  <c r="N259" i="4"/>
  <c r="H259" i="4"/>
  <c r="I259" i="4" s="1"/>
  <c r="L259" i="4" s="1"/>
  <c r="J256" i="20"/>
  <c r="Q257" i="4"/>
  <c r="S256" i="4"/>
  <c r="L256" i="20" s="1"/>
  <c r="K257" i="20"/>
  <c r="R258" i="4"/>
  <c r="R255" i="3" l="1"/>
  <c r="K283" i="3"/>
  <c r="N260" i="4"/>
  <c r="H260" i="4"/>
  <c r="I260" i="4" s="1"/>
  <c r="L260" i="4" s="1"/>
  <c r="K259" i="4"/>
  <c r="J261" i="4"/>
  <c r="E261" i="4"/>
  <c r="F261" i="4"/>
  <c r="J257" i="20"/>
  <c r="Q258" i="4"/>
  <c r="S258" i="4" s="1"/>
  <c r="L258" i="20" s="1"/>
  <c r="P262" i="4"/>
  <c r="I262" i="20" s="1"/>
  <c r="C263" i="4"/>
  <c r="D263" i="4" s="1"/>
  <c r="G262" i="4"/>
  <c r="K258" i="20"/>
  <c r="R259" i="4"/>
  <c r="S257" i="4"/>
  <c r="L257" i="20" s="1"/>
  <c r="G284" i="3"/>
  <c r="H284" i="3" s="1"/>
  <c r="N256" i="3" s="1"/>
  <c r="O256" i="3" s="1"/>
  <c r="R256" i="3" l="1"/>
  <c r="K284" i="3"/>
  <c r="G285" i="3"/>
  <c r="H285" i="3" s="1"/>
  <c r="N257" i="3" s="1"/>
  <c r="O257" i="3" s="1"/>
  <c r="J262" i="4"/>
  <c r="E262" i="4"/>
  <c r="F262" i="4"/>
  <c r="K259" i="20"/>
  <c r="R260" i="4"/>
  <c r="N261" i="4"/>
  <c r="H261" i="4"/>
  <c r="I261" i="4" s="1"/>
  <c r="L261" i="4" s="1"/>
  <c r="P263" i="4"/>
  <c r="I263" i="20" s="1"/>
  <c r="C264" i="4"/>
  <c r="D264" i="4" s="1"/>
  <c r="G263" i="4"/>
  <c r="J258" i="20"/>
  <c r="Q259" i="4"/>
  <c r="K260" i="4"/>
  <c r="R257" i="3" l="1"/>
  <c r="K285" i="3"/>
  <c r="K261" i="4"/>
  <c r="P264" i="4"/>
  <c r="I264" i="20" s="1"/>
  <c r="C265" i="4"/>
  <c r="D265" i="4" s="1"/>
  <c r="G264" i="4"/>
  <c r="N262" i="4"/>
  <c r="H262" i="4"/>
  <c r="I262" i="4" s="1"/>
  <c r="L262" i="4" s="1"/>
  <c r="J259" i="20"/>
  <c r="Q260" i="4"/>
  <c r="S260" i="4" s="1"/>
  <c r="L260" i="20" s="1"/>
  <c r="S259" i="4"/>
  <c r="L259" i="20" s="1"/>
  <c r="J263" i="4"/>
  <c r="E263" i="4"/>
  <c r="F263" i="4"/>
  <c r="K260" i="20"/>
  <c r="R261" i="4"/>
  <c r="G286" i="3"/>
  <c r="H286" i="3" s="1"/>
  <c r="N258" i="3" s="1"/>
  <c r="O258" i="3" s="1"/>
  <c r="R258" i="3" l="1"/>
  <c r="K286" i="3"/>
  <c r="E264" i="4"/>
  <c r="J264" i="4"/>
  <c r="F264" i="4"/>
  <c r="P265" i="4"/>
  <c r="I265" i="20" s="1"/>
  <c r="C266" i="4"/>
  <c r="D266" i="4" s="1"/>
  <c r="G265" i="4"/>
  <c r="K262" i="4"/>
  <c r="G287" i="3"/>
  <c r="H287" i="3" s="1"/>
  <c r="N259" i="3" s="1"/>
  <c r="N263" i="4"/>
  <c r="H263" i="4"/>
  <c r="I263" i="4" s="1"/>
  <c r="L263" i="4" s="1"/>
  <c r="K261" i="20"/>
  <c r="R262" i="4"/>
  <c r="J260" i="20"/>
  <c r="Q261" i="4"/>
  <c r="O259" i="3" l="1"/>
  <c r="R259" i="3" s="1"/>
  <c r="O260" i="3"/>
  <c r="K287" i="3"/>
  <c r="K263" i="4"/>
  <c r="N264" i="4"/>
  <c r="H264" i="4"/>
  <c r="I264" i="4" s="1"/>
  <c r="L264" i="4" s="1"/>
  <c r="G289" i="3"/>
  <c r="H289" i="3" s="1"/>
  <c r="N261" i="3" s="1"/>
  <c r="O261" i="3" s="1"/>
  <c r="P266" i="4"/>
  <c r="I266" i="20" s="1"/>
  <c r="C267" i="4"/>
  <c r="D267" i="4" s="1"/>
  <c r="G266" i="4"/>
  <c r="J261" i="20"/>
  <c r="Q262" i="4"/>
  <c r="S262" i="4" s="1"/>
  <c r="L262" i="20" s="1"/>
  <c r="J265" i="4"/>
  <c r="E265" i="4"/>
  <c r="F265" i="4"/>
  <c r="K262" i="20"/>
  <c r="R263" i="4"/>
  <c r="S261" i="4"/>
  <c r="L261" i="20" s="1"/>
  <c r="R261" i="3" l="1"/>
  <c r="R260" i="3"/>
  <c r="K289" i="3"/>
  <c r="J266" i="4"/>
  <c r="E266" i="4"/>
  <c r="F266" i="4"/>
  <c r="K264" i="4"/>
  <c r="K263" i="20"/>
  <c r="R264" i="4"/>
  <c r="P267" i="4"/>
  <c r="I267" i="20" s="1"/>
  <c r="C268" i="4"/>
  <c r="D268" i="4" s="1"/>
  <c r="G267" i="4"/>
  <c r="N265" i="4"/>
  <c r="H265" i="4"/>
  <c r="I265" i="4" s="1"/>
  <c r="L265" i="4" s="1"/>
  <c r="J262" i="20"/>
  <c r="Q263" i="4"/>
  <c r="S263" i="4" s="1"/>
  <c r="L263" i="20" s="1"/>
  <c r="G290" i="3"/>
  <c r="H290" i="3" s="1"/>
  <c r="N262" i="3" s="1"/>
  <c r="O262" i="3" s="1"/>
  <c r="R262" i="3" l="1"/>
  <c r="K290" i="3"/>
  <c r="P268" i="4"/>
  <c r="I268" i="20" s="1"/>
  <c r="C269" i="4"/>
  <c r="D269" i="4" s="1"/>
  <c r="G268" i="4"/>
  <c r="K265" i="4"/>
  <c r="N266" i="4"/>
  <c r="H266" i="4"/>
  <c r="I266" i="4" s="1"/>
  <c r="L266" i="4" s="1"/>
  <c r="G291" i="3"/>
  <c r="H291" i="3" s="1"/>
  <c r="N263" i="3" s="1"/>
  <c r="O263" i="3" s="1"/>
  <c r="J263" i="20"/>
  <c r="Q264" i="4"/>
  <c r="S264" i="4" s="1"/>
  <c r="L264" i="20" s="1"/>
  <c r="K264" i="20"/>
  <c r="R265" i="4"/>
  <c r="J267" i="4"/>
  <c r="E267" i="4"/>
  <c r="F267" i="4"/>
  <c r="R263" i="3" l="1"/>
  <c r="K291" i="3"/>
  <c r="K265" i="20"/>
  <c r="R266" i="4"/>
  <c r="K266" i="4"/>
  <c r="N267" i="4"/>
  <c r="H267" i="4"/>
  <c r="I267" i="4" s="1"/>
  <c r="L267" i="4" s="1"/>
  <c r="J264" i="20"/>
  <c r="Q265" i="4"/>
  <c r="S265" i="4" s="1"/>
  <c r="L265" i="20" s="1"/>
  <c r="G292" i="3"/>
  <c r="H292" i="3" s="1"/>
  <c r="N264" i="3" s="1"/>
  <c r="O264" i="3" s="1"/>
  <c r="E268" i="4"/>
  <c r="J268" i="4"/>
  <c r="F268" i="4"/>
  <c r="P269" i="4"/>
  <c r="I269" i="20" s="1"/>
  <c r="C270" i="4"/>
  <c r="D270" i="4" s="1"/>
  <c r="G269" i="4"/>
  <c r="R264" i="3" l="1"/>
  <c r="K292" i="3"/>
  <c r="N268" i="4"/>
  <c r="H268" i="4"/>
  <c r="I268" i="4" s="1"/>
  <c r="L268" i="4" s="1"/>
  <c r="J269" i="4"/>
  <c r="E269" i="4"/>
  <c r="F269" i="4"/>
  <c r="P270" i="4"/>
  <c r="I270" i="20" s="1"/>
  <c r="C271" i="4"/>
  <c r="D271" i="4" s="1"/>
  <c r="G270" i="4"/>
  <c r="G293" i="3"/>
  <c r="H293" i="3" s="1"/>
  <c r="N265" i="3" s="1"/>
  <c r="O265" i="3" s="1"/>
  <c r="K266" i="20"/>
  <c r="R267" i="4"/>
  <c r="J265" i="20"/>
  <c r="Q266" i="4"/>
  <c r="K267" i="4"/>
  <c r="R265" i="3" l="1"/>
  <c r="K293" i="3"/>
  <c r="K268" i="4"/>
  <c r="P271" i="4"/>
  <c r="I271" i="20" s="1"/>
  <c r="C272" i="4"/>
  <c r="D272" i="4" s="1"/>
  <c r="G271" i="4"/>
  <c r="J266" i="20"/>
  <c r="Q267" i="4"/>
  <c r="S267" i="4" s="1"/>
  <c r="L267" i="20" s="1"/>
  <c r="G294" i="3"/>
  <c r="H294" i="3" s="1"/>
  <c r="N266" i="3" s="1"/>
  <c r="O266" i="3" s="1"/>
  <c r="S266" i="4"/>
  <c r="L266" i="20" s="1"/>
  <c r="K267" i="20"/>
  <c r="R268" i="4"/>
  <c r="J270" i="4"/>
  <c r="E270" i="4"/>
  <c r="F270" i="4"/>
  <c r="N269" i="4"/>
  <c r="H269" i="4"/>
  <c r="I269" i="4" s="1"/>
  <c r="L269" i="4" s="1"/>
  <c r="R266" i="3" l="1"/>
  <c r="K294" i="3"/>
  <c r="J271" i="4"/>
  <c r="E271" i="4"/>
  <c r="F271" i="4"/>
  <c r="K268" i="20"/>
  <c r="R269" i="4"/>
  <c r="G295" i="3"/>
  <c r="H295" i="3" s="1"/>
  <c r="N267" i="3" s="1"/>
  <c r="O267" i="3" s="1"/>
  <c r="G431" i="3"/>
  <c r="H431" i="3" s="1"/>
  <c r="P272" i="4"/>
  <c r="I272" i="20" s="1"/>
  <c r="C273" i="4"/>
  <c r="D273" i="4" s="1"/>
  <c r="G272" i="4"/>
  <c r="J267" i="20"/>
  <c r="Q268" i="4"/>
  <c r="S268" i="4" s="1"/>
  <c r="L268" i="20" s="1"/>
  <c r="K269" i="4"/>
  <c r="N270" i="4"/>
  <c r="H270" i="4"/>
  <c r="I270" i="4" s="1"/>
  <c r="L270" i="4" s="1"/>
  <c r="R267" i="3" l="1"/>
  <c r="K295" i="3"/>
  <c r="N273" i="3"/>
  <c r="P273" i="4"/>
  <c r="I273" i="20" s="1"/>
  <c r="C274" i="4"/>
  <c r="D274" i="4" s="1"/>
  <c r="G273" i="4"/>
  <c r="J268" i="20"/>
  <c r="Q269" i="4"/>
  <c r="S269" i="4" s="1"/>
  <c r="L269" i="20" s="1"/>
  <c r="K269" i="20"/>
  <c r="R270" i="4"/>
  <c r="K431" i="3"/>
  <c r="G296" i="3"/>
  <c r="H296" i="3" s="1"/>
  <c r="N268" i="3" s="1"/>
  <c r="O268" i="3" s="1"/>
  <c r="K270" i="4"/>
  <c r="E272" i="4"/>
  <c r="J272" i="4"/>
  <c r="F272" i="4"/>
  <c r="N271" i="4"/>
  <c r="H271" i="4"/>
  <c r="I271" i="4" s="1"/>
  <c r="L271" i="4" s="1"/>
  <c r="R268" i="3" l="1"/>
  <c r="K296" i="3"/>
  <c r="K270" i="20"/>
  <c r="R271" i="4"/>
  <c r="J269" i="20"/>
  <c r="Q270" i="4"/>
  <c r="N272" i="4"/>
  <c r="H272" i="4"/>
  <c r="I272" i="4" s="1"/>
  <c r="L272" i="4" s="1"/>
  <c r="G297" i="3"/>
  <c r="H297" i="3" s="1"/>
  <c r="N269" i="3" s="1"/>
  <c r="O269" i="3" s="1"/>
  <c r="J273" i="4"/>
  <c r="E273" i="4"/>
  <c r="F273" i="4"/>
  <c r="K271" i="4"/>
  <c r="P274" i="4"/>
  <c r="I274" i="20" s="1"/>
  <c r="C275" i="4"/>
  <c r="D275" i="4" s="1"/>
  <c r="G274" i="4"/>
  <c r="R269" i="3" l="1"/>
  <c r="K297" i="3"/>
  <c r="J274" i="4"/>
  <c r="E274" i="4"/>
  <c r="F274" i="4"/>
  <c r="K272" i="4"/>
  <c r="P275" i="4"/>
  <c r="I275" i="20" s="1"/>
  <c r="C276" i="4"/>
  <c r="D276" i="4" s="1"/>
  <c r="G275" i="4"/>
  <c r="G298" i="3"/>
  <c r="H298" i="3" s="1"/>
  <c r="N270" i="3" s="1"/>
  <c r="O270" i="3" s="1"/>
  <c r="N273" i="4"/>
  <c r="H273" i="4"/>
  <c r="I273" i="4" s="1"/>
  <c r="L273" i="4" s="1"/>
  <c r="J270" i="20"/>
  <c r="Q271" i="4"/>
  <c r="S270" i="4"/>
  <c r="L270" i="20" s="1"/>
  <c r="K271" i="20"/>
  <c r="R272" i="4"/>
  <c r="R270" i="3" l="1"/>
  <c r="K298" i="3"/>
  <c r="J271" i="20"/>
  <c r="Q272" i="4"/>
  <c r="S272" i="4" s="1"/>
  <c r="L272" i="20" s="1"/>
  <c r="P276" i="4"/>
  <c r="I276" i="20" s="1"/>
  <c r="C277" i="4"/>
  <c r="D277" i="4" s="1"/>
  <c r="G276" i="4"/>
  <c r="S271" i="4"/>
  <c r="L271" i="20" s="1"/>
  <c r="G299" i="3"/>
  <c r="H299" i="3" s="1"/>
  <c r="N271" i="3" s="1"/>
  <c r="O271" i="3" s="1"/>
  <c r="K273" i="4"/>
  <c r="K272" i="20"/>
  <c r="R273" i="4"/>
  <c r="J275" i="4"/>
  <c r="E275" i="4"/>
  <c r="F275" i="4"/>
  <c r="N274" i="4"/>
  <c r="H274" i="4"/>
  <c r="I274" i="4" s="1"/>
  <c r="L274" i="4" s="1"/>
  <c r="R271" i="3" l="1"/>
  <c r="K299" i="3"/>
  <c r="K274" i="4"/>
  <c r="N275" i="4"/>
  <c r="H275" i="4"/>
  <c r="I275" i="4" s="1"/>
  <c r="L275" i="4" s="1"/>
  <c r="K273" i="20"/>
  <c r="R274" i="4"/>
  <c r="G300" i="3"/>
  <c r="H300" i="3" s="1"/>
  <c r="N272" i="3" s="1"/>
  <c r="O272" i="3" s="1"/>
  <c r="E276" i="4"/>
  <c r="J276" i="4"/>
  <c r="F276" i="4"/>
  <c r="P277" i="4"/>
  <c r="I277" i="20" s="1"/>
  <c r="C278" i="4"/>
  <c r="D278" i="4" s="1"/>
  <c r="G277" i="4"/>
  <c r="J272" i="20"/>
  <c r="Q273" i="4"/>
  <c r="O273" i="3" l="1"/>
  <c r="R272" i="3"/>
  <c r="K300" i="3"/>
  <c r="K274" i="20"/>
  <c r="R275" i="4"/>
  <c r="J277" i="4"/>
  <c r="E277" i="4"/>
  <c r="F277" i="4"/>
  <c r="P278" i="4"/>
  <c r="I278" i="20" s="1"/>
  <c r="C279" i="4"/>
  <c r="D279" i="4" s="1"/>
  <c r="G278" i="4"/>
  <c r="J273" i="20"/>
  <c r="Q274" i="4"/>
  <c r="S274" i="4" s="1"/>
  <c r="L274" i="20" s="1"/>
  <c r="S273" i="4"/>
  <c r="L273" i="20" s="1"/>
  <c r="K275" i="4"/>
  <c r="N276" i="4"/>
  <c r="H276" i="4"/>
  <c r="I276" i="4" s="1"/>
  <c r="L276" i="4" s="1"/>
  <c r="G302" i="3"/>
  <c r="H302" i="3" s="1"/>
  <c r="N274" i="3" s="1"/>
  <c r="O274" i="3" s="1"/>
  <c r="R274" i="3" l="1"/>
  <c r="R273" i="3"/>
  <c r="K302" i="3"/>
  <c r="K276" i="4"/>
  <c r="G303" i="3"/>
  <c r="H303" i="3" s="1"/>
  <c r="N275" i="3" s="1"/>
  <c r="O275" i="3" s="1"/>
  <c r="J278" i="4"/>
  <c r="E278" i="4"/>
  <c r="F278" i="4"/>
  <c r="K275" i="20"/>
  <c r="R276" i="4"/>
  <c r="P279" i="4"/>
  <c r="I279" i="20" s="1"/>
  <c r="C280" i="4"/>
  <c r="D280" i="4" s="1"/>
  <c r="G279" i="4"/>
  <c r="J274" i="20"/>
  <c r="Q275" i="4"/>
  <c r="S275" i="4" s="1"/>
  <c r="L275" i="20" s="1"/>
  <c r="N277" i="4"/>
  <c r="H277" i="4"/>
  <c r="I277" i="4" s="1"/>
  <c r="L277" i="4" s="1"/>
  <c r="R275" i="3" l="1"/>
  <c r="K303" i="3"/>
  <c r="G304" i="3"/>
  <c r="H304" i="3" s="1"/>
  <c r="N276" i="3" s="1"/>
  <c r="O276" i="3" s="1"/>
  <c r="N278" i="4"/>
  <c r="H278" i="4"/>
  <c r="I278" i="4" s="1"/>
  <c r="L278" i="4" s="1"/>
  <c r="J275" i="20"/>
  <c r="Q276" i="4"/>
  <c r="S276" i="4" s="1"/>
  <c r="L276" i="20" s="1"/>
  <c r="J279" i="4"/>
  <c r="E279" i="4"/>
  <c r="F279" i="4"/>
  <c r="P280" i="4"/>
  <c r="I280" i="20" s="1"/>
  <c r="C281" i="4"/>
  <c r="D281" i="4" s="1"/>
  <c r="G280" i="4"/>
  <c r="K276" i="20"/>
  <c r="R277" i="4"/>
  <c r="K277" i="4"/>
  <c r="R276" i="3" l="1"/>
  <c r="K304" i="3"/>
  <c r="K277" i="20"/>
  <c r="R278" i="4"/>
  <c r="N279" i="4"/>
  <c r="H279" i="4"/>
  <c r="I279" i="4" s="1"/>
  <c r="L279" i="4" s="1"/>
  <c r="P281" i="4"/>
  <c r="I281" i="20" s="1"/>
  <c r="C282" i="4"/>
  <c r="D282" i="4" s="1"/>
  <c r="G281" i="4"/>
  <c r="K278" i="4"/>
  <c r="E280" i="4"/>
  <c r="J280" i="4"/>
  <c r="F280" i="4"/>
  <c r="J276" i="20"/>
  <c r="Q277" i="4"/>
  <c r="G305" i="3"/>
  <c r="H305" i="3" s="1"/>
  <c r="N277" i="3" s="1"/>
  <c r="O277" i="3" s="1"/>
  <c r="R277" i="3" l="1"/>
  <c r="K305" i="3"/>
  <c r="K279" i="4"/>
  <c r="K278" i="20"/>
  <c r="R279" i="4"/>
  <c r="G306" i="3"/>
  <c r="H306" i="3" s="1"/>
  <c r="N278" i="3" s="1"/>
  <c r="O278" i="3" s="1"/>
  <c r="J281" i="4"/>
  <c r="E281" i="4"/>
  <c r="F281" i="4"/>
  <c r="J277" i="20"/>
  <c r="Q278" i="4"/>
  <c r="N280" i="4"/>
  <c r="H280" i="4"/>
  <c r="I280" i="4" s="1"/>
  <c r="L280" i="4" s="1"/>
  <c r="P282" i="4"/>
  <c r="I282" i="20" s="1"/>
  <c r="C283" i="4"/>
  <c r="D283" i="4" s="1"/>
  <c r="G282" i="4"/>
  <c r="S277" i="4"/>
  <c r="L277" i="20" s="1"/>
  <c r="R278" i="3" l="1"/>
  <c r="K306" i="3"/>
  <c r="J282" i="4"/>
  <c r="E282" i="4"/>
  <c r="F282" i="4"/>
  <c r="J278" i="20"/>
  <c r="Q279" i="4"/>
  <c r="S279" i="4" s="1"/>
  <c r="L279" i="20" s="1"/>
  <c r="K279" i="20"/>
  <c r="R280" i="4"/>
  <c r="S278" i="4"/>
  <c r="L278" i="20" s="1"/>
  <c r="N281" i="4"/>
  <c r="H281" i="4"/>
  <c r="I281" i="4" s="1"/>
  <c r="L281" i="4" s="1"/>
  <c r="P283" i="4"/>
  <c r="I283" i="20" s="1"/>
  <c r="C284" i="4"/>
  <c r="D284" i="4" s="1"/>
  <c r="G283" i="4"/>
  <c r="G307" i="3"/>
  <c r="H307" i="3" s="1"/>
  <c r="N279" i="3" s="1"/>
  <c r="O279" i="3" s="1"/>
  <c r="K280" i="4"/>
  <c r="R279" i="3" l="1"/>
  <c r="K307" i="3"/>
  <c r="K281" i="4"/>
  <c r="P284" i="4"/>
  <c r="I284" i="20" s="1"/>
  <c r="C285" i="4"/>
  <c r="D285" i="4" s="1"/>
  <c r="G284" i="4"/>
  <c r="K280" i="20"/>
  <c r="R281" i="4"/>
  <c r="N282" i="4"/>
  <c r="H282" i="4"/>
  <c r="I282" i="4" s="1"/>
  <c r="L282" i="4" s="1"/>
  <c r="J279" i="20"/>
  <c r="Q280" i="4"/>
  <c r="S280" i="4" s="1"/>
  <c r="L280" i="20" s="1"/>
  <c r="G308" i="3"/>
  <c r="H308" i="3" s="1"/>
  <c r="N280" i="3" s="1"/>
  <c r="O280" i="3" s="1"/>
  <c r="J283" i="4"/>
  <c r="E283" i="4"/>
  <c r="F283" i="4"/>
  <c r="R280" i="3" l="1"/>
  <c r="K308" i="3"/>
  <c r="E284" i="4"/>
  <c r="J284" i="4"/>
  <c r="F284" i="4"/>
  <c r="G309" i="3"/>
  <c r="H309" i="3" s="1"/>
  <c r="N281" i="3" s="1"/>
  <c r="O281" i="3" s="1"/>
  <c r="G444" i="3"/>
  <c r="H444" i="3" s="1"/>
  <c r="N283" i="4"/>
  <c r="H283" i="4"/>
  <c r="I283" i="4" s="1"/>
  <c r="L283" i="4" s="1"/>
  <c r="P285" i="4"/>
  <c r="I285" i="20" s="1"/>
  <c r="C286" i="4"/>
  <c r="D286" i="4" s="1"/>
  <c r="G285" i="4"/>
  <c r="K282" i="4"/>
  <c r="K281" i="20"/>
  <c r="R282" i="4"/>
  <c r="J280" i="20"/>
  <c r="Q281" i="4"/>
  <c r="S281" i="4" s="1"/>
  <c r="L281" i="20" s="1"/>
  <c r="R281" i="3" l="1"/>
  <c r="K309" i="3"/>
  <c r="N286" i="3"/>
  <c r="J281" i="20"/>
  <c r="Q282" i="4"/>
  <c r="S282" i="4" s="1"/>
  <c r="L282" i="20" s="1"/>
  <c r="K282" i="20"/>
  <c r="R283" i="4"/>
  <c r="J285" i="4"/>
  <c r="E285" i="4"/>
  <c r="F285" i="4"/>
  <c r="K444" i="3"/>
  <c r="N284" i="4"/>
  <c r="H284" i="4"/>
  <c r="I284" i="4" s="1"/>
  <c r="L284" i="4" s="1"/>
  <c r="P286" i="4"/>
  <c r="I286" i="20" s="1"/>
  <c r="C287" i="4"/>
  <c r="D287" i="4" s="1"/>
  <c r="G286" i="4"/>
  <c r="K283" i="4"/>
  <c r="G310" i="3"/>
  <c r="H310" i="3" s="1"/>
  <c r="N282" i="3" s="1"/>
  <c r="O282" i="3" s="1"/>
  <c r="R282" i="3" l="1"/>
  <c r="K310" i="3"/>
  <c r="G311" i="3"/>
  <c r="H311" i="3" s="1"/>
  <c r="N283" i="3" s="1"/>
  <c r="O283" i="3" s="1"/>
  <c r="N285" i="4"/>
  <c r="H285" i="4"/>
  <c r="I285" i="4" s="1"/>
  <c r="L285" i="4" s="1"/>
  <c r="J282" i="20"/>
  <c r="Q283" i="4"/>
  <c r="S283" i="4" s="1"/>
  <c r="L283" i="20" s="1"/>
  <c r="J286" i="4"/>
  <c r="E286" i="4"/>
  <c r="F286" i="4"/>
  <c r="K284" i="4"/>
  <c r="P287" i="4"/>
  <c r="I287" i="20" s="1"/>
  <c r="C288" i="4"/>
  <c r="D288" i="4" s="1"/>
  <c r="G287" i="4"/>
  <c r="K283" i="20"/>
  <c r="R284" i="4"/>
  <c r="R283" i="3" l="1"/>
  <c r="K311" i="3"/>
  <c r="P288" i="4"/>
  <c r="I288" i="20" s="1"/>
  <c r="C289" i="4"/>
  <c r="D289" i="4" s="1"/>
  <c r="G288" i="4"/>
  <c r="K284" i="20"/>
  <c r="R285" i="4"/>
  <c r="K285" i="4"/>
  <c r="J287" i="4"/>
  <c r="E287" i="4"/>
  <c r="F287" i="4"/>
  <c r="N286" i="4"/>
  <c r="H286" i="4"/>
  <c r="I286" i="4" s="1"/>
  <c r="L286" i="4" s="1"/>
  <c r="J283" i="20"/>
  <c r="Q284" i="4"/>
  <c r="S284" i="4" s="1"/>
  <c r="L284" i="20" s="1"/>
  <c r="G312" i="3"/>
  <c r="H312" i="3" s="1"/>
  <c r="N284" i="3" s="1"/>
  <c r="O284" i="3" s="1"/>
  <c r="R284" i="3" l="1"/>
  <c r="K312" i="3"/>
  <c r="N287" i="4"/>
  <c r="H287" i="4"/>
  <c r="I287" i="4" s="1"/>
  <c r="L287" i="4" s="1"/>
  <c r="K285" i="20"/>
  <c r="R286" i="4"/>
  <c r="P289" i="4"/>
  <c r="I289" i="20" s="1"/>
  <c r="C290" i="4"/>
  <c r="D290" i="4" s="1"/>
  <c r="G289" i="4"/>
  <c r="G313" i="3"/>
  <c r="H313" i="3" s="1"/>
  <c r="N285" i="3" s="1"/>
  <c r="J284" i="20"/>
  <c r="Q285" i="4"/>
  <c r="S285" i="4" s="1"/>
  <c r="L285" i="20" s="1"/>
  <c r="K286" i="4"/>
  <c r="E288" i="4"/>
  <c r="J288" i="4"/>
  <c r="F288" i="4"/>
  <c r="O285" i="3" l="1"/>
  <c r="R285" i="3" s="1"/>
  <c r="O286" i="3"/>
  <c r="K313" i="3"/>
  <c r="N288" i="4"/>
  <c r="H288" i="4"/>
  <c r="I288" i="4" s="1"/>
  <c r="L288" i="4" s="1"/>
  <c r="P290" i="4"/>
  <c r="I290" i="20" s="1"/>
  <c r="C291" i="4"/>
  <c r="D291" i="4" s="1"/>
  <c r="G290" i="4"/>
  <c r="K286" i="20"/>
  <c r="R287" i="4"/>
  <c r="K287" i="4"/>
  <c r="G315" i="3"/>
  <c r="H315" i="3" s="1"/>
  <c r="N287" i="3" s="1"/>
  <c r="O287" i="3" s="1"/>
  <c r="J285" i="20"/>
  <c r="Q286" i="4"/>
  <c r="J289" i="4"/>
  <c r="E289" i="4"/>
  <c r="F289" i="4"/>
  <c r="R287" i="3" l="1"/>
  <c r="R286" i="3"/>
  <c r="K315" i="3"/>
  <c r="J286" i="20"/>
  <c r="Q287" i="4"/>
  <c r="S287" i="4" s="1"/>
  <c r="L287" i="20" s="1"/>
  <c r="G316" i="3"/>
  <c r="H316" i="3" s="1"/>
  <c r="N288" i="3" s="1"/>
  <c r="O288" i="3" s="1"/>
  <c r="P291" i="4"/>
  <c r="I291" i="20" s="1"/>
  <c r="C292" i="4"/>
  <c r="D292" i="4" s="1"/>
  <c r="G291" i="4"/>
  <c r="S286" i="4"/>
  <c r="L286" i="20" s="1"/>
  <c r="K287" i="20"/>
  <c r="R288" i="4"/>
  <c r="N289" i="4"/>
  <c r="H289" i="4"/>
  <c r="I289" i="4" s="1"/>
  <c r="L289" i="4" s="1"/>
  <c r="K288" i="4"/>
  <c r="J290" i="4"/>
  <c r="E290" i="4"/>
  <c r="F290" i="4"/>
  <c r="R288" i="3" l="1"/>
  <c r="K316" i="3"/>
  <c r="N290" i="4"/>
  <c r="H290" i="4"/>
  <c r="I290" i="4" s="1"/>
  <c r="L290" i="4" s="1"/>
  <c r="J291" i="4"/>
  <c r="E291" i="4"/>
  <c r="F291" i="4"/>
  <c r="G317" i="3"/>
  <c r="H317" i="3" s="1"/>
  <c r="N289" i="3" s="1"/>
  <c r="O289" i="3" s="1"/>
  <c r="J287" i="20"/>
  <c r="Q288" i="4"/>
  <c r="S288" i="4" s="1"/>
  <c r="L288" i="20" s="1"/>
  <c r="K289" i="4"/>
  <c r="K288" i="20"/>
  <c r="R289" i="4"/>
  <c r="P292" i="4"/>
  <c r="I292" i="20" s="1"/>
  <c r="C293" i="4"/>
  <c r="D293" i="4" s="1"/>
  <c r="G292" i="4"/>
  <c r="R289" i="3" l="1"/>
  <c r="K317" i="3"/>
  <c r="E292" i="4"/>
  <c r="J292" i="4"/>
  <c r="F292" i="4"/>
  <c r="G318" i="3"/>
  <c r="H318" i="3" s="1"/>
  <c r="N290" i="3" s="1"/>
  <c r="O290" i="3" s="1"/>
  <c r="K290" i="4"/>
  <c r="P293" i="4"/>
  <c r="I293" i="20" s="1"/>
  <c r="C294" i="4"/>
  <c r="D294" i="4" s="1"/>
  <c r="G293" i="4"/>
  <c r="K289" i="20"/>
  <c r="R290" i="4"/>
  <c r="J288" i="20"/>
  <c r="Q289" i="4"/>
  <c r="N291" i="4"/>
  <c r="H291" i="4"/>
  <c r="I291" i="4" s="1"/>
  <c r="L291" i="4" s="1"/>
  <c r="R290" i="3" l="1"/>
  <c r="K318" i="3"/>
  <c r="J289" i="20"/>
  <c r="Q290" i="4"/>
  <c r="S290" i="4" s="1"/>
  <c r="L290" i="20" s="1"/>
  <c r="J293" i="4"/>
  <c r="E293" i="4"/>
  <c r="F293" i="4"/>
  <c r="N292" i="4"/>
  <c r="H292" i="4"/>
  <c r="I292" i="4" s="1"/>
  <c r="L292" i="4" s="1"/>
  <c r="P294" i="4"/>
  <c r="I294" i="20" s="1"/>
  <c r="C295" i="4"/>
  <c r="D295" i="4" s="1"/>
  <c r="G294" i="4"/>
  <c r="S289" i="4"/>
  <c r="L289" i="20" s="1"/>
  <c r="K290" i="20"/>
  <c r="R291" i="4"/>
  <c r="K291" i="4"/>
  <c r="G319" i="3"/>
  <c r="H319" i="3" s="1"/>
  <c r="N291" i="3" s="1"/>
  <c r="O291" i="3" s="1"/>
  <c r="R291" i="3" l="1"/>
  <c r="K319" i="3"/>
  <c r="K292" i="4"/>
  <c r="J294" i="4"/>
  <c r="E294" i="4"/>
  <c r="F294" i="4"/>
  <c r="G320" i="3"/>
  <c r="H320" i="3" s="1"/>
  <c r="N292" i="3" s="1"/>
  <c r="O292" i="3" s="1"/>
  <c r="J290" i="20"/>
  <c r="Q291" i="4"/>
  <c r="K291" i="20"/>
  <c r="R292" i="4"/>
  <c r="P295" i="4"/>
  <c r="I295" i="20" s="1"/>
  <c r="C296" i="4"/>
  <c r="D296" i="4" s="1"/>
  <c r="G295" i="4"/>
  <c r="N293" i="4"/>
  <c r="H293" i="4"/>
  <c r="I293" i="4" s="1"/>
  <c r="L293" i="4" s="1"/>
  <c r="R292" i="3" l="1"/>
  <c r="K320" i="3"/>
  <c r="P296" i="4"/>
  <c r="I296" i="20" s="1"/>
  <c r="C297" i="4"/>
  <c r="D297" i="4" s="1"/>
  <c r="G296" i="4"/>
  <c r="K292" i="20"/>
  <c r="R293" i="4"/>
  <c r="J291" i="20"/>
  <c r="Q292" i="4"/>
  <c r="S292" i="4" s="1"/>
  <c r="L292" i="20" s="1"/>
  <c r="G321" i="3"/>
  <c r="H321" i="3" s="1"/>
  <c r="N293" i="3" s="1"/>
  <c r="O293" i="3" s="1"/>
  <c r="S291" i="4"/>
  <c r="L291" i="20" s="1"/>
  <c r="K293" i="4"/>
  <c r="J295" i="4"/>
  <c r="E295" i="4"/>
  <c r="F295" i="4"/>
  <c r="N294" i="4"/>
  <c r="H294" i="4"/>
  <c r="I294" i="4" s="1"/>
  <c r="L294" i="4" s="1"/>
  <c r="R293" i="3" l="1"/>
  <c r="K321" i="3"/>
  <c r="K293" i="20"/>
  <c r="R294" i="4"/>
  <c r="N295" i="4"/>
  <c r="H295" i="4"/>
  <c r="I295" i="4" s="1"/>
  <c r="L295" i="4" s="1"/>
  <c r="J292" i="20"/>
  <c r="Q293" i="4"/>
  <c r="E296" i="4"/>
  <c r="J296" i="4"/>
  <c r="F296" i="4"/>
  <c r="K294" i="4"/>
  <c r="G322" i="3"/>
  <c r="H322" i="3" s="1"/>
  <c r="N294" i="3" s="1"/>
  <c r="O294" i="3" s="1"/>
  <c r="P297" i="4"/>
  <c r="I297" i="20" s="1"/>
  <c r="C298" i="4"/>
  <c r="D298" i="4" s="1"/>
  <c r="G297" i="4"/>
  <c r="R294" i="3" l="1"/>
  <c r="K322" i="3"/>
  <c r="N296" i="4"/>
  <c r="H296" i="4"/>
  <c r="I296" i="4" s="1"/>
  <c r="L296" i="4" s="1"/>
  <c r="K294" i="20"/>
  <c r="R295" i="4"/>
  <c r="P298" i="4"/>
  <c r="I298" i="20" s="1"/>
  <c r="C299" i="4"/>
  <c r="D299" i="4" s="1"/>
  <c r="G298" i="4"/>
  <c r="J293" i="20"/>
  <c r="Q294" i="4"/>
  <c r="S294" i="4" s="1"/>
  <c r="L294" i="20" s="1"/>
  <c r="J297" i="4"/>
  <c r="E297" i="4"/>
  <c r="F297" i="4"/>
  <c r="K295" i="4"/>
  <c r="G323" i="3"/>
  <c r="H323" i="3" s="1"/>
  <c r="N295" i="3" s="1"/>
  <c r="O295" i="3" s="1"/>
  <c r="G457" i="3"/>
  <c r="H457" i="3" s="1"/>
  <c r="S293" i="4"/>
  <c r="L293" i="20" s="1"/>
  <c r="R295" i="3" l="1"/>
  <c r="N299" i="3"/>
  <c r="K323" i="3"/>
  <c r="K457" i="3"/>
  <c r="N297" i="4"/>
  <c r="H297" i="4"/>
  <c r="I297" i="4" s="1"/>
  <c r="L297" i="4" s="1"/>
  <c r="G324" i="3"/>
  <c r="H324" i="3" s="1"/>
  <c r="N296" i="3" s="1"/>
  <c r="O296" i="3" s="1"/>
  <c r="K296" i="4"/>
  <c r="J294" i="20"/>
  <c r="Q295" i="4"/>
  <c r="J298" i="4"/>
  <c r="E298" i="4"/>
  <c r="F298" i="4"/>
  <c r="P299" i="4"/>
  <c r="I299" i="20" s="1"/>
  <c r="C300" i="4"/>
  <c r="D300" i="4" s="1"/>
  <c r="G299" i="4"/>
  <c r="K295" i="20"/>
  <c r="R296" i="4"/>
  <c r="R296" i="3" l="1"/>
  <c r="K324" i="3"/>
  <c r="K297" i="4"/>
  <c r="J299" i="4"/>
  <c r="E299" i="4"/>
  <c r="F299" i="4"/>
  <c r="J295" i="20"/>
  <c r="Q296" i="4"/>
  <c r="P300" i="4"/>
  <c r="I300" i="20" s="1"/>
  <c r="C301" i="4"/>
  <c r="D301" i="4" s="1"/>
  <c r="G300" i="4"/>
  <c r="G325" i="3"/>
  <c r="H325" i="3" s="1"/>
  <c r="N297" i="3" s="1"/>
  <c r="O297" i="3" s="1"/>
  <c r="K296" i="20"/>
  <c r="R297" i="4"/>
  <c r="N298" i="4"/>
  <c r="H298" i="4"/>
  <c r="I298" i="4" s="1"/>
  <c r="L298" i="4" s="1"/>
  <c r="S295" i="4"/>
  <c r="L295" i="20" s="1"/>
  <c r="R297" i="3" l="1"/>
  <c r="K325" i="3"/>
  <c r="P301" i="4"/>
  <c r="I301" i="20" s="1"/>
  <c r="C302" i="4"/>
  <c r="D302" i="4" s="1"/>
  <c r="G301" i="4"/>
  <c r="J296" i="20"/>
  <c r="Q297" i="4"/>
  <c r="S297" i="4" s="1"/>
  <c r="L297" i="20" s="1"/>
  <c r="K298" i="4"/>
  <c r="S296" i="4"/>
  <c r="L296" i="20" s="1"/>
  <c r="K297" i="20"/>
  <c r="R298" i="4"/>
  <c r="E300" i="4"/>
  <c r="J300" i="4"/>
  <c r="F300" i="4"/>
  <c r="N299" i="4"/>
  <c r="H299" i="4"/>
  <c r="I299" i="4" s="1"/>
  <c r="L299" i="4" s="1"/>
  <c r="G326" i="3" l="1"/>
  <c r="H326" i="3" s="1"/>
  <c r="N298" i="3" s="1"/>
  <c r="J301" i="4"/>
  <c r="E301" i="4"/>
  <c r="F301" i="4"/>
  <c r="J297" i="20"/>
  <c r="Q298" i="4"/>
  <c r="N300" i="4"/>
  <c r="H300" i="4"/>
  <c r="I300" i="4" s="1"/>
  <c r="L300" i="4" s="1"/>
  <c r="K298" i="20"/>
  <c r="R299" i="4"/>
  <c r="K299" i="4"/>
  <c r="P302" i="4"/>
  <c r="I302" i="20" s="1"/>
  <c r="C303" i="4"/>
  <c r="D303" i="4" s="1"/>
  <c r="G302" i="4"/>
  <c r="O298" i="3" l="1"/>
  <c r="O299" i="3"/>
  <c r="G328" i="3"/>
  <c r="H328" i="3" s="1"/>
  <c r="N300" i="3" s="1"/>
  <c r="O300" i="3" s="1"/>
  <c r="K326" i="3"/>
  <c r="K300" i="4"/>
  <c r="J298" i="20"/>
  <c r="Q299" i="4"/>
  <c r="S299" i="4" s="1"/>
  <c r="L299" i="20" s="1"/>
  <c r="J302" i="4"/>
  <c r="E302" i="4"/>
  <c r="F302" i="4"/>
  <c r="P303" i="4"/>
  <c r="I303" i="20" s="1"/>
  <c r="C304" i="4"/>
  <c r="D304" i="4" s="1"/>
  <c r="G303" i="4"/>
  <c r="S298" i="4"/>
  <c r="L298" i="20" s="1"/>
  <c r="K299" i="20"/>
  <c r="R300" i="4"/>
  <c r="N301" i="4"/>
  <c r="H301" i="4"/>
  <c r="I301" i="4" s="1"/>
  <c r="L301" i="4" s="1"/>
  <c r="R300" i="3" l="1"/>
  <c r="R298" i="3"/>
  <c r="R299" i="3"/>
  <c r="K328" i="3"/>
  <c r="G329" i="3"/>
  <c r="H329" i="3" s="1"/>
  <c r="N301" i="3" s="1"/>
  <c r="O301" i="3" s="1"/>
  <c r="J303" i="4"/>
  <c r="E303" i="4"/>
  <c r="F303" i="4"/>
  <c r="N302" i="4"/>
  <c r="H302" i="4"/>
  <c r="I302" i="4" s="1"/>
  <c r="L302" i="4" s="1"/>
  <c r="K300" i="20"/>
  <c r="R301" i="4"/>
  <c r="P304" i="4"/>
  <c r="I304" i="20" s="1"/>
  <c r="C305" i="4"/>
  <c r="D305" i="4" s="1"/>
  <c r="G304" i="4"/>
  <c r="K301" i="4"/>
  <c r="J299" i="20"/>
  <c r="Q300" i="4"/>
  <c r="R301" i="3" l="1"/>
  <c r="K329" i="3"/>
  <c r="G330" i="3"/>
  <c r="H330" i="3" s="1"/>
  <c r="N302" i="3" s="1"/>
  <c r="O302" i="3" s="1"/>
  <c r="J300" i="20"/>
  <c r="Q301" i="4"/>
  <c r="S301" i="4" s="1"/>
  <c r="L301" i="20" s="1"/>
  <c r="K302" i="4"/>
  <c r="E304" i="4"/>
  <c r="J304" i="4"/>
  <c r="F304" i="4"/>
  <c r="S300" i="4"/>
  <c r="L300" i="20" s="1"/>
  <c r="P305" i="4"/>
  <c r="I305" i="20" s="1"/>
  <c r="C306" i="4"/>
  <c r="D306" i="4" s="1"/>
  <c r="G305" i="4"/>
  <c r="K301" i="20"/>
  <c r="R302" i="4"/>
  <c r="N303" i="4"/>
  <c r="H303" i="4"/>
  <c r="I303" i="4" s="1"/>
  <c r="L303" i="4" s="1"/>
  <c r="R302" i="3" l="1"/>
  <c r="K330" i="3"/>
  <c r="G331" i="3"/>
  <c r="H331" i="3" s="1"/>
  <c r="N303" i="3" s="1"/>
  <c r="O303" i="3" s="1"/>
  <c r="N304" i="4"/>
  <c r="H304" i="4"/>
  <c r="I304" i="4" s="1"/>
  <c r="L304" i="4" s="1"/>
  <c r="K302" i="20"/>
  <c r="R303" i="4"/>
  <c r="J305" i="4"/>
  <c r="E305" i="4"/>
  <c r="F305" i="4"/>
  <c r="K303" i="4"/>
  <c r="P306" i="4"/>
  <c r="I306" i="20" s="1"/>
  <c r="C307" i="4"/>
  <c r="D307" i="4" s="1"/>
  <c r="G306" i="4"/>
  <c r="J301" i="20"/>
  <c r="Q302" i="4"/>
  <c r="S302" i="4" s="1"/>
  <c r="L302" i="20" s="1"/>
  <c r="R303" i="3" l="1"/>
  <c r="K331" i="3"/>
  <c r="G332" i="3"/>
  <c r="H332" i="3" s="1"/>
  <c r="N304" i="3" s="1"/>
  <c r="O304" i="3" s="1"/>
  <c r="J306" i="4"/>
  <c r="E306" i="4"/>
  <c r="F306" i="4"/>
  <c r="K304" i="4"/>
  <c r="P307" i="4"/>
  <c r="I307" i="20" s="1"/>
  <c r="C308" i="4"/>
  <c r="D308" i="4" s="1"/>
  <c r="G307" i="4"/>
  <c r="J302" i="20"/>
  <c r="Q303" i="4"/>
  <c r="S303" i="4" s="1"/>
  <c r="L303" i="20" s="1"/>
  <c r="N305" i="4"/>
  <c r="H305" i="4"/>
  <c r="I305" i="4" s="1"/>
  <c r="L305" i="4" s="1"/>
  <c r="K303" i="20"/>
  <c r="R304" i="4"/>
  <c r="R304" i="3" l="1"/>
  <c r="K332" i="3"/>
  <c r="G333" i="3"/>
  <c r="H333" i="3" s="1"/>
  <c r="N305" i="3" s="1"/>
  <c r="O305" i="3" s="1"/>
  <c r="K304" i="20"/>
  <c r="R305" i="4"/>
  <c r="J307" i="4"/>
  <c r="E307" i="4"/>
  <c r="F307" i="4"/>
  <c r="N306" i="4"/>
  <c r="H306" i="4"/>
  <c r="I306" i="4" s="1"/>
  <c r="L306" i="4" s="1"/>
  <c r="P308" i="4"/>
  <c r="I308" i="20" s="1"/>
  <c r="C309" i="4"/>
  <c r="D309" i="4" s="1"/>
  <c r="G308" i="4"/>
  <c r="J303" i="20"/>
  <c r="Q304" i="4"/>
  <c r="S304" i="4" s="1"/>
  <c r="L304" i="20" s="1"/>
  <c r="K305" i="4"/>
  <c r="R305" i="3" l="1"/>
  <c r="K333" i="3"/>
  <c r="G334" i="3"/>
  <c r="H334" i="3" s="1"/>
  <c r="N306" i="3" s="1"/>
  <c r="O306" i="3" s="1"/>
  <c r="P309" i="4"/>
  <c r="I309" i="20" s="1"/>
  <c r="C310" i="4"/>
  <c r="D310" i="4" s="1"/>
  <c r="G309" i="4"/>
  <c r="K306" i="4"/>
  <c r="E308" i="4"/>
  <c r="J308" i="4"/>
  <c r="F308" i="4"/>
  <c r="N307" i="4"/>
  <c r="H307" i="4"/>
  <c r="I307" i="4" s="1"/>
  <c r="L307" i="4" s="1"/>
  <c r="J304" i="20"/>
  <c r="Q305" i="4"/>
  <c r="S305" i="4" s="1"/>
  <c r="L305" i="20" s="1"/>
  <c r="K305" i="20"/>
  <c r="R306" i="4"/>
  <c r="R306" i="3" l="1"/>
  <c r="K334" i="3"/>
  <c r="G335" i="3"/>
  <c r="H335" i="3" s="1"/>
  <c r="N307" i="3" s="1"/>
  <c r="O307" i="3" s="1"/>
  <c r="K306" i="20"/>
  <c r="R307" i="4"/>
  <c r="K307" i="4"/>
  <c r="J305" i="20"/>
  <c r="Q306" i="4"/>
  <c r="J309" i="4"/>
  <c r="E309" i="4"/>
  <c r="F309" i="4"/>
  <c r="N308" i="4"/>
  <c r="H308" i="4"/>
  <c r="I308" i="4" s="1"/>
  <c r="L308" i="4" s="1"/>
  <c r="P310" i="4"/>
  <c r="I310" i="20" s="1"/>
  <c r="C311" i="4"/>
  <c r="D311" i="4" s="1"/>
  <c r="G310" i="4"/>
  <c r="R307" i="3" l="1"/>
  <c r="G336" i="3"/>
  <c r="H336" i="3" s="1"/>
  <c r="N308" i="3" s="1"/>
  <c r="O308" i="3" s="1"/>
  <c r="K335" i="3"/>
  <c r="K308" i="4"/>
  <c r="J310" i="4"/>
  <c r="E310" i="4"/>
  <c r="F310" i="4"/>
  <c r="P311" i="4"/>
  <c r="I311" i="20" s="1"/>
  <c r="C312" i="4"/>
  <c r="D312" i="4" s="1"/>
  <c r="G311" i="4"/>
  <c r="J306" i="20"/>
  <c r="Q307" i="4"/>
  <c r="G470" i="3"/>
  <c r="H470" i="3" s="1"/>
  <c r="N309" i="4"/>
  <c r="H309" i="4"/>
  <c r="I309" i="4" s="1"/>
  <c r="L309" i="4" s="1"/>
  <c r="S306" i="4"/>
  <c r="L306" i="20" s="1"/>
  <c r="K307" i="20"/>
  <c r="R308" i="4"/>
  <c r="R308" i="3" l="1"/>
  <c r="K336" i="3"/>
  <c r="G337" i="3"/>
  <c r="H337" i="3" s="1"/>
  <c r="N309" i="3" s="1"/>
  <c r="O309" i="3" s="1"/>
  <c r="K308" i="20"/>
  <c r="R309" i="4"/>
  <c r="J311" i="4"/>
  <c r="E311" i="4"/>
  <c r="F311" i="4"/>
  <c r="P312" i="4"/>
  <c r="I312" i="20" s="1"/>
  <c r="C313" i="4"/>
  <c r="D313" i="4" s="1"/>
  <c r="G312" i="4"/>
  <c r="J307" i="20"/>
  <c r="Q308" i="4"/>
  <c r="S308" i="4" s="1"/>
  <c r="L308" i="20" s="1"/>
  <c r="N310" i="4"/>
  <c r="H310" i="4"/>
  <c r="I310" i="4" s="1"/>
  <c r="L310" i="4" s="1"/>
  <c r="S307" i="4"/>
  <c r="L307" i="20" s="1"/>
  <c r="K470" i="3"/>
  <c r="K309" i="4"/>
  <c r="R309" i="3" l="1"/>
  <c r="G338" i="3"/>
  <c r="H338" i="3" s="1"/>
  <c r="N310" i="3" s="1"/>
  <c r="O310" i="3" s="1"/>
  <c r="K337" i="3"/>
  <c r="N312" i="3"/>
  <c r="K310" i="4"/>
  <c r="P313" i="4"/>
  <c r="I313" i="20" s="1"/>
  <c r="C314" i="4"/>
  <c r="D314" i="4" s="1"/>
  <c r="G313" i="4"/>
  <c r="K309" i="20"/>
  <c r="R310" i="4"/>
  <c r="J308" i="20"/>
  <c r="Q309" i="4"/>
  <c r="E312" i="4"/>
  <c r="J312" i="4"/>
  <c r="F312" i="4"/>
  <c r="N311" i="4"/>
  <c r="H311" i="4"/>
  <c r="I311" i="4" s="1"/>
  <c r="L311" i="4" s="1"/>
  <c r="R310" i="3" l="1"/>
  <c r="G339" i="3"/>
  <c r="H339" i="3" s="1"/>
  <c r="N311" i="3" s="1"/>
  <c r="O311" i="3" s="1"/>
  <c r="K338" i="3"/>
  <c r="J309" i="20"/>
  <c r="Q310" i="4"/>
  <c r="S310" i="4" s="1"/>
  <c r="L310" i="20" s="1"/>
  <c r="K310" i="20"/>
  <c r="R311" i="4"/>
  <c r="J313" i="4"/>
  <c r="E313" i="4"/>
  <c r="F313" i="4"/>
  <c r="N312" i="4"/>
  <c r="H312" i="4"/>
  <c r="I312" i="4" s="1"/>
  <c r="L312" i="4" s="1"/>
  <c r="P314" i="4"/>
  <c r="I314" i="20" s="1"/>
  <c r="C315" i="4"/>
  <c r="D315" i="4" s="1"/>
  <c r="G314" i="4"/>
  <c r="S309" i="4"/>
  <c r="L309" i="20" s="1"/>
  <c r="K311" i="4"/>
  <c r="O312" i="3" l="1"/>
  <c r="R311" i="3"/>
  <c r="G341" i="3"/>
  <c r="H341" i="3" s="1"/>
  <c r="N313" i="3" s="1"/>
  <c r="O313" i="3" s="1"/>
  <c r="K339" i="3"/>
  <c r="K312" i="4"/>
  <c r="K311" i="20"/>
  <c r="R312" i="4"/>
  <c r="J314" i="4"/>
  <c r="E314" i="4"/>
  <c r="F314" i="4"/>
  <c r="P315" i="4"/>
  <c r="I315" i="20" s="1"/>
  <c r="C316" i="4"/>
  <c r="D316" i="4" s="1"/>
  <c r="G315" i="4"/>
  <c r="N313" i="4"/>
  <c r="H313" i="4"/>
  <c r="I313" i="4" s="1"/>
  <c r="L313" i="4" s="1"/>
  <c r="J310" i="20"/>
  <c r="Q311" i="4"/>
  <c r="R313" i="3" l="1"/>
  <c r="R312" i="3"/>
  <c r="G342" i="3"/>
  <c r="H342" i="3" s="1"/>
  <c r="N314" i="3" s="1"/>
  <c r="O314" i="3" s="1"/>
  <c r="K341" i="3"/>
  <c r="J315" i="4"/>
  <c r="E315" i="4"/>
  <c r="F315" i="4"/>
  <c r="J311" i="20"/>
  <c r="Q312" i="4"/>
  <c r="S312" i="4" s="1"/>
  <c r="L312" i="20" s="1"/>
  <c r="K313" i="4"/>
  <c r="P316" i="4"/>
  <c r="I316" i="20" s="1"/>
  <c r="C317" i="4"/>
  <c r="D317" i="4" s="1"/>
  <c r="G316" i="4"/>
  <c r="N314" i="4"/>
  <c r="H314" i="4"/>
  <c r="I314" i="4" s="1"/>
  <c r="L314" i="4" s="1"/>
  <c r="K312" i="20"/>
  <c r="R313" i="4"/>
  <c r="S311" i="4"/>
  <c r="L311" i="20" s="1"/>
  <c r="R314" i="3" l="1"/>
  <c r="K342" i="3"/>
  <c r="G343" i="3"/>
  <c r="H343" i="3" s="1"/>
  <c r="N315" i="3" s="1"/>
  <c r="O315" i="3" s="1"/>
  <c r="K314" i="4"/>
  <c r="P317" i="4"/>
  <c r="I317" i="20" s="1"/>
  <c r="C318" i="4"/>
  <c r="D318" i="4" s="1"/>
  <c r="G317" i="4"/>
  <c r="K313" i="20"/>
  <c r="R314" i="4"/>
  <c r="E316" i="4"/>
  <c r="J316" i="4"/>
  <c r="F316" i="4"/>
  <c r="N315" i="4"/>
  <c r="H315" i="4"/>
  <c r="I315" i="4" s="1"/>
  <c r="L315" i="4" s="1"/>
  <c r="J312" i="20"/>
  <c r="Q313" i="4"/>
  <c r="R315" i="3" l="1"/>
  <c r="G344" i="3"/>
  <c r="H344" i="3" s="1"/>
  <c r="N316" i="3" s="1"/>
  <c r="O316" i="3" s="1"/>
  <c r="K343" i="3"/>
  <c r="K314" i="20"/>
  <c r="R315" i="4"/>
  <c r="K315" i="4"/>
  <c r="J313" i="20"/>
  <c r="Q314" i="4"/>
  <c r="J317" i="4"/>
  <c r="E317" i="4"/>
  <c r="F317" i="4"/>
  <c r="N316" i="4"/>
  <c r="H316" i="4"/>
  <c r="I316" i="4" s="1"/>
  <c r="L316" i="4" s="1"/>
  <c r="P318" i="4"/>
  <c r="I318" i="20" s="1"/>
  <c r="C319" i="4"/>
  <c r="D319" i="4" s="1"/>
  <c r="G318" i="4"/>
  <c r="S313" i="4"/>
  <c r="L313" i="20" s="1"/>
  <c r="R316" i="3" l="1"/>
  <c r="K344" i="3"/>
  <c r="G345" i="3"/>
  <c r="H345" i="3" s="1"/>
  <c r="N317" i="3" s="1"/>
  <c r="O317" i="3" s="1"/>
  <c r="N317" i="4"/>
  <c r="H317" i="4"/>
  <c r="I317" i="4" s="1"/>
  <c r="L317" i="4" s="1"/>
  <c r="J318" i="4"/>
  <c r="E318" i="4"/>
  <c r="F318" i="4"/>
  <c r="P319" i="4"/>
  <c r="I319" i="20" s="1"/>
  <c r="C320" i="4"/>
  <c r="D320" i="4" s="1"/>
  <c r="G319" i="4"/>
  <c r="J314" i="20"/>
  <c r="Q315" i="4"/>
  <c r="S315" i="4" s="1"/>
  <c r="L315" i="20" s="1"/>
  <c r="S314" i="4"/>
  <c r="L314" i="20" s="1"/>
  <c r="K316" i="4"/>
  <c r="K315" i="20"/>
  <c r="R316" i="4"/>
  <c r="R317" i="3" l="1"/>
  <c r="J22" i="2" s="1"/>
  <c r="I32" i="5" s="1"/>
  <c r="K345" i="3"/>
  <c r="G346" i="3"/>
  <c r="H346" i="3" s="1"/>
  <c r="N318" i="3" s="1"/>
  <c r="O318" i="3" s="1"/>
  <c r="K316" i="20"/>
  <c r="R317" i="4"/>
  <c r="K317" i="4"/>
  <c r="J319" i="4"/>
  <c r="E319" i="4"/>
  <c r="F319" i="4"/>
  <c r="P320" i="4"/>
  <c r="I320" i="20" s="1"/>
  <c r="C321" i="4"/>
  <c r="D321" i="4" s="1"/>
  <c r="G320" i="4"/>
  <c r="J315" i="20"/>
  <c r="Q316" i="4"/>
  <c r="S316" i="4" s="1"/>
  <c r="L316" i="20" s="1"/>
  <c r="N318" i="4"/>
  <c r="H318" i="4"/>
  <c r="I318" i="4" s="1"/>
  <c r="L318" i="4" s="1"/>
  <c r="R318" i="3" l="1"/>
  <c r="I34" i="5"/>
  <c r="I35" i="5" s="1"/>
  <c r="I39" i="16"/>
  <c r="M99" i="16" s="1"/>
  <c r="K346" i="3"/>
  <c r="G347" i="3"/>
  <c r="H347" i="3" s="1"/>
  <c r="N319" i="3" s="1"/>
  <c r="O319" i="3" s="1"/>
  <c r="P321" i="4"/>
  <c r="I321" i="20" s="1"/>
  <c r="C322" i="4"/>
  <c r="D322" i="4" s="1"/>
  <c r="G321" i="4"/>
  <c r="J316" i="20"/>
  <c r="Q317" i="4"/>
  <c r="S317" i="4" s="1"/>
  <c r="L317" i="20" s="1"/>
  <c r="E320" i="4"/>
  <c r="J320" i="4"/>
  <c r="F320" i="4"/>
  <c r="N319" i="4"/>
  <c r="H319" i="4"/>
  <c r="I319" i="4" s="1"/>
  <c r="L319" i="4" s="1"/>
  <c r="K317" i="20"/>
  <c r="R318" i="4"/>
  <c r="K318" i="4"/>
  <c r="R319" i="3" l="1"/>
  <c r="G348" i="3"/>
  <c r="H348" i="3" s="1"/>
  <c r="N320" i="3" s="1"/>
  <c r="O320" i="3" s="1"/>
  <c r="K347" i="3"/>
  <c r="K319" i="4"/>
  <c r="P322" i="4"/>
  <c r="I322" i="20" s="1"/>
  <c r="C323" i="4"/>
  <c r="D323" i="4" s="1"/>
  <c r="G322" i="4"/>
  <c r="K318" i="20"/>
  <c r="R319" i="4"/>
  <c r="J317" i="20"/>
  <c r="Q318" i="4"/>
  <c r="J321" i="4"/>
  <c r="E321" i="4"/>
  <c r="F321" i="4"/>
  <c r="N320" i="4"/>
  <c r="H320" i="4"/>
  <c r="I320" i="4" s="1"/>
  <c r="L320" i="4" s="1"/>
  <c r="R320" i="3" l="1"/>
  <c r="G349" i="3"/>
  <c r="H349" i="3" s="1"/>
  <c r="N321" i="3" s="1"/>
  <c r="O321" i="3" s="1"/>
  <c r="K348" i="3"/>
  <c r="J318" i="20"/>
  <c r="Q319" i="4"/>
  <c r="S319" i="4" s="1"/>
  <c r="L319" i="20" s="1"/>
  <c r="J322" i="4"/>
  <c r="E322" i="4"/>
  <c r="F322" i="4"/>
  <c r="P323" i="4"/>
  <c r="I323" i="20" s="1"/>
  <c r="C324" i="4"/>
  <c r="D324" i="4" s="1"/>
  <c r="G323" i="4"/>
  <c r="S318" i="4"/>
  <c r="L318" i="20" s="1"/>
  <c r="N321" i="4"/>
  <c r="H321" i="4"/>
  <c r="I321" i="4" s="1"/>
  <c r="L321" i="4" s="1"/>
  <c r="K319" i="20"/>
  <c r="R320" i="4"/>
  <c r="K320" i="4"/>
  <c r="R321" i="3" l="1"/>
  <c r="G350" i="3"/>
  <c r="H350" i="3" s="1"/>
  <c r="N322" i="3" s="1"/>
  <c r="O322" i="3" s="1"/>
  <c r="K349" i="3"/>
  <c r="K320" i="20"/>
  <c r="R321" i="4"/>
  <c r="J319" i="20"/>
  <c r="Q320" i="4"/>
  <c r="K321" i="4"/>
  <c r="P324" i="4"/>
  <c r="I324" i="20" s="1"/>
  <c r="C325" i="4"/>
  <c r="D325" i="4" s="1"/>
  <c r="G324" i="4"/>
  <c r="G483" i="3"/>
  <c r="H483" i="3" s="1"/>
  <c r="J323" i="4"/>
  <c r="E323" i="4"/>
  <c r="F323" i="4"/>
  <c r="N322" i="4"/>
  <c r="H322" i="4"/>
  <c r="I322" i="4" s="1"/>
  <c r="L322" i="4" s="1"/>
  <c r="R322" i="3" l="1"/>
  <c r="K350" i="3"/>
  <c r="G351" i="3"/>
  <c r="H351" i="3" s="1"/>
  <c r="N323" i="3" s="1"/>
  <c r="O323" i="3" s="1"/>
  <c r="N323" i="4"/>
  <c r="H323" i="4"/>
  <c r="I323" i="4" s="1"/>
  <c r="L323" i="4" s="1"/>
  <c r="E324" i="4"/>
  <c r="J324" i="4"/>
  <c r="F324" i="4"/>
  <c r="P325" i="4"/>
  <c r="I325" i="20" s="1"/>
  <c r="C326" i="4"/>
  <c r="D326" i="4" s="1"/>
  <c r="G325" i="4"/>
  <c r="K322" i="4"/>
  <c r="J320" i="20"/>
  <c r="Q321" i="4"/>
  <c r="K321" i="20"/>
  <c r="R322" i="4"/>
  <c r="K483" i="3"/>
  <c r="S320" i="4"/>
  <c r="L320" i="20" s="1"/>
  <c r="R323" i="3" l="1"/>
  <c r="G352" i="3"/>
  <c r="H352" i="3" s="1"/>
  <c r="N324" i="3" s="1"/>
  <c r="O324" i="3" s="1"/>
  <c r="N325" i="3"/>
  <c r="K351" i="3"/>
  <c r="J321" i="20"/>
  <c r="Q322" i="4"/>
  <c r="S322" i="4" s="1"/>
  <c r="L322" i="20" s="1"/>
  <c r="J325" i="4"/>
  <c r="E325" i="4"/>
  <c r="F325" i="4"/>
  <c r="K323" i="4"/>
  <c r="P326" i="4"/>
  <c r="I326" i="20" s="1"/>
  <c r="C327" i="4"/>
  <c r="D327" i="4" s="1"/>
  <c r="G326" i="4"/>
  <c r="K322" i="20"/>
  <c r="R323" i="4"/>
  <c r="S321" i="4"/>
  <c r="L321" i="20" s="1"/>
  <c r="N324" i="4"/>
  <c r="H324" i="4"/>
  <c r="I324" i="4" s="1"/>
  <c r="L324" i="4" s="1"/>
  <c r="O325" i="3" l="1"/>
  <c r="R324" i="3"/>
  <c r="G354" i="3"/>
  <c r="H354" i="3" s="1"/>
  <c r="N326" i="3" s="1"/>
  <c r="O326" i="3" s="1"/>
  <c r="K352" i="3"/>
  <c r="P327" i="4"/>
  <c r="I327" i="20" s="1"/>
  <c r="C328" i="4"/>
  <c r="D328" i="4" s="1"/>
  <c r="G327" i="4"/>
  <c r="K323" i="20"/>
  <c r="R324" i="4"/>
  <c r="K324" i="4"/>
  <c r="J322" i="20"/>
  <c r="Q323" i="4"/>
  <c r="J326" i="4"/>
  <c r="E326" i="4"/>
  <c r="F326" i="4"/>
  <c r="N325" i="4"/>
  <c r="H325" i="4"/>
  <c r="I325" i="4" s="1"/>
  <c r="L325" i="4" s="1"/>
  <c r="R326" i="3" l="1"/>
  <c r="R325" i="3"/>
  <c r="G355" i="3"/>
  <c r="H355" i="3" s="1"/>
  <c r="N327" i="3" s="1"/>
  <c r="O327" i="3" s="1"/>
  <c r="K354" i="3"/>
  <c r="K324" i="20"/>
  <c r="R325" i="4"/>
  <c r="J323" i="20"/>
  <c r="Q324" i="4"/>
  <c r="S324" i="4" s="1"/>
  <c r="L324" i="20" s="1"/>
  <c r="S323" i="4"/>
  <c r="L323" i="20" s="1"/>
  <c r="J327" i="4"/>
  <c r="E327" i="4"/>
  <c r="F327" i="4"/>
  <c r="N326" i="4"/>
  <c r="H326" i="4"/>
  <c r="I326" i="4" s="1"/>
  <c r="L326" i="4" s="1"/>
  <c r="K325" i="4"/>
  <c r="P328" i="4"/>
  <c r="I328" i="20" s="1"/>
  <c r="C329" i="4"/>
  <c r="D329" i="4" s="1"/>
  <c r="G328" i="4"/>
  <c r="G356" i="3" l="1"/>
  <c r="H356" i="3" s="1"/>
  <c r="N328" i="3" s="1"/>
  <c r="O328" i="3" s="1"/>
  <c r="K355" i="3"/>
  <c r="E328" i="4"/>
  <c r="J328" i="4"/>
  <c r="F328" i="4"/>
  <c r="J324" i="20"/>
  <c r="Q325" i="4"/>
  <c r="S325" i="4" s="1"/>
  <c r="L325" i="20" s="1"/>
  <c r="P329" i="4"/>
  <c r="I329" i="20" s="1"/>
  <c r="C330" i="4"/>
  <c r="D330" i="4" s="1"/>
  <c r="G329" i="4"/>
  <c r="K326" i="4"/>
  <c r="N327" i="4"/>
  <c r="H327" i="4"/>
  <c r="I327" i="4" s="1"/>
  <c r="L327" i="4" s="1"/>
  <c r="K325" i="20"/>
  <c r="R326" i="4"/>
  <c r="R327" i="3" l="1"/>
  <c r="G357" i="3"/>
  <c r="H357" i="3" s="1"/>
  <c r="K356" i="3"/>
  <c r="N329" i="3"/>
  <c r="O329" i="3" s="1"/>
  <c r="P330" i="4"/>
  <c r="I330" i="20" s="1"/>
  <c r="C331" i="4"/>
  <c r="D331" i="4" s="1"/>
  <c r="G330" i="4"/>
  <c r="J325" i="20"/>
  <c r="Q326" i="4"/>
  <c r="S326" i="4" s="1"/>
  <c r="L326" i="20" s="1"/>
  <c r="N328" i="4"/>
  <c r="H328" i="4"/>
  <c r="I328" i="4" s="1"/>
  <c r="L328" i="4" s="1"/>
  <c r="K326" i="20"/>
  <c r="R327" i="4"/>
  <c r="K327" i="4"/>
  <c r="J329" i="4"/>
  <c r="E329" i="4"/>
  <c r="F329" i="4"/>
  <c r="R329" i="3" l="1"/>
  <c r="R328" i="3"/>
  <c r="G358" i="3"/>
  <c r="H358" i="3" s="1"/>
  <c r="N330" i="3" s="1"/>
  <c r="O330" i="3" s="1"/>
  <c r="K357" i="3"/>
  <c r="J326" i="20"/>
  <c r="Q327" i="4"/>
  <c r="S327" i="4" s="1"/>
  <c r="L327" i="20" s="1"/>
  <c r="J330" i="4"/>
  <c r="E330" i="4"/>
  <c r="F330" i="4"/>
  <c r="K328" i="4"/>
  <c r="N329" i="4"/>
  <c r="H329" i="4"/>
  <c r="I329" i="4" s="1"/>
  <c r="L329" i="4" s="1"/>
  <c r="K327" i="20"/>
  <c r="R328" i="4"/>
  <c r="P331" i="4"/>
  <c r="I331" i="20" s="1"/>
  <c r="C332" i="4"/>
  <c r="D332" i="4" s="1"/>
  <c r="G331" i="4"/>
  <c r="K358" i="3" l="1"/>
  <c r="G359" i="3"/>
  <c r="H359" i="3" s="1"/>
  <c r="N331" i="3" s="1"/>
  <c r="O331" i="3" s="1"/>
  <c r="P332" i="4"/>
  <c r="I332" i="20" s="1"/>
  <c r="C333" i="4"/>
  <c r="D333" i="4" s="1"/>
  <c r="G332" i="4"/>
  <c r="K328" i="20"/>
  <c r="R329" i="4"/>
  <c r="N330" i="4"/>
  <c r="H330" i="4"/>
  <c r="I330" i="4" s="1"/>
  <c r="L330" i="4" s="1"/>
  <c r="J331" i="4"/>
  <c r="E331" i="4"/>
  <c r="F331" i="4"/>
  <c r="J327" i="20"/>
  <c r="Q328" i="4"/>
  <c r="S328" i="4" s="1"/>
  <c r="L328" i="20" s="1"/>
  <c r="K329" i="4"/>
  <c r="R330" i="3" l="1"/>
  <c r="K359" i="3"/>
  <c r="G360" i="3"/>
  <c r="H360" i="3" s="1"/>
  <c r="N332" i="3" s="1"/>
  <c r="O332" i="3" s="1"/>
  <c r="K329" i="20"/>
  <c r="R330" i="4"/>
  <c r="J328" i="20"/>
  <c r="Q329" i="4"/>
  <c r="S329" i="4" s="1"/>
  <c r="L329" i="20" s="1"/>
  <c r="E332" i="4"/>
  <c r="J332" i="4"/>
  <c r="F332" i="4"/>
  <c r="K330" i="4"/>
  <c r="N331" i="4"/>
  <c r="H331" i="4"/>
  <c r="I331" i="4" s="1"/>
  <c r="L331" i="4" s="1"/>
  <c r="P333" i="4"/>
  <c r="I333" i="20" s="1"/>
  <c r="C334" i="4"/>
  <c r="D334" i="4" s="1"/>
  <c r="G333" i="4"/>
  <c r="R332" i="3" l="1"/>
  <c r="R331" i="3"/>
  <c r="K360" i="3"/>
  <c r="G361" i="3"/>
  <c r="H361" i="3" s="1"/>
  <c r="N333" i="3" s="1"/>
  <c r="O333" i="3" s="1"/>
  <c r="N332" i="4"/>
  <c r="H332" i="4"/>
  <c r="I332" i="4" s="1"/>
  <c r="L332" i="4" s="1"/>
  <c r="J333" i="4"/>
  <c r="E333" i="4"/>
  <c r="F333" i="4"/>
  <c r="P334" i="4"/>
  <c r="I334" i="20" s="1"/>
  <c r="C335" i="4"/>
  <c r="D335" i="4" s="1"/>
  <c r="G334" i="4"/>
  <c r="K331" i="4"/>
  <c r="J329" i="20"/>
  <c r="Q330" i="4"/>
  <c r="S330" i="4" s="1"/>
  <c r="L330" i="20" s="1"/>
  <c r="K330" i="20"/>
  <c r="R331" i="4"/>
  <c r="K361" i="3" l="1"/>
  <c r="G362" i="3"/>
  <c r="H362" i="3" s="1"/>
  <c r="N334" i="3" s="1"/>
  <c r="O334" i="3" s="1"/>
  <c r="N333" i="4"/>
  <c r="H333" i="4"/>
  <c r="I333" i="4" s="1"/>
  <c r="L333" i="4" s="1"/>
  <c r="J330" i="20"/>
  <c r="Q331" i="4"/>
  <c r="K331" i="20"/>
  <c r="R332" i="4"/>
  <c r="J334" i="4"/>
  <c r="E334" i="4"/>
  <c r="F334" i="4"/>
  <c r="K332" i="4"/>
  <c r="P335" i="4"/>
  <c r="I335" i="20" s="1"/>
  <c r="C336" i="4"/>
  <c r="D336" i="4" s="1"/>
  <c r="G335" i="4"/>
  <c r="R333" i="3" l="1"/>
  <c r="K362" i="3"/>
  <c r="G363" i="3"/>
  <c r="H363" i="3" s="1"/>
  <c r="N335" i="3" s="1"/>
  <c r="O335" i="3" s="1"/>
  <c r="K332" i="20"/>
  <c r="R333" i="4"/>
  <c r="J331" i="20"/>
  <c r="Q332" i="4"/>
  <c r="S332" i="4" s="1"/>
  <c r="L332" i="20" s="1"/>
  <c r="K333" i="4"/>
  <c r="G509" i="3"/>
  <c r="H509" i="3" s="1"/>
  <c r="J335" i="4"/>
  <c r="E335" i="4"/>
  <c r="F335" i="4"/>
  <c r="N334" i="4"/>
  <c r="H334" i="4"/>
  <c r="I334" i="4" s="1"/>
  <c r="L334" i="4" s="1"/>
  <c r="P336" i="4"/>
  <c r="I336" i="20" s="1"/>
  <c r="C337" i="4"/>
  <c r="D337" i="4" s="1"/>
  <c r="G336" i="4"/>
  <c r="S331" i="4"/>
  <c r="L331" i="20" s="1"/>
  <c r="R334" i="3" l="1"/>
  <c r="K509" i="3"/>
  <c r="K363" i="3"/>
  <c r="G364" i="3"/>
  <c r="H364" i="3" s="1"/>
  <c r="N336" i="3" s="1"/>
  <c r="O336" i="3" s="1"/>
  <c r="P337" i="4"/>
  <c r="I337" i="20" s="1"/>
  <c r="C338" i="4"/>
  <c r="G337" i="4"/>
  <c r="N335" i="4"/>
  <c r="H335" i="4"/>
  <c r="I335" i="4" s="1"/>
  <c r="L335" i="4" s="1"/>
  <c r="K334" i="4"/>
  <c r="E336" i="4"/>
  <c r="J336" i="4"/>
  <c r="F336" i="4"/>
  <c r="G496" i="3"/>
  <c r="H496" i="3" s="1"/>
  <c r="J332" i="20"/>
  <c r="Q333" i="4"/>
  <c r="K333" i="20"/>
  <c r="R334" i="4"/>
  <c r="C339" i="4" l="1"/>
  <c r="D339" i="4" s="1"/>
  <c r="G339" i="4" s="1"/>
  <c r="D338" i="4"/>
  <c r="R335" i="3"/>
  <c r="G365" i="3"/>
  <c r="H365" i="3" s="1"/>
  <c r="N337" i="3" s="1"/>
  <c r="O337" i="3" s="1"/>
  <c r="K364" i="3"/>
  <c r="J333" i="20"/>
  <c r="Q334" i="4"/>
  <c r="S334" i="4" s="1"/>
  <c r="L334" i="20" s="1"/>
  <c r="K334" i="20"/>
  <c r="R335" i="4"/>
  <c r="K496" i="3"/>
  <c r="N336" i="4"/>
  <c r="H336" i="4"/>
  <c r="I336" i="4" s="1"/>
  <c r="L336" i="4" s="1"/>
  <c r="S333" i="4"/>
  <c r="L333" i="20" s="1"/>
  <c r="K335" i="4"/>
  <c r="J337" i="4"/>
  <c r="E337" i="4"/>
  <c r="F337" i="4"/>
  <c r="P338" i="4"/>
  <c r="G338" i="4"/>
  <c r="P339" i="4" l="1"/>
  <c r="I339" i="20" s="1"/>
  <c r="C340" i="4"/>
  <c r="D340" i="4" s="1"/>
  <c r="G340" i="4" s="1"/>
  <c r="R336" i="3"/>
  <c r="J339" i="4"/>
  <c r="F339" i="4"/>
  <c r="E339" i="4"/>
  <c r="K365" i="3"/>
  <c r="N338" i="3"/>
  <c r="O338" i="3" s="1"/>
  <c r="G367" i="3"/>
  <c r="H367" i="3" s="1"/>
  <c r="J334" i="20"/>
  <c r="Q335" i="4"/>
  <c r="S335" i="4" s="1"/>
  <c r="L335" i="20" s="1"/>
  <c r="J338" i="4"/>
  <c r="E338" i="4"/>
  <c r="F338" i="4"/>
  <c r="I338" i="20"/>
  <c r="K336" i="4"/>
  <c r="N337" i="4"/>
  <c r="H337" i="4"/>
  <c r="I337" i="4" s="1"/>
  <c r="L337" i="4" s="1"/>
  <c r="K335" i="20"/>
  <c r="R336" i="4"/>
  <c r="C341" i="4" l="1"/>
  <c r="D341" i="4" s="1"/>
  <c r="G341" i="4" s="1"/>
  <c r="P340" i="4"/>
  <c r="I340" i="20" s="1"/>
  <c r="R337" i="3"/>
  <c r="J340" i="4"/>
  <c r="F340" i="4"/>
  <c r="E340" i="4"/>
  <c r="N339" i="4"/>
  <c r="H339" i="4"/>
  <c r="I339" i="4" s="1"/>
  <c r="C342" i="4"/>
  <c r="D342" i="4" s="1"/>
  <c r="K367" i="3"/>
  <c r="N339" i="3"/>
  <c r="O339" i="3" s="1"/>
  <c r="G368" i="3"/>
  <c r="H368" i="3" s="1"/>
  <c r="J335" i="20"/>
  <c r="Q336" i="4"/>
  <c r="S336" i="4" s="1"/>
  <c r="L336" i="20" s="1"/>
  <c r="K337" i="4"/>
  <c r="K336" i="20"/>
  <c r="R337" i="4"/>
  <c r="N338" i="4"/>
  <c r="H338" i="4"/>
  <c r="I338" i="4" s="1"/>
  <c r="L338" i="4" s="1"/>
  <c r="L339" i="4" s="1"/>
  <c r="P341" i="4" l="1"/>
  <c r="I341" i="20" s="1"/>
  <c r="R338" i="3"/>
  <c r="P342" i="4"/>
  <c r="I342" i="20" s="1"/>
  <c r="C343" i="4"/>
  <c r="D343" i="4" s="1"/>
  <c r="G342" i="4"/>
  <c r="N340" i="4"/>
  <c r="H340" i="4"/>
  <c r="I340" i="4" s="1"/>
  <c r="L340" i="4" s="1"/>
  <c r="E341" i="4"/>
  <c r="F341" i="4"/>
  <c r="J341" i="4"/>
  <c r="N340" i="3"/>
  <c r="O340" i="3" s="1"/>
  <c r="K368" i="3"/>
  <c r="G369" i="3"/>
  <c r="H369" i="3" s="1"/>
  <c r="K337" i="20"/>
  <c r="R338" i="4"/>
  <c r="J336" i="20"/>
  <c r="Q337" i="4"/>
  <c r="S337" i="4" s="1"/>
  <c r="L337" i="20" s="1"/>
  <c r="K338" i="4"/>
  <c r="R339" i="3" l="1"/>
  <c r="K338" i="20"/>
  <c r="R339" i="4"/>
  <c r="J342" i="4"/>
  <c r="F342" i="4"/>
  <c r="E342" i="4"/>
  <c r="H341" i="4"/>
  <c r="I341" i="4" s="1"/>
  <c r="L341" i="4" s="1"/>
  <c r="N341" i="4"/>
  <c r="P343" i="4"/>
  <c r="C344" i="4"/>
  <c r="D344" i="4" s="1"/>
  <c r="G343" i="4"/>
  <c r="G370" i="3"/>
  <c r="H370" i="3" s="1"/>
  <c r="K369" i="3"/>
  <c r="N341" i="3"/>
  <c r="O341" i="3" s="1"/>
  <c r="J337" i="20"/>
  <c r="Q338" i="4"/>
  <c r="K339" i="4"/>
  <c r="R340" i="3" l="1"/>
  <c r="C345" i="4"/>
  <c r="D345" i="4" s="1"/>
  <c r="P344" i="4"/>
  <c r="I344" i="20" s="1"/>
  <c r="G344" i="4"/>
  <c r="K339" i="20"/>
  <c r="R340" i="4"/>
  <c r="N342" i="4"/>
  <c r="H342" i="4"/>
  <c r="I342" i="4" s="1"/>
  <c r="L342" i="4" s="1"/>
  <c r="J338" i="20"/>
  <c r="Q339" i="4"/>
  <c r="S339" i="4" s="1"/>
  <c r="L339" i="20" s="1"/>
  <c r="E343" i="4"/>
  <c r="F343" i="4"/>
  <c r="J343" i="4"/>
  <c r="I343" i="20"/>
  <c r="K370" i="3"/>
  <c r="N342" i="3"/>
  <c r="O342" i="3" s="1"/>
  <c r="G371" i="3"/>
  <c r="H371" i="3" s="1"/>
  <c r="S338" i="4"/>
  <c r="L338" i="20" s="1"/>
  <c r="K340" i="4"/>
  <c r="R341" i="3" l="1"/>
  <c r="J339" i="20"/>
  <c r="Q340" i="4"/>
  <c r="S340" i="4" s="1"/>
  <c r="L340" i="20" s="1"/>
  <c r="K340" i="20"/>
  <c r="R341" i="4"/>
  <c r="E344" i="4"/>
  <c r="J344" i="4"/>
  <c r="F344" i="4"/>
  <c r="P345" i="4"/>
  <c r="C346" i="4"/>
  <c r="D346" i="4" s="1"/>
  <c r="G345" i="4"/>
  <c r="H343" i="4"/>
  <c r="I343" i="4" s="1"/>
  <c r="L343" i="4" s="1"/>
  <c r="N343" i="4"/>
  <c r="G372" i="3"/>
  <c r="H372" i="3" s="1"/>
  <c r="N343" i="3"/>
  <c r="O343" i="3" s="1"/>
  <c r="K371" i="3"/>
  <c r="K341" i="4"/>
  <c r="R342" i="3" l="1"/>
  <c r="P346" i="4"/>
  <c r="I346" i="20" s="1"/>
  <c r="C347" i="4"/>
  <c r="D347" i="4" s="1"/>
  <c r="G346" i="4"/>
  <c r="J340" i="20"/>
  <c r="Q341" i="4"/>
  <c r="S341" i="4" s="1"/>
  <c r="L341" i="20" s="1"/>
  <c r="N344" i="4"/>
  <c r="H344" i="4"/>
  <c r="I344" i="4" s="1"/>
  <c r="L344" i="4" s="1"/>
  <c r="F345" i="4"/>
  <c r="J345" i="4"/>
  <c r="E345" i="4"/>
  <c r="I345" i="20"/>
  <c r="K341" i="20"/>
  <c r="R342" i="4"/>
  <c r="N344" i="3"/>
  <c r="O344" i="3" s="1"/>
  <c r="K372" i="3"/>
  <c r="G373" i="3"/>
  <c r="H373" i="3" s="1"/>
  <c r="K342" i="4"/>
  <c r="R343" i="3" l="1"/>
  <c r="J341" i="20"/>
  <c r="Q342" i="4"/>
  <c r="S342" i="4" s="1"/>
  <c r="L342" i="20" s="1"/>
  <c r="C348" i="4"/>
  <c r="D348" i="4" s="1"/>
  <c r="P347" i="4"/>
  <c r="G347" i="4"/>
  <c r="E346" i="4"/>
  <c r="J346" i="4"/>
  <c r="F346" i="4"/>
  <c r="K342" i="20"/>
  <c r="R343" i="4"/>
  <c r="N345" i="4"/>
  <c r="H345" i="4"/>
  <c r="I345" i="4" s="1"/>
  <c r="L345" i="4" s="1"/>
  <c r="K373" i="3"/>
  <c r="N345" i="3"/>
  <c r="O345" i="3" s="1"/>
  <c r="G374" i="3"/>
  <c r="H374" i="3" s="1"/>
  <c r="K343" i="4"/>
  <c r="R344" i="3" l="1"/>
  <c r="J347" i="4"/>
  <c r="F347" i="4"/>
  <c r="E347" i="4"/>
  <c r="C349" i="4"/>
  <c r="D349" i="4" s="1"/>
  <c r="P348" i="4"/>
  <c r="I348" i="20" s="1"/>
  <c r="G348" i="4"/>
  <c r="I347" i="20"/>
  <c r="J342" i="20"/>
  <c r="Q343" i="4"/>
  <c r="S343" i="4" s="1"/>
  <c r="L343" i="20" s="1"/>
  <c r="K343" i="20"/>
  <c r="R344" i="4"/>
  <c r="N346" i="4"/>
  <c r="H346" i="4"/>
  <c r="I346" i="4" s="1"/>
  <c r="L346" i="4" s="1"/>
  <c r="K374" i="3"/>
  <c r="N346" i="3"/>
  <c r="O346" i="3" s="1"/>
  <c r="G375" i="3"/>
  <c r="H375" i="3" s="1"/>
  <c r="K344" i="4"/>
  <c r="R345" i="3" l="1"/>
  <c r="N347" i="4"/>
  <c r="H347" i="4"/>
  <c r="I347" i="4" s="1"/>
  <c r="L347" i="4" s="1"/>
  <c r="K344" i="20"/>
  <c r="R345" i="4"/>
  <c r="J343" i="20"/>
  <c r="Q344" i="4"/>
  <c r="S344" i="4" s="1"/>
  <c r="L344" i="20" s="1"/>
  <c r="J348" i="4"/>
  <c r="F348" i="4"/>
  <c r="E348" i="4"/>
  <c r="P349" i="4"/>
  <c r="C350" i="4"/>
  <c r="D350" i="4" s="1"/>
  <c r="G349" i="4"/>
  <c r="K375" i="3"/>
  <c r="N347" i="3"/>
  <c r="O347" i="3" s="1"/>
  <c r="G376" i="3"/>
  <c r="H376" i="3" s="1"/>
  <c r="K345" i="4"/>
  <c r="R346" i="3" l="1"/>
  <c r="P350" i="4"/>
  <c r="I350" i="20" s="1"/>
  <c r="C351" i="4"/>
  <c r="D351" i="4" s="1"/>
  <c r="G350" i="4"/>
  <c r="F349" i="4"/>
  <c r="E349" i="4"/>
  <c r="J349" i="4"/>
  <c r="I349" i="20"/>
  <c r="J344" i="20"/>
  <c r="Q345" i="4"/>
  <c r="S345" i="4" s="1"/>
  <c r="L345" i="20" s="1"/>
  <c r="N348" i="4"/>
  <c r="H348" i="4"/>
  <c r="I348" i="4" s="1"/>
  <c r="L348" i="4" s="1"/>
  <c r="K345" i="20"/>
  <c r="R346" i="4"/>
  <c r="G522" i="3"/>
  <c r="H522" i="3" s="1"/>
  <c r="G377" i="3"/>
  <c r="H377" i="3" s="1"/>
  <c r="N348" i="3"/>
  <c r="O348" i="3" s="1"/>
  <c r="K376" i="3"/>
  <c r="K346" i="4"/>
  <c r="R347" i="3" l="1"/>
  <c r="N349" i="4"/>
  <c r="H349" i="4"/>
  <c r="I349" i="4" s="1"/>
  <c r="L349" i="4" s="1"/>
  <c r="C352" i="4"/>
  <c r="D352" i="4" s="1"/>
  <c r="P351" i="4"/>
  <c r="I351" i="20" s="1"/>
  <c r="G351" i="4"/>
  <c r="J350" i="4"/>
  <c r="E350" i="4"/>
  <c r="F350" i="4"/>
  <c r="K346" i="20"/>
  <c r="R347" i="4"/>
  <c r="J345" i="20"/>
  <c r="Q346" i="4"/>
  <c r="S346" i="4" s="1"/>
  <c r="L346" i="20" s="1"/>
  <c r="K522" i="3"/>
  <c r="N349" i="3"/>
  <c r="O349" i="3" s="1"/>
  <c r="K377" i="3"/>
  <c r="G378" i="3"/>
  <c r="H378" i="3" s="1"/>
  <c r="K347" i="4"/>
  <c r="R348" i="3" l="1"/>
  <c r="E351" i="4"/>
  <c r="F351" i="4"/>
  <c r="J351" i="4"/>
  <c r="J346" i="20"/>
  <c r="Q347" i="4"/>
  <c r="S347" i="4" s="1"/>
  <c r="L347" i="20" s="1"/>
  <c r="H350" i="4"/>
  <c r="I350" i="4" s="1"/>
  <c r="L350" i="4" s="1"/>
  <c r="N350" i="4"/>
  <c r="K347" i="20"/>
  <c r="R348" i="4"/>
  <c r="P352" i="4"/>
  <c r="I352" i="20" s="1"/>
  <c r="C353" i="4"/>
  <c r="D353" i="4" s="1"/>
  <c r="G352" i="4"/>
  <c r="G380" i="3"/>
  <c r="H380" i="3" s="1"/>
  <c r="K378" i="3"/>
  <c r="N350" i="3"/>
  <c r="O350" i="3" s="1"/>
  <c r="K348" i="4"/>
  <c r="R349" i="3" l="1"/>
  <c r="F352" i="4"/>
  <c r="E352" i="4"/>
  <c r="J352" i="4"/>
  <c r="P353" i="4"/>
  <c r="I353" i="20" s="1"/>
  <c r="C354" i="4"/>
  <c r="D354" i="4" s="1"/>
  <c r="G353" i="4"/>
  <c r="K348" i="20"/>
  <c r="R349" i="4"/>
  <c r="J347" i="20"/>
  <c r="Q348" i="4"/>
  <c r="S348" i="4" s="1"/>
  <c r="L348" i="20" s="1"/>
  <c r="N351" i="4"/>
  <c r="H351" i="4"/>
  <c r="I351" i="4" s="1"/>
  <c r="L351" i="4" s="1"/>
  <c r="K380" i="3"/>
  <c r="N351" i="3"/>
  <c r="O351" i="3" s="1"/>
  <c r="G381" i="3"/>
  <c r="H381" i="3" s="1"/>
  <c r="K349" i="4"/>
  <c r="R351" i="3" l="1"/>
  <c r="R350" i="3"/>
  <c r="P354" i="4"/>
  <c r="I354" i="20" s="1"/>
  <c r="C355" i="4"/>
  <c r="D355" i="4" s="1"/>
  <c r="G354" i="4"/>
  <c r="K349" i="20"/>
  <c r="R350" i="4"/>
  <c r="N352" i="4"/>
  <c r="H352" i="4"/>
  <c r="I352" i="4" s="1"/>
  <c r="L352" i="4" s="1"/>
  <c r="J348" i="20"/>
  <c r="Q349" i="4"/>
  <c r="S349" i="4" s="1"/>
  <c r="L349" i="20" s="1"/>
  <c r="F353" i="4"/>
  <c r="J353" i="4"/>
  <c r="E353" i="4"/>
  <c r="K381" i="3"/>
  <c r="N352" i="3"/>
  <c r="O352" i="3" s="1"/>
  <c r="G382" i="3"/>
  <c r="H382" i="3" s="1"/>
  <c r="K350" i="4"/>
  <c r="J349" i="20" l="1"/>
  <c r="Q350" i="4"/>
  <c r="S350" i="4" s="1"/>
  <c r="L350" i="20" s="1"/>
  <c r="K350" i="20"/>
  <c r="R351" i="4"/>
  <c r="C356" i="4"/>
  <c r="D356" i="4" s="1"/>
  <c r="P355" i="4"/>
  <c r="I355" i="20" s="1"/>
  <c r="G355" i="4"/>
  <c r="N353" i="4"/>
  <c r="H353" i="4"/>
  <c r="I353" i="4" s="1"/>
  <c r="L353" i="4" s="1"/>
  <c r="E354" i="4"/>
  <c r="J354" i="4"/>
  <c r="F354" i="4"/>
  <c r="K382" i="3"/>
  <c r="N353" i="3"/>
  <c r="O353" i="3" s="1"/>
  <c r="G383" i="3"/>
  <c r="H383" i="3" s="1"/>
  <c r="K351" i="4"/>
  <c r="R353" i="3" l="1"/>
  <c r="R352" i="3"/>
  <c r="C357" i="4"/>
  <c r="D357" i="4" s="1"/>
  <c r="P356" i="4"/>
  <c r="I356" i="20" s="1"/>
  <c r="G356" i="4"/>
  <c r="J350" i="20"/>
  <c r="Q351" i="4"/>
  <c r="S351" i="4" s="1"/>
  <c r="L351" i="20" s="1"/>
  <c r="J355" i="4"/>
  <c r="F355" i="4"/>
  <c r="E355" i="4"/>
  <c r="N354" i="4"/>
  <c r="H354" i="4"/>
  <c r="I354" i="4" s="1"/>
  <c r="L354" i="4" s="1"/>
  <c r="K351" i="20"/>
  <c r="R352" i="4"/>
  <c r="K383" i="3"/>
  <c r="N354" i="3"/>
  <c r="O354" i="3" s="1"/>
  <c r="G384" i="3"/>
  <c r="H384" i="3" s="1"/>
  <c r="K352" i="4"/>
  <c r="J351" i="20" l="1"/>
  <c r="Q352" i="4"/>
  <c r="S352" i="4" s="1"/>
  <c r="L352" i="20" s="1"/>
  <c r="K352" i="20"/>
  <c r="R353" i="4"/>
  <c r="N355" i="4"/>
  <c r="H355" i="4"/>
  <c r="I355" i="4" s="1"/>
  <c r="L355" i="4" s="1"/>
  <c r="J356" i="4"/>
  <c r="F356" i="4"/>
  <c r="E356" i="4"/>
  <c r="P357" i="4"/>
  <c r="I357" i="20" s="1"/>
  <c r="C358" i="4"/>
  <c r="D358" i="4" s="1"/>
  <c r="G357" i="4"/>
  <c r="N355" i="3"/>
  <c r="O355" i="3" s="1"/>
  <c r="K384" i="3"/>
  <c r="G385" i="3"/>
  <c r="H385" i="3" s="1"/>
  <c r="K353" i="4"/>
  <c r="R355" i="3" l="1"/>
  <c r="R354" i="3"/>
  <c r="F357" i="4"/>
  <c r="E357" i="4"/>
  <c r="J357" i="4"/>
  <c r="J352" i="20"/>
  <c r="Q353" i="4"/>
  <c r="S353" i="4" s="1"/>
  <c r="L353" i="20" s="1"/>
  <c r="C359" i="4"/>
  <c r="D359" i="4" s="1"/>
  <c r="P358" i="4"/>
  <c r="I358" i="20" s="1"/>
  <c r="G358" i="4"/>
  <c r="N356" i="4"/>
  <c r="H356" i="4"/>
  <c r="I356" i="4" s="1"/>
  <c r="L356" i="4" s="1"/>
  <c r="K353" i="20"/>
  <c r="R354" i="4"/>
  <c r="K385" i="3"/>
  <c r="N356" i="3"/>
  <c r="O356" i="3" s="1"/>
  <c r="G386" i="3"/>
  <c r="H386" i="3" s="1"/>
  <c r="K354" i="4"/>
  <c r="R356" i="3" l="1"/>
  <c r="K354" i="20"/>
  <c r="R355" i="4"/>
  <c r="J358" i="4"/>
  <c r="E358" i="4"/>
  <c r="F358" i="4"/>
  <c r="N357" i="4"/>
  <c r="H357" i="4"/>
  <c r="I357" i="4" s="1"/>
  <c r="L357" i="4" s="1"/>
  <c r="J353" i="20"/>
  <c r="Q354" i="4"/>
  <c r="S354" i="4" s="1"/>
  <c r="L354" i="20" s="1"/>
  <c r="C360" i="4"/>
  <c r="D360" i="4" s="1"/>
  <c r="P359" i="4"/>
  <c r="I359" i="20" s="1"/>
  <c r="G359" i="4"/>
  <c r="N357" i="3"/>
  <c r="O357" i="3" s="1"/>
  <c r="K386" i="3"/>
  <c r="G387" i="3"/>
  <c r="H387" i="3" s="1"/>
  <c r="K355" i="4"/>
  <c r="R357" i="3" l="1"/>
  <c r="C361" i="4"/>
  <c r="D361" i="4" s="1"/>
  <c r="P360" i="4"/>
  <c r="I360" i="20" s="1"/>
  <c r="G360" i="4"/>
  <c r="E359" i="4"/>
  <c r="F359" i="4"/>
  <c r="J359" i="4"/>
  <c r="K355" i="20"/>
  <c r="R356" i="4"/>
  <c r="J354" i="20"/>
  <c r="Q355" i="4"/>
  <c r="S355" i="4" s="1"/>
  <c r="L355" i="20" s="1"/>
  <c r="N358" i="4"/>
  <c r="H358" i="4"/>
  <c r="I358" i="4" s="1"/>
  <c r="L358" i="4" s="1"/>
  <c r="N358" i="3"/>
  <c r="O358" i="3" s="1"/>
  <c r="K387" i="3"/>
  <c r="G388" i="3"/>
  <c r="H388" i="3" s="1"/>
  <c r="K356" i="4"/>
  <c r="R358" i="3" l="1"/>
  <c r="K356" i="20"/>
  <c r="R357" i="4"/>
  <c r="N359" i="4"/>
  <c r="H359" i="4"/>
  <c r="I359" i="4" s="1"/>
  <c r="L359" i="4" s="1"/>
  <c r="F360" i="4"/>
  <c r="E360" i="4"/>
  <c r="J360" i="4"/>
  <c r="P361" i="4"/>
  <c r="I361" i="20" s="1"/>
  <c r="C362" i="4"/>
  <c r="D362" i="4" s="1"/>
  <c r="G361" i="4"/>
  <c r="J355" i="20"/>
  <c r="Q356" i="4"/>
  <c r="S356" i="4" s="1"/>
  <c r="L356" i="20" s="1"/>
  <c r="K388" i="3"/>
  <c r="N359" i="3"/>
  <c r="O359" i="3" s="1"/>
  <c r="G389" i="3"/>
  <c r="H389" i="3" s="1"/>
  <c r="K357" i="4"/>
  <c r="R359" i="3" l="1"/>
  <c r="J356" i="20"/>
  <c r="Q357" i="4"/>
  <c r="S357" i="4" s="1"/>
  <c r="L357" i="20" s="1"/>
  <c r="P362" i="4"/>
  <c r="I362" i="20" s="1"/>
  <c r="C363" i="4"/>
  <c r="D363" i="4" s="1"/>
  <c r="G362" i="4"/>
  <c r="N360" i="4"/>
  <c r="H360" i="4"/>
  <c r="I360" i="4" s="1"/>
  <c r="L360" i="4" s="1"/>
  <c r="K357" i="20"/>
  <c r="R358" i="4"/>
  <c r="F361" i="4"/>
  <c r="J361" i="4"/>
  <c r="E361" i="4"/>
  <c r="N360" i="3"/>
  <c r="O360" i="3" s="1"/>
  <c r="K389" i="3"/>
  <c r="G390" i="3"/>
  <c r="H390" i="3" s="1"/>
  <c r="K358" i="4"/>
  <c r="R360" i="3" l="1"/>
  <c r="K358" i="20"/>
  <c r="R359" i="4"/>
  <c r="E362" i="4"/>
  <c r="J362" i="4"/>
  <c r="F362" i="4"/>
  <c r="N361" i="4"/>
  <c r="H361" i="4"/>
  <c r="I361" i="4" s="1"/>
  <c r="L361" i="4" s="1"/>
  <c r="C364" i="4"/>
  <c r="D364" i="4" s="1"/>
  <c r="P363" i="4"/>
  <c r="I363" i="20" s="1"/>
  <c r="G363" i="4"/>
  <c r="J357" i="20"/>
  <c r="Q358" i="4"/>
  <c r="S358" i="4" s="1"/>
  <c r="L358" i="20" s="1"/>
  <c r="K390" i="3"/>
  <c r="N361" i="3"/>
  <c r="O361" i="3" s="1"/>
  <c r="G535" i="3"/>
  <c r="H535" i="3" s="1"/>
  <c r="G391" i="3"/>
  <c r="H391" i="3" s="1"/>
  <c r="K359" i="4"/>
  <c r="R361" i="3" l="1"/>
  <c r="N362" i="4"/>
  <c r="H362" i="4"/>
  <c r="I362" i="4" s="1"/>
  <c r="L362" i="4" s="1"/>
  <c r="J358" i="20"/>
  <c r="Q359" i="4"/>
  <c r="S359" i="4" s="1"/>
  <c r="L359" i="20" s="1"/>
  <c r="K359" i="20"/>
  <c r="R360" i="4"/>
  <c r="F363" i="4"/>
  <c r="J363" i="4"/>
  <c r="E363" i="4"/>
  <c r="C365" i="4"/>
  <c r="D365" i="4" s="1"/>
  <c r="P364" i="4"/>
  <c r="I364" i="20" s="1"/>
  <c r="G364" i="4"/>
  <c r="K535" i="3"/>
  <c r="N362" i="3"/>
  <c r="O362" i="3" s="1"/>
  <c r="K391" i="3"/>
  <c r="G393" i="3"/>
  <c r="H393" i="3" s="1"/>
  <c r="K360" i="4"/>
  <c r="R362" i="3" l="1"/>
  <c r="J364" i="4"/>
  <c r="F364" i="4"/>
  <c r="E364" i="4"/>
  <c r="K360" i="20"/>
  <c r="R361" i="4"/>
  <c r="N363" i="4"/>
  <c r="H363" i="4"/>
  <c r="I363" i="4" s="1"/>
  <c r="L363" i="4" s="1"/>
  <c r="C366" i="4"/>
  <c r="D366" i="4" s="1"/>
  <c r="P365" i="4"/>
  <c r="I365" i="20" s="1"/>
  <c r="G365" i="4"/>
  <c r="J359" i="20"/>
  <c r="Q360" i="4"/>
  <c r="S360" i="4" s="1"/>
  <c r="L360" i="20" s="1"/>
  <c r="K393" i="3"/>
  <c r="N363" i="3"/>
  <c r="O363" i="3" s="1"/>
  <c r="G394" i="3"/>
  <c r="H394" i="3" s="1"/>
  <c r="K361" i="4"/>
  <c r="N364" i="4" l="1"/>
  <c r="H364" i="4"/>
  <c r="I364" i="4" s="1"/>
  <c r="L364" i="4" s="1"/>
  <c r="J360" i="20"/>
  <c r="Q361" i="4"/>
  <c r="S361" i="4" s="1"/>
  <c r="L361" i="20" s="1"/>
  <c r="C367" i="4"/>
  <c r="D367" i="4" s="1"/>
  <c r="P366" i="4"/>
  <c r="I366" i="20" s="1"/>
  <c r="G366" i="4"/>
  <c r="K361" i="20"/>
  <c r="R362" i="4"/>
  <c r="E365" i="4"/>
  <c r="F365" i="4"/>
  <c r="J365" i="4"/>
  <c r="N364" i="3"/>
  <c r="O364" i="3" s="1"/>
  <c r="K394" i="3"/>
  <c r="G395" i="3"/>
  <c r="H395" i="3" s="1"/>
  <c r="K362" i="4"/>
  <c r="R364" i="3" l="1"/>
  <c r="R363" i="3"/>
  <c r="K362" i="20"/>
  <c r="R363" i="4"/>
  <c r="J366" i="4"/>
  <c r="E366" i="4"/>
  <c r="F366" i="4"/>
  <c r="P367" i="4"/>
  <c r="I367" i="20" s="1"/>
  <c r="C368" i="4"/>
  <c r="D368" i="4" s="1"/>
  <c r="G367" i="4"/>
  <c r="N365" i="4"/>
  <c r="H365" i="4"/>
  <c r="I365" i="4" s="1"/>
  <c r="L365" i="4" s="1"/>
  <c r="J361" i="20"/>
  <c r="Q362" i="4"/>
  <c r="S362" i="4" s="1"/>
  <c r="L362" i="20" s="1"/>
  <c r="K395" i="3"/>
  <c r="N365" i="3"/>
  <c r="O365" i="3" s="1"/>
  <c r="G396" i="3"/>
  <c r="H396" i="3" s="1"/>
  <c r="K363" i="4"/>
  <c r="H366" i="4" l="1"/>
  <c r="I366" i="4" s="1"/>
  <c r="L366" i="4" s="1"/>
  <c r="N366" i="4"/>
  <c r="K363" i="20"/>
  <c r="R364" i="4"/>
  <c r="C369" i="4"/>
  <c r="D369" i="4" s="1"/>
  <c r="P368" i="4"/>
  <c r="I368" i="20" s="1"/>
  <c r="G368" i="4"/>
  <c r="J362" i="20"/>
  <c r="Q363" i="4"/>
  <c r="S363" i="4" s="1"/>
  <c r="L363" i="20" s="1"/>
  <c r="E367" i="4"/>
  <c r="F367" i="4"/>
  <c r="J367" i="4"/>
  <c r="K396" i="3"/>
  <c r="N366" i="3"/>
  <c r="O366" i="3" s="1"/>
  <c r="G397" i="3"/>
  <c r="H397" i="3" s="1"/>
  <c r="K364" i="4"/>
  <c r="R366" i="3" l="1"/>
  <c r="R365" i="3"/>
  <c r="E368" i="4"/>
  <c r="F368" i="4"/>
  <c r="J368" i="4"/>
  <c r="C370" i="4"/>
  <c r="D370" i="4" s="1"/>
  <c r="P369" i="4"/>
  <c r="I369" i="20" s="1"/>
  <c r="G369" i="4"/>
  <c r="N367" i="4"/>
  <c r="H367" i="4"/>
  <c r="I367" i="4" s="1"/>
  <c r="L367" i="4" s="1"/>
  <c r="J363" i="20"/>
  <c r="Q364" i="4"/>
  <c r="S364" i="4" s="1"/>
  <c r="L364" i="20" s="1"/>
  <c r="K364" i="20"/>
  <c r="R365" i="4"/>
  <c r="K397" i="3"/>
  <c r="N367" i="3"/>
  <c r="O367" i="3" s="1"/>
  <c r="G398" i="3"/>
  <c r="H398" i="3" s="1"/>
  <c r="K365" i="4"/>
  <c r="K365" i="20" l="1"/>
  <c r="R366" i="4"/>
  <c r="J364" i="20"/>
  <c r="Q365" i="4"/>
  <c r="C371" i="4"/>
  <c r="D371" i="4" s="1"/>
  <c r="P370" i="4"/>
  <c r="I370" i="20" s="1"/>
  <c r="G370" i="4"/>
  <c r="N368" i="4"/>
  <c r="H368" i="4"/>
  <c r="I368" i="4" s="1"/>
  <c r="L368" i="4" s="1"/>
  <c r="J369" i="4"/>
  <c r="F369" i="4"/>
  <c r="E369" i="4"/>
  <c r="K398" i="3"/>
  <c r="N368" i="3"/>
  <c r="O368" i="3" s="1"/>
  <c r="G399" i="3"/>
  <c r="H399" i="3" s="1"/>
  <c r="K366" i="4"/>
  <c r="R368" i="3" l="1"/>
  <c r="R367" i="3"/>
  <c r="E370" i="4"/>
  <c r="J370" i="4"/>
  <c r="F370" i="4"/>
  <c r="J365" i="20"/>
  <c r="Q366" i="4"/>
  <c r="S366" i="4" s="1"/>
  <c r="L366" i="20" s="1"/>
  <c r="S365" i="4"/>
  <c r="L365" i="20" s="1"/>
  <c r="N369" i="4"/>
  <c r="H369" i="4"/>
  <c r="I369" i="4" s="1"/>
  <c r="L369" i="4" s="1"/>
  <c r="C372" i="4"/>
  <c r="D372" i="4" s="1"/>
  <c r="P371" i="4"/>
  <c r="I371" i="20" s="1"/>
  <c r="G371" i="4"/>
  <c r="K366" i="20"/>
  <c r="R367" i="4"/>
  <c r="N369" i="3"/>
  <c r="O369" i="3" s="1"/>
  <c r="K399" i="3"/>
  <c r="G400" i="3"/>
  <c r="H400" i="3" s="1"/>
  <c r="K367" i="4"/>
  <c r="R369" i="3" l="1"/>
  <c r="J371" i="4"/>
  <c r="F371" i="4"/>
  <c r="E371" i="4"/>
  <c r="K367" i="20"/>
  <c r="R368" i="4"/>
  <c r="C373" i="4"/>
  <c r="D373" i="4" s="1"/>
  <c r="P372" i="4"/>
  <c r="I372" i="20" s="1"/>
  <c r="G372" i="4"/>
  <c r="J366" i="20"/>
  <c r="Q367" i="4"/>
  <c r="S367" i="4" s="1"/>
  <c r="L367" i="20" s="1"/>
  <c r="N370" i="4"/>
  <c r="H370" i="4"/>
  <c r="I370" i="4" s="1"/>
  <c r="L370" i="4" s="1"/>
  <c r="K400" i="3"/>
  <c r="N370" i="3"/>
  <c r="O370" i="3" s="1"/>
  <c r="G401" i="3"/>
  <c r="H401" i="3" s="1"/>
  <c r="K368" i="4"/>
  <c r="R370" i="3" l="1"/>
  <c r="K368" i="20"/>
  <c r="R369" i="4"/>
  <c r="J367" i="20"/>
  <c r="Q368" i="4"/>
  <c r="S368" i="4" s="1"/>
  <c r="L368" i="20" s="1"/>
  <c r="N371" i="4"/>
  <c r="H371" i="4"/>
  <c r="I371" i="4" s="1"/>
  <c r="L371" i="4" s="1"/>
  <c r="E372" i="4"/>
  <c r="J372" i="4"/>
  <c r="F372" i="4"/>
  <c r="C374" i="4"/>
  <c r="D374" i="4" s="1"/>
  <c r="P373" i="4"/>
  <c r="I373" i="20" s="1"/>
  <c r="G373" i="4"/>
  <c r="N371" i="3"/>
  <c r="O371" i="3" s="1"/>
  <c r="K401" i="3"/>
  <c r="G402" i="3"/>
  <c r="H402" i="3" s="1"/>
  <c r="K369" i="4"/>
  <c r="R371" i="3" l="1"/>
  <c r="F373" i="4"/>
  <c r="J373" i="4"/>
  <c r="E373" i="4"/>
  <c r="C375" i="4"/>
  <c r="D375" i="4" s="1"/>
  <c r="P374" i="4"/>
  <c r="I374" i="20" s="1"/>
  <c r="G374" i="4"/>
  <c r="K369" i="20"/>
  <c r="R370" i="4"/>
  <c r="H372" i="4"/>
  <c r="I372" i="4" s="1"/>
  <c r="L372" i="4" s="1"/>
  <c r="N372" i="4"/>
  <c r="J368" i="20"/>
  <c r="Q369" i="4"/>
  <c r="S369" i="4" s="1"/>
  <c r="L369" i="20" s="1"/>
  <c r="G403" i="3"/>
  <c r="H403" i="3" s="1"/>
  <c r="N372" i="3"/>
  <c r="O372" i="3" s="1"/>
  <c r="K402" i="3"/>
  <c r="K370" i="4"/>
  <c r="R372" i="3" l="1"/>
  <c r="C376" i="4"/>
  <c r="D376" i="4" s="1"/>
  <c r="P375" i="4"/>
  <c r="I375" i="20" s="1"/>
  <c r="G375" i="4"/>
  <c r="E374" i="4"/>
  <c r="J374" i="4"/>
  <c r="F374" i="4"/>
  <c r="N373" i="4"/>
  <c r="H373" i="4"/>
  <c r="I373" i="4" s="1"/>
  <c r="L373" i="4" s="1"/>
  <c r="J369" i="20"/>
  <c r="Q370" i="4"/>
  <c r="S370" i="4" s="1"/>
  <c r="L370" i="20" s="1"/>
  <c r="K370" i="20"/>
  <c r="R371" i="4"/>
  <c r="N373" i="3"/>
  <c r="O373" i="3" s="1"/>
  <c r="K403" i="3"/>
  <c r="G404" i="3"/>
  <c r="H404" i="3" s="1"/>
  <c r="K371" i="4"/>
  <c r="R373" i="3" l="1"/>
  <c r="K371" i="20"/>
  <c r="R372" i="4"/>
  <c r="J370" i="20"/>
  <c r="Q371" i="4"/>
  <c r="S371" i="4" s="1"/>
  <c r="L371" i="20" s="1"/>
  <c r="H374" i="4"/>
  <c r="I374" i="4" s="1"/>
  <c r="L374" i="4" s="1"/>
  <c r="N374" i="4"/>
  <c r="F375" i="4"/>
  <c r="J375" i="4"/>
  <c r="E375" i="4"/>
  <c r="C377" i="4"/>
  <c r="D377" i="4" s="1"/>
  <c r="P376" i="4"/>
  <c r="I376" i="20" s="1"/>
  <c r="G376" i="4"/>
  <c r="N374" i="3"/>
  <c r="O374" i="3" s="1"/>
  <c r="K404" i="3"/>
  <c r="G406" i="3"/>
  <c r="H406" i="3" s="1"/>
  <c r="K372" i="4"/>
  <c r="R374" i="3" l="1"/>
  <c r="N375" i="4"/>
  <c r="H375" i="4"/>
  <c r="I375" i="4" s="1"/>
  <c r="L375" i="4" s="1"/>
  <c r="J371" i="20"/>
  <c r="Q372" i="4"/>
  <c r="S372" i="4" s="1"/>
  <c r="L372" i="20" s="1"/>
  <c r="C378" i="4"/>
  <c r="D378" i="4" s="1"/>
  <c r="P377" i="4"/>
  <c r="I377" i="20" s="1"/>
  <c r="G377" i="4"/>
  <c r="F376" i="4"/>
  <c r="E376" i="4"/>
  <c r="J376" i="4"/>
  <c r="K372" i="20"/>
  <c r="R373" i="4"/>
  <c r="G407" i="3"/>
  <c r="H407" i="3" s="1"/>
  <c r="N375" i="3"/>
  <c r="O375" i="3" s="1"/>
  <c r="K406" i="3"/>
  <c r="K373" i="4"/>
  <c r="R375" i="3" l="1"/>
  <c r="K373" i="20"/>
  <c r="R374" i="4"/>
  <c r="F377" i="4"/>
  <c r="J377" i="4"/>
  <c r="E377" i="4"/>
  <c r="C379" i="4"/>
  <c r="D379" i="4" s="1"/>
  <c r="P378" i="4"/>
  <c r="I378" i="20" s="1"/>
  <c r="G378" i="4"/>
  <c r="J372" i="20"/>
  <c r="Q373" i="4"/>
  <c r="S373" i="4" s="1"/>
  <c r="L373" i="20" s="1"/>
  <c r="N376" i="4"/>
  <c r="H376" i="4"/>
  <c r="I376" i="4" s="1"/>
  <c r="L376" i="4" s="1"/>
  <c r="K407" i="3"/>
  <c r="N376" i="3"/>
  <c r="O376" i="3" s="1"/>
  <c r="G408" i="3"/>
  <c r="H408" i="3" s="1"/>
  <c r="K374" i="4"/>
  <c r="R376" i="3" l="1"/>
  <c r="J373" i="20"/>
  <c r="Q374" i="4"/>
  <c r="S374" i="4" s="1"/>
  <c r="L374" i="20" s="1"/>
  <c r="J378" i="4"/>
  <c r="E378" i="4"/>
  <c r="F378" i="4"/>
  <c r="C380" i="4"/>
  <c r="D380" i="4" s="1"/>
  <c r="P379" i="4"/>
  <c r="I379" i="20" s="1"/>
  <c r="G379" i="4"/>
  <c r="K374" i="20"/>
  <c r="R375" i="4"/>
  <c r="N377" i="4"/>
  <c r="H377" i="4"/>
  <c r="I377" i="4" s="1"/>
  <c r="L377" i="4" s="1"/>
  <c r="K408" i="3"/>
  <c r="N377" i="3"/>
  <c r="O377" i="3" s="1"/>
  <c r="G409" i="3"/>
  <c r="H409" i="3" s="1"/>
  <c r="K375" i="4"/>
  <c r="R377" i="3" l="1"/>
  <c r="F379" i="4"/>
  <c r="E379" i="4"/>
  <c r="J379" i="4"/>
  <c r="C381" i="4"/>
  <c r="D381" i="4" s="1"/>
  <c r="P380" i="4"/>
  <c r="I380" i="20" s="1"/>
  <c r="G380" i="4"/>
  <c r="J374" i="20"/>
  <c r="Q375" i="4"/>
  <c r="S375" i="4" s="1"/>
  <c r="L375" i="20" s="1"/>
  <c r="K375" i="20"/>
  <c r="R376" i="4"/>
  <c r="N378" i="4"/>
  <c r="H378" i="4"/>
  <c r="I378" i="4" s="1"/>
  <c r="L378" i="4" s="1"/>
  <c r="N378" i="3"/>
  <c r="O378" i="3" s="1"/>
  <c r="K409" i="3"/>
  <c r="G410" i="3"/>
  <c r="H410" i="3" s="1"/>
  <c r="K376" i="4"/>
  <c r="R378" i="3" l="1"/>
  <c r="K376" i="20"/>
  <c r="R377" i="4"/>
  <c r="J375" i="20"/>
  <c r="Q376" i="4"/>
  <c r="S376" i="4" s="1"/>
  <c r="L376" i="20" s="1"/>
  <c r="N379" i="4"/>
  <c r="H379" i="4"/>
  <c r="I379" i="4" s="1"/>
  <c r="L379" i="4" s="1"/>
  <c r="C382" i="4"/>
  <c r="D382" i="4" s="1"/>
  <c r="P381" i="4"/>
  <c r="I381" i="20" s="1"/>
  <c r="G381" i="4"/>
  <c r="J380" i="4"/>
  <c r="F380" i="4"/>
  <c r="E380" i="4"/>
  <c r="K410" i="3"/>
  <c r="N379" i="3"/>
  <c r="O379" i="3" s="1"/>
  <c r="G411" i="3"/>
  <c r="H411" i="3" s="1"/>
  <c r="K377" i="4"/>
  <c r="R379" i="3" l="1"/>
  <c r="C383" i="4"/>
  <c r="D383" i="4" s="1"/>
  <c r="P382" i="4"/>
  <c r="I382" i="20" s="1"/>
  <c r="G382" i="4"/>
  <c r="J376" i="20"/>
  <c r="Q377" i="4"/>
  <c r="S377" i="4" s="1"/>
  <c r="L377" i="20" s="1"/>
  <c r="F381" i="4"/>
  <c r="J381" i="4"/>
  <c r="E381" i="4"/>
  <c r="N380" i="4"/>
  <c r="H380" i="4"/>
  <c r="I380" i="4" s="1"/>
  <c r="L380" i="4" s="1"/>
  <c r="K377" i="20"/>
  <c r="R378" i="4"/>
  <c r="N380" i="3"/>
  <c r="O380" i="3" s="1"/>
  <c r="K411" i="3"/>
  <c r="G412" i="3"/>
  <c r="H412" i="3" s="1"/>
  <c r="K378" i="4"/>
  <c r="R380" i="3" l="1"/>
  <c r="P383" i="4"/>
  <c r="I383" i="20" s="1"/>
  <c r="C384" i="4"/>
  <c r="D384" i="4" s="1"/>
  <c r="G383" i="4"/>
  <c r="J377" i="20"/>
  <c r="Q378" i="4"/>
  <c r="S378" i="4" s="1"/>
  <c r="L378" i="20" s="1"/>
  <c r="E382" i="4"/>
  <c r="J382" i="4"/>
  <c r="F382" i="4"/>
  <c r="K378" i="20"/>
  <c r="R379" i="4"/>
  <c r="N381" i="4"/>
  <c r="H381" i="4"/>
  <c r="I381" i="4" s="1"/>
  <c r="L381" i="4" s="1"/>
  <c r="K412" i="3"/>
  <c r="N381" i="3"/>
  <c r="O381" i="3" s="1"/>
  <c r="G413" i="3"/>
  <c r="H413" i="3" s="1"/>
  <c r="K379" i="4"/>
  <c r="R381" i="3" l="1"/>
  <c r="F383" i="4"/>
  <c r="J383" i="4"/>
  <c r="E383" i="4"/>
  <c r="K379" i="20"/>
  <c r="R380" i="4"/>
  <c r="C385" i="4"/>
  <c r="D385" i="4" s="1"/>
  <c r="P384" i="4"/>
  <c r="I384" i="20" s="1"/>
  <c r="G384" i="4"/>
  <c r="J378" i="20"/>
  <c r="Q379" i="4"/>
  <c r="S379" i="4" s="1"/>
  <c r="L379" i="20" s="1"/>
  <c r="N382" i="4"/>
  <c r="H382" i="4"/>
  <c r="I382" i="4" s="1"/>
  <c r="L382" i="4" s="1"/>
  <c r="K413" i="3"/>
  <c r="N382" i="3"/>
  <c r="O382" i="3" s="1"/>
  <c r="G414" i="3"/>
  <c r="H414" i="3" s="1"/>
  <c r="K380" i="4"/>
  <c r="R382" i="3" l="1"/>
  <c r="C386" i="4"/>
  <c r="D386" i="4" s="1"/>
  <c r="P385" i="4"/>
  <c r="I385" i="20" s="1"/>
  <c r="G385" i="4"/>
  <c r="H383" i="4"/>
  <c r="I383" i="4" s="1"/>
  <c r="L383" i="4" s="1"/>
  <c r="N383" i="4"/>
  <c r="F384" i="4"/>
  <c r="E384" i="4"/>
  <c r="J384" i="4"/>
  <c r="K380" i="20"/>
  <c r="R381" i="4"/>
  <c r="J379" i="20"/>
  <c r="Q380" i="4"/>
  <c r="K414" i="3"/>
  <c r="N383" i="3"/>
  <c r="O383" i="3" s="1"/>
  <c r="G415" i="3"/>
  <c r="H415" i="3" s="1"/>
  <c r="K381" i="4"/>
  <c r="R383" i="3" l="1"/>
  <c r="J380" i="20"/>
  <c r="Q381" i="4"/>
  <c r="S381" i="4" s="1"/>
  <c r="L381" i="20" s="1"/>
  <c r="P386" i="4"/>
  <c r="I386" i="20" s="1"/>
  <c r="C387" i="4"/>
  <c r="D387" i="4" s="1"/>
  <c r="G386" i="4"/>
  <c r="K381" i="20"/>
  <c r="R382" i="4"/>
  <c r="S380" i="4"/>
  <c r="L380" i="20" s="1"/>
  <c r="N384" i="4"/>
  <c r="H384" i="4"/>
  <c r="I384" i="4" s="1"/>
  <c r="L384" i="4" s="1"/>
  <c r="F385" i="4"/>
  <c r="J385" i="4"/>
  <c r="E385" i="4"/>
  <c r="K415" i="3"/>
  <c r="N384" i="3"/>
  <c r="O384" i="3" s="1"/>
  <c r="G416" i="3"/>
  <c r="H416" i="3" s="1"/>
  <c r="K382" i="4"/>
  <c r="R384" i="3" l="1"/>
  <c r="K382" i="20"/>
  <c r="R383" i="4"/>
  <c r="C388" i="4"/>
  <c r="D388" i="4" s="1"/>
  <c r="P387" i="4"/>
  <c r="I387" i="20" s="1"/>
  <c r="G387" i="4"/>
  <c r="J381" i="20"/>
  <c r="Q382" i="4"/>
  <c r="S382" i="4" s="1"/>
  <c r="L382" i="20" s="1"/>
  <c r="H385" i="4"/>
  <c r="I385" i="4" s="1"/>
  <c r="L385" i="4" s="1"/>
  <c r="N385" i="4"/>
  <c r="J386" i="4"/>
  <c r="E386" i="4"/>
  <c r="F386" i="4"/>
  <c r="N385" i="3"/>
  <c r="O385" i="3" s="1"/>
  <c r="K416" i="3"/>
  <c r="G417" i="3"/>
  <c r="H417" i="3" s="1"/>
  <c r="K383" i="4"/>
  <c r="R385" i="3" l="1"/>
  <c r="N386" i="4"/>
  <c r="H386" i="4"/>
  <c r="I386" i="4" s="1"/>
  <c r="L386" i="4" s="1"/>
  <c r="J382" i="20"/>
  <c r="Q383" i="4"/>
  <c r="S383" i="4" s="1"/>
  <c r="L383" i="20" s="1"/>
  <c r="K383" i="20"/>
  <c r="R384" i="4"/>
  <c r="F387" i="4"/>
  <c r="E387" i="4"/>
  <c r="J387" i="4"/>
  <c r="C389" i="4"/>
  <c r="D389" i="4" s="1"/>
  <c r="P388" i="4"/>
  <c r="I388" i="20" s="1"/>
  <c r="G388" i="4"/>
  <c r="K417" i="3"/>
  <c r="N386" i="3"/>
  <c r="O386" i="3" s="1"/>
  <c r="G419" i="3"/>
  <c r="H419" i="3" s="1"/>
  <c r="K384" i="4"/>
  <c r="R386" i="3" l="1"/>
  <c r="N387" i="4"/>
  <c r="H387" i="4"/>
  <c r="I387" i="4" s="1"/>
  <c r="L387" i="4" s="1"/>
  <c r="J383" i="20"/>
  <c r="Q384" i="4"/>
  <c r="F388" i="4"/>
  <c r="J388" i="4"/>
  <c r="E388" i="4"/>
  <c r="K384" i="20"/>
  <c r="R385" i="4"/>
  <c r="C390" i="4"/>
  <c r="D390" i="4" s="1"/>
  <c r="P389" i="4"/>
  <c r="I389" i="20" s="1"/>
  <c r="G389" i="4"/>
  <c r="K419" i="3"/>
  <c r="N387" i="3"/>
  <c r="O387" i="3" s="1"/>
  <c r="G420" i="3"/>
  <c r="H420" i="3" s="1"/>
  <c r="K385" i="4"/>
  <c r="R387" i="3" l="1"/>
  <c r="K385" i="20"/>
  <c r="R386" i="4"/>
  <c r="J384" i="20"/>
  <c r="Q385" i="4"/>
  <c r="S385" i="4" s="1"/>
  <c r="L385" i="20" s="1"/>
  <c r="S384" i="4"/>
  <c r="L384" i="20" s="1"/>
  <c r="H388" i="4"/>
  <c r="I388" i="4" s="1"/>
  <c r="L388" i="4" s="1"/>
  <c r="N388" i="4"/>
  <c r="J389" i="4"/>
  <c r="F389" i="4"/>
  <c r="E389" i="4"/>
  <c r="P390" i="4"/>
  <c r="I390" i="20" s="1"/>
  <c r="C391" i="4"/>
  <c r="D391" i="4" s="1"/>
  <c r="G390" i="4"/>
  <c r="N388" i="3"/>
  <c r="O388" i="3" s="1"/>
  <c r="K420" i="3"/>
  <c r="G421" i="3"/>
  <c r="H421" i="3" s="1"/>
  <c r="K386" i="4"/>
  <c r="R388" i="3" l="1"/>
  <c r="K386" i="20"/>
  <c r="R387" i="4"/>
  <c r="E390" i="4"/>
  <c r="J390" i="4"/>
  <c r="F390" i="4"/>
  <c r="C392" i="4"/>
  <c r="D392" i="4" s="1"/>
  <c r="P391" i="4"/>
  <c r="I391" i="20" s="1"/>
  <c r="G391" i="4"/>
  <c r="N389" i="4"/>
  <c r="H389" i="4"/>
  <c r="I389" i="4" s="1"/>
  <c r="L389" i="4" s="1"/>
  <c r="J385" i="20"/>
  <c r="Q386" i="4"/>
  <c r="S386" i="4" s="1"/>
  <c r="L386" i="20" s="1"/>
  <c r="N389" i="3"/>
  <c r="O389" i="3" s="1"/>
  <c r="K421" i="3"/>
  <c r="G422" i="3"/>
  <c r="H422" i="3" s="1"/>
  <c r="K387" i="4"/>
  <c r="R389" i="3" l="1"/>
  <c r="P392" i="4"/>
  <c r="I392" i="20" s="1"/>
  <c r="C393" i="4"/>
  <c r="D393" i="4" s="1"/>
  <c r="G392" i="4"/>
  <c r="H390" i="4"/>
  <c r="I390" i="4" s="1"/>
  <c r="L390" i="4" s="1"/>
  <c r="N390" i="4"/>
  <c r="F391" i="4"/>
  <c r="J391" i="4"/>
  <c r="E391" i="4"/>
  <c r="K387" i="20"/>
  <c r="R388" i="4"/>
  <c r="J386" i="20"/>
  <c r="Q387" i="4"/>
  <c r="S387" i="4" s="1"/>
  <c r="L387" i="20" s="1"/>
  <c r="N390" i="3"/>
  <c r="O390" i="3" s="1"/>
  <c r="K422" i="3"/>
  <c r="G423" i="3"/>
  <c r="H423" i="3" s="1"/>
  <c r="K388" i="4"/>
  <c r="R390" i="3" l="1"/>
  <c r="N391" i="4"/>
  <c r="H391" i="4"/>
  <c r="I391" i="4" s="1"/>
  <c r="L391" i="4" s="1"/>
  <c r="F392" i="4"/>
  <c r="E392" i="4"/>
  <c r="J392" i="4"/>
  <c r="J387" i="20"/>
  <c r="Q388" i="4"/>
  <c r="S388" i="4" s="1"/>
  <c r="L388" i="20" s="1"/>
  <c r="K388" i="20"/>
  <c r="R389" i="4"/>
  <c r="P393" i="4"/>
  <c r="I393" i="20" s="1"/>
  <c r="C394" i="4"/>
  <c r="D394" i="4" s="1"/>
  <c r="G393" i="4"/>
  <c r="K423" i="3"/>
  <c r="N391" i="3"/>
  <c r="O391" i="3" s="1"/>
  <c r="G424" i="3"/>
  <c r="H424" i="3" s="1"/>
  <c r="K389" i="4"/>
  <c r="R391" i="3" l="1"/>
  <c r="F393" i="4"/>
  <c r="J393" i="4"/>
  <c r="E393" i="4"/>
  <c r="C395" i="4"/>
  <c r="D395" i="4" s="1"/>
  <c r="P394" i="4"/>
  <c r="I394" i="20" s="1"/>
  <c r="G394" i="4"/>
  <c r="K389" i="20"/>
  <c r="R390" i="4"/>
  <c r="N392" i="4"/>
  <c r="H392" i="4"/>
  <c r="I392" i="4" s="1"/>
  <c r="L392" i="4" s="1"/>
  <c r="J388" i="20"/>
  <c r="Q389" i="4"/>
  <c r="S389" i="4" s="1"/>
  <c r="L389" i="20" s="1"/>
  <c r="K424" i="3"/>
  <c r="N392" i="3"/>
  <c r="O392" i="3" s="1"/>
  <c r="G425" i="3"/>
  <c r="H425" i="3" s="1"/>
  <c r="K390" i="4"/>
  <c r="R392" i="3" l="1"/>
  <c r="J389" i="20"/>
  <c r="Q390" i="4"/>
  <c r="S390" i="4" s="1"/>
  <c r="L390" i="20" s="1"/>
  <c r="N393" i="4"/>
  <c r="H393" i="4"/>
  <c r="I393" i="4" s="1"/>
  <c r="L393" i="4" s="1"/>
  <c r="K390" i="20"/>
  <c r="R391" i="4"/>
  <c r="J394" i="4"/>
  <c r="E394" i="4"/>
  <c r="F394" i="4"/>
  <c r="C396" i="4"/>
  <c r="D396" i="4" s="1"/>
  <c r="P395" i="4"/>
  <c r="I395" i="20" s="1"/>
  <c r="G395" i="4"/>
  <c r="K425" i="3"/>
  <c r="N393" i="3"/>
  <c r="O393" i="3" s="1"/>
  <c r="G426" i="3"/>
  <c r="H426" i="3" s="1"/>
  <c r="K391" i="4"/>
  <c r="R393" i="3" l="1"/>
  <c r="C397" i="4"/>
  <c r="D397" i="4" s="1"/>
  <c r="P396" i="4"/>
  <c r="I396" i="20" s="1"/>
  <c r="G396" i="4"/>
  <c r="N394" i="4"/>
  <c r="H394" i="4"/>
  <c r="I394" i="4" s="1"/>
  <c r="L394" i="4" s="1"/>
  <c r="J390" i="20"/>
  <c r="Q391" i="4"/>
  <c r="S391" i="4" s="1"/>
  <c r="L391" i="20" s="1"/>
  <c r="F395" i="4"/>
  <c r="E395" i="4"/>
  <c r="J395" i="4"/>
  <c r="K391" i="20"/>
  <c r="R392" i="4"/>
  <c r="K426" i="3"/>
  <c r="N394" i="3"/>
  <c r="O394" i="3" s="1"/>
  <c r="G427" i="3"/>
  <c r="H427" i="3" s="1"/>
  <c r="K392" i="4"/>
  <c r="R394" i="3" l="1"/>
  <c r="J391" i="20"/>
  <c r="Q392" i="4"/>
  <c r="S392" i="4" s="1"/>
  <c r="L392" i="20" s="1"/>
  <c r="J396" i="4"/>
  <c r="F396" i="4"/>
  <c r="E396" i="4"/>
  <c r="N395" i="4"/>
  <c r="H395" i="4"/>
  <c r="I395" i="4" s="1"/>
  <c r="L395" i="4" s="1"/>
  <c r="K392" i="20"/>
  <c r="R393" i="4"/>
  <c r="P397" i="4"/>
  <c r="I397" i="20" s="1"/>
  <c r="C398" i="4"/>
  <c r="D398" i="4" s="1"/>
  <c r="G397" i="4"/>
  <c r="N395" i="3"/>
  <c r="O395" i="3" s="1"/>
  <c r="K427" i="3"/>
  <c r="G428" i="3"/>
  <c r="H428" i="3" s="1"/>
  <c r="K393" i="4"/>
  <c r="R395" i="3" l="1"/>
  <c r="P398" i="4"/>
  <c r="I398" i="20" s="1"/>
  <c r="C399" i="4"/>
  <c r="D399" i="4" s="1"/>
  <c r="G398" i="4"/>
  <c r="K393" i="20"/>
  <c r="R394" i="4"/>
  <c r="J392" i="20"/>
  <c r="Q393" i="4"/>
  <c r="S393" i="4" s="1"/>
  <c r="L393" i="20" s="1"/>
  <c r="N396" i="4"/>
  <c r="H396" i="4"/>
  <c r="I396" i="4" s="1"/>
  <c r="L396" i="4" s="1"/>
  <c r="F397" i="4"/>
  <c r="J397" i="4"/>
  <c r="E397" i="4"/>
  <c r="N396" i="3"/>
  <c r="O396" i="3" s="1"/>
  <c r="K428" i="3"/>
  <c r="G429" i="3"/>
  <c r="H429" i="3" s="1"/>
  <c r="K394" i="4"/>
  <c r="R396" i="3" l="1"/>
  <c r="K394" i="20"/>
  <c r="R395" i="4"/>
  <c r="N397" i="4"/>
  <c r="H397" i="4"/>
  <c r="I397" i="4" s="1"/>
  <c r="L397" i="4" s="1"/>
  <c r="J393" i="20"/>
  <c r="Q394" i="4"/>
  <c r="S394" i="4" s="1"/>
  <c r="L394" i="20" s="1"/>
  <c r="E398" i="4"/>
  <c r="J398" i="4"/>
  <c r="F398" i="4"/>
  <c r="C400" i="4"/>
  <c r="D400" i="4" s="1"/>
  <c r="P399" i="4"/>
  <c r="I399" i="20" s="1"/>
  <c r="G399" i="4"/>
  <c r="N397" i="3"/>
  <c r="O397" i="3" s="1"/>
  <c r="K429" i="3"/>
  <c r="G430" i="3"/>
  <c r="H430" i="3" s="1"/>
  <c r="K395" i="4"/>
  <c r="R397" i="3" l="1"/>
  <c r="N398" i="4"/>
  <c r="H398" i="4"/>
  <c r="I398" i="4" s="1"/>
  <c r="L398" i="4" s="1"/>
  <c r="F399" i="4"/>
  <c r="J399" i="4"/>
  <c r="E399" i="4"/>
  <c r="P400" i="4"/>
  <c r="I400" i="20" s="1"/>
  <c r="C401" i="4"/>
  <c r="D401" i="4" s="1"/>
  <c r="G400" i="4"/>
  <c r="J394" i="20"/>
  <c r="Q395" i="4"/>
  <c r="S395" i="4" s="1"/>
  <c r="L395" i="20" s="1"/>
  <c r="K395" i="20"/>
  <c r="R396" i="4"/>
  <c r="K430" i="3"/>
  <c r="N398" i="3"/>
  <c r="O398" i="3" s="1"/>
  <c r="G432" i="3"/>
  <c r="H432" i="3" s="1"/>
  <c r="K396" i="4"/>
  <c r="R398" i="3" l="1"/>
  <c r="C402" i="4"/>
  <c r="D402" i="4" s="1"/>
  <c r="P401" i="4"/>
  <c r="I401" i="20" s="1"/>
  <c r="G401" i="4"/>
  <c r="H399" i="4"/>
  <c r="I399" i="4" s="1"/>
  <c r="L399" i="4" s="1"/>
  <c r="N399" i="4"/>
  <c r="K396" i="20"/>
  <c r="R397" i="4"/>
  <c r="E400" i="4"/>
  <c r="F400" i="4"/>
  <c r="J400" i="4"/>
  <c r="J395" i="20"/>
  <c r="Q396" i="4"/>
  <c r="S396" i="4" s="1"/>
  <c r="L396" i="20" s="1"/>
  <c r="K432" i="3"/>
  <c r="N399" i="3"/>
  <c r="O399" i="3" s="1"/>
  <c r="G433" i="3"/>
  <c r="H433" i="3" s="1"/>
  <c r="K397" i="4"/>
  <c r="R399" i="3" l="1"/>
  <c r="K397" i="20"/>
  <c r="R398" i="4"/>
  <c r="C403" i="4"/>
  <c r="D403" i="4" s="1"/>
  <c r="P402" i="4"/>
  <c r="I402" i="20" s="1"/>
  <c r="G402" i="4"/>
  <c r="F401" i="4"/>
  <c r="J401" i="4"/>
  <c r="E401" i="4"/>
  <c r="J396" i="20"/>
  <c r="Q397" i="4"/>
  <c r="S397" i="4" s="1"/>
  <c r="L397" i="20" s="1"/>
  <c r="H400" i="4"/>
  <c r="I400" i="4" s="1"/>
  <c r="L400" i="4" s="1"/>
  <c r="N400" i="4"/>
  <c r="N400" i="3"/>
  <c r="O400" i="3" s="1"/>
  <c r="K433" i="3"/>
  <c r="G434" i="3"/>
  <c r="H434" i="3" s="1"/>
  <c r="K398" i="4"/>
  <c r="R400" i="3" l="1"/>
  <c r="J402" i="4"/>
  <c r="F402" i="4"/>
  <c r="E402" i="4"/>
  <c r="H401" i="4"/>
  <c r="I401" i="4" s="1"/>
  <c r="L401" i="4" s="1"/>
  <c r="N401" i="4"/>
  <c r="K398" i="20"/>
  <c r="R399" i="4"/>
  <c r="J397" i="20"/>
  <c r="Q398" i="4"/>
  <c r="S398" i="4" s="1"/>
  <c r="L398" i="20" s="1"/>
  <c r="C404" i="4"/>
  <c r="D404" i="4" s="1"/>
  <c r="P403" i="4"/>
  <c r="I403" i="20" s="1"/>
  <c r="G403" i="4"/>
  <c r="N401" i="3"/>
  <c r="O401" i="3" s="1"/>
  <c r="K434" i="3"/>
  <c r="G435" i="3"/>
  <c r="H435" i="3" s="1"/>
  <c r="K399" i="4"/>
  <c r="R401" i="3" l="1"/>
  <c r="J398" i="20"/>
  <c r="Q399" i="4"/>
  <c r="S399" i="4" s="1"/>
  <c r="L399" i="20" s="1"/>
  <c r="K399" i="20"/>
  <c r="R400" i="4"/>
  <c r="N402" i="4"/>
  <c r="H402" i="4"/>
  <c r="I402" i="4" s="1"/>
  <c r="L402" i="4" s="1"/>
  <c r="F403" i="4"/>
  <c r="E403" i="4"/>
  <c r="J403" i="4"/>
  <c r="P404" i="4"/>
  <c r="I404" i="20" s="1"/>
  <c r="C405" i="4"/>
  <c r="D405" i="4" s="1"/>
  <c r="G404" i="4"/>
  <c r="N402" i="3"/>
  <c r="O402" i="3" s="1"/>
  <c r="K435" i="3"/>
  <c r="G436" i="3"/>
  <c r="H436" i="3" s="1"/>
  <c r="K400" i="4"/>
  <c r="R402" i="3" l="1"/>
  <c r="J404" i="4"/>
  <c r="F404" i="4"/>
  <c r="E404" i="4"/>
  <c r="C406" i="4"/>
  <c r="D406" i="4" s="1"/>
  <c r="P405" i="4"/>
  <c r="I405" i="20" s="1"/>
  <c r="G405" i="4"/>
  <c r="N403" i="4"/>
  <c r="H403" i="4"/>
  <c r="I403" i="4" s="1"/>
  <c r="L403" i="4" s="1"/>
  <c r="J399" i="20"/>
  <c r="Q400" i="4"/>
  <c r="K400" i="20"/>
  <c r="R401" i="4"/>
  <c r="K436" i="3"/>
  <c r="N403" i="3"/>
  <c r="O403" i="3" s="1"/>
  <c r="G437" i="3"/>
  <c r="H437" i="3" s="1"/>
  <c r="K401" i="4"/>
  <c r="R403" i="3" l="1"/>
  <c r="J400" i="20"/>
  <c r="Q401" i="4"/>
  <c r="S401" i="4" s="1"/>
  <c r="L401" i="20" s="1"/>
  <c r="P406" i="4"/>
  <c r="I406" i="20" s="1"/>
  <c r="C407" i="4"/>
  <c r="D407" i="4" s="1"/>
  <c r="G406" i="4"/>
  <c r="H404" i="4"/>
  <c r="I404" i="4" s="1"/>
  <c r="L404" i="4" s="1"/>
  <c r="N404" i="4"/>
  <c r="F405" i="4"/>
  <c r="J405" i="4"/>
  <c r="E405" i="4"/>
  <c r="S400" i="4"/>
  <c r="L400" i="20" s="1"/>
  <c r="K401" i="20"/>
  <c r="R402" i="4"/>
  <c r="N404" i="3"/>
  <c r="O404" i="3" s="1"/>
  <c r="K437" i="3"/>
  <c r="G438" i="3"/>
  <c r="H438" i="3" s="1"/>
  <c r="K402" i="4"/>
  <c r="R404" i="3" l="1"/>
  <c r="E406" i="4"/>
  <c r="J406" i="4"/>
  <c r="F406" i="4"/>
  <c r="P407" i="4"/>
  <c r="I407" i="20" s="1"/>
  <c r="C408" i="4"/>
  <c r="D408" i="4" s="1"/>
  <c r="G407" i="4"/>
  <c r="J401" i="20"/>
  <c r="Q402" i="4"/>
  <c r="S402" i="4" s="1"/>
  <c r="L402" i="20" s="1"/>
  <c r="N405" i="4"/>
  <c r="H405" i="4"/>
  <c r="I405" i="4" s="1"/>
  <c r="L405" i="4" s="1"/>
  <c r="K402" i="20"/>
  <c r="R403" i="4"/>
  <c r="N405" i="3"/>
  <c r="O405" i="3" s="1"/>
  <c r="K438" i="3"/>
  <c r="G439" i="3"/>
  <c r="H439" i="3" s="1"/>
  <c r="K403" i="4"/>
  <c r="R405" i="3" l="1"/>
  <c r="F407" i="4"/>
  <c r="J407" i="4"/>
  <c r="E407" i="4"/>
  <c r="H406" i="4"/>
  <c r="I406" i="4" s="1"/>
  <c r="L406" i="4" s="1"/>
  <c r="N406" i="4"/>
  <c r="P408" i="4"/>
  <c r="I408" i="20" s="1"/>
  <c r="C409" i="4"/>
  <c r="D409" i="4" s="1"/>
  <c r="G408" i="4"/>
  <c r="K403" i="20"/>
  <c r="R404" i="4"/>
  <c r="J402" i="20"/>
  <c r="Q403" i="4"/>
  <c r="S403" i="4" s="1"/>
  <c r="L403" i="20" s="1"/>
  <c r="N406" i="3"/>
  <c r="O406" i="3" s="1"/>
  <c r="K439" i="3"/>
  <c r="G440" i="3"/>
  <c r="H440" i="3" s="1"/>
  <c r="K404" i="4"/>
  <c r="R406" i="3" l="1"/>
  <c r="N407" i="4"/>
  <c r="H407" i="4"/>
  <c r="I407" i="4" s="1"/>
  <c r="L407" i="4" s="1"/>
  <c r="J403" i="20"/>
  <c r="Q404" i="4"/>
  <c r="E408" i="4"/>
  <c r="F408" i="4"/>
  <c r="J408" i="4"/>
  <c r="K404" i="20"/>
  <c r="R405" i="4"/>
  <c r="P409" i="4"/>
  <c r="I409" i="20" s="1"/>
  <c r="C410" i="4"/>
  <c r="D410" i="4" s="1"/>
  <c r="G409" i="4"/>
  <c r="K440" i="3"/>
  <c r="N407" i="3"/>
  <c r="O407" i="3" s="1"/>
  <c r="G441" i="3"/>
  <c r="H441" i="3" s="1"/>
  <c r="K405" i="4"/>
  <c r="R407" i="3" l="1"/>
  <c r="P410" i="4"/>
  <c r="I410" i="20" s="1"/>
  <c r="C411" i="4"/>
  <c r="D411" i="4" s="1"/>
  <c r="G410" i="4"/>
  <c r="K405" i="20"/>
  <c r="R406" i="4"/>
  <c r="N408" i="4"/>
  <c r="H408" i="4"/>
  <c r="I408" i="4" s="1"/>
  <c r="L408" i="4" s="1"/>
  <c r="J404" i="20"/>
  <c r="Q405" i="4"/>
  <c r="S405" i="4" s="1"/>
  <c r="L405" i="20" s="1"/>
  <c r="S404" i="4"/>
  <c r="L404" i="20" s="1"/>
  <c r="F409" i="4"/>
  <c r="J409" i="4"/>
  <c r="E409" i="4"/>
  <c r="K441" i="3"/>
  <c r="N408" i="3"/>
  <c r="O408" i="3" s="1"/>
  <c r="G442" i="3"/>
  <c r="H442" i="3" s="1"/>
  <c r="K406" i="4"/>
  <c r="R408" i="3" l="1"/>
  <c r="K406" i="20"/>
  <c r="R407" i="4"/>
  <c r="C412" i="4"/>
  <c r="D412" i="4" s="1"/>
  <c r="P411" i="4"/>
  <c r="I411" i="20" s="1"/>
  <c r="G411" i="4"/>
  <c r="N409" i="4"/>
  <c r="H409" i="4"/>
  <c r="I409" i="4" s="1"/>
  <c r="L409" i="4" s="1"/>
  <c r="J405" i="20"/>
  <c r="Q406" i="4"/>
  <c r="J410" i="4"/>
  <c r="E410" i="4"/>
  <c r="F410" i="4"/>
  <c r="N409" i="3"/>
  <c r="O409" i="3" s="1"/>
  <c r="K442" i="3"/>
  <c r="G443" i="3"/>
  <c r="H443" i="3" s="1"/>
  <c r="K407" i="4"/>
  <c r="S406" i="4"/>
  <c r="L406" i="20" s="1"/>
  <c r="R409" i="3" l="1"/>
  <c r="N410" i="4"/>
  <c r="H410" i="4"/>
  <c r="I410" i="4" s="1"/>
  <c r="L410" i="4" s="1"/>
  <c r="K407" i="20"/>
  <c r="R408" i="4"/>
  <c r="J406" i="20"/>
  <c r="Q407" i="4"/>
  <c r="S407" i="4" s="1"/>
  <c r="L407" i="20" s="1"/>
  <c r="F411" i="4"/>
  <c r="E411" i="4"/>
  <c r="J411" i="4"/>
  <c r="C413" i="4"/>
  <c r="D413" i="4" s="1"/>
  <c r="P412" i="4"/>
  <c r="I412" i="20" s="1"/>
  <c r="G412" i="4"/>
  <c r="N410" i="3"/>
  <c r="O410" i="3" s="1"/>
  <c r="K443" i="3"/>
  <c r="G445" i="3"/>
  <c r="H445" i="3" s="1"/>
  <c r="K408" i="4"/>
  <c r="R410" i="3" l="1"/>
  <c r="N411" i="4"/>
  <c r="H411" i="4"/>
  <c r="I411" i="4" s="1"/>
  <c r="L411" i="4" s="1"/>
  <c r="K408" i="20"/>
  <c r="R409" i="4"/>
  <c r="C414" i="4"/>
  <c r="D414" i="4" s="1"/>
  <c r="P413" i="4"/>
  <c r="I413" i="20" s="1"/>
  <c r="G413" i="4"/>
  <c r="J412" i="4"/>
  <c r="F412" i="4"/>
  <c r="E412" i="4"/>
  <c r="J407" i="20"/>
  <c r="Q408" i="4"/>
  <c r="S408" i="4" s="1"/>
  <c r="L408" i="20" s="1"/>
  <c r="K445" i="3"/>
  <c r="N411" i="3"/>
  <c r="O411" i="3" s="1"/>
  <c r="G446" i="3"/>
  <c r="H446" i="3" s="1"/>
  <c r="K409" i="4"/>
  <c r="R411" i="3" l="1"/>
  <c r="F413" i="4"/>
  <c r="J413" i="4"/>
  <c r="E413" i="4"/>
  <c r="C415" i="4"/>
  <c r="D415" i="4" s="1"/>
  <c r="P414" i="4"/>
  <c r="I414" i="20" s="1"/>
  <c r="G414" i="4"/>
  <c r="K409" i="20"/>
  <c r="R410" i="4"/>
  <c r="N412" i="4"/>
  <c r="H412" i="4"/>
  <c r="I412" i="4" s="1"/>
  <c r="L412" i="4" s="1"/>
  <c r="J408" i="20"/>
  <c r="Q409" i="4"/>
  <c r="K446" i="3"/>
  <c r="N412" i="3"/>
  <c r="O412" i="3" s="1"/>
  <c r="G447" i="3"/>
  <c r="H447" i="3" s="1"/>
  <c r="K410" i="4"/>
  <c r="R412" i="3" l="1"/>
  <c r="N413" i="4"/>
  <c r="H413" i="4"/>
  <c r="I413" i="4" s="1"/>
  <c r="L413" i="4" s="1"/>
  <c r="J409" i="20"/>
  <c r="Q410" i="4"/>
  <c r="K410" i="20"/>
  <c r="R411" i="4"/>
  <c r="C416" i="4"/>
  <c r="D416" i="4" s="1"/>
  <c r="P415" i="4"/>
  <c r="I415" i="20" s="1"/>
  <c r="G415" i="4"/>
  <c r="S409" i="4"/>
  <c r="L409" i="20" s="1"/>
  <c r="E414" i="4"/>
  <c r="J414" i="4"/>
  <c r="F414" i="4"/>
  <c r="N413" i="3"/>
  <c r="O413" i="3" s="1"/>
  <c r="K447" i="3"/>
  <c r="G448" i="3"/>
  <c r="H448" i="3" s="1"/>
  <c r="K411" i="4"/>
  <c r="R413" i="3" l="1"/>
  <c r="J410" i="20"/>
  <c r="Q411" i="4"/>
  <c r="S411" i="4" s="1"/>
  <c r="L411" i="20" s="1"/>
  <c r="S410" i="4"/>
  <c r="L410" i="20" s="1"/>
  <c r="N414" i="4"/>
  <c r="H414" i="4"/>
  <c r="I414" i="4" s="1"/>
  <c r="L414" i="4" s="1"/>
  <c r="F415" i="4"/>
  <c r="J415" i="4"/>
  <c r="E415" i="4"/>
  <c r="P416" i="4"/>
  <c r="I416" i="20" s="1"/>
  <c r="C417" i="4"/>
  <c r="D417" i="4" s="1"/>
  <c r="G416" i="4"/>
  <c r="K411" i="20"/>
  <c r="R412" i="4"/>
  <c r="N414" i="3"/>
  <c r="O414" i="3" s="1"/>
  <c r="K448" i="3"/>
  <c r="G449" i="3"/>
  <c r="H449" i="3" s="1"/>
  <c r="K412" i="4"/>
  <c r="R414" i="3" l="1"/>
  <c r="J411" i="20"/>
  <c r="Q412" i="4"/>
  <c r="S412" i="4" s="1"/>
  <c r="L412" i="20" s="1"/>
  <c r="K412" i="20"/>
  <c r="R413" i="4"/>
  <c r="F416" i="4"/>
  <c r="E416" i="4"/>
  <c r="J416" i="4"/>
  <c r="C418" i="4"/>
  <c r="D418" i="4" s="1"/>
  <c r="P417" i="4"/>
  <c r="I417" i="20" s="1"/>
  <c r="G417" i="4"/>
  <c r="H415" i="4"/>
  <c r="I415" i="4" s="1"/>
  <c r="L415" i="4" s="1"/>
  <c r="N415" i="4"/>
  <c r="N415" i="3"/>
  <c r="O415" i="3" s="1"/>
  <c r="K449" i="3"/>
  <c r="G450" i="3"/>
  <c r="H450" i="3" s="1"/>
  <c r="K413" i="4"/>
  <c r="R415" i="3" l="1"/>
  <c r="J417" i="4"/>
  <c r="F417" i="4"/>
  <c r="E417" i="4"/>
  <c r="P418" i="4"/>
  <c r="I418" i="20" s="1"/>
  <c r="C419" i="4"/>
  <c r="D419" i="4" s="1"/>
  <c r="G418" i="4"/>
  <c r="K413" i="20"/>
  <c r="R414" i="4"/>
  <c r="N416" i="4"/>
  <c r="H416" i="4"/>
  <c r="I416" i="4" s="1"/>
  <c r="L416" i="4" s="1"/>
  <c r="J412" i="20"/>
  <c r="Q413" i="4"/>
  <c r="S413" i="4" s="1"/>
  <c r="L413" i="20" s="1"/>
  <c r="N416" i="3"/>
  <c r="O416" i="3" s="1"/>
  <c r="K450" i="3"/>
  <c r="G451" i="3"/>
  <c r="H451" i="3" s="1"/>
  <c r="K414" i="4"/>
  <c r="R416" i="3" l="1"/>
  <c r="J413" i="20"/>
  <c r="Q414" i="4"/>
  <c r="S414" i="4" s="1"/>
  <c r="L414" i="20" s="1"/>
  <c r="H417" i="4"/>
  <c r="I417" i="4" s="1"/>
  <c r="L417" i="4" s="1"/>
  <c r="N417" i="4"/>
  <c r="K414" i="20"/>
  <c r="R415" i="4"/>
  <c r="C420" i="4"/>
  <c r="D420" i="4" s="1"/>
  <c r="P419" i="4"/>
  <c r="I419" i="20" s="1"/>
  <c r="G419" i="4"/>
  <c r="J418" i="4"/>
  <c r="E418" i="4"/>
  <c r="F418" i="4"/>
  <c r="K451" i="3"/>
  <c r="N417" i="3"/>
  <c r="O417" i="3" s="1"/>
  <c r="G452" i="3"/>
  <c r="H452" i="3" s="1"/>
  <c r="K415" i="4"/>
  <c r="R417" i="3" l="1"/>
  <c r="N418" i="4"/>
  <c r="H418" i="4"/>
  <c r="I418" i="4" s="1"/>
  <c r="L418" i="4" s="1"/>
  <c r="J414" i="20"/>
  <c r="Q415" i="4"/>
  <c r="S415" i="4" s="1"/>
  <c r="L415" i="20" s="1"/>
  <c r="K415" i="20"/>
  <c r="R416" i="4"/>
  <c r="F419" i="4"/>
  <c r="E419" i="4"/>
  <c r="J419" i="4"/>
  <c r="C421" i="4"/>
  <c r="D421" i="4" s="1"/>
  <c r="P420" i="4"/>
  <c r="I420" i="20" s="1"/>
  <c r="G420" i="4"/>
  <c r="K452" i="3"/>
  <c r="N418" i="3"/>
  <c r="O418" i="3" s="1"/>
  <c r="G453" i="3"/>
  <c r="H453" i="3" s="1"/>
  <c r="K416" i="4"/>
  <c r="R418" i="3" l="1"/>
  <c r="N419" i="4"/>
  <c r="H419" i="4"/>
  <c r="I419" i="4" s="1"/>
  <c r="L419" i="4" s="1"/>
  <c r="J415" i="20"/>
  <c r="Q416" i="4"/>
  <c r="F420" i="4"/>
  <c r="J420" i="4"/>
  <c r="E420" i="4"/>
  <c r="K416" i="20"/>
  <c r="R417" i="4"/>
  <c r="C422" i="4"/>
  <c r="D422" i="4" s="1"/>
  <c r="P421" i="4"/>
  <c r="I421" i="20" s="1"/>
  <c r="G421" i="4"/>
  <c r="K453" i="3"/>
  <c r="N419" i="3"/>
  <c r="O419" i="3" s="1"/>
  <c r="G454" i="3"/>
  <c r="H454" i="3" s="1"/>
  <c r="K417" i="4"/>
  <c r="R419" i="3" l="1"/>
  <c r="K417" i="20"/>
  <c r="R418" i="4"/>
  <c r="H420" i="4"/>
  <c r="I420" i="4" s="1"/>
  <c r="L420" i="4" s="1"/>
  <c r="N420" i="4"/>
  <c r="J416" i="20"/>
  <c r="Q417" i="4"/>
  <c r="S417" i="4" s="1"/>
  <c r="L417" i="20" s="1"/>
  <c r="S416" i="4"/>
  <c r="L416" i="20" s="1"/>
  <c r="F421" i="4"/>
  <c r="J421" i="4"/>
  <c r="E421" i="4"/>
  <c r="C423" i="4"/>
  <c r="D423" i="4" s="1"/>
  <c r="P422" i="4"/>
  <c r="I422" i="20" s="1"/>
  <c r="G422" i="4"/>
  <c r="K454" i="3"/>
  <c r="N420" i="3"/>
  <c r="O420" i="3" s="1"/>
  <c r="G455" i="3"/>
  <c r="H455" i="3" s="1"/>
  <c r="K418" i="4"/>
  <c r="R420" i="3" l="1"/>
  <c r="K418" i="20"/>
  <c r="R419" i="4"/>
  <c r="E422" i="4"/>
  <c r="J422" i="4"/>
  <c r="F422" i="4"/>
  <c r="C424" i="4"/>
  <c r="D424" i="4" s="1"/>
  <c r="P423" i="4"/>
  <c r="I423" i="20" s="1"/>
  <c r="G423" i="4"/>
  <c r="N421" i="4"/>
  <c r="H421" i="4"/>
  <c r="I421" i="4" s="1"/>
  <c r="L421" i="4" s="1"/>
  <c r="J417" i="20"/>
  <c r="Q418" i="4"/>
  <c r="S418" i="4" s="1"/>
  <c r="L418" i="20" s="1"/>
  <c r="N421" i="3"/>
  <c r="O421" i="3" s="1"/>
  <c r="K455" i="3"/>
  <c r="G456" i="3"/>
  <c r="H456" i="3" s="1"/>
  <c r="K419" i="4"/>
  <c r="R421" i="3" l="1"/>
  <c r="H422" i="4"/>
  <c r="I422" i="4" s="1"/>
  <c r="L422" i="4" s="1"/>
  <c r="N422" i="4"/>
  <c r="J418" i="20"/>
  <c r="Q419" i="4"/>
  <c r="F423" i="4"/>
  <c r="J423" i="4"/>
  <c r="E423" i="4"/>
  <c r="P424" i="4"/>
  <c r="I424" i="20" s="1"/>
  <c r="C425" i="4"/>
  <c r="D425" i="4" s="1"/>
  <c r="G424" i="4"/>
  <c r="K419" i="20"/>
  <c r="R420" i="4"/>
  <c r="K456" i="3"/>
  <c r="N422" i="3"/>
  <c r="O422" i="3" s="1"/>
  <c r="G458" i="3"/>
  <c r="H458" i="3" s="1"/>
  <c r="K420" i="4"/>
  <c r="R422" i="3" l="1"/>
  <c r="J419" i="20"/>
  <c r="Q420" i="4"/>
  <c r="S420" i="4" s="1"/>
  <c r="L420" i="20" s="1"/>
  <c r="E424" i="4"/>
  <c r="J424" i="4"/>
  <c r="F424" i="4"/>
  <c r="N423" i="4"/>
  <c r="H423" i="4"/>
  <c r="I423" i="4" s="1"/>
  <c r="L423" i="4" s="1"/>
  <c r="S419" i="4"/>
  <c r="L419" i="20" s="1"/>
  <c r="K420" i="20"/>
  <c r="R421" i="4"/>
  <c r="P425" i="4"/>
  <c r="I425" i="20" s="1"/>
  <c r="C426" i="4"/>
  <c r="D426" i="4" s="1"/>
  <c r="G425" i="4"/>
  <c r="N423" i="3"/>
  <c r="O423" i="3" s="1"/>
  <c r="K458" i="3"/>
  <c r="G459" i="3"/>
  <c r="H459" i="3" s="1"/>
  <c r="K421" i="4"/>
  <c r="R423" i="3" l="1"/>
  <c r="K421" i="20"/>
  <c r="R422" i="4"/>
  <c r="J420" i="20"/>
  <c r="Q421" i="4"/>
  <c r="S421" i="4" s="1"/>
  <c r="L421" i="20" s="1"/>
  <c r="C427" i="4"/>
  <c r="D427" i="4" s="1"/>
  <c r="P426" i="4"/>
  <c r="I426" i="20" s="1"/>
  <c r="G426" i="4"/>
  <c r="F425" i="4"/>
  <c r="J425" i="4"/>
  <c r="E425" i="4"/>
  <c r="N424" i="4"/>
  <c r="H424" i="4"/>
  <c r="I424" i="4" s="1"/>
  <c r="L424" i="4" s="1"/>
  <c r="N424" i="3"/>
  <c r="O424" i="3" s="1"/>
  <c r="K459" i="3"/>
  <c r="G460" i="3"/>
  <c r="H460" i="3" s="1"/>
  <c r="K422" i="4"/>
  <c r="R424" i="3" l="1"/>
  <c r="J426" i="4"/>
  <c r="E426" i="4"/>
  <c r="F426" i="4"/>
  <c r="C428" i="4"/>
  <c r="D428" i="4" s="1"/>
  <c r="P427" i="4"/>
  <c r="I427" i="20" s="1"/>
  <c r="G427" i="4"/>
  <c r="N425" i="4"/>
  <c r="H425" i="4"/>
  <c r="I425" i="4" s="1"/>
  <c r="L425" i="4" s="1"/>
  <c r="J421" i="20"/>
  <c r="Q422" i="4"/>
  <c r="S422" i="4" s="1"/>
  <c r="L422" i="20" s="1"/>
  <c r="K422" i="20"/>
  <c r="R423" i="4"/>
  <c r="K460" i="3"/>
  <c r="N425" i="3"/>
  <c r="O425" i="3" s="1"/>
  <c r="G461" i="3"/>
  <c r="H461" i="3" s="1"/>
  <c r="K423" i="4"/>
  <c r="R425" i="3" l="1"/>
  <c r="P428" i="4"/>
  <c r="I428" i="20" s="1"/>
  <c r="C429" i="4"/>
  <c r="D429" i="4" s="1"/>
  <c r="G428" i="4"/>
  <c r="N426" i="4"/>
  <c r="H426" i="4"/>
  <c r="I426" i="4" s="1"/>
  <c r="L426" i="4" s="1"/>
  <c r="J422" i="20"/>
  <c r="Q423" i="4"/>
  <c r="S423" i="4" s="1"/>
  <c r="L423" i="20" s="1"/>
  <c r="K423" i="20"/>
  <c r="R424" i="4"/>
  <c r="F427" i="4"/>
  <c r="E427" i="4"/>
  <c r="J427" i="4"/>
  <c r="N426" i="3"/>
  <c r="O426" i="3" s="1"/>
  <c r="K461" i="3"/>
  <c r="G462" i="3"/>
  <c r="H462" i="3" s="1"/>
  <c r="K424" i="4"/>
  <c r="R426" i="3" l="1"/>
  <c r="N427" i="4"/>
  <c r="H427" i="4"/>
  <c r="I427" i="4" s="1"/>
  <c r="L427" i="4" s="1"/>
  <c r="J423" i="20"/>
  <c r="Q424" i="4"/>
  <c r="S424" i="4" s="1"/>
  <c r="L424" i="20" s="1"/>
  <c r="C430" i="4"/>
  <c r="D430" i="4" s="1"/>
  <c r="P429" i="4"/>
  <c r="I429" i="20" s="1"/>
  <c r="G429" i="4"/>
  <c r="J428" i="4"/>
  <c r="F428" i="4"/>
  <c r="E428" i="4"/>
  <c r="K424" i="20"/>
  <c r="R425" i="4"/>
  <c r="K462" i="3"/>
  <c r="N427" i="3"/>
  <c r="O427" i="3" s="1"/>
  <c r="G463" i="3"/>
  <c r="H463" i="3" s="1"/>
  <c r="K425" i="4"/>
  <c r="R427" i="3" l="1"/>
  <c r="K425" i="20"/>
  <c r="R426" i="4"/>
  <c r="C431" i="4"/>
  <c r="D431" i="4" s="1"/>
  <c r="P430" i="4"/>
  <c r="I430" i="20" s="1"/>
  <c r="G430" i="4"/>
  <c r="F429" i="4"/>
  <c r="J429" i="4"/>
  <c r="E429" i="4"/>
  <c r="N428" i="4"/>
  <c r="H428" i="4"/>
  <c r="I428" i="4" s="1"/>
  <c r="L428" i="4" s="1"/>
  <c r="J424" i="20"/>
  <c r="Q425" i="4"/>
  <c r="S425" i="4" s="1"/>
  <c r="L425" i="20" s="1"/>
  <c r="K463" i="3"/>
  <c r="N428" i="3"/>
  <c r="O428" i="3" s="1"/>
  <c r="G464" i="3"/>
  <c r="H464" i="3" s="1"/>
  <c r="K426" i="4"/>
  <c r="R428" i="3" l="1"/>
  <c r="E430" i="4"/>
  <c r="J430" i="4"/>
  <c r="F430" i="4"/>
  <c r="C432" i="4"/>
  <c r="D432" i="4" s="1"/>
  <c r="P431" i="4"/>
  <c r="I431" i="20" s="1"/>
  <c r="G431" i="4"/>
  <c r="J425" i="20"/>
  <c r="Q426" i="4"/>
  <c r="S426" i="4" s="1"/>
  <c r="L426" i="20" s="1"/>
  <c r="N429" i="4"/>
  <c r="H429" i="4"/>
  <c r="I429" i="4" s="1"/>
  <c r="L429" i="4" s="1"/>
  <c r="K426" i="20"/>
  <c r="R427" i="4"/>
  <c r="K464" i="3"/>
  <c r="N429" i="3"/>
  <c r="O429" i="3" s="1"/>
  <c r="G465" i="3"/>
  <c r="H465" i="3" s="1"/>
  <c r="K427" i="4"/>
  <c r="R429" i="3" l="1"/>
  <c r="F431" i="4"/>
  <c r="J431" i="4"/>
  <c r="E431" i="4"/>
  <c r="C433" i="4"/>
  <c r="D433" i="4" s="1"/>
  <c r="P432" i="4"/>
  <c r="I432" i="20" s="1"/>
  <c r="G432" i="4"/>
  <c r="N430" i="4"/>
  <c r="H430" i="4"/>
  <c r="I430" i="4" s="1"/>
  <c r="L430" i="4" s="1"/>
  <c r="K427" i="20"/>
  <c r="R428" i="4"/>
  <c r="J426" i="20"/>
  <c r="Q427" i="4"/>
  <c r="S427" i="4" s="1"/>
  <c r="L427" i="20" s="1"/>
  <c r="K465" i="3"/>
  <c r="N430" i="3"/>
  <c r="O430" i="3" s="1"/>
  <c r="G466" i="3"/>
  <c r="H466" i="3" s="1"/>
  <c r="K428" i="4"/>
  <c r="R430" i="3" l="1"/>
  <c r="H431" i="4"/>
  <c r="I431" i="4" s="1"/>
  <c r="L431" i="4" s="1"/>
  <c r="N431" i="4"/>
  <c r="J427" i="20"/>
  <c r="Q428" i="4"/>
  <c r="C434" i="4"/>
  <c r="D434" i="4" s="1"/>
  <c r="P433" i="4"/>
  <c r="I433" i="20" s="1"/>
  <c r="G433" i="4"/>
  <c r="K428" i="20"/>
  <c r="R429" i="4"/>
  <c r="E432" i="4"/>
  <c r="F432" i="4"/>
  <c r="J432" i="4"/>
  <c r="N431" i="3"/>
  <c r="O431" i="3" s="1"/>
  <c r="K466" i="3"/>
  <c r="G467" i="3"/>
  <c r="H467" i="3" s="1"/>
  <c r="K429" i="4"/>
  <c r="R431" i="3" l="1"/>
  <c r="F433" i="4"/>
  <c r="J433" i="4"/>
  <c r="E433" i="4"/>
  <c r="P434" i="4"/>
  <c r="I434" i="20" s="1"/>
  <c r="C435" i="4"/>
  <c r="D435" i="4" s="1"/>
  <c r="G434" i="4"/>
  <c r="H432" i="4"/>
  <c r="I432" i="4" s="1"/>
  <c r="L432" i="4" s="1"/>
  <c r="N432" i="4"/>
  <c r="J428" i="20"/>
  <c r="Q429" i="4"/>
  <c r="S429" i="4" s="1"/>
  <c r="L429" i="20" s="1"/>
  <c r="S428" i="4"/>
  <c r="L428" i="20" s="1"/>
  <c r="K429" i="20"/>
  <c r="R430" i="4"/>
  <c r="K467" i="3"/>
  <c r="N432" i="3"/>
  <c r="O432" i="3" s="1"/>
  <c r="G468" i="3"/>
  <c r="H468" i="3" s="1"/>
  <c r="K430" i="4"/>
  <c r="R432" i="3" l="1"/>
  <c r="K430" i="20"/>
  <c r="R431" i="4"/>
  <c r="H433" i="4"/>
  <c r="I433" i="4" s="1"/>
  <c r="L433" i="4" s="1"/>
  <c r="N433" i="4"/>
  <c r="C436" i="4"/>
  <c r="D436" i="4" s="1"/>
  <c r="P435" i="4"/>
  <c r="I435" i="20" s="1"/>
  <c r="G435" i="4"/>
  <c r="J429" i="20"/>
  <c r="Q430" i="4"/>
  <c r="S430" i="4" s="1"/>
  <c r="L430" i="20" s="1"/>
  <c r="J434" i="4"/>
  <c r="F434" i="4"/>
  <c r="E434" i="4"/>
  <c r="K468" i="3"/>
  <c r="N433" i="3"/>
  <c r="O433" i="3" s="1"/>
  <c r="G469" i="3"/>
  <c r="H469" i="3" s="1"/>
  <c r="K431" i="4"/>
  <c r="R433" i="3" l="1"/>
  <c r="P436" i="4"/>
  <c r="I436" i="20" s="1"/>
  <c r="C437" i="4"/>
  <c r="D437" i="4" s="1"/>
  <c r="G436" i="4"/>
  <c r="K431" i="20"/>
  <c r="R432" i="4"/>
  <c r="J430" i="20"/>
  <c r="Q431" i="4"/>
  <c r="S431" i="4" s="1"/>
  <c r="L431" i="20" s="1"/>
  <c r="F435" i="4"/>
  <c r="E435" i="4"/>
  <c r="J435" i="4"/>
  <c r="N434" i="4"/>
  <c r="H434" i="4"/>
  <c r="I434" i="4" s="1"/>
  <c r="L434" i="4" s="1"/>
  <c r="K469" i="3"/>
  <c r="N434" i="3"/>
  <c r="O434" i="3" s="1"/>
  <c r="G471" i="3"/>
  <c r="H471" i="3" s="1"/>
  <c r="K432" i="4"/>
  <c r="R434" i="3" l="1"/>
  <c r="J431" i="20"/>
  <c r="Q432" i="4"/>
  <c r="S432" i="4" s="1"/>
  <c r="L432" i="20" s="1"/>
  <c r="J436" i="4"/>
  <c r="F436" i="4"/>
  <c r="E436" i="4"/>
  <c r="K432" i="20"/>
  <c r="R433" i="4"/>
  <c r="C438" i="4"/>
  <c r="D438" i="4" s="1"/>
  <c r="P437" i="4"/>
  <c r="I437" i="20" s="1"/>
  <c r="G437" i="4"/>
  <c r="N435" i="4"/>
  <c r="H435" i="4"/>
  <c r="I435" i="4" s="1"/>
  <c r="L435" i="4" s="1"/>
  <c r="N435" i="3"/>
  <c r="O435" i="3" s="1"/>
  <c r="K471" i="3"/>
  <c r="G472" i="3"/>
  <c r="H472" i="3" s="1"/>
  <c r="K433" i="4"/>
  <c r="R435" i="3" l="1"/>
  <c r="P438" i="4"/>
  <c r="I438" i="20" s="1"/>
  <c r="C439" i="4"/>
  <c r="D439" i="4" s="1"/>
  <c r="G438" i="4"/>
  <c r="K433" i="20"/>
  <c r="R434" i="4"/>
  <c r="F437" i="4"/>
  <c r="J437" i="4"/>
  <c r="E437" i="4"/>
  <c r="J432" i="20"/>
  <c r="Q433" i="4"/>
  <c r="S433" i="4" s="1"/>
  <c r="L433" i="20" s="1"/>
  <c r="H436" i="4"/>
  <c r="I436" i="4" s="1"/>
  <c r="L436" i="4" s="1"/>
  <c r="N436" i="4"/>
  <c r="G473" i="3"/>
  <c r="H473" i="3" s="1"/>
  <c r="N436" i="3"/>
  <c r="O436" i="3" s="1"/>
  <c r="K472" i="3"/>
  <c r="K434" i="4"/>
  <c r="R436" i="3" l="1"/>
  <c r="K434" i="20"/>
  <c r="R435" i="4"/>
  <c r="N437" i="4"/>
  <c r="H437" i="4"/>
  <c r="I437" i="4" s="1"/>
  <c r="L437" i="4" s="1"/>
  <c r="E438" i="4"/>
  <c r="J438" i="4"/>
  <c r="F438" i="4"/>
  <c r="J433" i="20"/>
  <c r="Q434" i="4"/>
  <c r="S434" i="4" s="1"/>
  <c r="L434" i="20" s="1"/>
  <c r="C440" i="4"/>
  <c r="D440" i="4" s="1"/>
  <c r="P439" i="4"/>
  <c r="I439" i="20" s="1"/>
  <c r="G439" i="4"/>
  <c r="K473" i="3"/>
  <c r="N437" i="3"/>
  <c r="O437" i="3" s="1"/>
  <c r="G474" i="3"/>
  <c r="H474" i="3" s="1"/>
  <c r="K435" i="4"/>
  <c r="R437" i="3" l="1"/>
  <c r="J434" i="20"/>
  <c r="Q435" i="4"/>
  <c r="H438" i="4"/>
  <c r="I438" i="4" s="1"/>
  <c r="L438" i="4" s="1"/>
  <c r="N438" i="4"/>
  <c r="F439" i="4"/>
  <c r="J439" i="4"/>
  <c r="E439" i="4"/>
  <c r="P440" i="4"/>
  <c r="I440" i="20" s="1"/>
  <c r="C441" i="4"/>
  <c r="D441" i="4" s="1"/>
  <c r="G440" i="4"/>
  <c r="K435" i="20"/>
  <c r="R436" i="4"/>
  <c r="N438" i="3"/>
  <c r="O438" i="3" s="1"/>
  <c r="K474" i="3"/>
  <c r="G475" i="3"/>
  <c r="H475" i="3" s="1"/>
  <c r="K436" i="4"/>
  <c r="R438" i="3" l="1"/>
  <c r="J435" i="20"/>
  <c r="Q436" i="4"/>
  <c r="S436" i="4" s="1"/>
  <c r="L436" i="20" s="1"/>
  <c r="F440" i="4"/>
  <c r="E440" i="4"/>
  <c r="J440" i="4"/>
  <c r="C442" i="4"/>
  <c r="D442" i="4" s="1"/>
  <c r="P441" i="4"/>
  <c r="I441" i="20" s="1"/>
  <c r="G441" i="4"/>
  <c r="N439" i="4"/>
  <c r="H439" i="4"/>
  <c r="I439" i="4" s="1"/>
  <c r="L439" i="4" s="1"/>
  <c r="S435" i="4"/>
  <c r="L435" i="20" s="1"/>
  <c r="K436" i="20"/>
  <c r="R437" i="4"/>
  <c r="G476" i="3"/>
  <c r="H476" i="3" s="1"/>
  <c r="K475" i="3"/>
  <c r="N439" i="3"/>
  <c r="O439" i="3" s="1"/>
  <c r="K437" i="4"/>
  <c r="R439" i="3" l="1"/>
  <c r="J441" i="4"/>
  <c r="F441" i="4"/>
  <c r="E441" i="4"/>
  <c r="N440" i="4"/>
  <c r="H440" i="4"/>
  <c r="I440" i="4" s="1"/>
  <c r="L440" i="4" s="1"/>
  <c r="J436" i="20"/>
  <c r="Q437" i="4"/>
  <c r="S437" i="4" s="1"/>
  <c r="L437" i="20" s="1"/>
  <c r="K437" i="20"/>
  <c r="R438" i="4"/>
  <c r="P442" i="4"/>
  <c r="I442" i="20" s="1"/>
  <c r="C443" i="4"/>
  <c r="D443" i="4" s="1"/>
  <c r="G442" i="4"/>
  <c r="K476" i="3"/>
  <c r="N440" i="3"/>
  <c r="O440" i="3" s="1"/>
  <c r="G477" i="3"/>
  <c r="H477" i="3" s="1"/>
  <c r="K438" i="4"/>
  <c r="R440" i="3" l="1"/>
  <c r="K438" i="20"/>
  <c r="R439" i="4"/>
  <c r="N441" i="4"/>
  <c r="H441" i="4"/>
  <c r="I441" i="4" s="1"/>
  <c r="L441" i="4" s="1"/>
  <c r="C444" i="4"/>
  <c r="D444" i="4" s="1"/>
  <c r="P443" i="4"/>
  <c r="I443" i="20" s="1"/>
  <c r="G443" i="4"/>
  <c r="J437" i="20"/>
  <c r="Q438" i="4"/>
  <c r="S438" i="4" s="1"/>
  <c r="L438" i="20" s="1"/>
  <c r="J442" i="4"/>
  <c r="E442" i="4"/>
  <c r="F442" i="4"/>
  <c r="N441" i="3"/>
  <c r="O441" i="3" s="1"/>
  <c r="K477" i="3"/>
  <c r="G478" i="3"/>
  <c r="H478" i="3" s="1"/>
  <c r="K439" i="4"/>
  <c r="R441" i="3" l="1"/>
  <c r="J438" i="20"/>
  <c r="Q439" i="4"/>
  <c r="S439" i="4" s="1"/>
  <c r="L439" i="20" s="1"/>
  <c r="K439" i="20"/>
  <c r="R440" i="4"/>
  <c r="N442" i="4"/>
  <c r="H442" i="4"/>
  <c r="I442" i="4" s="1"/>
  <c r="L442" i="4" s="1"/>
  <c r="F443" i="4"/>
  <c r="E443" i="4"/>
  <c r="J443" i="4"/>
  <c r="C445" i="4"/>
  <c r="D445" i="4" s="1"/>
  <c r="P444" i="4"/>
  <c r="I444" i="20" s="1"/>
  <c r="G444" i="4"/>
  <c r="G479" i="3"/>
  <c r="H479" i="3" s="1"/>
  <c r="N442" i="3"/>
  <c r="O442" i="3" s="1"/>
  <c r="K478" i="3"/>
  <c r="K440" i="4"/>
  <c r="R442" i="3" l="1"/>
  <c r="N443" i="4"/>
  <c r="H443" i="4"/>
  <c r="I443" i="4" s="1"/>
  <c r="L443" i="4" s="1"/>
  <c r="K440" i="20"/>
  <c r="R441" i="4"/>
  <c r="J444" i="4"/>
  <c r="F444" i="4"/>
  <c r="E444" i="4"/>
  <c r="P445" i="4"/>
  <c r="I445" i="20" s="1"/>
  <c r="C446" i="4"/>
  <c r="D446" i="4" s="1"/>
  <c r="G445" i="4"/>
  <c r="J439" i="20"/>
  <c r="Q440" i="4"/>
  <c r="S440" i="4" s="1"/>
  <c r="L440" i="20" s="1"/>
  <c r="N443" i="3"/>
  <c r="O443" i="3" s="1"/>
  <c r="K479" i="3"/>
  <c r="G480" i="3"/>
  <c r="H480" i="3" s="1"/>
  <c r="K441" i="4"/>
  <c r="R443" i="3" l="1"/>
  <c r="F445" i="4"/>
  <c r="J445" i="4"/>
  <c r="E445" i="4"/>
  <c r="N444" i="4"/>
  <c r="H444" i="4"/>
  <c r="I444" i="4" s="1"/>
  <c r="L444" i="4" s="1"/>
  <c r="J440" i="20"/>
  <c r="Q441" i="4"/>
  <c r="S441" i="4" s="1"/>
  <c r="L441" i="20" s="1"/>
  <c r="K441" i="20"/>
  <c r="R442" i="4"/>
  <c r="C447" i="4"/>
  <c r="D447" i="4" s="1"/>
  <c r="P446" i="4"/>
  <c r="I446" i="20" s="1"/>
  <c r="G446" i="4"/>
  <c r="K480" i="3"/>
  <c r="N444" i="3"/>
  <c r="O444" i="3" s="1"/>
  <c r="G481" i="3"/>
  <c r="H481" i="3" s="1"/>
  <c r="K442" i="4"/>
  <c r="R444" i="3" l="1"/>
  <c r="K442" i="20"/>
  <c r="R443" i="4"/>
  <c r="N445" i="4"/>
  <c r="H445" i="4"/>
  <c r="I445" i="4" s="1"/>
  <c r="L445" i="4" s="1"/>
  <c r="J441" i="20"/>
  <c r="Q442" i="4"/>
  <c r="S442" i="4" s="1"/>
  <c r="L442" i="20" s="1"/>
  <c r="E446" i="4"/>
  <c r="J446" i="4"/>
  <c r="F446" i="4"/>
  <c r="C448" i="4"/>
  <c r="D448" i="4" s="1"/>
  <c r="P447" i="4"/>
  <c r="I447" i="20" s="1"/>
  <c r="G447" i="4"/>
  <c r="N445" i="3"/>
  <c r="O445" i="3" s="1"/>
  <c r="K481" i="3"/>
  <c r="G482" i="3"/>
  <c r="H482" i="3" s="1"/>
  <c r="K443" i="4"/>
  <c r="R445" i="3" l="1"/>
  <c r="N446" i="4"/>
  <c r="H446" i="4"/>
  <c r="I446" i="4" s="1"/>
  <c r="L446" i="4" s="1"/>
  <c r="F447" i="4"/>
  <c r="J447" i="4"/>
  <c r="E447" i="4"/>
  <c r="P448" i="4"/>
  <c r="I448" i="20" s="1"/>
  <c r="C449" i="4"/>
  <c r="D449" i="4" s="1"/>
  <c r="G448" i="4"/>
  <c r="J442" i="20"/>
  <c r="Q443" i="4"/>
  <c r="K443" i="20"/>
  <c r="R444" i="4"/>
  <c r="K482" i="3"/>
  <c r="N446" i="3"/>
  <c r="O446" i="3" s="1"/>
  <c r="G484" i="3"/>
  <c r="H484" i="3" s="1"/>
  <c r="K444" i="4"/>
  <c r="R446" i="3" l="1"/>
  <c r="H447" i="4"/>
  <c r="I447" i="4" s="1"/>
  <c r="L447" i="4" s="1"/>
  <c r="N447" i="4"/>
  <c r="P449" i="4"/>
  <c r="I449" i="20" s="1"/>
  <c r="C450" i="4"/>
  <c r="D450" i="4" s="1"/>
  <c r="G449" i="4"/>
  <c r="J443" i="20"/>
  <c r="Q444" i="4"/>
  <c r="S444" i="4" s="1"/>
  <c r="L444" i="20" s="1"/>
  <c r="S443" i="4"/>
  <c r="L443" i="20" s="1"/>
  <c r="K444" i="20"/>
  <c r="R445" i="4"/>
  <c r="F448" i="4"/>
  <c r="E448" i="4"/>
  <c r="J448" i="4"/>
  <c r="K484" i="3"/>
  <c r="N447" i="3"/>
  <c r="O447" i="3" s="1"/>
  <c r="G485" i="3"/>
  <c r="H485" i="3" s="1"/>
  <c r="K445" i="4"/>
  <c r="R447" i="3" l="1"/>
  <c r="J444" i="20"/>
  <c r="Q445" i="4"/>
  <c r="S445" i="4" s="1"/>
  <c r="L445" i="20" s="1"/>
  <c r="F449" i="4"/>
  <c r="J449" i="4"/>
  <c r="E449" i="4"/>
  <c r="K445" i="20"/>
  <c r="R446" i="4"/>
  <c r="C451" i="4"/>
  <c r="D451" i="4" s="1"/>
  <c r="P450" i="4"/>
  <c r="I450" i="20" s="1"/>
  <c r="G450" i="4"/>
  <c r="N448" i="4"/>
  <c r="H448" i="4"/>
  <c r="I448" i="4" s="1"/>
  <c r="L448" i="4" s="1"/>
  <c r="K485" i="3"/>
  <c r="N448" i="3"/>
  <c r="O448" i="3" s="1"/>
  <c r="G486" i="3"/>
  <c r="H486" i="3" s="1"/>
  <c r="K446" i="4"/>
  <c r="R448" i="3" l="1"/>
  <c r="K446" i="20"/>
  <c r="R447" i="4"/>
  <c r="J445" i="20"/>
  <c r="Q446" i="4"/>
  <c r="S446" i="4" s="1"/>
  <c r="L446" i="20" s="1"/>
  <c r="C452" i="4"/>
  <c r="D452" i="4" s="1"/>
  <c r="P451" i="4"/>
  <c r="I451" i="20" s="1"/>
  <c r="G451" i="4"/>
  <c r="H449" i="4"/>
  <c r="I449" i="4" s="1"/>
  <c r="L449" i="4" s="1"/>
  <c r="N449" i="4"/>
  <c r="J450" i="4"/>
  <c r="E450" i="4"/>
  <c r="F450" i="4"/>
  <c r="K486" i="3"/>
  <c r="N449" i="3"/>
  <c r="O449" i="3" s="1"/>
  <c r="G487" i="3"/>
  <c r="H487" i="3" s="1"/>
  <c r="K447" i="4"/>
  <c r="R449" i="3" l="1"/>
  <c r="N450" i="4"/>
  <c r="H450" i="4"/>
  <c r="I450" i="4" s="1"/>
  <c r="L450" i="4" s="1"/>
  <c r="F451" i="4"/>
  <c r="E451" i="4"/>
  <c r="J451" i="4"/>
  <c r="C453" i="4"/>
  <c r="D453" i="4" s="1"/>
  <c r="P452" i="4"/>
  <c r="I452" i="20" s="1"/>
  <c r="G452" i="4"/>
  <c r="J446" i="20"/>
  <c r="Q447" i="4"/>
  <c r="S447" i="4" s="1"/>
  <c r="L447" i="20" s="1"/>
  <c r="K447" i="20"/>
  <c r="R448" i="4"/>
  <c r="K487" i="3"/>
  <c r="N450" i="3"/>
  <c r="O450" i="3" s="1"/>
  <c r="G488" i="3"/>
  <c r="H488" i="3" s="1"/>
  <c r="K448" i="4"/>
  <c r="R450" i="3" l="1"/>
  <c r="C454" i="4"/>
  <c r="D454" i="4" s="1"/>
  <c r="P453" i="4"/>
  <c r="I453" i="20" s="1"/>
  <c r="G453" i="4"/>
  <c r="F452" i="4"/>
  <c r="J452" i="4"/>
  <c r="E452" i="4"/>
  <c r="K448" i="20"/>
  <c r="R449" i="4"/>
  <c r="J447" i="20"/>
  <c r="Q448" i="4"/>
  <c r="S448" i="4" s="1"/>
  <c r="L448" i="20" s="1"/>
  <c r="N451" i="4"/>
  <c r="H451" i="4"/>
  <c r="I451" i="4" s="1"/>
  <c r="L451" i="4" s="1"/>
  <c r="K488" i="3"/>
  <c r="N451" i="3"/>
  <c r="O451" i="3" s="1"/>
  <c r="G489" i="3"/>
  <c r="H489" i="3" s="1"/>
  <c r="K449" i="4"/>
  <c r="R451" i="3" l="1"/>
  <c r="C455" i="4"/>
  <c r="D455" i="4" s="1"/>
  <c r="P454" i="4"/>
  <c r="I454" i="20" s="1"/>
  <c r="G454" i="4"/>
  <c r="F453" i="4"/>
  <c r="J453" i="4"/>
  <c r="E453" i="4"/>
  <c r="J448" i="20"/>
  <c r="Q449" i="4"/>
  <c r="S449" i="4" s="1"/>
  <c r="L449" i="20" s="1"/>
  <c r="K449" i="20"/>
  <c r="R450" i="4"/>
  <c r="H452" i="4"/>
  <c r="I452" i="4" s="1"/>
  <c r="L452" i="4" s="1"/>
  <c r="N452" i="4"/>
  <c r="K489" i="3"/>
  <c r="N452" i="3"/>
  <c r="O452" i="3" s="1"/>
  <c r="G490" i="3"/>
  <c r="H490" i="3" s="1"/>
  <c r="K450" i="4"/>
  <c r="R452" i="3" l="1"/>
  <c r="N453" i="4"/>
  <c r="H453" i="4"/>
  <c r="I453" i="4" s="1"/>
  <c r="L453" i="4" s="1"/>
  <c r="K450" i="20"/>
  <c r="R451" i="4"/>
  <c r="E454" i="4"/>
  <c r="J454" i="4"/>
  <c r="F454" i="4"/>
  <c r="C456" i="4"/>
  <c r="D456" i="4" s="1"/>
  <c r="P455" i="4"/>
  <c r="I455" i="20" s="1"/>
  <c r="G455" i="4"/>
  <c r="J449" i="20"/>
  <c r="Q450" i="4"/>
  <c r="S450" i="4" s="1"/>
  <c r="L450" i="20" s="1"/>
  <c r="K490" i="3"/>
  <c r="N453" i="3"/>
  <c r="O453" i="3" s="1"/>
  <c r="G491" i="3"/>
  <c r="H491" i="3" s="1"/>
  <c r="K451" i="4"/>
  <c r="R453" i="3" l="1"/>
  <c r="H454" i="4"/>
  <c r="I454" i="4" s="1"/>
  <c r="L454" i="4" s="1"/>
  <c r="N454" i="4"/>
  <c r="J450" i="20"/>
  <c r="Q451" i="4"/>
  <c r="S451" i="4" s="1"/>
  <c r="L451" i="20" s="1"/>
  <c r="C457" i="4"/>
  <c r="D457" i="4" s="1"/>
  <c r="P456" i="4"/>
  <c r="I456" i="20" s="1"/>
  <c r="G456" i="4"/>
  <c r="K451" i="20"/>
  <c r="R452" i="4"/>
  <c r="F455" i="4"/>
  <c r="J455" i="4"/>
  <c r="E455" i="4"/>
  <c r="K491" i="3"/>
  <c r="N454" i="3"/>
  <c r="O454" i="3" s="1"/>
  <c r="G492" i="3"/>
  <c r="H492" i="3" s="1"/>
  <c r="K452" i="4"/>
  <c r="R454" i="3" l="1"/>
  <c r="F456" i="4"/>
  <c r="E456" i="4"/>
  <c r="J456" i="4"/>
  <c r="J451" i="20"/>
  <c r="Q452" i="4"/>
  <c r="S452" i="4" s="1"/>
  <c r="L452" i="20" s="1"/>
  <c r="N455" i="4"/>
  <c r="H455" i="4"/>
  <c r="I455" i="4" s="1"/>
  <c r="L455" i="4" s="1"/>
  <c r="C458" i="4"/>
  <c r="D458" i="4" s="1"/>
  <c r="P457" i="4"/>
  <c r="I457" i="20" s="1"/>
  <c r="G457" i="4"/>
  <c r="K452" i="20"/>
  <c r="R453" i="4"/>
  <c r="N455" i="3"/>
  <c r="O455" i="3" s="1"/>
  <c r="K492" i="3"/>
  <c r="G493" i="3"/>
  <c r="H493" i="3" s="1"/>
  <c r="K453" i="4"/>
  <c r="R455" i="3" l="1"/>
  <c r="C459" i="4"/>
  <c r="D459" i="4" s="1"/>
  <c r="P458" i="4"/>
  <c r="I458" i="20" s="1"/>
  <c r="G458" i="4"/>
  <c r="J452" i="20"/>
  <c r="Q453" i="4"/>
  <c r="S453" i="4" s="1"/>
  <c r="L453" i="20" s="1"/>
  <c r="F457" i="4"/>
  <c r="J457" i="4"/>
  <c r="E457" i="4"/>
  <c r="N456" i="4"/>
  <c r="H456" i="4"/>
  <c r="I456" i="4" s="1"/>
  <c r="L456" i="4" s="1"/>
  <c r="K453" i="20"/>
  <c r="R454" i="4"/>
  <c r="N456" i="3"/>
  <c r="O456" i="3" s="1"/>
  <c r="K493" i="3"/>
  <c r="G494" i="3"/>
  <c r="H494" i="3" s="1"/>
  <c r="K454" i="4"/>
  <c r="R456" i="3" l="1"/>
  <c r="J453" i="20"/>
  <c r="Q454" i="4"/>
  <c r="S454" i="4" s="1"/>
  <c r="L454" i="20" s="1"/>
  <c r="K454" i="20"/>
  <c r="R455" i="4"/>
  <c r="N457" i="4"/>
  <c r="H457" i="4"/>
  <c r="I457" i="4" s="1"/>
  <c r="L457" i="4" s="1"/>
  <c r="J458" i="4"/>
  <c r="E458" i="4"/>
  <c r="F458" i="4"/>
  <c r="P459" i="4"/>
  <c r="I459" i="20" s="1"/>
  <c r="C460" i="4"/>
  <c r="D460" i="4" s="1"/>
  <c r="G459" i="4"/>
  <c r="N457" i="3"/>
  <c r="O457" i="3" s="1"/>
  <c r="K494" i="3"/>
  <c r="G495" i="3"/>
  <c r="H495" i="3" s="1"/>
  <c r="K455" i="4"/>
  <c r="R457" i="3" l="1"/>
  <c r="C461" i="4"/>
  <c r="D461" i="4" s="1"/>
  <c r="P460" i="4"/>
  <c r="I460" i="20" s="1"/>
  <c r="G460" i="4"/>
  <c r="N458" i="4"/>
  <c r="H458" i="4"/>
  <c r="I458" i="4" s="1"/>
  <c r="L458" i="4" s="1"/>
  <c r="K455" i="20"/>
  <c r="R456" i="4"/>
  <c r="F459" i="4"/>
  <c r="E459" i="4"/>
  <c r="J459" i="4"/>
  <c r="J454" i="20"/>
  <c r="Q455" i="4"/>
  <c r="S455" i="4" s="1"/>
  <c r="L455" i="20" s="1"/>
  <c r="K495" i="3"/>
  <c r="N458" i="3"/>
  <c r="O458" i="3" s="1"/>
  <c r="G497" i="3"/>
  <c r="H497" i="3" s="1"/>
  <c r="K456" i="4"/>
  <c r="R458" i="3" l="1"/>
  <c r="P461" i="4"/>
  <c r="I461" i="20" s="1"/>
  <c r="C462" i="4"/>
  <c r="D462" i="4" s="1"/>
  <c r="G461" i="4"/>
  <c r="N459" i="4"/>
  <c r="H459" i="4"/>
  <c r="I459" i="4" s="1"/>
  <c r="L459" i="4" s="1"/>
  <c r="J460" i="4"/>
  <c r="F460" i="4"/>
  <c r="E460" i="4"/>
  <c r="K456" i="20"/>
  <c r="R457" i="4"/>
  <c r="J455" i="20"/>
  <c r="Q456" i="4"/>
  <c r="S456" i="4" s="1"/>
  <c r="L456" i="20" s="1"/>
  <c r="K497" i="3"/>
  <c r="N459" i="3"/>
  <c r="O459" i="3" s="1"/>
  <c r="G498" i="3"/>
  <c r="H498" i="3" s="1"/>
  <c r="K457" i="4"/>
  <c r="R459" i="3" l="1"/>
  <c r="F461" i="4"/>
  <c r="J461" i="4"/>
  <c r="E461" i="4"/>
  <c r="K457" i="20"/>
  <c r="R458" i="4"/>
  <c r="P462" i="4"/>
  <c r="I462" i="20" s="1"/>
  <c r="C463" i="4"/>
  <c r="D463" i="4" s="1"/>
  <c r="G462" i="4"/>
  <c r="J456" i="20"/>
  <c r="Q457" i="4"/>
  <c r="S457" i="4" s="1"/>
  <c r="L457" i="20" s="1"/>
  <c r="N460" i="4"/>
  <c r="H460" i="4"/>
  <c r="I460" i="4" s="1"/>
  <c r="L460" i="4" s="1"/>
  <c r="K498" i="3"/>
  <c r="N460" i="3"/>
  <c r="O460" i="3" s="1"/>
  <c r="G499" i="3"/>
  <c r="H499" i="3" s="1"/>
  <c r="K458" i="4"/>
  <c r="R460" i="3" l="1"/>
  <c r="N461" i="4"/>
  <c r="H461" i="4"/>
  <c r="I461" i="4" s="1"/>
  <c r="L461" i="4" s="1"/>
  <c r="J457" i="20"/>
  <c r="Q458" i="4"/>
  <c r="S458" i="4" s="1"/>
  <c r="L458" i="20" s="1"/>
  <c r="E462" i="4"/>
  <c r="F462" i="4"/>
  <c r="J462" i="4"/>
  <c r="K458" i="20"/>
  <c r="R459" i="4"/>
  <c r="P463" i="4"/>
  <c r="I463" i="20" s="1"/>
  <c r="C464" i="4"/>
  <c r="D464" i="4" s="1"/>
  <c r="G463" i="4"/>
  <c r="N461" i="3"/>
  <c r="O461" i="3" s="1"/>
  <c r="K499" i="3"/>
  <c r="G500" i="3"/>
  <c r="H500" i="3" s="1"/>
  <c r="K459" i="4"/>
  <c r="R461" i="3" l="1"/>
  <c r="C465" i="4"/>
  <c r="D465" i="4" s="1"/>
  <c r="P464" i="4"/>
  <c r="I464" i="20" s="1"/>
  <c r="G464" i="4"/>
  <c r="K459" i="20"/>
  <c r="R460" i="4"/>
  <c r="N462" i="4"/>
  <c r="H462" i="4"/>
  <c r="I462" i="4" s="1"/>
  <c r="L462" i="4" s="1"/>
  <c r="J458" i="20"/>
  <c r="Q459" i="4"/>
  <c r="S459" i="4" s="1"/>
  <c r="L459" i="20" s="1"/>
  <c r="F463" i="4"/>
  <c r="J463" i="4"/>
  <c r="E463" i="4"/>
  <c r="K500" i="3"/>
  <c r="N462" i="3"/>
  <c r="O462" i="3" s="1"/>
  <c r="G501" i="3"/>
  <c r="H501" i="3" s="1"/>
  <c r="K460" i="4"/>
  <c r="J459" i="20" l="1"/>
  <c r="Q460" i="4"/>
  <c r="S460" i="4" s="1"/>
  <c r="L460" i="20" s="1"/>
  <c r="K460" i="20"/>
  <c r="R461" i="4"/>
  <c r="E464" i="4"/>
  <c r="F464" i="4"/>
  <c r="J464" i="4"/>
  <c r="P465" i="4"/>
  <c r="I465" i="20" s="1"/>
  <c r="C466" i="4"/>
  <c r="D466" i="4" s="1"/>
  <c r="G465" i="4"/>
  <c r="H463" i="4"/>
  <c r="I463" i="4" s="1"/>
  <c r="L463" i="4" s="1"/>
  <c r="N463" i="4"/>
  <c r="N463" i="3"/>
  <c r="O463" i="3" s="1"/>
  <c r="K501" i="3"/>
  <c r="G502" i="3"/>
  <c r="H502" i="3" s="1"/>
  <c r="K461" i="4"/>
  <c r="R462" i="3" l="1"/>
  <c r="C467" i="4"/>
  <c r="D467" i="4" s="1"/>
  <c r="P466" i="4"/>
  <c r="I466" i="20" s="1"/>
  <c r="G466" i="4"/>
  <c r="J460" i="20"/>
  <c r="Q461" i="4"/>
  <c r="S461" i="4" s="1"/>
  <c r="L461" i="20" s="1"/>
  <c r="H464" i="4"/>
  <c r="I464" i="4" s="1"/>
  <c r="L464" i="4" s="1"/>
  <c r="N464" i="4"/>
  <c r="F465" i="4"/>
  <c r="J465" i="4"/>
  <c r="E465" i="4"/>
  <c r="K461" i="20"/>
  <c r="R462" i="4"/>
  <c r="N464" i="3"/>
  <c r="O464" i="3" s="1"/>
  <c r="K502" i="3"/>
  <c r="G503" i="3"/>
  <c r="H503" i="3" s="1"/>
  <c r="K462" i="4"/>
  <c r="R463" i="3" l="1"/>
  <c r="H465" i="4"/>
  <c r="I465" i="4" s="1"/>
  <c r="L465" i="4" s="1"/>
  <c r="N465" i="4"/>
  <c r="J466" i="4"/>
  <c r="F466" i="4"/>
  <c r="E466" i="4"/>
  <c r="J461" i="20"/>
  <c r="Q462" i="4"/>
  <c r="S462" i="4" s="1"/>
  <c r="L462" i="20" s="1"/>
  <c r="K462" i="20"/>
  <c r="R463" i="4"/>
  <c r="C468" i="4"/>
  <c r="D468" i="4" s="1"/>
  <c r="P467" i="4"/>
  <c r="I467" i="20" s="1"/>
  <c r="G467" i="4"/>
  <c r="N465" i="3"/>
  <c r="O465" i="3" s="1"/>
  <c r="K503" i="3"/>
  <c r="G504" i="3"/>
  <c r="H504" i="3" s="1"/>
  <c r="K463" i="4"/>
  <c r="R464" i="3" l="1"/>
  <c r="K463" i="20"/>
  <c r="R464" i="4"/>
  <c r="J462" i="20"/>
  <c r="Q463" i="4"/>
  <c r="S463" i="4" s="1"/>
  <c r="L463" i="20" s="1"/>
  <c r="N466" i="4"/>
  <c r="H466" i="4"/>
  <c r="I466" i="4" s="1"/>
  <c r="L466" i="4" s="1"/>
  <c r="F467" i="4"/>
  <c r="E467" i="4"/>
  <c r="J467" i="4"/>
  <c r="P468" i="4"/>
  <c r="I468" i="20" s="1"/>
  <c r="C469" i="4"/>
  <c r="D469" i="4" s="1"/>
  <c r="G468" i="4"/>
  <c r="K504" i="3"/>
  <c r="N466" i="3"/>
  <c r="O466" i="3" s="1"/>
  <c r="G505" i="3"/>
  <c r="H505" i="3" s="1"/>
  <c r="K464" i="4"/>
  <c r="R466" i="3" l="1"/>
  <c r="R465" i="3"/>
  <c r="J468" i="4"/>
  <c r="F468" i="4"/>
  <c r="E468" i="4"/>
  <c r="K464" i="20"/>
  <c r="R465" i="4"/>
  <c r="C470" i="4"/>
  <c r="D470" i="4" s="1"/>
  <c r="P469" i="4"/>
  <c r="I469" i="20" s="1"/>
  <c r="G469" i="4"/>
  <c r="N467" i="4"/>
  <c r="H467" i="4"/>
  <c r="I467" i="4" s="1"/>
  <c r="L467" i="4" s="1"/>
  <c r="J463" i="20"/>
  <c r="Q464" i="4"/>
  <c r="S464" i="4" s="1"/>
  <c r="L464" i="20" s="1"/>
  <c r="K505" i="3"/>
  <c r="N467" i="3"/>
  <c r="O467" i="3" s="1"/>
  <c r="G506" i="3"/>
  <c r="H506" i="3" s="1"/>
  <c r="K465" i="4"/>
  <c r="R467" i="3" l="1"/>
  <c r="N522" i="3"/>
  <c r="K465" i="20"/>
  <c r="R466" i="4"/>
  <c r="P470" i="4"/>
  <c r="I470" i="20" s="1"/>
  <c r="C471" i="4"/>
  <c r="D471" i="4" s="1"/>
  <c r="G470" i="4"/>
  <c r="H468" i="4"/>
  <c r="I468" i="4" s="1"/>
  <c r="L468" i="4" s="1"/>
  <c r="N468" i="4"/>
  <c r="J464" i="20"/>
  <c r="Q465" i="4"/>
  <c r="F469" i="4"/>
  <c r="J469" i="4"/>
  <c r="E469" i="4"/>
  <c r="N468" i="3"/>
  <c r="O468" i="3" s="1"/>
  <c r="K506" i="3"/>
  <c r="G507" i="3"/>
  <c r="H507" i="3" s="1"/>
  <c r="N507" i="3" s="1"/>
  <c r="K466" i="4"/>
  <c r="S465" i="4"/>
  <c r="L465" i="20" s="1"/>
  <c r="E470" i="4" l="1"/>
  <c r="J470" i="4"/>
  <c r="F470" i="4"/>
  <c r="C472" i="4"/>
  <c r="D472" i="4" s="1"/>
  <c r="P471" i="4"/>
  <c r="I471" i="20" s="1"/>
  <c r="G471" i="4"/>
  <c r="K466" i="20"/>
  <c r="R467" i="4"/>
  <c r="J465" i="20"/>
  <c r="Q466" i="4"/>
  <c r="S466" i="4" s="1"/>
  <c r="L466" i="20" s="1"/>
  <c r="N469" i="4"/>
  <c r="H469" i="4"/>
  <c r="I469" i="4" s="1"/>
  <c r="L469" i="4" s="1"/>
  <c r="K507" i="3"/>
  <c r="N469" i="3"/>
  <c r="O469" i="3" s="1"/>
  <c r="G508" i="3"/>
  <c r="H508" i="3" s="1"/>
  <c r="K467" i="4"/>
  <c r="R469" i="3" l="1"/>
  <c r="R468" i="3"/>
  <c r="J466" i="20"/>
  <c r="Q467" i="4"/>
  <c r="S467" i="4" s="1"/>
  <c r="L467" i="20" s="1"/>
  <c r="K467" i="20"/>
  <c r="R468" i="4"/>
  <c r="H470" i="4"/>
  <c r="I470" i="4" s="1"/>
  <c r="L470" i="4" s="1"/>
  <c r="N470" i="4"/>
  <c r="F471" i="4"/>
  <c r="J471" i="4"/>
  <c r="E471" i="4"/>
  <c r="C473" i="4"/>
  <c r="D473" i="4" s="1"/>
  <c r="P472" i="4"/>
  <c r="I472" i="20" s="1"/>
  <c r="G472" i="4"/>
  <c r="N470" i="3"/>
  <c r="O470" i="3" s="1"/>
  <c r="K508" i="3"/>
  <c r="G510" i="3"/>
  <c r="H510" i="3" s="1"/>
  <c r="N510" i="3" s="1"/>
  <c r="K468" i="4"/>
  <c r="N471" i="4" l="1"/>
  <c r="H471" i="4"/>
  <c r="I471" i="4" s="1"/>
  <c r="L471" i="4" s="1"/>
  <c r="K468" i="20"/>
  <c r="R469" i="4"/>
  <c r="C474" i="4"/>
  <c r="D474" i="4" s="1"/>
  <c r="P473" i="4"/>
  <c r="I473" i="20" s="1"/>
  <c r="G473" i="4"/>
  <c r="E472" i="4"/>
  <c r="F472" i="4"/>
  <c r="J472" i="4"/>
  <c r="J467" i="20"/>
  <c r="Q468" i="4"/>
  <c r="S468" i="4" s="1"/>
  <c r="L468" i="20" s="1"/>
  <c r="N471" i="3"/>
  <c r="O471" i="3" s="1"/>
  <c r="K510" i="3"/>
  <c r="G511" i="3"/>
  <c r="H511" i="3" s="1"/>
  <c r="N511" i="3" s="1"/>
  <c r="K469" i="4"/>
  <c r="R470" i="3" l="1"/>
  <c r="J468" i="20"/>
  <c r="Q469" i="4"/>
  <c r="S469" i="4" s="1"/>
  <c r="L469" i="20" s="1"/>
  <c r="N472" i="4"/>
  <c r="H472" i="4"/>
  <c r="I472" i="4" s="1"/>
  <c r="L472" i="4" s="1"/>
  <c r="C475" i="4"/>
  <c r="D475" i="4" s="1"/>
  <c r="P474" i="4"/>
  <c r="I474" i="20" s="1"/>
  <c r="G474" i="4"/>
  <c r="F473" i="4"/>
  <c r="J473" i="4"/>
  <c r="E473" i="4"/>
  <c r="K469" i="20"/>
  <c r="R470" i="4"/>
  <c r="K511" i="3"/>
  <c r="N472" i="3"/>
  <c r="O472" i="3" s="1"/>
  <c r="G512" i="3"/>
  <c r="H512" i="3" s="1"/>
  <c r="N512" i="3" s="1"/>
  <c r="K470" i="4"/>
  <c r="R471" i="3" l="1"/>
  <c r="J469" i="20"/>
  <c r="Q470" i="4"/>
  <c r="S470" i="4" s="1"/>
  <c r="L470" i="20" s="1"/>
  <c r="J474" i="4"/>
  <c r="E474" i="4"/>
  <c r="F474" i="4"/>
  <c r="P475" i="4"/>
  <c r="I475" i="20" s="1"/>
  <c r="C476" i="4"/>
  <c r="D476" i="4" s="1"/>
  <c r="G475" i="4"/>
  <c r="K470" i="20"/>
  <c r="R471" i="4"/>
  <c r="N473" i="4"/>
  <c r="H473" i="4"/>
  <c r="I473" i="4" s="1"/>
  <c r="L473" i="4" s="1"/>
  <c r="K512" i="3"/>
  <c r="N473" i="3"/>
  <c r="O473" i="3" s="1"/>
  <c r="G513" i="3"/>
  <c r="H513" i="3" s="1"/>
  <c r="N513" i="3" s="1"/>
  <c r="K471" i="4"/>
  <c r="R472" i="3" l="1"/>
  <c r="C477" i="4"/>
  <c r="D477" i="4" s="1"/>
  <c r="P476" i="4"/>
  <c r="I476" i="20" s="1"/>
  <c r="G476" i="4"/>
  <c r="F475" i="4"/>
  <c r="E475" i="4"/>
  <c r="J475" i="4"/>
  <c r="K471" i="20"/>
  <c r="R472" i="4"/>
  <c r="N474" i="4"/>
  <c r="H474" i="4"/>
  <c r="I474" i="4" s="1"/>
  <c r="L474" i="4" s="1"/>
  <c r="J470" i="20"/>
  <c r="Q471" i="4"/>
  <c r="S471" i="4" s="1"/>
  <c r="L471" i="20" s="1"/>
  <c r="K513" i="3"/>
  <c r="N474" i="3"/>
  <c r="O474" i="3" s="1"/>
  <c r="G514" i="3"/>
  <c r="H514" i="3" s="1"/>
  <c r="N514" i="3" s="1"/>
  <c r="K472" i="4"/>
  <c r="R473" i="3" l="1"/>
  <c r="C478" i="4"/>
  <c r="D478" i="4" s="1"/>
  <c r="P477" i="4"/>
  <c r="I477" i="20" s="1"/>
  <c r="G477" i="4"/>
  <c r="N475" i="4"/>
  <c r="H475" i="4"/>
  <c r="I475" i="4" s="1"/>
  <c r="L475" i="4" s="1"/>
  <c r="J476" i="4"/>
  <c r="F476" i="4"/>
  <c r="E476" i="4"/>
  <c r="J471" i="20"/>
  <c r="Q472" i="4"/>
  <c r="K472" i="20"/>
  <c r="R473" i="4"/>
  <c r="K514" i="3"/>
  <c r="N475" i="3"/>
  <c r="G515" i="3"/>
  <c r="H515" i="3" s="1"/>
  <c r="N515" i="3" s="1"/>
  <c r="K473" i="4"/>
  <c r="O475" i="3" l="1"/>
  <c r="R474" i="3"/>
  <c r="J472" i="20"/>
  <c r="Q473" i="4"/>
  <c r="S473" i="4" s="1"/>
  <c r="L473" i="20" s="1"/>
  <c r="S472" i="4"/>
  <c r="L472" i="20" s="1"/>
  <c r="F477" i="4"/>
  <c r="J477" i="4"/>
  <c r="E477" i="4"/>
  <c r="C479" i="4"/>
  <c r="D479" i="4" s="1"/>
  <c r="P478" i="4"/>
  <c r="I478" i="20" s="1"/>
  <c r="G478" i="4"/>
  <c r="K473" i="20"/>
  <c r="R474" i="4"/>
  <c r="N476" i="4"/>
  <c r="H476" i="4"/>
  <c r="I476" i="4" s="1"/>
  <c r="L476" i="4" s="1"/>
  <c r="K515" i="3"/>
  <c r="N476" i="3"/>
  <c r="O476" i="3" s="1"/>
  <c r="G516" i="3"/>
  <c r="H516" i="3" s="1"/>
  <c r="N516" i="3" s="1"/>
  <c r="K474" i="4"/>
  <c r="R475" i="3" l="1"/>
  <c r="K474" i="20"/>
  <c r="R475" i="4"/>
  <c r="E478" i="4"/>
  <c r="F478" i="4"/>
  <c r="J478" i="4"/>
  <c r="C480" i="4"/>
  <c r="D480" i="4" s="1"/>
  <c r="P479" i="4"/>
  <c r="I479" i="20" s="1"/>
  <c r="G479" i="4"/>
  <c r="N477" i="4"/>
  <c r="H477" i="4"/>
  <c r="I477" i="4" s="1"/>
  <c r="L477" i="4" s="1"/>
  <c r="J473" i="20"/>
  <c r="Q474" i="4"/>
  <c r="S474" i="4" s="1"/>
  <c r="L474" i="20" s="1"/>
  <c r="K516" i="3"/>
  <c r="N477" i="3"/>
  <c r="G517" i="3"/>
  <c r="H517" i="3" s="1"/>
  <c r="N517" i="3" s="1"/>
  <c r="K475" i="4"/>
  <c r="O477" i="3" l="1"/>
  <c r="R477" i="3" s="1"/>
  <c r="R476" i="3"/>
  <c r="N478" i="4"/>
  <c r="H478" i="4"/>
  <c r="I478" i="4" s="1"/>
  <c r="L478" i="4" s="1"/>
  <c r="J474" i="20"/>
  <c r="Q475" i="4"/>
  <c r="S475" i="4" s="1"/>
  <c r="L475" i="20" s="1"/>
  <c r="F479" i="4"/>
  <c r="J479" i="4"/>
  <c r="E479" i="4"/>
  <c r="K475" i="20"/>
  <c r="R476" i="4"/>
  <c r="C481" i="4"/>
  <c r="D481" i="4" s="1"/>
  <c r="P480" i="4"/>
  <c r="I480" i="20" s="1"/>
  <c r="G480" i="4"/>
  <c r="K517" i="3"/>
  <c r="N478" i="3"/>
  <c r="O478" i="3" s="1"/>
  <c r="G518" i="3"/>
  <c r="H518" i="3" s="1"/>
  <c r="N518" i="3" s="1"/>
  <c r="K476" i="4"/>
  <c r="K476" i="20" l="1"/>
  <c r="R477" i="4"/>
  <c r="J475" i="20"/>
  <c r="Q476" i="4"/>
  <c r="S476" i="4" s="1"/>
  <c r="L476" i="20" s="1"/>
  <c r="H479" i="4"/>
  <c r="I479" i="4" s="1"/>
  <c r="L479" i="4" s="1"/>
  <c r="N479" i="4"/>
  <c r="F480" i="4"/>
  <c r="E480" i="4"/>
  <c r="J480" i="4"/>
  <c r="C482" i="4"/>
  <c r="D482" i="4" s="1"/>
  <c r="P481" i="4"/>
  <c r="I481" i="20" s="1"/>
  <c r="G481" i="4"/>
  <c r="K518" i="3"/>
  <c r="N479" i="3"/>
  <c r="O479" i="3" s="1"/>
  <c r="G519" i="3"/>
  <c r="H519" i="3" s="1"/>
  <c r="N519" i="3" s="1"/>
  <c r="K477" i="4"/>
  <c r="R479" i="3" l="1"/>
  <c r="R478" i="3"/>
  <c r="J481" i="4"/>
  <c r="E481" i="4"/>
  <c r="F481" i="4"/>
  <c r="P482" i="4"/>
  <c r="I482" i="20" s="1"/>
  <c r="C483" i="4"/>
  <c r="D483" i="4" s="1"/>
  <c r="G482" i="4"/>
  <c r="N480" i="4"/>
  <c r="H480" i="4"/>
  <c r="I480" i="4" s="1"/>
  <c r="L480" i="4" s="1"/>
  <c r="K477" i="20"/>
  <c r="R478" i="4"/>
  <c r="J476" i="20"/>
  <c r="Q477" i="4"/>
  <c r="S477" i="4" s="1"/>
  <c r="L477" i="20" s="1"/>
  <c r="N480" i="3"/>
  <c r="O480" i="3" s="1"/>
  <c r="K519" i="3"/>
  <c r="G520" i="3"/>
  <c r="H520" i="3" s="1"/>
  <c r="N520" i="3" s="1"/>
  <c r="K478" i="4"/>
  <c r="C484" i="4" l="1"/>
  <c r="D484" i="4" s="1"/>
  <c r="P483" i="4"/>
  <c r="I483" i="20" s="1"/>
  <c r="G483" i="4"/>
  <c r="K478" i="20"/>
  <c r="R479" i="4"/>
  <c r="J482" i="4"/>
  <c r="F482" i="4"/>
  <c r="E482" i="4"/>
  <c r="J477" i="20"/>
  <c r="Q478" i="4"/>
  <c r="S478" i="4" s="1"/>
  <c r="L478" i="20" s="1"/>
  <c r="H481" i="4"/>
  <c r="I481" i="4" s="1"/>
  <c r="L481" i="4" s="1"/>
  <c r="N481" i="4"/>
  <c r="N481" i="3"/>
  <c r="O481" i="3" s="1"/>
  <c r="K520" i="3"/>
  <c r="G521" i="3"/>
  <c r="H521" i="3" s="1"/>
  <c r="N521" i="3" s="1"/>
  <c r="K479" i="4"/>
  <c r="R480" i="3" l="1"/>
  <c r="J478" i="20"/>
  <c r="Q479" i="4"/>
  <c r="S479" i="4" s="1"/>
  <c r="L479" i="20" s="1"/>
  <c r="C485" i="4"/>
  <c r="D485" i="4" s="1"/>
  <c r="P484" i="4"/>
  <c r="I484" i="20" s="1"/>
  <c r="G484" i="4"/>
  <c r="K479" i="20"/>
  <c r="R480" i="4"/>
  <c r="F483" i="4"/>
  <c r="E483" i="4"/>
  <c r="J483" i="4"/>
  <c r="N482" i="4"/>
  <c r="H482" i="4"/>
  <c r="I482" i="4" s="1"/>
  <c r="L482" i="4" s="1"/>
  <c r="N482" i="3"/>
  <c r="K521" i="3"/>
  <c r="G523" i="3"/>
  <c r="H523" i="3" s="1"/>
  <c r="N523" i="3" s="1"/>
  <c r="K480" i="4"/>
  <c r="O482" i="3" l="1"/>
  <c r="R481" i="3"/>
  <c r="K480" i="20"/>
  <c r="R481" i="4"/>
  <c r="C486" i="4"/>
  <c r="D486" i="4" s="1"/>
  <c r="P485" i="4"/>
  <c r="I485" i="20" s="1"/>
  <c r="G485" i="4"/>
  <c r="J479" i="20"/>
  <c r="Q480" i="4"/>
  <c r="S480" i="4" s="1"/>
  <c r="L480" i="20" s="1"/>
  <c r="N483" i="4"/>
  <c r="H483" i="4"/>
  <c r="I483" i="4" s="1"/>
  <c r="L483" i="4" s="1"/>
  <c r="F484" i="4"/>
  <c r="J484" i="4"/>
  <c r="E484" i="4"/>
  <c r="K523" i="3"/>
  <c r="N483" i="3"/>
  <c r="G524" i="3"/>
  <c r="H524" i="3" s="1"/>
  <c r="N524" i="3" s="1"/>
  <c r="K481" i="4"/>
  <c r="O483" i="3" l="1"/>
  <c r="R482" i="3"/>
  <c r="J480" i="20"/>
  <c r="Q481" i="4"/>
  <c r="S481" i="4" s="1"/>
  <c r="L481" i="20" s="1"/>
  <c r="H484" i="4"/>
  <c r="I484" i="4" s="1"/>
  <c r="L484" i="4" s="1"/>
  <c r="N484" i="4"/>
  <c r="K481" i="20"/>
  <c r="R482" i="4"/>
  <c r="F485" i="4"/>
  <c r="J485" i="4"/>
  <c r="E485" i="4"/>
  <c r="C487" i="4"/>
  <c r="D487" i="4" s="1"/>
  <c r="P486" i="4"/>
  <c r="I486" i="20" s="1"/>
  <c r="G486" i="4"/>
  <c r="K524" i="3"/>
  <c r="N484" i="3"/>
  <c r="G525" i="3"/>
  <c r="H525" i="3" s="1"/>
  <c r="N525" i="3" s="1"/>
  <c r="K482" i="4"/>
  <c r="O484" i="3" l="1"/>
  <c r="R483" i="3"/>
  <c r="J486" i="4"/>
  <c r="E486" i="4"/>
  <c r="F486" i="4"/>
  <c r="P487" i="4"/>
  <c r="I487" i="20" s="1"/>
  <c r="C488" i="4"/>
  <c r="D488" i="4" s="1"/>
  <c r="G487" i="4"/>
  <c r="K482" i="20"/>
  <c r="R483" i="4"/>
  <c r="N485" i="4"/>
  <c r="H485" i="4"/>
  <c r="I485" i="4" s="1"/>
  <c r="L485" i="4" s="1"/>
  <c r="J481" i="20"/>
  <c r="Q482" i="4"/>
  <c r="S482" i="4" s="1"/>
  <c r="L482" i="20" s="1"/>
  <c r="K525" i="3"/>
  <c r="N485" i="3"/>
  <c r="G526" i="3"/>
  <c r="H526" i="3" s="1"/>
  <c r="K483" i="4"/>
  <c r="O485" i="3" l="1"/>
  <c r="N535" i="3"/>
  <c r="R484" i="3"/>
  <c r="N526" i="3"/>
  <c r="N498" i="3"/>
  <c r="P488" i="4"/>
  <c r="I488" i="20" s="1"/>
  <c r="C489" i="4"/>
  <c r="D489" i="4" s="1"/>
  <c r="G488" i="4"/>
  <c r="K483" i="20"/>
  <c r="R484" i="4"/>
  <c r="H486" i="4"/>
  <c r="I486" i="4" s="1"/>
  <c r="L486" i="4" s="1"/>
  <c r="N486" i="4"/>
  <c r="J482" i="20"/>
  <c r="Q483" i="4"/>
  <c r="S483" i="4" s="1"/>
  <c r="L483" i="20" s="1"/>
  <c r="F487" i="4"/>
  <c r="J487" i="4"/>
  <c r="E487" i="4"/>
  <c r="K526" i="3"/>
  <c r="N486" i="3"/>
  <c r="O486" i="3" s="1"/>
  <c r="G527" i="3"/>
  <c r="H527" i="3" s="1"/>
  <c r="K484" i="4"/>
  <c r="R485" i="3" l="1"/>
  <c r="N527" i="3"/>
  <c r="N499" i="3"/>
  <c r="K484" i="20"/>
  <c r="R485" i="4"/>
  <c r="C490" i="4"/>
  <c r="D490" i="4" s="1"/>
  <c r="P489" i="4"/>
  <c r="I489" i="20" s="1"/>
  <c r="G489" i="4"/>
  <c r="J483" i="20"/>
  <c r="Q484" i="4"/>
  <c r="S484" i="4" s="1"/>
  <c r="L484" i="20" s="1"/>
  <c r="E488" i="4"/>
  <c r="J488" i="4"/>
  <c r="F488" i="4"/>
  <c r="N487" i="4"/>
  <c r="H487" i="4"/>
  <c r="I487" i="4" s="1"/>
  <c r="L487" i="4" s="1"/>
  <c r="K527" i="3"/>
  <c r="N487" i="3"/>
  <c r="O487" i="3" s="1"/>
  <c r="G528" i="3"/>
  <c r="H528" i="3" s="1"/>
  <c r="K485" i="4"/>
  <c r="R486" i="3" l="1"/>
  <c r="N528" i="3"/>
  <c r="N500" i="3"/>
  <c r="J484" i="20"/>
  <c r="Q485" i="4"/>
  <c r="S485" i="4" s="1"/>
  <c r="L485" i="20" s="1"/>
  <c r="F489" i="4"/>
  <c r="J489" i="4"/>
  <c r="E489" i="4"/>
  <c r="K485" i="20"/>
  <c r="R486" i="4"/>
  <c r="N488" i="4"/>
  <c r="H488" i="4"/>
  <c r="I488" i="4" s="1"/>
  <c r="L488" i="4" s="1"/>
  <c r="P490" i="4"/>
  <c r="I490" i="20" s="1"/>
  <c r="C491" i="4"/>
  <c r="D491" i="4" s="1"/>
  <c r="G490" i="4"/>
  <c r="G529" i="3"/>
  <c r="H529" i="3" s="1"/>
  <c r="K528" i="3"/>
  <c r="N488" i="3"/>
  <c r="K486" i="4"/>
  <c r="O488" i="3" l="1"/>
  <c r="R487" i="3"/>
  <c r="N529" i="3"/>
  <c r="N501" i="3"/>
  <c r="K486" i="20"/>
  <c r="R487" i="4"/>
  <c r="P491" i="4"/>
  <c r="I491" i="20" s="1"/>
  <c r="C492" i="4"/>
  <c r="D492" i="4" s="1"/>
  <c r="G491" i="4"/>
  <c r="J485" i="20"/>
  <c r="Q486" i="4"/>
  <c r="S486" i="4" s="1"/>
  <c r="L486" i="20" s="1"/>
  <c r="N489" i="4"/>
  <c r="H489" i="4"/>
  <c r="I489" i="4" s="1"/>
  <c r="L489" i="4" s="1"/>
  <c r="F490" i="4"/>
  <c r="E490" i="4"/>
  <c r="J490" i="4"/>
  <c r="N489" i="3"/>
  <c r="O489" i="3" s="1"/>
  <c r="K529" i="3"/>
  <c r="G530" i="3"/>
  <c r="H530" i="3" s="1"/>
  <c r="K487" i="4"/>
  <c r="R488" i="3" l="1"/>
  <c r="N530" i="3"/>
  <c r="N502" i="3"/>
  <c r="N490" i="4"/>
  <c r="H490" i="4"/>
  <c r="I490" i="4" s="1"/>
  <c r="L490" i="4" s="1"/>
  <c r="J486" i="20"/>
  <c r="Q487" i="4"/>
  <c r="S487" i="4" s="1"/>
  <c r="L487" i="20" s="1"/>
  <c r="E491" i="4"/>
  <c r="F491" i="4"/>
  <c r="J491" i="4"/>
  <c r="K487" i="20"/>
  <c r="R488" i="4"/>
  <c r="C493" i="4"/>
  <c r="D493" i="4" s="1"/>
  <c r="P492" i="4"/>
  <c r="I492" i="20" s="1"/>
  <c r="G492" i="4"/>
  <c r="K530" i="3"/>
  <c r="N490" i="3"/>
  <c r="G531" i="3"/>
  <c r="H531" i="3" s="1"/>
  <c r="K488" i="4"/>
  <c r="O490" i="3" l="1"/>
  <c r="R489" i="3"/>
  <c r="N531" i="3"/>
  <c r="N503" i="3"/>
  <c r="P493" i="4"/>
  <c r="I493" i="20" s="1"/>
  <c r="C494" i="4"/>
  <c r="D494" i="4" s="1"/>
  <c r="G493" i="4"/>
  <c r="E492" i="4"/>
  <c r="F492" i="4"/>
  <c r="J492" i="4"/>
  <c r="K488" i="20"/>
  <c r="R489" i="4"/>
  <c r="N491" i="4"/>
  <c r="H491" i="4"/>
  <c r="I491" i="4" s="1"/>
  <c r="L491" i="4" s="1"/>
  <c r="J487" i="20"/>
  <c r="Q488" i="4"/>
  <c r="S488" i="4" s="1"/>
  <c r="L488" i="20" s="1"/>
  <c r="K531" i="3"/>
  <c r="N491" i="3"/>
  <c r="O491" i="3" s="1"/>
  <c r="G532" i="3"/>
  <c r="H532" i="3" s="1"/>
  <c r="K489" i="4"/>
  <c r="R491" i="3" l="1"/>
  <c r="R490" i="3"/>
  <c r="N532" i="3"/>
  <c r="N504" i="3"/>
  <c r="E493" i="4"/>
  <c r="F493" i="4"/>
  <c r="J493" i="4"/>
  <c r="P494" i="4"/>
  <c r="I494" i="20" s="1"/>
  <c r="C495" i="4"/>
  <c r="D495" i="4" s="1"/>
  <c r="G494" i="4"/>
  <c r="J488" i="20"/>
  <c r="Q489" i="4"/>
  <c r="S489" i="4" s="1"/>
  <c r="L489" i="20" s="1"/>
  <c r="K489" i="20"/>
  <c r="R490" i="4"/>
  <c r="N492" i="4"/>
  <c r="H492" i="4"/>
  <c r="I492" i="4" s="1"/>
  <c r="L492" i="4" s="1"/>
  <c r="K532" i="3"/>
  <c r="N492" i="3"/>
  <c r="O492" i="3" s="1"/>
  <c r="G533" i="3"/>
  <c r="H533" i="3" s="1"/>
  <c r="K490" i="4"/>
  <c r="N533" i="3" l="1"/>
  <c r="N505" i="3"/>
  <c r="C496" i="4"/>
  <c r="D496" i="4" s="1"/>
  <c r="P495" i="4"/>
  <c r="I495" i="20" s="1"/>
  <c r="G495" i="4"/>
  <c r="H493" i="4"/>
  <c r="I493" i="4" s="1"/>
  <c r="L493" i="4" s="1"/>
  <c r="N493" i="4"/>
  <c r="K490" i="20"/>
  <c r="R491" i="4"/>
  <c r="J489" i="20"/>
  <c r="Q490" i="4"/>
  <c r="S490" i="4" s="1"/>
  <c r="L490" i="20" s="1"/>
  <c r="F494" i="4"/>
  <c r="J494" i="4"/>
  <c r="E494" i="4"/>
  <c r="K533" i="3"/>
  <c r="N493" i="3"/>
  <c r="O493" i="3" s="1"/>
  <c r="G534" i="3"/>
  <c r="H534" i="3" s="1"/>
  <c r="K491" i="4"/>
  <c r="R492" i="3" l="1"/>
  <c r="N534" i="3"/>
  <c r="N506" i="3"/>
  <c r="K491" i="20"/>
  <c r="R492" i="4"/>
  <c r="C497" i="4"/>
  <c r="D497" i="4" s="1"/>
  <c r="P496" i="4"/>
  <c r="I496" i="20" s="1"/>
  <c r="G496" i="4"/>
  <c r="J490" i="20"/>
  <c r="Q491" i="4"/>
  <c r="S491" i="4" s="1"/>
  <c r="L491" i="20" s="1"/>
  <c r="J495" i="4"/>
  <c r="E495" i="4"/>
  <c r="F495" i="4"/>
  <c r="N494" i="4"/>
  <c r="H494" i="4"/>
  <c r="I494" i="4" s="1"/>
  <c r="L494" i="4" s="1"/>
  <c r="K534" i="3"/>
  <c r="N494" i="3"/>
  <c r="O494" i="3" s="1"/>
  <c r="G536" i="3"/>
  <c r="H536" i="3" s="1"/>
  <c r="K492" i="4"/>
  <c r="N711" i="3" l="1"/>
  <c r="N632" i="3"/>
  <c r="N553" i="3"/>
  <c r="N695" i="3"/>
  <c r="N614" i="3"/>
  <c r="N675" i="3"/>
  <c r="N546" i="3"/>
  <c r="N660" i="3"/>
  <c r="N595" i="3"/>
  <c r="N657" i="3"/>
  <c r="N580" i="3"/>
  <c r="N647" i="3"/>
  <c r="N566" i="3"/>
  <c r="N680" i="3"/>
  <c r="N627" i="3"/>
  <c r="N550" i="3"/>
  <c r="N664" i="3"/>
  <c r="N551" i="3"/>
  <c r="N661" i="3"/>
  <c r="N584" i="3"/>
  <c r="N658" i="3"/>
  <c r="N581" i="3"/>
  <c r="N707" i="3"/>
  <c r="N575" i="3"/>
  <c r="N705" i="3"/>
  <c r="N625" i="3"/>
  <c r="N563" i="3"/>
  <c r="N689" i="3"/>
  <c r="N612" i="3"/>
  <c r="N547" i="3"/>
  <c r="N609" i="3"/>
  <c r="N719" i="3"/>
  <c r="N654" i="3"/>
  <c r="N720" i="3"/>
  <c r="N639" i="3"/>
  <c r="N574" i="3"/>
  <c r="N701" i="3"/>
  <c r="N576" i="3"/>
  <c r="N682" i="3"/>
  <c r="N621" i="3"/>
  <c r="N560" i="3"/>
  <c r="N666" i="3"/>
  <c r="N605" i="3"/>
  <c r="N667" i="3"/>
  <c r="N586" i="3"/>
  <c r="N716" i="3"/>
  <c r="N644" i="3"/>
  <c r="N579" i="3"/>
  <c r="N640" i="3"/>
  <c r="N559" i="3"/>
  <c r="N685" i="3"/>
  <c r="N623" i="3"/>
  <c r="N543" i="3"/>
  <c r="N669" i="3"/>
  <c r="N544" i="3"/>
  <c r="N589" i="3"/>
  <c r="N570" i="3"/>
  <c r="N700" i="3"/>
  <c r="N694" i="3"/>
  <c r="N556" i="3"/>
  <c r="N601" i="3"/>
  <c r="N598" i="3"/>
  <c r="N599" i="3"/>
  <c r="N633" i="3"/>
  <c r="N642" i="3"/>
  <c r="N565" i="3"/>
  <c r="N691" i="3"/>
  <c r="N630" i="3"/>
  <c r="N549" i="3"/>
  <c r="N606" i="3"/>
  <c r="N672" i="3"/>
  <c r="N591" i="3"/>
  <c r="N717" i="3"/>
  <c r="N592" i="3"/>
  <c r="N698" i="3"/>
  <c r="N578" i="3"/>
  <c r="N692" i="3"/>
  <c r="N631" i="3"/>
  <c r="N562" i="3"/>
  <c r="N676" i="3"/>
  <c r="N611" i="3"/>
  <c r="N673" i="3"/>
  <c r="N596" i="3"/>
  <c r="N718" i="3"/>
  <c r="N593" i="3"/>
  <c r="N703" i="3"/>
  <c r="N638" i="3"/>
  <c r="N577" i="3"/>
  <c r="N687" i="3"/>
  <c r="N622" i="3"/>
  <c r="N561" i="3"/>
  <c r="N671" i="3"/>
  <c r="N541" i="3"/>
  <c r="N603" i="3"/>
  <c r="N713" i="3"/>
  <c r="N652" i="3"/>
  <c r="N710" i="3"/>
  <c r="N628" i="3"/>
  <c r="N704" i="3"/>
  <c r="N629" i="3"/>
  <c r="N558" i="3"/>
  <c r="N688" i="3"/>
  <c r="N607" i="3"/>
  <c r="N542" i="3"/>
  <c r="N608" i="3"/>
  <c r="N714" i="3"/>
  <c r="N653" i="3"/>
  <c r="N715" i="3"/>
  <c r="N634" i="3"/>
  <c r="N573" i="3"/>
  <c r="N702" i="3"/>
  <c r="N571" i="3"/>
  <c r="N681" i="3"/>
  <c r="N620" i="3"/>
  <c r="N555" i="3"/>
  <c r="N665" i="3"/>
  <c r="N604" i="3"/>
  <c r="N662" i="3"/>
  <c r="N585" i="3"/>
  <c r="N663" i="3"/>
  <c r="N582" i="3"/>
  <c r="N696" i="3"/>
  <c r="N709" i="3"/>
  <c r="N706" i="3"/>
  <c r="N626" i="3"/>
  <c r="N552" i="3"/>
  <c r="N690" i="3"/>
  <c r="N613" i="3"/>
  <c r="N540" i="3"/>
  <c r="N610" i="3"/>
  <c r="N723" i="3"/>
  <c r="N659" i="3"/>
  <c r="N539" i="3"/>
  <c r="N636" i="3"/>
  <c r="N650" i="3"/>
  <c r="N651" i="3"/>
  <c r="N572" i="3"/>
  <c r="N617" i="3"/>
  <c r="N678" i="3"/>
  <c r="N679" i="3"/>
  <c r="N712" i="3"/>
  <c r="N699" i="3"/>
  <c r="N618" i="3"/>
  <c r="N557" i="3"/>
  <c r="N683" i="3"/>
  <c r="N602" i="3"/>
  <c r="N615" i="3"/>
  <c r="N724" i="3"/>
  <c r="N648" i="3"/>
  <c r="N721" i="3"/>
  <c r="N645" i="3"/>
  <c r="N568" i="3"/>
  <c r="N635" i="3"/>
  <c r="N554" i="3"/>
  <c r="N684" i="3"/>
  <c r="N619" i="3"/>
  <c r="N668" i="3"/>
  <c r="N538" i="3"/>
  <c r="N649" i="3"/>
  <c r="N588" i="3"/>
  <c r="N646" i="3"/>
  <c r="N569" i="3"/>
  <c r="N587" i="3"/>
  <c r="N583" i="3"/>
  <c r="N693" i="3"/>
  <c r="N616" i="3"/>
  <c r="N567" i="3"/>
  <c r="N677" i="3"/>
  <c r="N600" i="3"/>
  <c r="N674" i="3"/>
  <c r="N597" i="3"/>
  <c r="N722" i="3"/>
  <c r="N594" i="3"/>
  <c r="N708" i="3"/>
  <c r="N643" i="3"/>
  <c r="N697" i="3"/>
  <c r="N641" i="3"/>
  <c r="N564" i="3"/>
  <c r="N686" i="3"/>
  <c r="N624" i="3"/>
  <c r="N548" i="3"/>
  <c r="N670" i="3"/>
  <c r="N545" i="3"/>
  <c r="N655" i="3"/>
  <c r="N590" i="3"/>
  <c r="N656" i="3"/>
  <c r="N637" i="3"/>
  <c r="R493" i="3"/>
  <c r="N536" i="3"/>
  <c r="N508" i="3"/>
  <c r="J491" i="20"/>
  <c r="Q492" i="4"/>
  <c r="S492" i="4" s="1"/>
  <c r="L492" i="20" s="1"/>
  <c r="K492" i="20"/>
  <c r="R493" i="4"/>
  <c r="N495" i="4"/>
  <c r="H495" i="4"/>
  <c r="I495" i="4" s="1"/>
  <c r="L495" i="4" s="1"/>
  <c r="F496" i="4"/>
  <c r="J496" i="4"/>
  <c r="E496" i="4"/>
  <c r="C498" i="4"/>
  <c r="D498" i="4" s="1"/>
  <c r="P497" i="4"/>
  <c r="I497" i="20" s="1"/>
  <c r="G497" i="4"/>
  <c r="K536" i="3"/>
  <c r="N495" i="3"/>
  <c r="O495" i="3" s="1"/>
  <c r="C27" i="5"/>
  <c r="G537" i="3"/>
  <c r="H537" i="3" s="1"/>
  <c r="N509" i="3" s="1"/>
  <c r="K493" i="4"/>
  <c r="R494" i="3" l="1"/>
  <c r="H496" i="4"/>
  <c r="I496" i="4" s="1"/>
  <c r="L496" i="4" s="1"/>
  <c r="N496" i="4"/>
  <c r="F497" i="4"/>
  <c r="E497" i="4"/>
  <c r="J497" i="4"/>
  <c r="P498" i="4"/>
  <c r="I498" i="20" s="1"/>
  <c r="C499" i="4"/>
  <c r="D499" i="4" s="1"/>
  <c r="G498" i="4"/>
  <c r="K493" i="20"/>
  <c r="R494" i="4"/>
  <c r="J492" i="20"/>
  <c r="Q493" i="4"/>
  <c r="S493" i="4" s="1"/>
  <c r="L493" i="20" s="1"/>
  <c r="N497" i="3"/>
  <c r="N537" i="3"/>
  <c r="K537" i="3"/>
  <c r="C25" i="2" s="1"/>
  <c r="N496" i="3"/>
  <c r="O496" i="3" s="1"/>
  <c r="K494" i="4"/>
  <c r="O533" i="3" l="1"/>
  <c r="O547" i="3"/>
  <c r="O631" i="3"/>
  <c r="R631" i="3" s="1"/>
  <c r="O537" i="3"/>
  <c r="O506" i="3"/>
  <c r="O675" i="3"/>
  <c r="O581" i="3"/>
  <c r="O576" i="3"/>
  <c r="R576" i="3" s="1"/>
  <c r="O669" i="3"/>
  <c r="O606" i="3"/>
  <c r="O703" i="3"/>
  <c r="O688" i="3"/>
  <c r="R688" i="3" s="1"/>
  <c r="O662" i="3"/>
  <c r="O636" i="3"/>
  <c r="O721" i="3"/>
  <c r="R721" i="3" s="1"/>
  <c r="O616" i="3"/>
  <c r="R616" i="3" s="1"/>
  <c r="O670" i="3"/>
  <c r="O535" i="3"/>
  <c r="O580" i="3"/>
  <c r="R580" i="3" s="1"/>
  <c r="O563" i="3"/>
  <c r="R563" i="3" s="1"/>
  <c r="O605" i="3"/>
  <c r="O694" i="3"/>
  <c r="O698" i="3"/>
  <c r="O561" i="3"/>
  <c r="R561" i="3" s="1"/>
  <c r="O653" i="3"/>
  <c r="O709" i="3"/>
  <c r="O678" i="3"/>
  <c r="O684" i="3"/>
  <c r="R684" i="3" s="1"/>
  <c r="O597" i="3"/>
  <c r="O637" i="3"/>
  <c r="O695" i="3"/>
  <c r="O584" i="3"/>
  <c r="R584" i="3" s="1"/>
  <c r="O574" i="3"/>
  <c r="O623" i="3"/>
  <c r="O630" i="3"/>
  <c r="R630" i="3" s="1"/>
  <c r="O718" i="3"/>
  <c r="R718" i="3" s="1"/>
  <c r="O629" i="3"/>
  <c r="O665" i="3"/>
  <c r="O659" i="3"/>
  <c r="O724" i="3"/>
  <c r="R724" i="3" s="1"/>
  <c r="O583" i="3"/>
  <c r="O624" i="3"/>
  <c r="O595" i="3"/>
  <c r="O705" i="3"/>
  <c r="R705" i="3" s="1"/>
  <c r="O560" i="3"/>
  <c r="O570" i="3"/>
  <c r="O717" i="3"/>
  <c r="R717" i="3" s="1"/>
  <c r="O687" i="3"/>
  <c r="R687" i="3" s="1"/>
  <c r="O608" i="3"/>
  <c r="O582" i="3"/>
  <c r="O572" i="3"/>
  <c r="R572" i="3" s="1"/>
  <c r="O635" i="3"/>
  <c r="R635" i="3" s="1"/>
  <c r="O600" i="3"/>
  <c r="O590" i="3"/>
  <c r="O528" i="3"/>
  <c r="O524" i="3"/>
  <c r="O520" i="3"/>
  <c r="O516" i="3"/>
  <c r="O512" i="3"/>
  <c r="O680" i="3"/>
  <c r="R680" i="3" s="1"/>
  <c r="O603" i="3"/>
  <c r="O497" i="3"/>
  <c r="O498" i="3"/>
  <c r="O499" i="3"/>
  <c r="O500" i="3"/>
  <c r="O501" i="3"/>
  <c r="O502" i="3"/>
  <c r="O503" i="3"/>
  <c r="O534" i="3"/>
  <c r="O657" i="3"/>
  <c r="O625" i="3"/>
  <c r="R625" i="3" s="1"/>
  <c r="O666" i="3"/>
  <c r="R666" i="3" s="1"/>
  <c r="O700" i="3"/>
  <c r="O592" i="3"/>
  <c r="O622" i="3"/>
  <c r="O714" i="3"/>
  <c r="R714" i="3" s="1"/>
  <c r="O696" i="3"/>
  <c r="O617" i="3"/>
  <c r="O554" i="3"/>
  <c r="R554" i="3" s="1"/>
  <c r="O674" i="3"/>
  <c r="R674" i="3" s="1"/>
  <c r="O656" i="3"/>
  <c r="O505" i="3"/>
  <c r="O627" i="3"/>
  <c r="R627" i="3" s="1"/>
  <c r="O609" i="3"/>
  <c r="R609" i="3" s="1"/>
  <c r="O644" i="3"/>
  <c r="O599" i="3"/>
  <c r="O562" i="3"/>
  <c r="O713" i="3"/>
  <c r="R713" i="3" s="1"/>
  <c r="O702" i="3"/>
  <c r="O690" i="3"/>
  <c r="O618" i="3"/>
  <c r="R618" i="3" s="1"/>
  <c r="O649" i="3"/>
  <c r="R649" i="3" s="1"/>
  <c r="O643" i="3"/>
  <c r="O655" i="3"/>
  <c r="O660" i="3"/>
  <c r="O575" i="3"/>
  <c r="R575" i="3" s="1"/>
  <c r="O621" i="3"/>
  <c r="O589" i="3"/>
  <c r="O591" i="3"/>
  <c r="R591" i="3" s="1"/>
  <c r="O577" i="3"/>
  <c r="R577" i="3" s="1"/>
  <c r="O542" i="3"/>
  <c r="O663" i="3"/>
  <c r="O651" i="3"/>
  <c r="R651" i="3" s="1"/>
  <c r="O568" i="3"/>
  <c r="R568" i="3" s="1"/>
  <c r="O677" i="3"/>
  <c r="O504" i="3"/>
  <c r="O566" i="3"/>
  <c r="R566" i="3" s="1"/>
  <c r="O612" i="3"/>
  <c r="R612" i="3" s="1"/>
  <c r="O586" i="3"/>
  <c r="O601" i="3"/>
  <c r="R601" i="3" s="1"/>
  <c r="O692" i="3"/>
  <c r="R692" i="3" s="1"/>
  <c r="O541" i="3"/>
  <c r="R541" i="3" s="1"/>
  <c r="O634" i="3"/>
  <c r="O626" i="3"/>
  <c r="O712" i="3"/>
  <c r="R712" i="3" s="1"/>
  <c r="O668" i="3"/>
  <c r="R668" i="3" s="1"/>
  <c r="O594" i="3"/>
  <c r="O536" i="3"/>
  <c r="O527" i="3"/>
  <c r="O521" i="3"/>
  <c r="O519" i="3"/>
  <c r="O515" i="3"/>
  <c r="O511" i="3"/>
  <c r="O716" i="3"/>
  <c r="R716" i="3" s="1"/>
  <c r="O598" i="3"/>
  <c r="O573" i="3"/>
  <c r="R573" i="3" s="1"/>
  <c r="O552" i="3"/>
  <c r="O699" i="3"/>
  <c r="R699" i="3" s="1"/>
  <c r="O538" i="3"/>
  <c r="O708" i="3"/>
  <c r="R708" i="3" s="1"/>
  <c r="O508" i="3"/>
  <c r="O553" i="3"/>
  <c r="R553" i="3" s="1"/>
  <c r="O661" i="3"/>
  <c r="O639" i="3"/>
  <c r="R639" i="3" s="1"/>
  <c r="O685" i="3"/>
  <c r="O691" i="3"/>
  <c r="R691" i="3" s="1"/>
  <c r="O596" i="3"/>
  <c r="O704" i="3"/>
  <c r="R704" i="3" s="1"/>
  <c r="O555" i="3"/>
  <c r="R555" i="3" s="1"/>
  <c r="O723" i="3"/>
  <c r="R723" i="3" s="1"/>
  <c r="O615" i="3"/>
  <c r="O587" i="3"/>
  <c r="R587" i="3" s="1"/>
  <c r="O686" i="3"/>
  <c r="R686" i="3" s="1"/>
  <c r="O532" i="3"/>
  <c r="O647" i="3"/>
  <c r="O689" i="3"/>
  <c r="R689" i="3" s="1"/>
  <c r="O667" i="3"/>
  <c r="R667" i="3" s="1"/>
  <c r="O556" i="3"/>
  <c r="R556" i="3" s="1"/>
  <c r="O578" i="3"/>
  <c r="O671" i="3"/>
  <c r="R671" i="3" s="1"/>
  <c r="O715" i="3"/>
  <c r="R715" i="3" s="1"/>
  <c r="O706" i="3"/>
  <c r="R706" i="3" s="1"/>
  <c r="O679" i="3"/>
  <c r="O619" i="3"/>
  <c r="R619" i="3" s="1"/>
  <c r="O722" i="3"/>
  <c r="R722" i="3" s="1"/>
  <c r="O711" i="3"/>
  <c r="R711" i="3" s="1"/>
  <c r="O664" i="3"/>
  <c r="R664" i="3" s="1"/>
  <c r="O654" i="3"/>
  <c r="R654" i="3" s="1"/>
  <c r="O640" i="3"/>
  <c r="R640" i="3" s="1"/>
  <c r="O642" i="3"/>
  <c r="R642" i="3" s="1"/>
  <c r="O611" i="3"/>
  <c r="R611" i="3" s="1"/>
  <c r="O710" i="3"/>
  <c r="R710" i="3" s="1"/>
  <c r="O681" i="3"/>
  <c r="R681" i="3" s="1"/>
  <c r="O540" i="3"/>
  <c r="R540" i="3" s="1"/>
  <c r="O683" i="3"/>
  <c r="R683" i="3" s="1"/>
  <c r="O646" i="3"/>
  <c r="R646" i="3" s="1"/>
  <c r="O641" i="3"/>
  <c r="R641" i="3" s="1"/>
  <c r="O530" i="3"/>
  <c r="O526" i="3"/>
  <c r="O522" i="3"/>
  <c r="O518" i="3"/>
  <c r="O514" i="3"/>
  <c r="O510" i="3"/>
  <c r="O632" i="3"/>
  <c r="R632" i="3" s="1"/>
  <c r="O551" i="3"/>
  <c r="R551" i="3" s="1"/>
  <c r="O720" i="3"/>
  <c r="R720" i="3" s="1"/>
  <c r="O559" i="3"/>
  <c r="O565" i="3"/>
  <c r="R565" i="3" s="1"/>
  <c r="O673" i="3"/>
  <c r="R673" i="3" s="1"/>
  <c r="O628" i="3"/>
  <c r="R628" i="3" s="1"/>
  <c r="O620" i="3"/>
  <c r="R620" i="3" s="1"/>
  <c r="O610" i="3"/>
  <c r="R610" i="3" s="1"/>
  <c r="O602" i="3"/>
  <c r="R602" i="3" s="1"/>
  <c r="O569" i="3"/>
  <c r="R569" i="3" s="1"/>
  <c r="O564" i="3"/>
  <c r="R564" i="3" s="1"/>
  <c r="O507" i="3"/>
  <c r="O546" i="3"/>
  <c r="R546" i="3" s="1"/>
  <c r="O707" i="3"/>
  <c r="R707" i="3" s="1"/>
  <c r="O682" i="3"/>
  <c r="R682" i="3" s="1"/>
  <c r="O544" i="3"/>
  <c r="R544" i="3" s="1"/>
  <c r="O672" i="3"/>
  <c r="R672" i="3" s="1"/>
  <c r="O638" i="3"/>
  <c r="R638" i="3" s="1"/>
  <c r="O607" i="3"/>
  <c r="R607" i="3" s="1"/>
  <c r="O585" i="3"/>
  <c r="R585" i="3" s="1"/>
  <c r="O650" i="3"/>
  <c r="R650" i="3" s="1"/>
  <c r="O645" i="3"/>
  <c r="R645" i="3" s="1"/>
  <c r="O567" i="3"/>
  <c r="R567" i="3" s="1"/>
  <c r="O545" i="3"/>
  <c r="R545" i="3" s="1"/>
  <c r="O531" i="3"/>
  <c r="O550" i="3"/>
  <c r="R550" i="3" s="1"/>
  <c r="O719" i="3"/>
  <c r="R719" i="3" s="1"/>
  <c r="O579" i="3"/>
  <c r="R579" i="3" s="1"/>
  <c r="O633" i="3"/>
  <c r="R633" i="3" s="1"/>
  <c r="O676" i="3"/>
  <c r="R676" i="3" s="1"/>
  <c r="O652" i="3"/>
  <c r="R652" i="3" s="1"/>
  <c r="O571" i="3"/>
  <c r="R571" i="3" s="1"/>
  <c r="O613" i="3"/>
  <c r="R613" i="3" s="1"/>
  <c r="O557" i="3"/>
  <c r="R557" i="3" s="1"/>
  <c r="O588" i="3"/>
  <c r="R588" i="3" s="1"/>
  <c r="O697" i="3"/>
  <c r="R697" i="3" s="1"/>
  <c r="O614" i="3"/>
  <c r="R614" i="3" s="1"/>
  <c r="O658" i="3"/>
  <c r="R658" i="3" s="1"/>
  <c r="O701" i="3"/>
  <c r="R701" i="3" s="1"/>
  <c r="O543" i="3"/>
  <c r="R543" i="3" s="1"/>
  <c r="O549" i="3"/>
  <c r="R549" i="3" s="1"/>
  <c r="O593" i="3"/>
  <c r="R593" i="3" s="1"/>
  <c r="O558" i="3"/>
  <c r="R558" i="3" s="1"/>
  <c r="O604" i="3"/>
  <c r="R604" i="3" s="1"/>
  <c r="O539" i="3"/>
  <c r="R539" i="3" s="1"/>
  <c r="O648" i="3"/>
  <c r="R648" i="3" s="1"/>
  <c r="O693" i="3"/>
  <c r="R693" i="3" s="1"/>
  <c r="O548" i="3"/>
  <c r="R548" i="3" s="1"/>
  <c r="O529" i="3"/>
  <c r="O525" i="3"/>
  <c r="O523" i="3"/>
  <c r="O517" i="3"/>
  <c r="O513" i="3"/>
  <c r="O509" i="3"/>
  <c r="R644" i="3"/>
  <c r="R562" i="3"/>
  <c r="R679" i="3"/>
  <c r="R608" i="3"/>
  <c r="R600" i="3"/>
  <c r="R581" i="3"/>
  <c r="R703" i="3"/>
  <c r="R670" i="3"/>
  <c r="R685" i="3"/>
  <c r="R586" i="3"/>
  <c r="R582" i="3"/>
  <c r="R590" i="3"/>
  <c r="R657" i="3"/>
  <c r="R592" i="3"/>
  <c r="R622" i="3"/>
  <c r="R617" i="3"/>
  <c r="R594" i="3"/>
  <c r="R695" i="3"/>
  <c r="R623" i="3"/>
  <c r="R665" i="3"/>
  <c r="R659" i="3"/>
  <c r="R583" i="3"/>
  <c r="R624" i="3"/>
  <c r="R595" i="3"/>
  <c r="R560" i="3"/>
  <c r="R547" i="3"/>
  <c r="R598" i="3"/>
  <c r="R603" i="3"/>
  <c r="R552" i="3"/>
  <c r="R538" i="3"/>
  <c r="R605" i="3"/>
  <c r="R694" i="3"/>
  <c r="R698" i="3"/>
  <c r="R653" i="3"/>
  <c r="R709" i="3"/>
  <c r="R678" i="3"/>
  <c r="R597" i="3"/>
  <c r="R637" i="3"/>
  <c r="R626" i="3"/>
  <c r="R660" i="3"/>
  <c r="R621" i="3"/>
  <c r="R589" i="3"/>
  <c r="R542" i="3"/>
  <c r="R663" i="3"/>
  <c r="R677" i="3"/>
  <c r="R655" i="3"/>
  <c r="R533" i="3"/>
  <c r="R495" i="3"/>
  <c r="J493" i="20"/>
  <c r="Q494" i="4"/>
  <c r="S494" i="4" s="1"/>
  <c r="L494" i="20" s="1"/>
  <c r="J498" i="4"/>
  <c r="F498" i="4"/>
  <c r="E498" i="4"/>
  <c r="R647" i="3"/>
  <c r="R675" i="3"/>
  <c r="R662" i="3"/>
  <c r="R599" i="3"/>
  <c r="R690" i="3"/>
  <c r="R606" i="3"/>
  <c r="R615" i="3"/>
  <c r="R634" i="3"/>
  <c r="R700" i="3"/>
  <c r="R578" i="3"/>
  <c r="R559" i="3"/>
  <c r="R702" i="3"/>
  <c r="R656" i="3"/>
  <c r="R696" i="3"/>
  <c r="R570" i="3"/>
  <c r="R643" i="3"/>
  <c r="R574" i="3"/>
  <c r="R669" i="3"/>
  <c r="R636" i="3"/>
  <c r="R629" i="3"/>
  <c r="R661" i="3"/>
  <c r="R596" i="3"/>
  <c r="K494" i="20"/>
  <c r="R495" i="4"/>
  <c r="N497" i="4"/>
  <c r="H497" i="4"/>
  <c r="I497" i="4" s="1"/>
  <c r="L497" i="4" s="1"/>
  <c r="P499" i="4"/>
  <c r="I499" i="20" s="1"/>
  <c r="C500" i="4"/>
  <c r="D500" i="4" s="1"/>
  <c r="G499" i="4"/>
  <c r="K495" i="4"/>
  <c r="R529" i="3" l="1"/>
  <c r="R521" i="3"/>
  <c r="R513" i="3"/>
  <c r="R504" i="3"/>
  <c r="R537" i="3"/>
  <c r="R530" i="3"/>
  <c r="R527" i="3"/>
  <c r="R523" i="3"/>
  <c r="R517" i="3"/>
  <c r="R515" i="3"/>
  <c r="R511" i="3"/>
  <c r="R506" i="3"/>
  <c r="R503" i="3"/>
  <c r="R532" i="3"/>
  <c r="R536" i="3"/>
  <c r="R526" i="3"/>
  <c r="R522" i="3"/>
  <c r="R518" i="3"/>
  <c r="R514" i="3"/>
  <c r="R509" i="3"/>
  <c r="R507" i="3"/>
  <c r="R505" i="3"/>
  <c r="R534" i="3"/>
  <c r="R525" i="3"/>
  <c r="R519" i="3"/>
  <c r="R510" i="3"/>
  <c r="R501" i="3"/>
  <c r="R531" i="3"/>
  <c r="R528" i="3"/>
  <c r="R524" i="3"/>
  <c r="R520" i="3"/>
  <c r="R516" i="3"/>
  <c r="R512" i="3"/>
  <c r="R508" i="3"/>
  <c r="R502" i="3"/>
  <c r="R535" i="3"/>
  <c r="R499" i="3"/>
  <c r="R496" i="3"/>
  <c r="R500" i="3"/>
  <c r="R498" i="3"/>
  <c r="P500" i="4"/>
  <c r="I500" i="20" s="1"/>
  <c r="C501" i="4"/>
  <c r="D501" i="4" s="1"/>
  <c r="G500" i="4"/>
  <c r="J494" i="20"/>
  <c r="Q495" i="4"/>
  <c r="S495" i="4" s="1"/>
  <c r="L495" i="20" s="1"/>
  <c r="K495" i="20"/>
  <c r="R496" i="4"/>
  <c r="N498" i="4"/>
  <c r="H498" i="4"/>
  <c r="I498" i="4" s="1"/>
  <c r="L498" i="4" s="1"/>
  <c r="E499" i="4"/>
  <c r="J499" i="4"/>
  <c r="F499" i="4"/>
  <c r="R497" i="3"/>
  <c r="F32" i="5" s="1"/>
  <c r="I38" i="16" s="1"/>
  <c r="D25" i="2"/>
  <c r="K496" i="4"/>
  <c r="C32" i="5" l="1"/>
  <c r="I31" i="16" s="1"/>
  <c r="F25" i="2"/>
  <c r="K496" i="20"/>
  <c r="R497" i="4"/>
  <c r="N499" i="4"/>
  <c r="H499" i="4"/>
  <c r="I499" i="4" s="1"/>
  <c r="L499" i="4" s="1"/>
  <c r="P501" i="4"/>
  <c r="I501" i="20" s="1"/>
  <c r="C502" i="4"/>
  <c r="D502" i="4" s="1"/>
  <c r="G501" i="4"/>
  <c r="J495" i="20"/>
  <c r="Q496" i="4"/>
  <c r="E500" i="4"/>
  <c r="F500" i="4"/>
  <c r="J500" i="4"/>
  <c r="F33" i="5"/>
  <c r="F34" i="5" s="1"/>
  <c r="I40" i="16" s="1"/>
  <c r="M98" i="16"/>
  <c r="K497" i="4"/>
  <c r="C33" i="5" l="1"/>
  <c r="C34" i="5" s="1"/>
  <c r="I32" i="16" s="1"/>
  <c r="J496" i="20"/>
  <c r="Q497" i="4"/>
  <c r="S497" i="4" s="1"/>
  <c r="L497" i="20" s="1"/>
  <c r="S496" i="4"/>
  <c r="L496" i="20" s="1"/>
  <c r="F501" i="4"/>
  <c r="J501" i="4"/>
  <c r="E501" i="4"/>
  <c r="K497" i="20"/>
  <c r="R498" i="4"/>
  <c r="P502" i="4"/>
  <c r="I502" i="20" s="1"/>
  <c r="C503" i="4"/>
  <c r="D503" i="4" s="1"/>
  <c r="G502" i="4"/>
  <c r="N500" i="4"/>
  <c r="H500" i="4"/>
  <c r="I500" i="4" s="1"/>
  <c r="L500" i="4" s="1"/>
  <c r="F35" i="5"/>
  <c r="F37" i="5" s="1"/>
  <c r="I41" i="16" s="1"/>
  <c r="K498" i="4"/>
  <c r="C35" i="5" l="1"/>
  <c r="I33" i="16" s="1"/>
  <c r="C504" i="4"/>
  <c r="D504" i="4" s="1"/>
  <c r="P503" i="4"/>
  <c r="I503" i="20" s="1"/>
  <c r="G503" i="4"/>
  <c r="K498" i="20"/>
  <c r="R499" i="4"/>
  <c r="F38" i="5"/>
  <c r="I42" i="16" s="1"/>
  <c r="N501" i="4"/>
  <c r="H501" i="4"/>
  <c r="I501" i="4" s="1"/>
  <c r="L501" i="4" s="1"/>
  <c r="J497" i="20"/>
  <c r="Q498" i="4"/>
  <c r="F502" i="4"/>
  <c r="E502" i="4"/>
  <c r="J502" i="4"/>
  <c r="K499" i="4"/>
  <c r="C36" i="5" l="1"/>
  <c r="I34" i="16" s="1"/>
  <c r="F39" i="5"/>
  <c r="I41" i="5" s="1"/>
  <c r="E7" i="20" s="1"/>
  <c r="F503" i="4"/>
  <c r="J503" i="4"/>
  <c r="E503" i="4"/>
  <c r="H502" i="4"/>
  <c r="I502" i="4" s="1"/>
  <c r="L502" i="4" s="1"/>
  <c r="N502" i="4"/>
  <c r="K499" i="20"/>
  <c r="R500" i="4"/>
  <c r="J498" i="20"/>
  <c r="Q499" i="4"/>
  <c r="S499" i="4" s="1"/>
  <c r="L499" i="20" s="1"/>
  <c r="C505" i="4"/>
  <c r="D505" i="4" s="1"/>
  <c r="P504" i="4"/>
  <c r="I504" i="20" s="1"/>
  <c r="G504" i="4"/>
  <c r="S498" i="4"/>
  <c r="L498" i="20" s="1"/>
  <c r="K500" i="4"/>
  <c r="C37" i="5" l="1"/>
  <c r="I35" i="16" s="1"/>
  <c r="I43" i="16"/>
  <c r="F41" i="5"/>
  <c r="D7" i="20" s="1"/>
  <c r="J499" i="20"/>
  <c r="Q500" i="4"/>
  <c r="H503" i="4"/>
  <c r="I503" i="4" s="1"/>
  <c r="L503" i="4" s="1"/>
  <c r="N503" i="4"/>
  <c r="K500" i="20"/>
  <c r="R501" i="4"/>
  <c r="C506" i="4"/>
  <c r="D506" i="4" s="1"/>
  <c r="P505" i="4"/>
  <c r="I505" i="20" s="1"/>
  <c r="G505" i="4"/>
  <c r="J504" i="4"/>
  <c r="E504" i="4"/>
  <c r="F504" i="4"/>
  <c r="K501" i="4"/>
  <c r="C57" i="5" l="1"/>
  <c r="C6" i="20"/>
  <c r="N504" i="4"/>
  <c r="H504" i="4"/>
  <c r="I504" i="4" s="1"/>
  <c r="L504" i="4" s="1"/>
  <c r="J500" i="20"/>
  <c r="Q501" i="4"/>
  <c r="S501" i="4" s="1"/>
  <c r="L501" i="20" s="1"/>
  <c r="F505" i="4"/>
  <c r="E505" i="4"/>
  <c r="J505" i="4"/>
  <c r="P506" i="4"/>
  <c r="I506" i="20" s="1"/>
  <c r="C507" i="4"/>
  <c r="D507" i="4" s="1"/>
  <c r="G506" i="4"/>
  <c r="S500" i="4"/>
  <c r="L500" i="20" s="1"/>
  <c r="K501" i="20"/>
  <c r="R502" i="4"/>
  <c r="K502" i="4"/>
  <c r="F506" i="4" l="1"/>
  <c r="J506" i="4"/>
  <c r="E506" i="4"/>
  <c r="N505" i="4"/>
  <c r="H505" i="4"/>
  <c r="I505" i="4" s="1"/>
  <c r="L505" i="4" s="1"/>
  <c r="K502" i="20"/>
  <c r="R503" i="4"/>
  <c r="P507" i="4"/>
  <c r="K46" i="5" s="1"/>
  <c r="G507" i="4"/>
  <c r="L27" i="5"/>
  <c r="B5" i="20" s="1"/>
  <c r="J501" i="20"/>
  <c r="Q502" i="4"/>
  <c r="K503" i="4"/>
  <c r="J502" i="20" l="1"/>
  <c r="Q503" i="4"/>
  <c r="E507" i="4"/>
  <c r="F507" i="4"/>
  <c r="J507" i="4"/>
  <c r="K503" i="20"/>
  <c r="R504" i="4"/>
  <c r="N506" i="4"/>
  <c r="H506" i="4"/>
  <c r="I506" i="4" s="1"/>
  <c r="L506" i="4" s="1"/>
  <c r="S502" i="4"/>
  <c r="L502" i="20" s="1"/>
  <c r="I507" i="20"/>
  <c r="U5" i="4"/>
  <c r="K504" i="4"/>
  <c r="K504" i="20" l="1"/>
  <c r="R505" i="4"/>
  <c r="N507" i="4"/>
  <c r="H507" i="4"/>
  <c r="I507" i="4" s="1"/>
  <c r="L507" i="4" s="1"/>
  <c r="L508" i="4" s="1"/>
  <c r="L509" i="4" s="1"/>
  <c r="L510" i="4" s="1"/>
  <c r="L511" i="4" s="1"/>
  <c r="L512" i="4" s="1"/>
  <c r="L513" i="4" s="1"/>
  <c r="L514" i="4" s="1"/>
  <c r="L515" i="4" s="1"/>
  <c r="L516" i="4" s="1"/>
  <c r="L517" i="4" s="1"/>
  <c r="L518" i="4" s="1"/>
  <c r="L519" i="4" s="1"/>
  <c r="L520" i="4" s="1"/>
  <c r="L521" i="4" s="1"/>
  <c r="L522" i="4" s="1"/>
  <c r="L523" i="4" s="1"/>
  <c r="L524" i="4" s="1"/>
  <c r="L525" i="4" s="1"/>
  <c r="L526" i="4" s="1"/>
  <c r="L527" i="4" s="1"/>
  <c r="L528" i="4" s="1"/>
  <c r="L529" i="4" s="1"/>
  <c r="L530" i="4" s="1"/>
  <c r="L531" i="4" s="1"/>
  <c r="L532" i="4" s="1"/>
  <c r="L533" i="4" s="1"/>
  <c r="L534" i="4" s="1"/>
  <c r="L535" i="4" s="1"/>
  <c r="L536" i="4" s="1"/>
  <c r="L537" i="4" s="1"/>
  <c r="L538" i="4" s="1"/>
  <c r="L539" i="4" s="1"/>
  <c r="L540" i="4" s="1"/>
  <c r="L541" i="4" s="1"/>
  <c r="L542" i="4" s="1"/>
  <c r="L543" i="4" s="1"/>
  <c r="L544" i="4" s="1"/>
  <c r="L545" i="4" s="1"/>
  <c r="L546" i="4" s="1"/>
  <c r="L547" i="4" s="1"/>
  <c r="L548" i="4" s="1"/>
  <c r="L549" i="4" s="1"/>
  <c r="L550" i="4" s="1"/>
  <c r="L551" i="4" s="1"/>
  <c r="L552" i="4" s="1"/>
  <c r="L553" i="4" s="1"/>
  <c r="L554" i="4" s="1"/>
  <c r="L555" i="4" s="1"/>
  <c r="L556" i="4" s="1"/>
  <c r="L557" i="4" s="1"/>
  <c r="L558" i="4" s="1"/>
  <c r="L559" i="4" s="1"/>
  <c r="L560" i="4" s="1"/>
  <c r="L561" i="4" s="1"/>
  <c r="L562" i="4" s="1"/>
  <c r="L563" i="4" s="1"/>
  <c r="L564" i="4" s="1"/>
  <c r="L565" i="4" s="1"/>
  <c r="L566" i="4" s="1"/>
  <c r="L567" i="4" s="1"/>
  <c r="L568" i="4" s="1"/>
  <c r="L569" i="4" s="1"/>
  <c r="L570" i="4" s="1"/>
  <c r="L571" i="4" s="1"/>
  <c r="L572" i="4" s="1"/>
  <c r="L573" i="4" s="1"/>
  <c r="L574" i="4" s="1"/>
  <c r="L575" i="4" s="1"/>
  <c r="L576" i="4" s="1"/>
  <c r="L577" i="4" s="1"/>
  <c r="L578" i="4" s="1"/>
  <c r="L579" i="4" s="1"/>
  <c r="L580" i="4" s="1"/>
  <c r="L581" i="4" s="1"/>
  <c r="L582" i="4" s="1"/>
  <c r="L583" i="4" s="1"/>
  <c r="L584" i="4" s="1"/>
  <c r="L585" i="4" s="1"/>
  <c r="L586" i="4" s="1"/>
  <c r="L587" i="4" s="1"/>
  <c r="L588" i="4" s="1"/>
  <c r="L589" i="4" s="1"/>
  <c r="L590" i="4" s="1"/>
  <c r="L591" i="4" s="1"/>
  <c r="L592" i="4" s="1"/>
  <c r="L593" i="4" s="1"/>
  <c r="L594" i="4" s="1"/>
  <c r="L595" i="4" s="1"/>
  <c r="L596" i="4" s="1"/>
  <c r="L597" i="4" s="1"/>
  <c r="L598" i="4" s="1"/>
  <c r="L599" i="4" s="1"/>
  <c r="L600" i="4" s="1"/>
  <c r="L601" i="4" s="1"/>
  <c r="L602" i="4" s="1"/>
  <c r="L603" i="4" s="1"/>
  <c r="L604" i="4" s="1"/>
  <c r="L605" i="4" s="1"/>
  <c r="L606" i="4" s="1"/>
  <c r="L607" i="4" s="1"/>
  <c r="L608" i="4" s="1"/>
  <c r="L609" i="4" s="1"/>
  <c r="L610" i="4" s="1"/>
  <c r="L611" i="4" s="1"/>
  <c r="L612" i="4" s="1"/>
  <c r="L613" i="4" s="1"/>
  <c r="L614" i="4" s="1"/>
  <c r="L615" i="4" s="1"/>
  <c r="L616" i="4" s="1"/>
  <c r="L617" i="4" s="1"/>
  <c r="L618" i="4" s="1"/>
  <c r="L619" i="4" s="1"/>
  <c r="L620" i="4" s="1"/>
  <c r="L621" i="4" s="1"/>
  <c r="L622" i="4" s="1"/>
  <c r="L623" i="4" s="1"/>
  <c r="L624" i="4" s="1"/>
  <c r="L625" i="4" s="1"/>
  <c r="L626" i="4" s="1"/>
  <c r="L627" i="4" s="1"/>
  <c r="L628" i="4" s="1"/>
  <c r="L629" i="4" s="1"/>
  <c r="L630" i="4" s="1"/>
  <c r="L631" i="4" s="1"/>
  <c r="L632" i="4" s="1"/>
  <c r="L633" i="4" s="1"/>
  <c r="L634" i="4" s="1"/>
  <c r="L635" i="4" s="1"/>
  <c r="L636" i="4" s="1"/>
  <c r="L637" i="4" s="1"/>
  <c r="L638" i="4" s="1"/>
  <c r="L639" i="4" s="1"/>
  <c r="L640" i="4" s="1"/>
  <c r="L641" i="4" s="1"/>
  <c r="L642" i="4" s="1"/>
  <c r="L643" i="4" s="1"/>
  <c r="L644" i="4" s="1"/>
  <c r="L645" i="4" s="1"/>
  <c r="L646" i="4" s="1"/>
  <c r="L647" i="4" s="1"/>
  <c r="L648" i="4" s="1"/>
  <c r="L649" i="4" s="1"/>
  <c r="L650" i="4" s="1"/>
  <c r="L651" i="4" s="1"/>
  <c r="L652" i="4" s="1"/>
  <c r="L653" i="4" s="1"/>
  <c r="L654" i="4" s="1"/>
  <c r="L655" i="4" s="1"/>
  <c r="L656" i="4" s="1"/>
  <c r="L657" i="4" s="1"/>
  <c r="L658" i="4" s="1"/>
  <c r="L659" i="4" s="1"/>
  <c r="L660" i="4" s="1"/>
  <c r="L661" i="4" s="1"/>
  <c r="L662" i="4" s="1"/>
  <c r="L663" i="4" s="1"/>
  <c r="L664" i="4" s="1"/>
  <c r="L665" i="4" s="1"/>
  <c r="L666" i="4" s="1"/>
  <c r="L667" i="4" s="1"/>
  <c r="L668" i="4" s="1"/>
  <c r="L669" i="4" s="1"/>
  <c r="L670" i="4" s="1"/>
  <c r="L671" i="4" s="1"/>
  <c r="L672" i="4" s="1"/>
  <c r="L673" i="4" s="1"/>
  <c r="L674" i="4" s="1"/>
  <c r="L675" i="4" s="1"/>
  <c r="L676" i="4" s="1"/>
  <c r="L677" i="4" s="1"/>
  <c r="L678" i="4" s="1"/>
  <c r="L679" i="4" s="1"/>
  <c r="L680" i="4" s="1"/>
  <c r="L681" i="4" s="1"/>
  <c r="L682" i="4" s="1"/>
  <c r="L683" i="4" s="1"/>
  <c r="L684" i="4" s="1"/>
  <c r="L685" i="4" s="1"/>
  <c r="L686" i="4" s="1"/>
  <c r="L687" i="4" s="1"/>
  <c r="L688" i="4" s="1"/>
  <c r="L689" i="4" s="1"/>
  <c r="L690" i="4" s="1"/>
  <c r="L691" i="4" s="1"/>
  <c r="L692" i="4" s="1"/>
  <c r="L693" i="4" s="1"/>
  <c r="L694" i="4" s="1"/>
  <c r="L695" i="4" s="1"/>
  <c r="L696" i="4" s="1"/>
  <c r="L697" i="4" s="1"/>
  <c r="L698" i="4" s="1"/>
  <c r="L699" i="4" s="1"/>
  <c r="L700" i="4" s="1"/>
  <c r="N5" i="20"/>
  <c r="J503" i="20"/>
  <c r="Q504" i="4"/>
  <c r="S504" i="4" s="1"/>
  <c r="L504" i="20" s="1"/>
  <c r="S503" i="4"/>
  <c r="L503" i="20" s="1"/>
  <c r="K505" i="4"/>
  <c r="X5" i="4" l="1"/>
  <c r="J7" i="2"/>
  <c r="J504" i="20"/>
  <c r="Q505" i="4"/>
  <c r="K505" i="20"/>
  <c r="R506" i="4"/>
  <c r="K506" i="4"/>
  <c r="J11" i="2" l="1"/>
  <c r="J13" i="2" s="1"/>
  <c r="J505" i="20"/>
  <c r="Q506" i="4"/>
  <c r="S506" i="4" s="1"/>
  <c r="L506" i="20" s="1"/>
  <c r="K506" i="20"/>
  <c r="R507" i="4"/>
  <c r="K507" i="20" s="1"/>
  <c r="S505" i="4"/>
  <c r="L505" i="20" s="1"/>
  <c r="K507" i="4"/>
  <c r="L35" i="5" l="1"/>
  <c r="J6" i="2"/>
  <c r="W5" i="4"/>
  <c r="Y5" i="4" s="1"/>
  <c r="I93" i="16" s="1"/>
  <c r="J506" i="20"/>
  <c r="Q507" i="4"/>
  <c r="J507" i="20" s="1"/>
  <c r="K508" i="4"/>
  <c r="AA5" i="4" l="1"/>
  <c r="L36" i="5"/>
  <c r="L37" i="5" s="1"/>
  <c r="G97" i="16"/>
  <c r="M97" i="16" s="1"/>
  <c r="J8" i="2"/>
  <c r="O5" i="20"/>
  <c r="S507" i="4"/>
  <c r="L507" i="20" s="1"/>
  <c r="K509" i="4"/>
  <c r="S508" i="4"/>
  <c r="L508" i="20" s="1"/>
  <c r="J12" i="2" l="1"/>
  <c r="L32" i="5" s="1"/>
  <c r="V5" i="4"/>
  <c r="X6" i="4"/>
  <c r="S509" i="4"/>
  <c r="L509" i="20" s="1"/>
  <c r="K510" i="4"/>
  <c r="L33" i="5" l="1"/>
  <c r="G99" i="16" s="1"/>
  <c r="Z5" i="4"/>
  <c r="W6" i="4" s="1"/>
  <c r="Z6" i="4" s="1"/>
  <c r="W7" i="4" s="1"/>
  <c r="Z7" i="4" s="1"/>
  <c r="W8" i="4" s="1"/>
  <c r="G96" i="16"/>
  <c r="G98" i="16" s="1"/>
  <c r="M32" i="5"/>
  <c r="M33" i="5" s="1"/>
  <c r="M34" i="5" s="1"/>
  <c r="M41" i="5" s="1"/>
  <c r="M42" i="5" s="1"/>
  <c r="M43" i="5" s="1"/>
  <c r="AA6" i="4"/>
  <c r="X7" i="4" s="1"/>
  <c r="K511" i="4"/>
  <c r="S510" i="4"/>
  <c r="L510" i="20" s="1"/>
  <c r="M96" i="16" l="1"/>
  <c r="M100" i="16" s="1"/>
  <c r="L34" i="5"/>
  <c r="L41" i="5" s="1"/>
  <c r="L42" i="5" s="1"/>
  <c r="L43" i="5" s="1"/>
  <c r="F57" i="5" s="1"/>
  <c r="Y6" i="4"/>
  <c r="U6" i="4" s="1"/>
  <c r="V6" i="4" s="1"/>
  <c r="M47" i="5"/>
  <c r="M48" i="5" s="1"/>
  <c r="M49" i="5" s="1"/>
  <c r="AA7" i="4"/>
  <c r="X8" i="4" s="1"/>
  <c r="AA8" i="4" s="1"/>
  <c r="X9" i="4" s="1"/>
  <c r="AA9" i="4" s="1"/>
  <c r="X10" i="4" s="1"/>
  <c r="Y7" i="4"/>
  <c r="O7" i="20" s="1"/>
  <c r="O6" i="20"/>
  <c r="Z8" i="4"/>
  <c r="W9" i="4" s="1"/>
  <c r="K512" i="4"/>
  <c r="S511" i="4"/>
  <c r="L511" i="20" s="1"/>
  <c r="L47" i="5" l="1"/>
  <c r="L48" i="5" s="1"/>
  <c r="N6" i="20"/>
  <c r="U7" i="4"/>
  <c r="N7" i="20" s="1"/>
  <c r="Y8" i="4"/>
  <c r="O8" i="20" s="1"/>
  <c r="AA10" i="4"/>
  <c r="X11" i="4" s="1"/>
  <c r="G100" i="16"/>
  <c r="Z9" i="4"/>
  <c r="W10" i="4" s="1"/>
  <c r="Y9" i="4"/>
  <c r="K513" i="4"/>
  <c r="S512" i="4"/>
  <c r="L512" i="20" s="1"/>
  <c r="U8" i="4" l="1"/>
  <c r="N8" i="20" s="1"/>
  <c r="V7" i="4"/>
  <c r="AA11" i="4"/>
  <c r="X12" i="4" s="1"/>
  <c r="G101" i="16"/>
  <c r="M101" i="16" s="1"/>
  <c r="M102" i="16" s="1"/>
  <c r="L49" i="5"/>
  <c r="O9" i="20"/>
  <c r="U9" i="4"/>
  <c r="Z10" i="4"/>
  <c r="W11" i="4" s="1"/>
  <c r="Y10" i="4"/>
  <c r="V8" i="4"/>
  <c r="S513" i="4"/>
  <c r="L513" i="20" s="1"/>
  <c r="K514" i="4"/>
  <c r="AA12" i="4" l="1"/>
  <c r="X13" i="4" s="1"/>
  <c r="F59" i="5"/>
  <c r="G102" i="16"/>
  <c r="U10" i="4"/>
  <c r="O10" i="20"/>
  <c r="N9" i="20"/>
  <c r="V9" i="4"/>
  <c r="Z11" i="4"/>
  <c r="W12" i="4" s="1"/>
  <c r="Y11" i="4"/>
  <c r="K515" i="4"/>
  <c r="S514" i="4"/>
  <c r="L514" i="20" s="1"/>
  <c r="AA13" i="4" l="1"/>
  <c r="X14" i="4" s="1"/>
  <c r="L55" i="5"/>
  <c r="G7" i="20" s="1"/>
  <c r="L56" i="5"/>
  <c r="F7" i="20" s="1"/>
  <c r="U11" i="4"/>
  <c r="O11" i="20"/>
  <c r="N10" i="20"/>
  <c r="V10" i="4"/>
  <c r="Z12" i="4"/>
  <c r="W13" i="4" s="1"/>
  <c r="Y12" i="4"/>
  <c r="K516" i="4"/>
  <c r="S515" i="4"/>
  <c r="L515" i="20" s="1"/>
  <c r="AA14" i="4" l="1"/>
  <c r="X15" i="4" s="1"/>
  <c r="U12" i="4"/>
  <c r="O12" i="20"/>
  <c r="Z13" i="4"/>
  <c r="W14" i="4" s="1"/>
  <c r="Y13" i="4"/>
  <c r="N11" i="20"/>
  <c r="V11" i="4"/>
  <c r="K517" i="4"/>
  <c r="S516" i="4"/>
  <c r="L516" i="20" s="1"/>
  <c r="AA15" i="4" l="1"/>
  <c r="X16" i="4"/>
  <c r="U13" i="4"/>
  <c r="O13" i="20"/>
  <c r="Z14" i="4"/>
  <c r="W15" i="4" s="1"/>
  <c r="Y14" i="4"/>
  <c r="N12" i="20"/>
  <c r="V12" i="4"/>
  <c r="S517" i="4"/>
  <c r="L517" i="20" s="1"/>
  <c r="K518" i="4"/>
  <c r="AA16" i="4" l="1"/>
  <c r="X17" i="4" s="1"/>
  <c r="AA17" i="4" s="1"/>
  <c r="X18" i="4" s="1"/>
  <c r="AA18" i="4" s="1"/>
  <c r="X19" i="4" s="1"/>
  <c r="AA19" i="4" s="1"/>
  <c r="X20" i="4" s="1"/>
  <c r="U14" i="4"/>
  <c r="O14" i="20"/>
  <c r="Z15" i="4"/>
  <c r="W16" i="4" s="1"/>
  <c r="Y15" i="4"/>
  <c r="N13" i="20"/>
  <c r="V13" i="4"/>
  <c r="K519" i="4"/>
  <c r="S518" i="4"/>
  <c r="L518" i="20" s="1"/>
  <c r="AA20" i="4" l="1"/>
  <c r="X21" i="4" s="1"/>
  <c r="Z16" i="4"/>
  <c r="W17" i="4" s="1"/>
  <c r="Y16" i="4"/>
  <c r="N14" i="20"/>
  <c r="V14" i="4"/>
  <c r="U15" i="4"/>
  <c r="O15" i="20"/>
  <c r="K520" i="4"/>
  <c r="S519" i="4"/>
  <c r="L519" i="20" s="1"/>
  <c r="N15" i="20" l="1"/>
  <c r="V15" i="4"/>
  <c r="U16" i="4"/>
  <c r="O16" i="20"/>
  <c r="Z17" i="4"/>
  <c r="W18" i="4" s="1"/>
  <c r="Y17" i="4"/>
  <c r="AA21" i="4"/>
  <c r="X22" i="4" s="1"/>
  <c r="K521" i="4"/>
  <c r="S520" i="4"/>
  <c r="L520" i="20" s="1"/>
  <c r="AA22" i="4" l="1"/>
  <c r="X23" i="4" s="1"/>
  <c r="N16" i="20"/>
  <c r="V16" i="4"/>
  <c r="U17" i="4"/>
  <c r="O17" i="20"/>
  <c r="Z18" i="4"/>
  <c r="W19" i="4" s="1"/>
  <c r="Y18" i="4"/>
  <c r="S521" i="4"/>
  <c r="L521" i="20" s="1"/>
  <c r="K522" i="4"/>
  <c r="Z19" i="4" l="1"/>
  <c r="W20" i="4" s="1"/>
  <c r="Y19" i="4"/>
  <c r="O18" i="20"/>
  <c r="U18" i="4"/>
  <c r="N17" i="20"/>
  <c r="V17" i="4"/>
  <c r="AA23" i="4"/>
  <c r="X24" i="4" s="1"/>
  <c r="K523" i="4"/>
  <c r="S522" i="4"/>
  <c r="L522" i="20" s="1"/>
  <c r="AA24" i="4" l="1"/>
  <c r="X25" i="4" s="1"/>
  <c r="N18" i="20"/>
  <c r="V18" i="4"/>
  <c r="O19" i="20"/>
  <c r="U19" i="4"/>
  <c r="Z20" i="4"/>
  <c r="W21" i="4" s="1"/>
  <c r="Y20" i="4"/>
  <c r="K524" i="4"/>
  <c r="S523" i="4"/>
  <c r="L523" i="20" s="1"/>
  <c r="O20" i="20" l="1"/>
  <c r="U20" i="4"/>
  <c r="N19" i="20"/>
  <c r="V19" i="4"/>
  <c r="Z21" i="4"/>
  <c r="W22" i="4" s="1"/>
  <c r="Y21" i="4"/>
  <c r="AA25" i="4"/>
  <c r="X26" i="4" s="1"/>
  <c r="K525" i="4"/>
  <c r="S524" i="4"/>
  <c r="L524" i="20" s="1"/>
  <c r="AA26" i="4" l="1"/>
  <c r="X27" i="4" s="1"/>
  <c r="U21" i="4"/>
  <c r="O21" i="20"/>
  <c r="N20" i="20"/>
  <c r="V20" i="4"/>
  <c r="Z22" i="4"/>
  <c r="W23" i="4" s="1"/>
  <c r="Y22" i="4"/>
  <c r="S525" i="4"/>
  <c r="L525" i="20" s="1"/>
  <c r="K526" i="4"/>
  <c r="U22" i="4" l="1"/>
  <c r="O22" i="20"/>
  <c r="Z23" i="4"/>
  <c r="W24" i="4" s="1"/>
  <c r="Y23" i="4"/>
  <c r="N21" i="20"/>
  <c r="V21" i="4"/>
  <c r="AA27" i="4"/>
  <c r="X28" i="4" s="1"/>
  <c r="K527" i="4"/>
  <c r="S526" i="4"/>
  <c r="L526" i="20" s="1"/>
  <c r="AA28" i="4" l="1"/>
  <c r="X29" i="4" s="1"/>
  <c r="O23" i="20"/>
  <c r="U23" i="4"/>
  <c r="Z24" i="4"/>
  <c r="W25" i="4" s="1"/>
  <c r="Y24" i="4"/>
  <c r="N22" i="20"/>
  <c r="V22" i="4"/>
  <c r="K528" i="4"/>
  <c r="S527" i="4"/>
  <c r="L527" i="20" s="1"/>
  <c r="N23" i="20" l="1"/>
  <c r="V23" i="4"/>
  <c r="U24" i="4"/>
  <c r="O24" i="20"/>
  <c r="Z25" i="4"/>
  <c r="W26" i="4" s="1"/>
  <c r="Y25" i="4"/>
  <c r="AA29" i="4"/>
  <c r="X30" i="4" s="1"/>
  <c r="K529" i="4"/>
  <c r="S528" i="4"/>
  <c r="L528" i="20" s="1"/>
  <c r="AA30" i="4" l="1"/>
  <c r="X31" i="4" s="1"/>
  <c r="AA31" i="4" s="1"/>
  <c r="O25" i="20"/>
  <c r="U25" i="4"/>
  <c r="Z26" i="4"/>
  <c r="W27" i="4" s="1"/>
  <c r="Y26" i="4"/>
  <c r="N24" i="20"/>
  <c r="V24" i="4"/>
  <c r="S529" i="4"/>
  <c r="L529" i="20" s="1"/>
  <c r="K530" i="4"/>
  <c r="U26" i="4" l="1"/>
  <c r="O26" i="20"/>
  <c r="Z27" i="4"/>
  <c r="W28" i="4" s="1"/>
  <c r="Y27" i="4"/>
  <c r="X32" i="4"/>
  <c r="N25" i="20"/>
  <c r="V25" i="4"/>
  <c r="K531" i="4"/>
  <c r="S530" i="4"/>
  <c r="L530" i="20" s="1"/>
  <c r="AA32" i="4" l="1"/>
  <c r="X33" i="4" s="1"/>
  <c r="U27" i="4"/>
  <c r="O27" i="20"/>
  <c r="Z28" i="4"/>
  <c r="W29" i="4" s="1"/>
  <c r="Y28" i="4"/>
  <c r="N26" i="20"/>
  <c r="V26" i="4"/>
  <c r="K532" i="4"/>
  <c r="S531" i="4"/>
  <c r="L531" i="20" s="1"/>
  <c r="AA33" i="4" l="1"/>
  <c r="X34" i="4" s="1"/>
  <c r="U28" i="4"/>
  <c r="O28" i="20"/>
  <c r="Z29" i="4"/>
  <c r="W30" i="4" s="1"/>
  <c r="Y29" i="4"/>
  <c r="N27" i="20"/>
  <c r="V27" i="4"/>
  <c r="K533" i="4"/>
  <c r="S532" i="4"/>
  <c r="L532" i="20" s="1"/>
  <c r="N28" i="20" l="1"/>
  <c r="V28" i="4"/>
  <c r="O29" i="20"/>
  <c r="U29" i="4"/>
  <c r="AA34" i="4"/>
  <c r="X35" i="4" s="1"/>
  <c r="AA35" i="4" s="1"/>
  <c r="Z30" i="4"/>
  <c r="W31" i="4" s="1"/>
  <c r="Y30" i="4"/>
  <c r="S533" i="4"/>
  <c r="L533" i="20" s="1"/>
  <c r="K534" i="4"/>
  <c r="U30" i="4" l="1"/>
  <c r="O30" i="20"/>
  <c r="N29" i="20"/>
  <c r="V29" i="4"/>
  <c r="X36" i="4"/>
  <c r="AA36" i="4" s="1"/>
  <c r="Z31" i="4"/>
  <c r="W32" i="4" s="1"/>
  <c r="Y31" i="4"/>
  <c r="K535" i="4"/>
  <c r="S534" i="4"/>
  <c r="L534" i="20" s="1"/>
  <c r="U31" i="4" l="1"/>
  <c r="O31" i="20"/>
  <c r="X37" i="4"/>
  <c r="AA37" i="4" s="1"/>
  <c r="N30" i="20"/>
  <c r="V30" i="4"/>
  <c r="Z32" i="4"/>
  <c r="W33" i="4" s="1"/>
  <c r="Y32" i="4"/>
  <c r="K536" i="4"/>
  <c r="S535" i="4"/>
  <c r="L535" i="20" s="1"/>
  <c r="U32" i="4" l="1"/>
  <c r="O32" i="20"/>
  <c r="Z33" i="4"/>
  <c r="W34" i="4" s="1"/>
  <c r="Y33" i="4"/>
  <c r="X38" i="4"/>
  <c r="AA38" i="4" s="1"/>
  <c r="N31" i="20"/>
  <c r="V31" i="4"/>
  <c r="K537" i="4"/>
  <c r="S536" i="4"/>
  <c r="L536" i="20" s="1"/>
  <c r="O33" i="20" l="1"/>
  <c r="U33" i="4"/>
  <c r="Z34" i="4"/>
  <c r="W35" i="4" s="1"/>
  <c r="Y34" i="4"/>
  <c r="X39" i="4"/>
  <c r="AA39" i="4" s="1"/>
  <c r="N32" i="20"/>
  <c r="V32" i="4"/>
  <c r="S537" i="4"/>
  <c r="L537" i="20" s="1"/>
  <c r="K538" i="4"/>
  <c r="O34" i="20" l="1"/>
  <c r="U34" i="4"/>
  <c r="Z35" i="4"/>
  <c r="W36" i="4" s="1"/>
  <c r="Y35" i="4"/>
  <c r="N33" i="20"/>
  <c r="V33" i="4"/>
  <c r="X40" i="4"/>
  <c r="AA40" i="4" s="1"/>
  <c r="K539" i="4"/>
  <c r="S538" i="4"/>
  <c r="L538" i="20" s="1"/>
  <c r="U35" i="4" l="1"/>
  <c r="O35" i="20"/>
  <c r="Z36" i="4"/>
  <c r="W37" i="4" s="1"/>
  <c r="Y36" i="4"/>
  <c r="N34" i="20"/>
  <c r="V34" i="4"/>
  <c r="X41" i="4"/>
  <c r="K540" i="4"/>
  <c r="S539" i="4"/>
  <c r="L539" i="20" s="1"/>
  <c r="U36" i="4" l="1"/>
  <c r="O36" i="20"/>
  <c r="AA41" i="4"/>
  <c r="X42" i="4" s="1"/>
  <c r="Z37" i="4"/>
  <c r="W38" i="4" s="1"/>
  <c r="Y37" i="4"/>
  <c r="N35" i="20"/>
  <c r="V35" i="4"/>
  <c r="K541" i="4"/>
  <c r="S540" i="4"/>
  <c r="L540" i="20" s="1"/>
  <c r="AA42" i="4" l="1"/>
  <c r="X43" i="4" s="1"/>
  <c r="U37" i="4"/>
  <c r="O37" i="20"/>
  <c r="Z38" i="4"/>
  <c r="W39" i="4" s="1"/>
  <c r="Y38" i="4"/>
  <c r="N36" i="20"/>
  <c r="V36" i="4"/>
  <c r="S541" i="4"/>
  <c r="L541" i="20" s="1"/>
  <c r="K542" i="4"/>
  <c r="N37" i="20" l="1"/>
  <c r="V37" i="4"/>
  <c r="U38" i="4"/>
  <c r="O38" i="20"/>
  <c r="Z39" i="4"/>
  <c r="W40" i="4" s="1"/>
  <c r="Y39" i="4"/>
  <c r="AA43" i="4"/>
  <c r="X44" i="4" s="1"/>
  <c r="AA44" i="4" s="1"/>
  <c r="K543" i="4"/>
  <c r="S542" i="4"/>
  <c r="L542" i="20" s="1"/>
  <c r="X45" i="4" l="1"/>
  <c r="N38" i="20"/>
  <c r="V38" i="4"/>
  <c r="U39" i="4"/>
  <c r="O39" i="20"/>
  <c r="Z40" i="4"/>
  <c r="W41" i="4" s="1"/>
  <c r="Y40" i="4"/>
  <c r="K544" i="4"/>
  <c r="S543" i="4"/>
  <c r="L543" i="20" s="1"/>
  <c r="Z41" i="4" l="1"/>
  <c r="W42" i="4" s="1"/>
  <c r="Y41" i="4"/>
  <c r="N39" i="20"/>
  <c r="V39" i="4"/>
  <c r="O40" i="20"/>
  <c r="U40" i="4"/>
  <c r="AA45" i="4"/>
  <c r="X46" i="4" s="1"/>
  <c r="AA46" i="4" s="1"/>
  <c r="K545" i="4"/>
  <c r="S544" i="4"/>
  <c r="L544" i="20" s="1"/>
  <c r="X47" i="4" l="1"/>
  <c r="N40" i="20"/>
  <c r="V40" i="4"/>
  <c r="U41" i="4"/>
  <c r="O41" i="20"/>
  <c r="Z42" i="4"/>
  <c r="W43" i="4" s="1"/>
  <c r="Y42" i="4"/>
  <c r="S545" i="4"/>
  <c r="L545" i="20" s="1"/>
  <c r="K546" i="4"/>
  <c r="Z43" i="4" l="1"/>
  <c r="W44" i="4" s="1"/>
  <c r="Y43" i="4"/>
  <c r="N41" i="20"/>
  <c r="V41" i="4"/>
  <c r="O42" i="20"/>
  <c r="U42" i="4"/>
  <c r="AA47" i="4"/>
  <c r="X48" i="4" s="1"/>
  <c r="K547" i="4"/>
  <c r="S546" i="4"/>
  <c r="L546" i="20" s="1"/>
  <c r="AA48" i="4" l="1"/>
  <c r="X49" i="4" s="1"/>
  <c r="AA49" i="4" s="1"/>
  <c r="N42" i="20"/>
  <c r="V42" i="4"/>
  <c r="U43" i="4"/>
  <c r="O43" i="20"/>
  <c r="Z44" i="4"/>
  <c r="W45" i="4" s="1"/>
  <c r="Y44" i="4"/>
  <c r="K548" i="4"/>
  <c r="S547" i="4"/>
  <c r="L547" i="20" s="1"/>
  <c r="Z45" i="4" l="1"/>
  <c r="W46" i="4" s="1"/>
  <c r="Y45" i="4"/>
  <c r="N43" i="20"/>
  <c r="V43" i="4"/>
  <c r="X50" i="4"/>
  <c r="AA50" i="4" s="1"/>
  <c r="U44" i="4"/>
  <c r="O44" i="20"/>
  <c r="K549" i="4"/>
  <c r="S548" i="4"/>
  <c r="L548" i="20" s="1"/>
  <c r="N44" i="20" l="1"/>
  <c r="V44" i="4"/>
  <c r="O45" i="20"/>
  <c r="U45" i="4"/>
  <c r="X51" i="4"/>
  <c r="AA51" i="4" s="1"/>
  <c r="Z46" i="4"/>
  <c r="W47" i="4" s="1"/>
  <c r="Y46" i="4"/>
  <c r="S549" i="4"/>
  <c r="L549" i="20" s="1"/>
  <c r="K550" i="4"/>
  <c r="N45" i="20" l="1"/>
  <c r="V45" i="4"/>
  <c r="O46" i="20"/>
  <c r="U46" i="4"/>
  <c r="Z47" i="4"/>
  <c r="W48" i="4" s="1"/>
  <c r="Y47" i="4"/>
  <c r="X52" i="4"/>
  <c r="K551" i="4"/>
  <c r="S550" i="4"/>
  <c r="L550" i="20" s="1"/>
  <c r="N46" i="20" l="1"/>
  <c r="V46" i="4"/>
  <c r="U47" i="4"/>
  <c r="O47" i="20"/>
  <c r="AA52" i="4"/>
  <c r="X53" i="4" s="1"/>
  <c r="Z48" i="4"/>
  <c r="W49" i="4" s="1"/>
  <c r="Y48" i="4"/>
  <c r="K552" i="4"/>
  <c r="S551" i="4"/>
  <c r="L551" i="20" s="1"/>
  <c r="Z49" i="4" l="1"/>
  <c r="W50" i="4" s="1"/>
  <c r="Y49" i="4"/>
  <c r="U48" i="4"/>
  <c r="O48" i="20"/>
  <c r="N47" i="20"/>
  <c r="V47" i="4"/>
  <c r="AA53" i="4"/>
  <c r="X54" i="4" s="1"/>
  <c r="K553" i="4"/>
  <c r="S552" i="4"/>
  <c r="L552" i="20" s="1"/>
  <c r="AA54" i="4" l="1"/>
  <c r="X55" i="4" s="1"/>
  <c r="AA55" i="4" s="1"/>
  <c r="N48" i="20"/>
  <c r="V48" i="4"/>
  <c r="U49" i="4"/>
  <c r="O49" i="20"/>
  <c r="Z50" i="4"/>
  <c r="W51" i="4" s="1"/>
  <c r="Y50" i="4"/>
  <c r="S553" i="4"/>
  <c r="L553" i="20" s="1"/>
  <c r="K554" i="4"/>
  <c r="Z51" i="4" l="1"/>
  <c r="W52" i="4" s="1"/>
  <c r="Y51" i="4"/>
  <c r="X56" i="4"/>
  <c r="AA56" i="4" s="1"/>
  <c r="U50" i="4"/>
  <c r="O50" i="20"/>
  <c r="N49" i="20"/>
  <c r="V49" i="4"/>
  <c r="K555" i="4"/>
  <c r="S554" i="4"/>
  <c r="L554" i="20" s="1"/>
  <c r="X57" i="4" l="1"/>
  <c r="AA57" i="4" s="1"/>
  <c r="U51" i="4"/>
  <c r="O51" i="20"/>
  <c r="N50" i="20"/>
  <c r="V50" i="4"/>
  <c r="Z52" i="4"/>
  <c r="W53" i="4" s="1"/>
  <c r="Y52" i="4"/>
  <c r="K556" i="4"/>
  <c r="S555" i="4"/>
  <c r="L555" i="20" s="1"/>
  <c r="U52" i="4" l="1"/>
  <c r="O52" i="20"/>
  <c r="N51" i="20"/>
  <c r="V51" i="4"/>
  <c r="Z53" i="4"/>
  <c r="W54" i="4" s="1"/>
  <c r="Y53" i="4"/>
  <c r="X58" i="4"/>
  <c r="AA58" i="4" s="1"/>
  <c r="K557" i="4"/>
  <c r="S556" i="4"/>
  <c r="L556" i="20" s="1"/>
  <c r="X59" i="4" l="1"/>
  <c r="O53" i="20"/>
  <c r="U53" i="4"/>
  <c r="Z54" i="4"/>
  <c r="W55" i="4" s="1"/>
  <c r="Y54" i="4"/>
  <c r="N52" i="20"/>
  <c r="V52" i="4"/>
  <c r="S557" i="4"/>
  <c r="L557" i="20" s="1"/>
  <c r="K558" i="4"/>
  <c r="N53" i="20" l="1"/>
  <c r="V53" i="4"/>
  <c r="U54" i="4"/>
  <c r="O54" i="20"/>
  <c r="Z55" i="4"/>
  <c r="W56" i="4" s="1"/>
  <c r="Y55" i="4"/>
  <c r="AA59" i="4"/>
  <c r="X60" i="4" s="1"/>
  <c r="K559" i="4"/>
  <c r="S558" i="4"/>
  <c r="L558" i="20" s="1"/>
  <c r="AA60" i="4" l="1"/>
  <c r="X61" i="4" s="1"/>
  <c r="N54" i="20"/>
  <c r="V54" i="4"/>
  <c r="U55" i="4"/>
  <c r="O55" i="20"/>
  <c r="Z56" i="4"/>
  <c r="W57" i="4" s="1"/>
  <c r="Y56" i="4"/>
  <c r="K560" i="4"/>
  <c r="S559" i="4"/>
  <c r="L559" i="20" s="1"/>
  <c r="Z57" i="4" l="1"/>
  <c r="W58" i="4" s="1"/>
  <c r="Y57" i="4"/>
  <c r="N55" i="20"/>
  <c r="V55" i="4"/>
  <c r="AA61" i="4"/>
  <c r="X62" i="4" s="1"/>
  <c r="O56" i="20"/>
  <c r="U56" i="4"/>
  <c r="K561" i="4"/>
  <c r="S560" i="4"/>
  <c r="L560" i="20" s="1"/>
  <c r="AA62" i="4" l="1"/>
  <c r="X63" i="4" s="1"/>
  <c r="AA63" i="4" s="1"/>
  <c r="N56" i="20"/>
  <c r="V56" i="4"/>
  <c r="U57" i="4"/>
  <c r="O57" i="20"/>
  <c r="Z58" i="4"/>
  <c r="W59" i="4" s="1"/>
  <c r="Y58" i="4"/>
  <c r="S561" i="4"/>
  <c r="L561" i="20" s="1"/>
  <c r="K562" i="4"/>
  <c r="Z59" i="4" l="1"/>
  <c r="W60" i="4" s="1"/>
  <c r="Y59" i="4"/>
  <c r="X64" i="4"/>
  <c r="AA64" i="4" s="1"/>
  <c r="U58" i="4"/>
  <c r="O58" i="20"/>
  <c r="N57" i="20"/>
  <c r="V57" i="4"/>
  <c r="K563" i="4"/>
  <c r="S562" i="4"/>
  <c r="L562" i="20" s="1"/>
  <c r="X65" i="4" l="1"/>
  <c r="AA65" i="4" s="1"/>
  <c r="U59" i="4"/>
  <c r="O59" i="20"/>
  <c r="N58" i="20"/>
  <c r="V58" i="4"/>
  <c r="Z60" i="4"/>
  <c r="W61" i="4" s="1"/>
  <c r="Y60" i="4"/>
  <c r="K564" i="4"/>
  <c r="S563" i="4"/>
  <c r="L563" i="20" s="1"/>
  <c r="U60" i="4" l="1"/>
  <c r="O60" i="20"/>
  <c r="N59" i="20"/>
  <c r="V59" i="4"/>
  <c r="Z61" i="4"/>
  <c r="W62" i="4" s="1"/>
  <c r="Y61" i="4"/>
  <c r="X66" i="4"/>
  <c r="AA66" i="4" s="1"/>
  <c r="K565" i="4"/>
  <c r="S564" i="4"/>
  <c r="L564" i="20" s="1"/>
  <c r="X67" i="4" l="1"/>
  <c r="AA67" i="4" s="1"/>
  <c r="O61" i="20"/>
  <c r="U61" i="4"/>
  <c r="Z62" i="4"/>
  <c r="W63" i="4" s="1"/>
  <c r="Y62" i="4"/>
  <c r="N60" i="20"/>
  <c r="V60" i="4"/>
  <c r="S565" i="4"/>
  <c r="L565" i="20" s="1"/>
  <c r="K566" i="4"/>
  <c r="N61" i="20" l="1"/>
  <c r="V61" i="4"/>
  <c r="U62" i="4"/>
  <c r="O62" i="20"/>
  <c r="Z63" i="4"/>
  <c r="W64" i="4" s="1"/>
  <c r="Y63" i="4"/>
  <c r="X68" i="4"/>
  <c r="AA68" i="4" s="1"/>
  <c r="K567" i="4"/>
  <c r="S566" i="4"/>
  <c r="L566" i="20" s="1"/>
  <c r="N62" i="20" l="1"/>
  <c r="V62" i="4"/>
  <c r="X69" i="4"/>
  <c r="AA69" i="4" s="1"/>
  <c r="O63" i="20"/>
  <c r="U63" i="4"/>
  <c r="Z64" i="4"/>
  <c r="W65" i="4" s="1"/>
  <c r="Y64" i="4"/>
  <c r="K568" i="4"/>
  <c r="S567" i="4"/>
  <c r="L567" i="20" s="1"/>
  <c r="Z65" i="4" l="1"/>
  <c r="W66" i="4" s="1"/>
  <c r="Y65" i="4"/>
  <c r="U64" i="4"/>
  <c r="O64" i="20"/>
  <c r="X70" i="4"/>
  <c r="N63" i="20"/>
  <c r="V63" i="4"/>
  <c r="K569" i="4"/>
  <c r="S568" i="4"/>
  <c r="L568" i="20" s="1"/>
  <c r="N64" i="20" l="1"/>
  <c r="V64" i="4"/>
  <c r="O65" i="20"/>
  <c r="U65" i="4"/>
  <c r="AA70" i="4"/>
  <c r="X71" i="4" s="1"/>
  <c r="Z66" i="4"/>
  <c r="W67" i="4" s="1"/>
  <c r="Y66" i="4"/>
  <c r="S569" i="4"/>
  <c r="L569" i="20" s="1"/>
  <c r="K570" i="4"/>
  <c r="U66" i="4" l="1"/>
  <c r="O66" i="20"/>
  <c r="N65" i="20"/>
  <c r="V65" i="4"/>
  <c r="AA71" i="4"/>
  <c r="X72" i="4" s="1"/>
  <c r="AA72" i="4" s="1"/>
  <c r="Z67" i="4"/>
  <c r="W68" i="4" s="1"/>
  <c r="Y67" i="4"/>
  <c r="K571" i="4"/>
  <c r="S570" i="4"/>
  <c r="L570" i="20" s="1"/>
  <c r="X73" i="4" l="1"/>
  <c r="AA73" i="4" s="1"/>
  <c r="U67" i="4"/>
  <c r="O67" i="20"/>
  <c r="Z68" i="4"/>
  <c r="W69" i="4" s="1"/>
  <c r="Y68" i="4"/>
  <c r="N66" i="20"/>
  <c r="V66" i="4"/>
  <c r="K572" i="4"/>
  <c r="S571" i="4"/>
  <c r="L571" i="20" s="1"/>
  <c r="N67" i="20" l="1"/>
  <c r="V67" i="4"/>
  <c r="O68" i="20"/>
  <c r="U68" i="4"/>
  <c r="Z69" i="4"/>
  <c r="W70" i="4" s="1"/>
  <c r="Y69" i="4"/>
  <c r="X74" i="4"/>
  <c r="AA74" i="4" s="1"/>
  <c r="K573" i="4"/>
  <c r="S572" i="4"/>
  <c r="L572" i="20" s="1"/>
  <c r="N68" i="20" l="1"/>
  <c r="V68" i="4"/>
  <c r="X75" i="4"/>
  <c r="AA75" i="4" s="1"/>
  <c r="U69" i="4"/>
  <c r="O69" i="20"/>
  <c r="Z70" i="4"/>
  <c r="W71" i="4" s="1"/>
  <c r="Y70" i="4"/>
  <c r="S573" i="4"/>
  <c r="L573" i="20" s="1"/>
  <c r="K574" i="4"/>
  <c r="U70" i="4" l="1"/>
  <c r="O70" i="20"/>
  <c r="X76" i="4"/>
  <c r="Z71" i="4"/>
  <c r="W72" i="4" s="1"/>
  <c r="Y71" i="4"/>
  <c r="N69" i="20"/>
  <c r="V69" i="4"/>
  <c r="K575" i="4"/>
  <c r="S574" i="4"/>
  <c r="L574" i="20" s="1"/>
  <c r="AA76" i="4" l="1"/>
  <c r="X77" i="4" s="1"/>
  <c r="U71" i="4"/>
  <c r="O71" i="20"/>
  <c r="Z72" i="4"/>
  <c r="W73" i="4" s="1"/>
  <c r="Y72" i="4"/>
  <c r="N70" i="20"/>
  <c r="V70" i="4"/>
  <c r="K576" i="4"/>
  <c r="S575" i="4"/>
  <c r="L575" i="20" s="1"/>
  <c r="N71" i="20" l="1"/>
  <c r="V71" i="4"/>
  <c r="O72" i="20"/>
  <c r="U72" i="4"/>
  <c r="AA77" i="4"/>
  <c r="X78" i="4" s="1"/>
  <c r="AA78" i="4" s="1"/>
  <c r="Z73" i="4"/>
  <c r="W74" i="4" s="1"/>
  <c r="Y73" i="4"/>
  <c r="K577" i="4"/>
  <c r="S576" i="4"/>
  <c r="L576" i="20" s="1"/>
  <c r="U73" i="4" l="1"/>
  <c r="O73" i="20"/>
  <c r="N72" i="20"/>
  <c r="V72" i="4"/>
  <c r="Z74" i="4"/>
  <c r="W75" i="4" s="1"/>
  <c r="Y74" i="4"/>
  <c r="X79" i="4"/>
  <c r="AA79" i="4" s="1"/>
  <c r="S577" i="4"/>
  <c r="L577" i="20" s="1"/>
  <c r="K578" i="4"/>
  <c r="X80" i="4" l="1"/>
  <c r="AA80" i="4" s="1"/>
  <c r="U74" i="4"/>
  <c r="O74" i="20"/>
  <c r="Z75" i="4"/>
  <c r="W76" i="4" s="1"/>
  <c r="Y75" i="4"/>
  <c r="N73" i="20"/>
  <c r="V73" i="4"/>
  <c r="K579" i="4"/>
  <c r="S578" i="4"/>
  <c r="L578" i="20" s="1"/>
  <c r="N74" i="20" l="1"/>
  <c r="V74" i="4"/>
  <c r="U75" i="4"/>
  <c r="O75" i="20"/>
  <c r="Z76" i="4"/>
  <c r="W77" i="4" s="1"/>
  <c r="Y76" i="4"/>
  <c r="X81" i="4"/>
  <c r="AA81" i="4" s="1"/>
  <c r="K580" i="4"/>
  <c r="S579" i="4"/>
  <c r="L579" i="20" s="1"/>
  <c r="N75" i="20" l="1"/>
  <c r="V75" i="4"/>
  <c r="U76" i="4"/>
  <c r="O76" i="20"/>
  <c r="X82" i="4"/>
  <c r="AA82" i="4" s="1"/>
  <c r="Z77" i="4"/>
  <c r="W78" i="4" s="1"/>
  <c r="Y77" i="4"/>
  <c r="K581" i="4"/>
  <c r="S580" i="4"/>
  <c r="L580" i="20" s="1"/>
  <c r="U77" i="4" l="1"/>
  <c r="O77" i="20"/>
  <c r="N76" i="20"/>
  <c r="V76" i="4"/>
  <c r="Z78" i="4"/>
  <c r="W79" i="4" s="1"/>
  <c r="Y78" i="4"/>
  <c r="X83" i="4"/>
  <c r="AA83" i="4" s="1"/>
  <c r="S581" i="4"/>
  <c r="L581" i="20" s="1"/>
  <c r="K582" i="4"/>
  <c r="X84" i="4" l="1"/>
  <c r="AA84" i="4" s="1"/>
  <c r="U78" i="4"/>
  <c r="O78" i="20"/>
  <c r="Z79" i="4"/>
  <c r="W80" i="4" s="1"/>
  <c r="Y79" i="4"/>
  <c r="N77" i="20"/>
  <c r="V77" i="4"/>
  <c r="K583" i="4"/>
  <c r="S582" i="4"/>
  <c r="L582" i="20" s="1"/>
  <c r="N78" i="20" l="1"/>
  <c r="V78" i="4"/>
  <c r="U79" i="4"/>
  <c r="O79" i="20"/>
  <c r="Z80" i="4"/>
  <c r="W81" i="4" s="1"/>
  <c r="Y80" i="4"/>
  <c r="X85" i="4"/>
  <c r="AA85" i="4" s="1"/>
  <c r="K584" i="4"/>
  <c r="S583" i="4"/>
  <c r="L583" i="20" s="1"/>
  <c r="N79" i="20" l="1"/>
  <c r="V79" i="4"/>
  <c r="X86" i="4"/>
  <c r="U80" i="4"/>
  <c r="O80" i="20"/>
  <c r="Z81" i="4"/>
  <c r="W82" i="4" s="1"/>
  <c r="Y81" i="4"/>
  <c r="K585" i="4"/>
  <c r="S584" i="4"/>
  <c r="L584" i="20" s="1"/>
  <c r="O81" i="20" l="1"/>
  <c r="U81" i="4"/>
  <c r="AA86" i="4"/>
  <c r="X87" i="4" s="1"/>
  <c r="Z82" i="4"/>
  <c r="W83" i="4" s="1"/>
  <c r="Y82" i="4"/>
  <c r="N80" i="20"/>
  <c r="V80" i="4"/>
  <c r="S585" i="4"/>
  <c r="L585" i="20" s="1"/>
  <c r="K586" i="4"/>
  <c r="AA87" i="4" l="1"/>
  <c r="X88" i="4" s="1"/>
  <c r="AA88" i="4" s="1"/>
  <c r="U82" i="4"/>
  <c r="O82" i="20"/>
  <c r="N81" i="20"/>
  <c r="V81" i="4"/>
  <c r="Z83" i="4"/>
  <c r="W84" i="4" s="1"/>
  <c r="Y83" i="4"/>
  <c r="K587" i="4"/>
  <c r="S586" i="4"/>
  <c r="L586" i="20" s="1"/>
  <c r="Z84" i="4" l="1"/>
  <c r="W85" i="4" s="1"/>
  <c r="Y84" i="4"/>
  <c r="N82" i="20"/>
  <c r="V82" i="4"/>
  <c r="X89" i="4"/>
  <c r="AA89" i="4" s="1"/>
  <c r="U83" i="4"/>
  <c r="O83" i="20"/>
  <c r="K588" i="4"/>
  <c r="S587" i="4"/>
  <c r="L587" i="20" s="1"/>
  <c r="N83" i="20" l="1"/>
  <c r="V83" i="4"/>
  <c r="U84" i="4"/>
  <c r="O84" i="20"/>
  <c r="X90" i="4"/>
  <c r="AA90" i="4" s="1"/>
  <c r="Z85" i="4"/>
  <c r="W86" i="4" s="1"/>
  <c r="Y85" i="4"/>
  <c r="K589" i="4"/>
  <c r="S588" i="4"/>
  <c r="L588" i="20" s="1"/>
  <c r="U85" i="4" l="1"/>
  <c r="O85" i="20"/>
  <c r="N84" i="20"/>
  <c r="V84" i="4"/>
  <c r="Z86" i="4"/>
  <c r="W87" i="4" s="1"/>
  <c r="Y86" i="4"/>
  <c r="X91" i="4"/>
  <c r="AA91" i="4" s="1"/>
  <c r="S589" i="4"/>
  <c r="L589" i="20" s="1"/>
  <c r="K590" i="4"/>
  <c r="X92" i="4" l="1"/>
  <c r="U86" i="4"/>
  <c r="O86" i="20"/>
  <c r="Z87" i="4"/>
  <c r="W88" i="4" s="1"/>
  <c r="Y87" i="4"/>
  <c r="N85" i="20"/>
  <c r="V85" i="4"/>
  <c r="K591" i="4"/>
  <c r="S590" i="4"/>
  <c r="L590" i="20" s="1"/>
  <c r="N86" i="20" l="1"/>
  <c r="V86" i="4"/>
  <c r="O87" i="20"/>
  <c r="U87" i="4"/>
  <c r="Z88" i="4"/>
  <c r="W89" i="4" s="1"/>
  <c r="Y88" i="4"/>
  <c r="AA92" i="4"/>
  <c r="X93" i="4" s="1"/>
  <c r="K592" i="4"/>
  <c r="S591" i="4"/>
  <c r="L591" i="20" s="1"/>
  <c r="AA93" i="4" l="1"/>
  <c r="X94" i="4" s="1"/>
  <c r="AA94" i="4" s="1"/>
  <c r="N87" i="20"/>
  <c r="V87" i="4"/>
  <c r="U88" i="4"/>
  <c r="O88" i="20"/>
  <c r="Z89" i="4"/>
  <c r="W90" i="4" s="1"/>
  <c r="Y89" i="4"/>
  <c r="K593" i="4"/>
  <c r="S592" i="4"/>
  <c r="L592" i="20" s="1"/>
  <c r="Z90" i="4" l="1"/>
  <c r="W91" i="4" s="1"/>
  <c r="Y90" i="4"/>
  <c r="X95" i="4"/>
  <c r="AA95" i="4" s="1"/>
  <c r="N88" i="20"/>
  <c r="V88" i="4"/>
  <c r="O89" i="20"/>
  <c r="U89" i="4"/>
  <c r="S593" i="4"/>
  <c r="L593" i="20" s="1"/>
  <c r="K594" i="4"/>
  <c r="N89" i="20" l="1"/>
  <c r="V89" i="4"/>
  <c r="X96" i="4"/>
  <c r="AA96" i="4" s="1"/>
  <c r="U90" i="4"/>
  <c r="O90" i="20"/>
  <c r="Z91" i="4"/>
  <c r="W92" i="4" s="1"/>
  <c r="Y91" i="4"/>
  <c r="K595" i="4"/>
  <c r="S594" i="4"/>
  <c r="L594" i="20" s="1"/>
  <c r="Z92" i="4" l="1"/>
  <c r="W93" i="4" s="1"/>
  <c r="Y92" i="4"/>
  <c r="U91" i="4"/>
  <c r="O91" i="20"/>
  <c r="X97" i="4"/>
  <c r="AA97" i="4" s="1"/>
  <c r="N90" i="20"/>
  <c r="V90" i="4"/>
  <c r="K596" i="4"/>
  <c r="S595" i="4"/>
  <c r="L595" i="20" s="1"/>
  <c r="N91" i="20" l="1"/>
  <c r="V91" i="4"/>
  <c r="U92" i="4"/>
  <c r="O92" i="20"/>
  <c r="X98" i="4"/>
  <c r="Z93" i="4"/>
  <c r="W94" i="4" s="1"/>
  <c r="Y93" i="4"/>
  <c r="K597" i="4"/>
  <c r="S596" i="4"/>
  <c r="L596" i="20" s="1"/>
  <c r="U93" i="4" l="1"/>
  <c r="O93" i="20"/>
  <c r="N92" i="20"/>
  <c r="V92" i="4"/>
  <c r="Z94" i="4"/>
  <c r="W95" i="4" s="1"/>
  <c r="Y94" i="4"/>
  <c r="AA98" i="4"/>
  <c r="X99" i="4" s="1"/>
  <c r="S597" i="4"/>
  <c r="L597" i="20" s="1"/>
  <c r="K598" i="4"/>
  <c r="AA99" i="4" l="1"/>
  <c r="X100" i="4" s="1"/>
  <c r="AA100" i="4" s="1"/>
  <c r="U94" i="4"/>
  <c r="O94" i="20"/>
  <c r="Z95" i="4"/>
  <c r="W96" i="4" s="1"/>
  <c r="Y95" i="4"/>
  <c r="N93" i="20"/>
  <c r="V93" i="4"/>
  <c r="K599" i="4"/>
  <c r="S598" i="4"/>
  <c r="L598" i="20" s="1"/>
  <c r="N94" i="20" l="1"/>
  <c r="V94" i="4"/>
  <c r="O95" i="20"/>
  <c r="U95" i="4"/>
  <c r="X101" i="4"/>
  <c r="AA101" i="4" s="1"/>
  <c r="Z96" i="4"/>
  <c r="W97" i="4" s="1"/>
  <c r="Y96" i="4"/>
  <c r="K600" i="4"/>
  <c r="S599" i="4"/>
  <c r="L599" i="20" s="1"/>
  <c r="O96" i="20" l="1"/>
  <c r="U96" i="4"/>
  <c r="N95" i="20"/>
  <c r="V95" i="4"/>
  <c r="Z97" i="4"/>
  <c r="W98" i="4" s="1"/>
  <c r="Y97" i="4"/>
  <c r="X102" i="4"/>
  <c r="AA102" i="4" s="1"/>
  <c r="K601" i="4"/>
  <c r="S600" i="4"/>
  <c r="L600" i="20" s="1"/>
  <c r="O97" i="20" l="1"/>
  <c r="U97" i="4"/>
  <c r="X103" i="4"/>
  <c r="AA103" i="4" s="1"/>
  <c r="N96" i="20"/>
  <c r="V96" i="4"/>
  <c r="Z98" i="4"/>
  <c r="W99" i="4" s="1"/>
  <c r="Y98" i="4"/>
  <c r="S601" i="4"/>
  <c r="L601" i="20" s="1"/>
  <c r="K602" i="4"/>
  <c r="U98" i="4" l="1"/>
  <c r="O98" i="20"/>
  <c r="X104" i="4"/>
  <c r="AA104" i="4" s="1"/>
  <c r="N97" i="20"/>
  <c r="V97" i="4"/>
  <c r="Z99" i="4"/>
  <c r="W100" i="4" s="1"/>
  <c r="Y99" i="4"/>
  <c r="K603" i="4"/>
  <c r="S602" i="4"/>
  <c r="L602" i="20" s="1"/>
  <c r="Z100" i="4" l="1"/>
  <c r="W101" i="4" s="1"/>
  <c r="Y100" i="4"/>
  <c r="U99" i="4"/>
  <c r="O99" i="20"/>
  <c r="X105" i="4"/>
  <c r="N98" i="20"/>
  <c r="V98" i="4"/>
  <c r="K604" i="4"/>
  <c r="S603" i="4"/>
  <c r="L603" i="20" s="1"/>
  <c r="N99" i="20" l="1"/>
  <c r="V99" i="4"/>
  <c r="U100" i="4"/>
  <c r="O100" i="20"/>
  <c r="AA105" i="4"/>
  <c r="X106" i="4" s="1"/>
  <c r="Z101" i="4"/>
  <c r="W102" i="4" s="1"/>
  <c r="Y101" i="4"/>
  <c r="K605" i="4"/>
  <c r="S604" i="4"/>
  <c r="L604" i="20" s="1"/>
  <c r="Z102" i="4" l="1"/>
  <c r="W103" i="4" s="1"/>
  <c r="Y102" i="4"/>
  <c r="O101" i="20"/>
  <c r="U101" i="4"/>
  <c r="N100" i="20"/>
  <c r="V100" i="4"/>
  <c r="AA106" i="4"/>
  <c r="X107" i="4" s="1"/>
  <c r="AA107" i="4" s="1"/>
  <c r="S605" i="4"/>
  <c r="L605" i="20" s="1"/>
  <c r="K606" i="4"/>
  <c r="N101" i="20" l="1"/>
  <c r="V101" i="4"/>
  <c r="X108" i="4"/>
  <c r="AA108" i="4" s="1"/>
  <c r="U102" i="4"/>
  <c r="O102" i="20"/>
  <c r="Z103" i="4"/>
  <c r="W104" i="4" s="1"/>
  <c r="Y103" i="4"/>
  <c r="K607" i="4"/>
  <c r="S606" i="4"/>
  <c r="L606" i="20" s="1"/>
  <c r="Z104" i="4" l="1"/>
  <c r="W105" i="4" s="1"/>
  <c r="Y104" i="4"/>
  <c r="X109" i="4"/>
  <c r="AA109" i="4" s="1"/>
  <c r="N102" i="20"/>
  <c r="V102" i="4"/>
  <c r="O103" i="20"/>
  <c r="U103" i="4"/>
  <c r="K608" i="4"/>
  <c r="S607" i="4"/>
  <c r="L607" i="20" s="1"/>
  <c r="N103" i="20" l="1"/>
  <c r="V103" i="4"/>
  <c r="X110" i="4"/>
  <c r="AA110" i="4" s="1"/>
  <c r="U104" i="4"/>
  <c r="O104" i="20"/>
  <c r="Z105" i="4"/>
  <c r="W106" i="4" s="1"/>
  <c r="Y105" i="4"/>
  <c r="K609" i="4"/>
  <c r="S608" i="4"/>
  <c r="L608" i="20" s="1"/>
  <c r="Z106" i="4" l="1"/>
  <c r="W107" i="4" s="1"/>
  <c r="Y106" i="4"/>
  <c r="O105" i="20"/>
  <c r="U105" i="4"/>
  <c r="X111" i="4"/>
  <c r="AA111" i="4" s="1"/>
  <c r="N104" i="20"/>
  <c r="V104" i="4"/>
  <c r="K610" i="4"/>
  <c r="S609" i="4"/>
  <c r="L609" i="20" s="1"/>
  <c r="N105" i="20" l="1"/>
  <c r="V105" i="4"/>
  <c r="U106" i="4"/>
  <c r="O106" i="20"/>
  <c r="X112" i="4"/>
  <c r="Z107" i="4"/>
  <c r="W108" i="4" s="1"/>
  <c r="Y107" i="4"/>
  <c r="K611" i="4"/>
  <c r="S610" i="4"/>
  <c r="L610" i="20" s="1"/>
  <c r="U107" i="4" l="1"/>
  <c r="O107" i="20"/>
  <c r="N106" i="20"/>
  <c r="V106" i="4"/>
  <c r="Z108" i="4"/>
  <c r="W109" i="4" s="1"/>
  <c r="Y108" i="4"/>
  <c r="AA112" i="4"/>
  <c r="X113" i="4" s="1"/>
  <c r="K612" i="4"/>
  <c r="S611" i="4"/>
  <c r="L611" i="20" s="1"/>
  <c r="AA113" i="4" l="1"/>
  <c r="X114" i="4" s="1"/>
  <c r="U108" i="4"/>
  <c r="O108" i="20"/>
  <c r="Z109" i="4"/>
  <c r="W110" i="4" s="1"/>
  <c r="Y109" i="4"/>
  <c r="N107" i="20"/>
  <c r="V107" i="4"/>
  <c r="K613" i="4"/>
  <c r="S612" i="4"/>
  <c r="L612" i="20" s="1"/>
  <c r="N108" i="20" l="1"/>
  <c r="V108" i="4"/>
  <c r="U109" i="4"/>
  <c r="O109" i="20"/>
  <c r="AA114" i="4"/>
  <c r="X115" i="4" s="1"/>
  <c r="Z110" i="4"/>
  <c r="W111" i="4" s="1"/>
  <c r="Y110" i="4"/>
  <c r="K614" i="4"/>
  <c r="S613" i="4"/>
  <c r="L613" i="20" s="1"/>
  <c r="U110" i="4" l="1"/>
  <c r="O110" i="20"/>
  <c r="N109" i="20"/>
  <c r="V109" i="4"/>
  <c r="AA115" i="4"/>
  <c r="X116" i="4" s="1"/>
  <c r="AA116" i="4" s="1"/>
  <c r="Z111" i="4"/>
  <c r="W112" i="4" s="1"/>
  <c r="Y111" i="4"/>
  <c r="S614" i="4"/>
  <c r="L614" i="20" s="1"/>
  <c r="K615" i="4"/>
  <c r="O111" i="20" l="1"/>
  <c r="U111" i="4"/>
  <c r="Z112" i="4"/>
  <c r="W113" i="4" s="1"/>
  <c r="Y112" i="4"/>
  <c r="X117" i="4"/>
  <c r="AA117" i="4" s="1"/>
  <c r="N110" i="20"/>
  <c r="V110" i="4"/>
  <c r="K616" i="4"/>
  <c r="S615" i="4"/>
  <c r="L615" i="20" s="1"/>
  <c r="U112" i="4" l="1"/>
  <c r="O112" i="20"/>
  <c r="Z113" i="4"/>
  <c r="W114" i="4" s="1"/>
  <c r="Y113" i="4"/>
  <c r="N111" i="20"/>
  <c r="V111" i="4"/>
  <c r="X118" i="4"/>
  <c r="AA118" i="4" s="1"/>
  <c r="K617" i="4"/>
  <c r="S616" i="4"/>
  <c r="L616" i="20" s="1"/>
  <c r="U113" i="4" l="1"/>
  <c r="O113" i="20"/>
  <c r="Z114" i="4"/>
  <c r="W115" i="4" s="1"/>
  <c r="Y114" i="4"/>
  <c r="X119" i="4"/>
  <c r="N112" i="20"/>
  <c r="V112" i="4"/>
  <c r="K618" i="4"/>
  <c r="S617" i="4"/>
  <c r="L617" i="20" s="1"/>
  <c r="O114" i="20" l="1"/>
  <c r="U114" i="4"/>
  <c r="Z115" i="4"/>
  <c r="W116" i="4" s="1"/>
  <c r="Y115" i="4"/>
  <c r="AA119" i="4"/>
  <c r="X120" i="4" s="1"/>
  <c r="N113" i="20"/>
  <c r="V113" i="4"/>
  <c r="S618" i="4"/>
  <c r="L618" i="20" s="1"/>
  <c r="K619" i="4"/>
  <c r="U115" i="4" l="1"/>
  <c r="O115" i="20"/>
  <c r="Z116" i="4"/>
  <c r="W117" i="4" s="1"/>
  <c r="Y116" i="4"/>
  <c r="AA120" i="4"/>
  <c r="X121" i="4" s="1"/>
  <c r="AA121" i="4" s="1"/>
  <c r="N114" i="20"/>
  <c r="V114" i="4"/>
  <c r="K620" i="4"/>
  <c r="S619" i="4"/>
  <c r="L619" i="20" s="1"/>
  <c r="U116" i="4" l="1"/>
  <c r="O116" i="20"/>
  <c r="Z117" i="4"/>
  <c r="W118" i="4" s="1"/>
  <c r="Y117" i="4"/>
  <c r="X122" i="4"/>
  <c r="AA122" i="4" s="1"/>
  <c r="N115" i="20"/>
  <c r="V115" i="4"/>
  <c r="K621" i="4"/>
  <c r="S620" i="4"/>
  <c r="L620" i="20" s="1"/>
  <c r="U117" i="4" l="1"/>
  <c r="O117" i="20"/>
  <c r="Z118" i="4"/>
  <c r="W119" i="4" s="1"/>
  <c r="Y118" i="4"/>
  <c r="X123" i="4"/>
  <c r="AA123" i="4" s="1"/>
  <c r="N116" i="20"/>
  <c r="V116" i="4"/>
  <c r="K622" i="4"/>
  <c r="S621" i="4"/>
  <c r="L621" i="20" s="1"/>
  <c r="O118" i="20" l="1"/>
  <c r="U118" i="4"/>
  <c r="Z119" i="4"/>
  <c r="W120" i="4" s="1"/>
  <c r="Y119" i="4"/>
  <c r="X124" i="4"/>
  <c r="AA124" i="4" s="1"/>
  <c r="N117" i="20"/>
  <c r="V117" i="4"/>
  <c r="S622" i="4"/>
  <c r="L622" i="20" s="1"/>
  <c r="K623" i="4"/>
  <c r="U119" i="4" l="1"/>
  <c r="O119" i="20"/>
  <c r="Z120" i="4"/>
  <c r="W121" i="4" s="1"/>
  <c r="Y120" i="4"/>
  <c r="N118" i="20"/>
  <c r="V118" i="4"/>
  <c r="X125" i="4"/>
  <c r="AA125" i="4" s="1"/>
  <c r="K624" i="4"/>
  <c r="S623" i="4"/>
  <c r="L623" i="20" s="1"/>
  <c r="X126" i="4" l="1"/>
  <c r="AA126" i="4" s="1"/>
  <c r="U120" i="4"/>
  <c r="O120" i="20"/>
  <c r="Z121" i="4"/>
  <c r="W122" i="4" s="1"/>
  <c r="Y121" i="4"/>
  <c r="N119" i="20"/>
  <c r="V119" i="4"/>
  <c r="K625" i="4"/>
  <c r="S624" i="4"/>
  <c r="L624" i="20" s="1"/>
  <c r="N120" i="20" l="1"/>
  <c r="V120" i="4"/>
  <c r="U121" i="4"/>
  <c r="O121" i="20"/>
  <c r="Z122" i="4"/>
  <c r="W123" i="4" s="1"/>
  <c r="Y122" i="4"/>
  <c r="X127" i="4"/>
  <c r="AA127" i="4" s="1"/>
  <c r="K626" i="4"/>
  <c r="S625" i="4"/>
  <c r="L625" i="20" s="1"/>
  <c r="N121" i="20" l="1"/>
  <c r="V121" i="4"/>
  <c r="O122" i="20"/>
  <c r="U122" i="4"/>
  <c r="X128" i="4"/>
  <c r="AA128" i="4" s="1"/>
  <c r="Z123" i="4"/>
  <c r="W124" i="4" s="1"/>
  <c r="Y123" i="4"/>
  <c r="S626" i="4"/>
  <c r="L626" i="20" s="1"/>
  <c r="K627" i="4"/>
  <c r="U123" i="4" l="1"/>
  <c r="O123" i="20"/>
  <c r="N122" i="20"/>
  <c r="V122" i="4"/>
  <c r="Z124" i="4"/>
  <c r="W125" i="4" s="1"/>
  <c r="Y124" i="4"/>
  <c r="X129" i="4"/>
  <c r="AA129" i="4" s="1"/>
  <c r="K628" i="4"/>
  <c r="S627" i="4"/>
  <c r="L627" i="20" s="1"/>
  <c r="X130" i="4" l="1"/>
  <c r="AA130" i="4" s="1"/>
  <c r="U124" i="4"/>
  <c r="O124" i="20"/>
  <c r="Z125" i="4"/>
  <c r="W126" i="4" s="1"/>
  <c r="Y125" i="4"/>
  <c r="N123" i="20"/>
  <c r="V123" i="4"/>
  <c r="K629" i="4"/>
  <c r="S628" i="4"/>
  <c r="L628" i="20" s="1"/>
  <c r="N124" i="20" l="1"/>
  <c r="V124" i="4"/>
  <c r="U125" i="4"/>
  <c r="O125" i="20"/>
  <c r="Z126" i="4"/>
  <c r="W127" i="4" s="1"/>
  <c r="Y126" i="4"/>
  <c r="X131" i="4"/>
  <c r="AA131" i="4" s="1"/>
  <c r="K630" i="4"/>
  <c r="S629" i="4"/>
  <c r="L629" i="20" s="1"/>
  <c r="N125" i="20" l="1"/>
  <c r="V125" i="4"/>
  <c r="O126" i="20"/>
  <c r="U126" i="4"/>
  <c r="X132" i="4"/>
  <c r="AA132" i="4" s="1"/>
  <c r="Z127" i="4"/>
  <c r="W128" i="4" s="1"/>
  <c r="Y127" i="4"/>
  <c r="S630" i="4"/>
  <c r="L630" i="20" s="1"/>
  <c r="K631" i="4"/>
  <c r="U127" i="4" l="1"/>
  <c r="O127" i="20"/>
  <c r="N126" i="20"/>
  <c r="V126" i="4"/>
  <c r="Z128" i="4"/>
  <c r="W129" i="4" s="1"/>
  <c r="Y128" i="4"/>
  <c r="X133" i="4"/>
  <c r="AA133" i="4" s="1"/>
  <c r="K632" i="4"/>
  <c r="S631" i="4"/>
  <c r="L631" i="20" s="1"/>
  <c r="X134" i="4" l="1"/>
  <c r="AA134" i="4" s="1"/>
  <c r="O128" i="20"/>
  <c r="U128" i="4"/>
  <c r="Z129" i="4"/>
  <c r="W130" i="4" s="1"/>
  <c r="Y129" i="4"/>
  <c r="N127" i="20"/>
  <c r="V127" i="4"/>
  <c r="K633" i="4"/>
  <c r="S632" i="4"/>
  <c r="L632" i="20" s="1"/>
  <c r="N128" i="20" l="1"/>
  <c r="V128" i="4"/>
  <c r="U129" i="4"/>
  <c r="O129" i="20"/>
  <c r="Z130" i="4"/>
  <c r="W131" i="4" s="1"/>
  <c r="Y130" i="4"/>
  <c r="X135" i="4"/>
  <c r="AA135" i="4" s="1"/>
  <c r="K634" i="4"/>
  <c r="S633" i="4"/>
  <c r="L633" i="20" s="1"/>
  <c r="N129" i="20" l="1"/>
  <c r="V129" i="4"/>
  <c r="X136" i="4"/>
  <c r="AA136" i="4" s="1"/>
  <c r="U130" i="4"/>
  <c r="O130" i="20"/>
  <c r="Z131" i="4"/>
  <c r="W132" i="4" s="1"/>
  <c r="Y131" i="4"/>
  <c r="S634" i="4"/>
  <c r="L634" i="20" s="1"/>
  <c r="K635" i="4"/>
  <c r="O131" i="20" l="1"/>
  <c r="U131" i="4"/>
  <c r="X137" i="4"/>
  <c r="AA137" i="4" s="1"/>
  <c r="Z132" i="4"/>
  <c r="W133" i="4" s="1"/>
  <c r="Y132" i="4"/>
  <c r="N130" i="20"/>
  <c r="V130" i="4"/>
  <c r="K636" i="4"/>
  <c r="S635" i="4"/>
  <c r="L635" i="20" s="1"/>
  <c r="X138" i="4" l="1"/>
  <c r="AA138" i="4" s="1"/>
  <c r="U132" i="4"/>
  <c r="O132" i="20"/>
  <c r="N131" i="20"/>
  <c r="V131" i="4"/>
  <c r="Z133" i="4"/>
  <c r="W134" i="4" s="1"/>
  <c r="Y133" i="4"/>
  <c r="K637" i="4"/>
  <c r="S636" i="4"/>
  <c r="L636" i="20" s="1"/>
  <c r="U133" i="4" l="1"/>
  <c r="O133" i="20"/>
  <c r="N132" i="20"/>
  <c r="V132" i="4"/>
  <c r="Z134" i="4"/>
  <c r="W135" i="4" s="1"/>
  <c r="Y134" i="4"/>
  <c r="X139" i="4"/>
  <c r="AA139" i="4" s="1"/>
  <c r="K638" i="4"/>
  <c r="S637" i="4"/>
  <c r="L637" i="20" s="1"/>
  <c r="X140" i="4" l="1"/>
  <c r="AA140" i="4" s="1"/>
  <c r="U134" i="4"/>
  <c r="O134" i="20"/>
  <c r="Z135" i="4"/>
  <c r="W136" i="4" s="1"/>
  <c r="Y135" i="4"/>
  <c r="N133" i="20"/>
  <c r="V133" i="4"/>
  <c r="S638" i="4"/>
  <c r="L638" i="20" s="1"/>
  <c r="K639" i="4"/>
  <c r="N134" i="20" l="1"/>
  <c r="V134" i="4"/>
  <c r="U135" i="4"/>
  <c r="O135" i="20"/>
  <c r="Z136" i="4"/>
  <c r="W137" i="4" s="1"/>
  <c r="Y136" i="4"/>
  <c r="X141" i="4"/>
  <c r="AA141" i="4" s="1"/>
  <c r="K640" i="4"/>
  <c r="S639" i="4"/>
  <c r="L639" i="20" s="1"/>
  <c r="N135" i="20" l="1"/>
  <c r="V135" i="4"/>
  <c r="X142" i="4"/>
  <c r="AA142" i="4" s="1"/>
  <c r="U136" i="4"/>
  <c r="O136" i="20"/>
  <c r="Z137" i="4"/>
  <c r="W138" i="4" s="1"/>
  <c r="Y137" i="4"/>
  <c r="K641" i="4"/>
  <c r="S640" i="4"/>
  <c r="L640" i="20" s="1"/>
  <c r="U137" i="4" l="1"/>
  <c r="O137" i="20"/>
  <c r="X143" i="4"/>
  <c r="Z138" i="4"/>
  <c r="W139" i="4" s="1"/>
  <c r="Y138" i="4"/>
  <c r="N136" i="20"/>
  <c r="V136" i="4"/>
  <c r="K642" i="4"/>
  <c r="S641" i="4"/>
  <c r="L641" i="20" s="1"/>
  <c r="AA143" i="4" l="1"/>
  <c r="X144" i="4" s="1"/>
  <c r="U138" i="4"/>
  <c r="O138" i="20"/>
  <c r="Z139" i="4"/>
  <c r="W140" i="4" s="1"/>
  <c r="Y139" i="4"/>
  <c r="N137" i="20"/>
  <c r="V137" i="4"/>
  <c r="S642" i="4"/>
  <c r="L642" i="20" s="1"/>
  <c r="K643" i="4"/>
  <c r="N138" i="20" l="1"/>
  <c r="V138" i="4"/>
  <c r="O139" i="20"/>
  <c r="U139" i="4"/>
  <c r="AA144" i="4"/>
  <c r="X145" i="4" s="1"/>
  <c r="Z140" i="4"/>
  <c r="W141" i="4" s="1"/>
  <c r="Y140" i="4"/>
  <c r="K644" i="4"/>
  <c r="S643" i="4"/>
  <c r="L643" i="20" s="1"/>
  <c r="U140" i="4" l="1"/>
  <c r="O140" i="20"/>
  <c r="N139" i="20"/>
  <c r="V139" i="4"/>
  <c r="Z141" i="4"/>
  <c r="W142" i="4" s="1"/>
  <c r="Y141" i="4"/>
  <c r="AA145" i="4"/>
  <c r="X146" i="4" s="1"/>
  <c r="AA146" i="4" s="1"/>
  <c r="K645" i="4"/>
  <c r="S644" i="4"/>
  <c r="L644" i="20" s="1"/>
  <c r="X147" i="4" l="1"/>
  <c r="AA147" i="4" s="1"/>
  <c r="U141" i="4"/>
  <c r="O141" i="20"/>
  <c r="Z142" i="4"/>
  <c r="W143" i="4" s="1"/>
  <c r="Y142" i="4"/>
  <c r="N140" i="20"/>
  <c r="V140" i="4"/>
  <c r="K646" i="4"/>
  <c r="S645" i="4"/>
  <c r="L645" i="20" s="1"/>
  <c r="N141" i="20" l="1"/>
  <c r="V141" i="4"/>
  <c r="U142" i="4"/>
  <c r="O142" i="20"/>
  <c r="Z143" i="4"/>
  <c r="W144" i="4" s="1"/>
  <c r="Y143" i="4"/>
  <c r="X148" i="4"/>
  <c r="AA148" i="4" s="1"/>
  <c r="S646" i="4"/>
  <c r="L646" i="20" s="1"/>
  <c r="K647" i="4"/>
  <c r="N142" i="20" l="1"/>
  <c r="V142" i="4"/>
  <c r="U143" i="4"/>
  <c r="O143" i="20"/>
  <c r="X149" i="4"/>
  <c r="AA149" i="4" s="1"/>
  <c r="Z144" i="4"/>
  <c r="W145" i="4" s="1"/>
  <c r="Y144" i="4"/>
  <c r="K648" i="4"/>
  <c r="S647" i="4"/>
  <c r="L647" i="20" s="1"/>
  <c r="U144" i="4" l="1"/>
  <c r="O144" i="20"/>
  <c r="N143" i="20"/>
  <c r="V143" i="4"/>
  <c r="Z145" i="4"/>
  <c r="W146" i="4" s="1"/>
  <c r="Y145" i="4"/>
  <c r="X150" i="4"/>
  <c r="AA150" i="4" s="1"/>
  <c r="K649" i="4"/>
  <c r="S648" i="4"/>
  <c r="L648" i="20" s="1"/>
  <c r="X151" i="4" l="1"/>
  <c r="AA151" i="4" s="1"/>
  <c r="U145" i="4"/>
  <c r="O145" i="20"/>
  <c r="Z146" i="4"/>
  <c r="W147" i="4" s="1"/>
  <c r="Y146" i="4"/>
  <c r="N144" i="20"/>
  <c r="V144" i="4"/>
  <c r="K650" i="4"/>
  <c r="S649" i="4"/>
  <c r="L649" i="20" s="1"/>
  <c r="N145" i="20" l="1"/>
  <c r="V145" i="4"/>
  <c r="U146" i="4"/>
  <c r="O146" i="20"/>
  <c r="Z147" i="4"/>
  <c r="W148" i="4" s="1"/>
  <c r="Y147" i="4"/>
  <c r="X152" i="4"/>
  <c r="AA152" i="4" s="1"/>
  <c r="S650" i="4"/>
  <c r="L650" i="20" s="1"/>
  <c r="K651" i="4"/>
  <c r="X153" i="4" l="1"/>
  <c r="AA153" i="4" s="1"/>
  <c r="N146" i="20"/>
  <c r="V146" i="4"/>
  <c r="O147" i="20"/>
  <c r="U147" i="4"/>
  <c r="Z148" i="4"/>
  <c r="W149" i="4" s="1"/>
  <c r="Y148" i="4"/>
  <c r="K652" i="4"/>
  <c r="S651" i="4"/>
  <c r="L651" i="20" s="1"/>
  <c r="U148" i="4" l="1"/>
  <c r="O148" i="20"/>
  <c r="Z149" i="4"/>
  <c r="W150" i="4" s="1"/>
  <c r="Y149" i="4"/>
  <c r="N147" i="20"/>
  <c r="V147" i="4"/>
  <c r="X154" i="4"/>
  <c r="K653" i="4"/>
  <c r="S652" i="4"/>
  <c r="L652" i="20" s="1"/>
  <c r="U149" i="4" l="1"/>
  <c r="O149" i="20"/>
  <c r="Z150" i="4"/>
  <c r="W151" i="4" s="1"/>
  <c r="Y150" i="4"/>
  <c r="AA154" i="4"/>
  <c r="X155" i="4" s="1"/>
  <c r="N148" i="20"/>
  <c r="V148" i="4"/>
  <c r="K654" i="4"/>
  <c r="S653" i="4"/>
  <c r="L653" i="20" s="1"/>
  <c r="AA155" i="4" l="1"/>
  <c r="X156" i="4" s="1"/>
  <c r="AA156" i="4" s="1"/>
  <c r="U150" i="4"/>
  <c r="O150" i="20"/>
  <c r="Z151" i="4"/>
  <c r="W152" i="4" s="1"/>
  <c r="Y151" i="4"/>
  <c r="N149" i="20"/>
  <c r="V149" i="4"/>
  <c r="S654" i="4"/>
  <c r="L654" i="20" s="1"/>
  <c r="K655" i="4"/>
  <c r="N150" i="20" l="1"/>
  <c r="V150" i="4"/>
  <c r="U151" i="4"/>
  <c r="O151" i="20"/>
  <c r="X157" i="4"/>
  <c r="AA157" i="4" s="1"/>
  <c r="Z152" i="4"/>
  <c r="W153" i="4" s="1"/>
  <c r="Y152" i="4"/>
  <c r="K656" i="4"/>
  <c r="S655" i="4"/>
  <c r="L655" i="20" s="1"/>
  <c r="O152" i="20" l="1"/>
  <c r="U152" i="4"/>
  <c r="N151" i="20"/>
  <c r="V151" i="4"/>
  <c r="Z153" i="4"/>
  <c r="W154" i="4" s="1"/>
  <c r="Y153" i="4"/>
  <c r="X158" i="4"/>
  <c r="AA158" i="4" s="1"/>
  <c r="K657" i="4"/>
  <c r="S656" i="4"/>
  <c r="L656" i="20" s="1"/>
  <c r="X159" i="4" l="1"/>
  <c r="AA159" i="4" s="1"/>
  <c r="O153" i="20"/>
  <c r="U153" i="4"/>
  <c r="N152" i="20"/>
  <c r="V152" i="4"/>
  <c r="Z154" i="4"/>
  <c r="W155" i="4" s="1"/>
  <c r="Y154" i="4"/>
  <c r="K658" i="4"/>
  <c r="S657" i="4"/>
  <c r="L657" i="20" s="1"/>
  <c r="N153" i="20" l="1"/>
  <c r="V153" i="4"/>
  <c r="U154" i="4"/>
  <c r="O154" i="20"/>
  <c r="Z155" i="4"/>
  <c r="W156" i="4" s="1"/>
  <c r="Y155" i="4"/>
  <c r="X160" i="4"/>
  <c r="S658" i="4"/>
  <c r="L658" i="20" s="1"/>
  <c r="K659" i="4"/>
  <c r="N154" i="20" l="1"/>
  <c r="V154" i="4"/>
  <c r="U155" i="4"/>
  <c r="O155" i="20"/>
  <c r="AA160" i="4"/>
  <c r="X161" i="4" s="1"/>
  <c r="Z156" i="4"/>
  <c r="W157" i="4" s="1"/>
  <c r="Y156" i="4"/>
  <c r="K660" i="4"/>
  <c r="S659" i="4"/>
  <c r="L659" i="20" s="1"/>
  <c r="Z157" i="4" l="1"/>
  <c r="W158" i="4" s="1"/>
  <c r="Y157" i="4"/>
  <c r="U156" i="4"/>
  <c r="O156" i="20"/>
  <c r="N155" i="20"/>
  <c r="V155" i="4"/>
  <c r="AA161" i="4"/>
  <c r="X162" i="4" s="1"/>
  <c r="AA162" i="4" s="1"/>
  <c r="K661" i="4"/>
  <c r="S660" i="4"/>
  <c r="L660" i="20" s="1"/>
  <c r="X163" i="4" l="1"/>
  <c r="AA163" i="4" s="1"/>
  <c r="N156" i="20"/>
  <c r="V156" i="4"/>
  <c r="O157" i="20"/>
  <c r="U157" i="4"/>
  <c r="Z158" i="4"/>
  <c r="W159" i="4" s="1"/>
  <c r="Y158" i="4"/>
  <c r="K662" i="4"/>
  <c r="S661" i="4"/>
  <c r="L661" i="20" s="1"/>
  <c r="Z159" i="4" l="1"/>
  <c r="W160" i="4" s="1"/>
  <c r="Y159" i="4"/>
  <c r="N157" i="20"/>
  <c r="V157" i="4"/>
  <c r="O158" i="20"/>
  <c r="U158" i="4"/>
  <c r="X164" i="4"/>
  <c r="AA164" i="4" s="1"/>
  <c r="S662" i="4"/>
  <c r="L662" i="20" s="1"/>
  <c r="K663" i="4"/>
  <c r="X165" i="4" l="1"/>
  <c r="AA165" i="4" s="1"/>
  <c r="N158" i="20"/>
  <c r="V158" i="4"/>
  <c r="U159" i="4"/>
  <c r="O159" i="20"/>
  <c r="Z160" i="4"/>
  <c r="W161" i="4" s="1"/>
  <c r="Y160" i="4"/>
  <c r="K664" i="4"/>
  <c r="S663" i="4"/>
  <c r="L663" i="20" s="1"/>
  <c r="U160" i="4" l="1"/>
  <c r="O160" i="20"/>
  <c r="Z161" i="4"/>
  <c r="W162" i="4" s="1"/>
  <c r="Y161" i="4"/>
  <c r="N159" i="20"/>
  <c r="V159" i="4"/>
  <c r="X166" i="4"/>
  <c r="K665" i="4"/>
  <c r="S664" i="4"/>
  <c r="L664" i="20" s="1"/>
  <c r="U161" i="4" l="1"/>
  <c r="O161" i="20"/>
  <c r="Z162" i="4"/>
  <c r="W163" i="4" s="1"/>
  <c r="Y162" i="4"/>
  <c r="AA166" i="4"/>
  <c r="X167" i="4" s="1"/>
  <c r="N160" i="20"/>
  <c r="V160" i="4"/>
  <c r="K666" i="4"/>
  <c r="S665" i="4"/>
  <c r="L665" i="20" s="1"/>
  <c r="O162" i="20" l="1"/>
  <c r="U162" i="4"/>
  <c r="Z163" i="4"/>
  <c r="W164" i="4" s="1"/>
  <c r="Y163" i="4"/>
  <c r="AA167" i="4"/>
  <c r="X168" i="4" s="1"/>
  <c r="AA168" i="4" s="1"/>
  <c r="N161" i="20"/>
  <c r="V161" i="4"/>
  <c r="S666" i="4"/>
  <c r="L666" i="20" s="1"/>
  <c r="K667" i="4"/>
  <c r="U163" i="4" l="1"/>
  <c r="O163" i="20"/>
  <c r="Z164" i="4"/>
  <c r="W165" i="4" s="1"/>
  <c r="Y164" i="4"/>
  <c r="N162" i="20"/>
  <c r="V162" i="4"/>
  <c r="X169" i="4"/>
  <c r="AA169" i="4" s="1"/>
  <c r="K668" i="4"/>
  <c r="S667" i="4"/>
  <c r="L667" i="20" s="1"/>
  <c r="X170" i="4" l="1"/>
  <c r="AA170" i="4" s="1"/>
  <c r="U164" i="4"/>
  <c r="O164" i="20"/>
  <c r="Z165" i="4"/>
  <c r="W166" i="4" s="1"/>
  <c r="Y165" i="4"/>
  <c r="N163" i="20"/>
  <c r="V163" i="4"/>
  <c r="K669" i="4"/>
  <c r="S668" i="4"/>
  <c r="L668" i="20" s="1"/>
  <c r="N164" i="20" l="1"/>
  <c r="V164" i="4"/>
  <c r="U165" i="4"/>
  <c r="O165" i="20"/>
  <c r="Z166" i="4"/>
  <c r="W167" i="4" s="1"/>
  <c r="Y166" i="4"/>
  <c r="X171" i="4"/>
  <c r="AA171" i="4" s="1"/>
  <c r="K670" i="4"/>
  <c r="S669" i="4"/>
  <c r="L669" i="20" s="1"/>
  <c r="N165" i="20" l="1"/>
  <c r="V165" i="4"/>
  <c r="X172" i="4"/>
  <c r="AA172" i="4" s="1"/>
  <c r="U166" i="4"/>
  <c r="O166" i="20"/>
  <c r="Z167" i="4"/>
  <c r="W168" i="4" s="1"/>
  <c r="Y167" i="4"/>
  <c r="S670" i="4"/>
  <c r="L670" i="20" s="1"/>
  <c r="K671" i="4"/>
  <c r="U167" i="4" l="1"/>
  <c r="O167" i="20"/>
  <c r="Z168" i="4"/>
  <c r="W169" i="4" s="1"/>
  <c r="Y168" i="4"/>
  <c r="X173" i="4"/>
  <c r="AA173" i="4" s="1"/>
  <c r="N166" i="20"/>
  <c r="V166" i="4"/>
  <c r="K672" i="4"/>
  <c r="S671" i="4"/>
  <c r="L671" i="20" s="1"/>
  <c r="O168" i="20" l="1"/>
  <c r="U168" i="4"/>
  <c r="Z169" i="4"/>
  <c r="W170" i="4" s="1"/>
  <c r="Y169" i="4"/>
  <c r="X174" i="4"/>
  <c r="AA174" i="4" s="1"/>
  <c r="N167" i="20"/>
  <c r="V167" i="4"/>
  <c r="K673" i="4"/>
  <c r="S672" i="4"/>
  <c r="L672" i="20" s="1"/>
  <c r="U169" i="4" l="1"/>
  <c r="O169" i="20"/>
  <c r="Z170" i="4"/>
  <c r="W171" i="4" s="1"/>
  <c r="Y170" i="4"/>
  <c r="N168" i="20"/>
  <c r="V168" i="4"/>
  <c r="X175" i="4"/>
  <c r="AA175" i="4" s="1"/>
  <c r="K674" i="4"/>
  <c r="S673" i="4"/>
  <c r="L673" i="20" s="1"/>
  <c r="U170" i="4" l="1"/>
  <c r="O170" i="20"/>
  <c r="Z171" i="4"/>
  <c r="W172" i="4" s="1"/>
  <c r="Y171" i="4"/>
  <c r="X176" i="4"/>
  <c r="AA176" i="4" s="1"/>
  <c r="N169" i="20"/>
  <c r="V169" i="4"/>
  <c r="S674" i="4"/>
  <c r="L674" i="20" s="1"/>
  <c r="K675" i="4"/>
  <c r="O171" i="20" l="1"/>
  <c r="U171" i="4"/>
  <c r="Z172" i="4"/>
  <c r="W173" i="4" s="1"/>
  <c r="Y172" i="4"/>
  <c r="X177" i="4"/>
  <c r="AA177" i="4" s="1"/>
  <c r="N170" i="20"/>
  <c r="V170" i="4"/>
  <c r="K676" i="4"/>
  <c r="S675" i="4"/>
  <c r="L675" i="20" s="1"/>
  <c r="U172" i="4" l="1"/>
  <c r="O172" i="20"/>
  <c r="Z173" i="4"/>
  <c r="W174" i="4" s="1"/>
  <c r="Y173" i="4"/>
  <c r="N171" i="20"/>
  <c r="V171" i="4"/>
  <c r="X178" i="4"/>
  <c r="AA178" i="4" s="1"/>
  <c r="K677" i="4"/>
  <c r="S676" i="4"/>
  <c r="L676" i="20" s="1"/>
  <c r="U173" i="4" l="1"/>
  <c r="O173" i="20"/>
  <c r="Z174" i="4"/>
  <c r="W175" i="4" s="1"/>
  <c r="Y174" i="4"/>
  <c r="X179" i="4"/>
  <c r="AA179" i="4" s="1"/>
  <c r="N172" i="20"/>
  <c r="V172" i="4"/>
  <c r="K678" i="4"/>
  <c r="S677" i="4"/>
  <c r="L677" i="20" s="1"/>
  <c r="U174" i="4" l="1"/>
  <c r="O174" i="20"/>
  <c r="Z175" i="4"/>
  <c r="W176" i="4" s="1"/>
  <c r="Y175" i="4"/>
  <c r="X180" i="4"/>
  <c r="AA180" i="4" s="1"/>
  <c r="N173" i="20"/>
  <c r="V173" i="4"/>
  <c r="S678" i="4"/>
  <c r="L678" i="20" s="1"/>
  <c r="K679" i="4"/>
  <c r="U175" i="4" l="1"/>
  <c r="O175" i="20"/>
  <c r="Z176" i="4"/>
  <c r="W177" i="4" s="1"/>
  <c r="Y176" i="4"/>
  <c r="X181" i="4"/>
  <c r="AA181" i="4" s="1"/>
  <c r="N174" i="20"/>
  <c r="V174" i="4"/>
  <c r="K680" i="4"/>
  <c r="S679" i="4"/>
  <c r="L679" i="20" s="1"/>
  <c r="O176" i="20" l="1"/>
  <c r="U176" i="4"/>
  <c r="Z177" i="4"/>
  <c r="W178" i="4" s="1"/>
  <c r="Y177" i="4"/>
  <c r="X182" i="4"/>
  <c r="AA182" i="4" s="1"/>
  <c r="N175" i="20"/>
  <c r="V175" i="4"/>
  <c r="K681" i="4"/>
  <c r="S680" i="4"/>
  <c r="L680" i="20" s="1"/>
  <c r="U177" i="4" l="1"/>
  <c r="O177" i="20"/>
  <c r="Z178" i="4"/>
  <c r="W179" i="4" s="1"/>
  <c r="Y178" i="4"/>
  <c r="N176" i="20"/>
  <c r="V176" i="4"/>
  <c r="X183" i="4"/>
  <c r="AA183" i="4" s="1"/>
  <c r="K682" i="4"/>
  <c r="S681" i="4"/>
  <c r="L681" i="20" s="1"/>
  <c r="X184" i="4" l="1"/>
  <c r="U178" i="4"/>
  <c r="O178" i="20"/>
  <c r="Z179" i="4"/>
  <c r="W180" i="4" s="1"/>
  <c r="Y179" i="4"/>
  <c r="N177" i="20"/>
  <c r="V177" i="4"/>
  <c r="S682" i="4"/>
  <c r="L682" i="20" s="1"/>
  <c r="K683" i="4"/>
  <c r="N178" i="20" l="1"/>
  <c r="V178" i="4"/>
  <c r="U179" i="4"/>
  <c r="O179" i="20"/>
  <c r="Z180" i="4"/>
  <c r="W181" i="4" s="1"/>
  <c r="Y180" i="4"/>
  <c r="AA184" i="4"/>
  <c r="K684" i="4"/>
  <c r="S683" i="4"/>
  <c r="L683" i="20" s="1"/>
  <c r="X185" i="4" l="1"/>
  <c r="N179" i="20"/>
  <c r="V179" i="4"/>
  <c r="U180" i="4"/>
  <c r="O180" i="20"/>
  <c r="Z181" i="4"/>
  <c r="W182" i="4" s="1"/>
  <c r="Y181" i="4"/>
  <c r="K685" i="4"/>
  <c r="S684" i="4"/>
  <c r="L684" i="20" s="1"/>
  <c r="O181" i="20" l="1"/>
  <c r="U181" i="4"/>
  <c r="Z182" i="4"/>
  <c r="W183" i="4" s="1"/>
  <c r="Y182" i="4"/>
  <c r="AA185" i="4"/>
  <c r="X186" i="4" s="1"/>
  <c r="AA186" i="4" s="1"/>
  <c r="N180" i="20"/>
  <c r="V180" i="4"/>
  <c r="K686" i="4"/>
  <c r="S685" i="4"/>
  <c r="L685" i="20" s="1"/>
  <c r="U182" i="4" l="1"/>
  <c r="O182" i="20"/>
  <c r="Z183" i="4"/>
  <c r="W184" i="4" s="1"/>
  <c r="Y183" i="4"/>
  <c r="N181" i="20"/>
  <c r="V181" i="4"/>
  <c r="X187" i="4"/>
  <c r="AA187" i="4" s="1"/>
  <c r="S686" i="4"/>
  <c r="L686" i="20" s="1"/>
  <c r="K687" i="4"/>
  <c r="U183" i="4" l="1"/>
  <c r="O183" i="20"/>
  <c r="Z184" i="4"/>
  <c r="W185" i="4" s="1"/>
  <c r="Y184" i="4"/>
  <c r="X188" i="4"/>
  <c r="AA188" i="4" s="1"/>
  <c r="N182" i="20"/>
  <c r="V182" i="4"/>
  <c r="K688" i="4"/>
  <c r="S687" i="4"/>
  <c r="L687" i="20" s="1"/>
  <c r="U184" i="4" l="1"/>
  <c r="O184" i="20"/>
  <c r="Z185" i="4"/>
  <c r="W186" i="4" s="1"/>
  <c r="Y185" i="4"/>
  <c r="X189" i="4"/>
  <c r="AA189" i="4" s="1"/>
  <c r="N183" i="20"/>
  <c r="V183" i="4"/>
  <c r="K689" i="4"/>
  <c r="S688" i="4"/>
  <c r="L688" i="20" s="1"/>
  <c r="U185" i="4" l="1"/>
  <c r="O185" i="20"/>
  <c r="Z186" i="4"/>
  <c r="W187" i="4" s="1"/>
  <c r="Y186" i="4"/>
  <c r="X190" i="4"/>
  <c r="AA190" i="4" s="1"/>
  <c r="N184" i="20"/>
  <c r="V184" i="4"/>
  <c r="K690" i="4"/>
  <c r="S689" i="4"/>
  <c r="L689" i="20" s="1"/>
  <c r="U186" i="4" l="1"/>
  <c r="O186" i="20"/>
  <c r="Z187" i="4"/>
  <c r="W188" i="4" s="1"/>
  <c r="Y187" i="4"/>
  <c r="X191" i="4"/>
  <c r="AA191" i="4" s="1"/>
  <c r="N185" i="20"/>
  <c r="V185" i="4"/>
  <c r="S690" i="4"/>
  <c r="L690" i="20" s="1"/>
  <c r="K691" i="4"/>
  <c r="O187" i="20" l="1"/>
  <c r="U187" i="4"/>
  <c r="Z188" i="4"/>
  <c r="W189" i="4" s="1"/>
  <c r="Y188" i="4"/>
  <c r="X192" i="4"/>
  <c r="AA192" i="4" s="1"/>
  <c r="N186" i="20"/>
  <c r="V186" i="4"/>
  <c r="K692" i="4"/>
  <c r="S691" i="4"/>
  <c r="L691" i="20" s="1"/>
  <c r="U188" i="4" l="1"/>
  <c r="O188" i="20"/>
  <c r="Z189" i="4"/>
  <c r="W190" i="4" s="1"/>
  <c r="Y189" i="4"/>
  <c r="N187" i="20"/>
  <c r="V187" i="4"/>
  <c r="X193" i="4"/>
  <c r="AA193" i="4" s="1"/>
  <c r="K693" i="4"/>
  <c r="S692" i="4"/>
  <c r="L692" i="20" s="1"/>
  <c r="U189" i="4" l="1"/>
  <c r="O189" i="20"/>
  <c r="Z190" i="4"/>
  <c r="W191" i="4" s="1"/>
  <c r="Y190" i="4"/>
  <c r="X194" i="4"/>
  <c r="N188" i="20"/>
  <c r="V188" i="4"/>
  <c r="K694" i="4"/>
  <c r="S693" i="4"/>
  <c r="L693" i="20" s="1"/>
  <c r="O190" i="20" l="1"/>
  <c r="U190" i="4"/>
  <c r="Z191" i="4"/>
  <c r="W192" i="4" s="1"/>
  <c r="Y191" i="4"/>
  <c r="AA194" i="4"/>
  <c r="X195" i="4" s="1"/>
  <c r="N189" i="20"/>
  <c r="V189" i="4"/>
  <c r="S694" i="4"/>
  <c r="L694" i="20" s="1"/>
  <c r="K695" i="4"/>
  <c r="U191" i="4" l="1"/>
  <c r="O191" i="20"/>
  <c r="Z192" i="4"/>
  <c r="W193" i="4" s="1"/>
  <c r="Y192" i="4"/>
  <c r="AA195" i="4"/>
  <c r="X196" i="4" s="1"/>
  <c r="AA196" i="4" s="1"/>
  <c r="N190" i="20"/>
  <c r="V190" i="4"/>
  <c r="K696" i="4"/>
  <c r="S695" i="4"/>
  <c r="L695" i="20" s="1"/>
  <c r="X197" i="4" l="1"/>
  <c r="AA197" i="4" s="1"/>
  <c r="O192" i="20"/>
  <c r="U192" i="4"/>
  <c r="Z193" i="4"/>
  <c r="W194" i="4" s="1"/>
  <c r="Y193" i="4"/>
  <c r="N191" i="20"/>
  <c r="V191" i="4"/>
  <c r="K697" i="4"/>
  <c r="S696" i="4"/>
  <c r="L696" i="20" s="1"/>
  <c r="N192" i="20" l="1"/>
  <c r="V192" i="4"/>
  <c r="U193" i="4"/>
  <c r="O193" i="20"/>
  <c r="Z194" i="4"/>
  <c r="W195" i="4" s="1"/>
  <c r="Y194" i="4"/>
  <c r="X198" i="4"/>
  <c r="AA198" i="4" s="1"/>
  <c r="K698" i="4"/>
  <c r="S697" i="4"/>
  <c r="L697" i="20" s="1"/>
  <c r="N193" i="20" l="1"/>
  <c r="V193" i="4"/>
  <c r="X199" i="4"/>
  <c r="U194" i="4"/>
  <c r="O194" i="20"/>
  <c r="Z195" i="4"/>
  <c r="W196" i="4" s="1"/>
  <c r="Y195" i="4"/>
  <c r="S698" i="4"/>
  <c r="L698" i="20" s="1"/>
  <c r="K699" i="4"/>
  <c r="U195" i="4" l="1"/>
  <c r="O195" i="20"/>
  <c r="Z196" i="4"/>
  <c r="W197" i="4" s="1"/>
  <c r="Y196" i="4"/>
  <c r="AA199" i="4"/>
  <c r="X200" i="4" s="1"/>
  <c r="N194" i="20"/>
  <c r="V194" i="4"/>
  <c r="K700" i="4"/>
  <c r="S700" i="4" s="1"/>
  <c r="L700" i="20" s="1"/>
  <c r="S699" i="4"/>
  <c r="L699" i="20" s="1"/>
  <c r="U196" i="4" l="1"/>
  <c r="O196" i="20"/>
  <c r="Z197" i="4"/>
  <c r="W198" i="4" s="1"/>
  <c r="Y197" i="4"/>
  <c r="AA200" i="4"/>
  <c r="X201" i="4" s="1"/>
  <c r="N195" i="20"/>
  <c r="V195" i="4"/>
  <c r="AA201" i="4" l="1"/>
  <c r="X202" i="4" s="1"/>
  <c r="U197" i="4"/>
  <c r="O197" i="20"/>
  <c r="Z198" i="4"/>
  <c r="W199" i="4" s="1"/>
  <c r="Y198" i="4"/>
  <c r="N196" i="20"/>
  <c r="V196" i="4"/>
  <c r="N197" i="20" l="1"/>
  <c r="V197" i="4"/>
  <c r="O198" i="20"/>
  <c r="U198" i="4"/>
  <c r="AA202" i="4"/>
  <c r="X203" i="4" s="1"/>
  <c r="Z199" i="4"/>
  <c r="W200" i="4" s="1"/>
  <c r="Y199" i="4"/>
  <c r="N198" i="20" l="1"/>
  <c r="V198" i="4"/>
  <c r="U199" i="4"/>
  <c r="O199" i="20"/>
  <c r="AA203" i="4"/>
  <c r="X204" i="4" s="1"/>
  <c r="Z200" i="4"/>
  <c r="W201" i="4" s="1"/>
  <c r="Y200" i="4"/>
  <c r="O200" i="20" l="1"/>
  <c r="U200" i="4"/>
  <c r="N199" i="20"/>
  <c r="V199" i="4"/>
  <c r="AA204" i="4"/>
  <c r="X205" i="4" s="1"/>
  <c r="Z201" i="4"/>
  <c r="W202" i="4" s="1"/>
  <c r="Y201" i="4"/>
  <c r="U201" i="4" l="1"/>
  <c r="O201" i="20"/>
  <c r="Z202" i="4"/>
  <c r="W203" i="4" s="1"/>
  <c r="Y202" i="4"/>
  <c r="N200" i="20"/>
  <c r="V200" i="4"/>
  <c r="AA205" i="4"/>
  <c r="X206" i="4" l="1"/>
  <c r="U202" i="4"/>
  <c r="O202" i="20"/>
  <c r="Z203" i="4"/>
  <c r="W204" i="4" s="1"/>
  <c r="Y203" i="4"/>
  <c r="N201" i="20"/>
  <c r="V201" i="4"/>
  <c r="N202" i="20" l="1"/>
  <c r="V202" i="4"/>
  <c r="U203" i="4"/>
  <c r="O203" i="20"/>
  <c r="AA206" i="4"/>
  <c r="X207" i="4" s="1"/>
  <c r="Z204" i="4"/>
  <c r="W205" i="4" s="1"/>
  <c r="Y204" i="4"/>
  <c r="O204" i="20" l="1"/>
  <c r="U204" i="4"/>
  <c r="N203" i="20"/>
  <c r="V203" i="4"/>
  <c r="AA207" i="4"/>
  <c r="X208" i="4" s="1"/>
  <c r="AA208" i="4" s="1"/>
  <c r="Z205" i="4"/>
  <c r="W206" i="4" s="1"/>
  <c r="Y205" i="4"/>
  <c r="U205" i="4" l="1"/>
  <c r="O205" i="20"/>
  <c r="Z206" i="4"/>
  <c r="W207" i="4" s="1"/>
  <c r="Y206" i="4"/>
  <c r="N204" i="20"/>
  <c r="V204" i="4"/>
  <c r="X209" i="4"/>
  <c r="AA209" i="4" s="1"/>
  <c r="U206" i="4" l="1"/>
  <c r="O206" i="20"/>
  <c r="Z207" i="4"/>
  <c r="W208" i="4" s="1"/>
  <c r="Y207" i="4"/>
  <c r="X210" i="4"/>
  <c r="AA210" i="4" s="1"/>
  <c r="N205" i="20"/>
  <c r="V205" i="4"/>
  <c r="U207" i="4" l="1"/>
  <c r="O207" i="20"/>
  <c r="Z208" i="4"/>
  <c r="W209" i="4" s="1"/>
  <c r="Y208" i="4"/>
  <c r="X211" i="4"/>
  <c r="AA211" i="4" s="1"/>
  <c r="N206" i="20"/>
  <c r="V206" i="4"/>
  <c r="U208" i="4" l="1"/>
  <c r="O208" i="20"/>
  <c r="Z209" i="4"/>
  <c r="W210" i="4" s="1"/>
  <c r="Y209" i="4"/>
  <c r="X212" i="4"/>
  <c r="N207" i="20"/>
  <c r="V207" i="4"/>
  <c r="U209" i="4" l="1"/>
  <c r="O209" i="20"/>
  <c r="Z210" i="4"/>
  <c r="W211" i="4" s="1"/>
  <c r="Y210" i="4"/>
  <c r="AA212" i="4"/>
  <c r="X213" i="4" s="1"/>
  <c r="N208" i="20"/>
  <c r="V208" i="4"/>
  <c r="O210" i="20" l="1"/>
  <c r="U210" i="4"/>
  <c r="Z211" i="4"/>
  <c r="W212" i="4" s="1"/>
  <c r="Y211" i="4"/>
  <c r="AA213" i="4"/>
  <c r="X214" i="4" s="1"/>
  <c r="AA214" i="4" s="1"/>
  <c r="N209" i="20"/>
  <c r="V209" i="4"/>
  <c r="O211" i="20" l="1"/>
  <c r="U211" i="4"/>
  <c r="Z212" i="4"/>
  <c r="W213" i="4" s="1"/>
  <c r="Y212" i="4"/>
  <c r="N210" i="20"/>
  <c r="V210" i="4"/>
  <c r="X215" i="4"/>
  <c r="AA215" i="4" s="1"/>
  <c r="U212" i="4" l="1"/>
  <c r="O212" i="20"/>
  <c r="Z213" i="4"/>
  <c r="W214" i="4" s="1"/>
  <c r="Y213" i="4"/>
  <c r="N211" i="20"/>
  <c r="V211" i="4"/>
  <c r="X216" i="4"/>
  <c r="AA216" i="4" s="1"/>
  <c r="X217" i="4" l="1"/>
  <c r="O213" i="20"/>
  <c r="U213" i="4"/>
  <c r="Z214" i="4"/>
  <c r="W215" i="4" s="1"/>
  <c r="Y214" i="4"/>
  <c r="N212" i="20"/>
  <c r="V212" i="4"/>
  <c r="N213" i="20" l="1"/>
  <c r="V213" i="4"/>
  <c r="O214" i="20"/>
  <c r="U214" i="4"/>
  <c r="Z215" i="4"/>
  <c r="W216" i="4" s="1"/>
  <c r="Y215" i="4"/>
  <c r="AA217" i="4"/>
  <c r="X218" i="4" s="1"/>
  <c r="AA218" i="4" l="1"/>
  <c r="X219" i="4" s="1"/>
  <c r="N214" i="20"/>
  <c r="V214" i="4"/>
  <c r="U215" i="4"/>
  <c r="O215" i="20"/>
  <c r="Z216" i="4"/>
  <c r="W217" i="4" s="1"/>
  <c r="Y216" i="4"/>
  <c r="Z217" i="4" l="1"/>
  <c r="W218" i="4" s="1"/>
  <c r="Y217" i="4"/>
  <c r="AA219" i="4"/>
  <c r="X220" i="4" s="1"/>
  <c r="AA220" i="4" s="1"/>
  <c r="U216" i="4"/>
  <c r="O216" i="20"/>
  <c r="N215" i="20"/>
  <c r="V215" i="4"/>
  <c r="X221" i="4" l="1"/>
  <c r="AA221" i="4" s="1"/>
  <c r="U217" i="4"/>
  <c r="O217" i="20"/>
  <c r="N216" i="20"/>
  <c r="V216" i="4"/>
  <c r="Z218" i="4"/>
  <c r="W219" i="4" s="1"/>
  <c r="Y218" i="4"/>
  <c r="N217" i="20" l="1"/>
  <c r="V217" i="4"/>
  <c r="Z219" i="4"/>
  <c r="W220" i="4" s="1"/>
  <c r="Y219" i="4"/>
  <c r="U218" i="4"/>
  <c r="O218" i="20"/>
  <c r="X222" i="4"/>
  <c r="AA222" i="4" s="1"/>
  <c r="X223" i="4" l="1"/>
  <c r="U219" i="4"/>
  <c r="O219" i="20"/>
  <c r="Z220" i="4"/>
  <c r="W221" i="4" s="1"/>
  <c r="Y220" i="4"/>
  <c r="N218" i="20"/>
  <c r="V218" i="4"/>
  <c r="N219" i="20" l="1"/>
  <c r="V219" i="4"/>
  <c r="O220" i="20"/>
  <c r="U220" i="4"/>
  <c r="Z221" i="4"/>
  <c r="W222" i="4" s="1"/>
  <c r="Y221" i="4"/>
  <c r="AA223" i="4"/>
  <c r="X224" i="4" s="1"/>
  <c r="N220" i="20" l="1"/>
  <c r="V220" i="4"/>
  <c r="AA224" i="4"/>
  <c r="X225" i="4" s="1"/>
  <c r="AA225" i="4" s="1"/>
  <c r="U221" i="4"/>
  <c r="O221" i="20"/>
  <c r="Z222" i="4"/>
  <c r="W223" i="4" s="1"/>
  <c r="Y222" i="4"/>
  <c r="X226" i="4" l="1"/>
  <c r="AA226" i="4" s="1"/>
  <c r="Z223" i="4"/>
  <c r="W224" i="4" s="1"/>
  <c r="Y223" i="4"/>
  <c r="O222" i="20"/>
  <c r="U222" i="4"/>
  <c r="N221" i="20"/>
  <c r="V221" i="4"/>
  <c r="U223" i="4" l="1"/>
  <c r="O223" i="20"/>
  <c r="Z224" i="4"/>
  <c r="W225" i="4" s="1"/>
  <c r="Y224" i="4"/>
  <c r="N222" i="20"/>
  <c r="V222" i="4"/>
  <c r="X227" i="4"/>
  <c r="U224" i="4" l="1"/>
  <c r="O224" i="20"/>
  <c r="Z225" i="4"/>
  <c r="W226" i="4" s="1"/>
  <c r="Y225" i="4"/>
  <c r="AA227" i="4"/>
  <c r="X228" i="4" s="1"/>
  <c r="AA228" i="4" s="1"/>
  <c r="N223" i="20"/>
  <c r="V223" i="4"/>
  <c r="X229" i="4" l="1"/>
  <c r="AA229" i="4" s="1"/>
  <c r="U225" i="4"/>
  <c r="O225" i="20"/>
  <c r="Z226" i="4"/>
  <c r="W227" i="4" s="1"/>
  <c r="Y226" i="4"/>
  <c r="N224" i="20"/>
  <c r="V224" i="4"/>
  <c r="N225" i="20" l="1"/>
  <c r="V225" i="4"/>
  <c r="O226" i="20"/>
  <c r="U226" i="4"/>
  <c r="Z227" i="4"/>
  <c r="W228" i="4" s="1"/>
  <c r="Y227" i="4"/>
  <c r="X230" i="4"/>
  <c r="AA230" i="4" s="1"/>
  <c r="N226" i="20" l="1"/>
  <c r="V226" i="4"/>
  <c r="X231" i="4"/>
  <c r="AA231" i="4" s="1"/>
  <c r="U227" i="4"/>
  <c r="O227" i="20"/>
  <c r="Z228" i="4"/>
  <c r="W229" i="4" s="1"/>
  <c r="Y228" i="4"/>
  <c r="Z229" i="4" l="1"/>
  <c r="W230" i="4" s="1"/>
  <c r="Y229" i="4"/>
  <c r="U228" i="4"/>
  <c r="O228" i="20"/>
  <c r="X232" i="4"/>
  <c r="N227" i="20"/>
  <c r="V227" i="4"/>
  <c r="N228" i="20" l="1"/>
  <c r="V228" i="4"/>
  <c r="O229" i="20"/>
  <c r="U229" i="4"/>
  <c r="AA232" i="4"/>
  <c r="X233" i="4" s="1"/>
  <c r="Z230" i="4"/>
  <c r="W231" i="4" s="1"/>
  <c r="Y230" i="4"/>
  <c r="O230" i="20" l="1"/>
  <c r="U230" i="4"/>
  <c r="N229" i="20"/>
  <c r="V229" i="4"/>
  <c r="Z231" i="4"/>
  <c r="W232" i="4" s="1"/>
  <c r="Y231" i="4"/>
  <c r="AA233" i="4"/>
  <c r="X234" i="4" s="1"/>
  <c r="AA234" i="4" s="1"/>
  <c r="X235" i="4" l="1"/>
  <c r="AA235" i="4" s="1"/>
  <c r="U231" i="4"/>
  <c r="O231" i="20"/>
  <c r="N230" i="20"/>
  <c r="V230" i="4"/>
  <c r="Z232" i="4"/>
  <c r="W233" i="4" s="1"/>
  <c r="Y232" i="4"/>
  <c r="Z233" i="4" l="1"/>
  <c r="W234" i="4" s="1"/>
  <c r="Y233" i="4"/>
  <c r="N231" i="20"/>
  <c r="V231" i="4"/>
  <c r="U232" i="4"/>
  <c r="O232" i="20"/>
  <c r="X236" i="4"/>
  <c r="AA236" i="4" s="1"/>
  <c r="X237" i="4" l="1"/>
  <c r="AA237" i="4" s="1"/>
  <c r="U233" i="4"/>
  <c r="O233" i="20"/>
  <c r="N232" i="20"/>
  <c r="V232" i="4"/>
  <c r="Z234" i="4"/>
  <c r="W235" i="4" s="1"/>
  <c r="Y234" i="4"/>
  <c r="U234" i="4" l="1"/>
  <c r="O234" i="20"/>
  <c r="Z235" i="4"/>
  <c r="W236" i="4" s="1"/>
  <c r="Y235" i="4"/>
  <c r="N233" i="20"/>
  <c r="V233" i="4"/>
  <c r="X238" i="4"/>
  <c r="AA238" i="4" l="1"/>
  <c r="X239" i="4" s="1"/>
  <c r="O235" i="20"/>
  <c r="U235" i="4"/>
  <c r="Z236" i="4"/>
  <c r="W237" i="4" s="1"/>
  <c r="Y236" i="4"/>
  <c r="N234" i="20"/>
  <c r="V234" i="4"/>
  <c r="N235" i="20" l="1"/>
  <c r="V235" i="4"/>
  <c r="O236" i="20"/>
  <c r="U236" i="4"/>
  <c r="AA239" i="4"/>
  <c r="X240" i="4" s="1"/>
  <c r="AA240" i="4" s="1"/>
  <c r="Z237" i="4"/>
  <c r="W238" i="4" s="1"/>
  <c r="Y237" i="4"/>
  <c r="O237" i="20" l="1"/>
  <c r="U237" i="4"/>
  <c r="N236" i="20"/>
  <c r="V236" i="4"/>
  <c r="Z238" i="4"/>
  <c r="W239" i="4" s="1"/>
  <c r="Y238" i="4"/>
  <c r="X241" i="4"/>
  <c r="AA241" i="4" s="1"/>
  <c r="U238" i="4" l="1"/>
  <c r="O238" i="20"/>
  <c r="N237" i="20"/>
  <c r="V237" i="4"/>
  <c r="X242" i="4"/>
  <c r="AA242" i="4" s="1"/>
  <c r="Z239" i="4"/>
  <c r="W240" i="4" s="1"/>
  <c r="Y239" i="4"/>
  <c r="O239" i="20" l="1"/>
  <c r="U239" i="4"/>
  <c r="Z240" i="4"/>
  <c r="W241" i="4" s="1"/>
  <c r="Y240" i="4"/>
  <c r="X243" i="4"/>
  <c r="AA243" i="4" s="1"/>
  <c r="N238" i="20"/>
  <c r="V238" i="4"/>
  <c r="U240" i="4" l="1"/>
  <c r="O240" i="20"/>
  <c r="Z241" i="4"/>
  <c r="W242" i="4" s="1"/>
  <c r="Y241" i="4"/>
  <c r="N239" i="20"/>
  <c r="V239" i="4"/>
  <c r="X244" i="4"/>
  <c r="AA244" i="4" l="1"/>
  <c r="X245" i="4" s="1"/>
  <c r="O241" i="20"/>
  <c r="U241" i="4"/>
  <c r="Z242" i="4"/>
  <c r="W243" i="4" s="1"/>
  <c r="Y242" i="4"/>
  <c r="N240" i="20"/>
  <c r="V240" i="4"/>
  <c r="N241" i="20" l="1"/>
  <c r="V241" i="4"/>
  <c r="U242" i="4"/>
  <c r="O242" i="20"/>
  <c r="AA245" i="4"/>
  <c r="X246" i="4" s="1"/>
  <c r="AA246" i="4" s="1"/>
  <c r="Z243" i="4"/>
  <c r="W244" i="4" s="1"/>
  <c r="Y243" i="4"/>
  <c r="U243" i="4" l="1"/>
  <c r="O243" i="20"/>
  <c r="Z244" i="4"/>
  <c r="W245" i="4" s="1"/>
  <c r="Y244" i="4"/>
  <c r="N242" i="20"/>
  <c r="V242" i="4"/>
  <c r="X247" i="4"/>
  <c r="AA247" i="4" s="1"/>
  <c r="X248" i="4" l="1"/>
  <c r="AA248" i="4" s="1"/>
  <c r="U244" i="4"/>
  <c r="O244" i="20"/>
  <c r="Z245" i="4"/>
  <c r="W246" i="4" s="1"/>
  <c r="Y245" i="4"/>
  <c r="N243" i="20"/>
  <c r="V243" i="4"/>
  <c r="N244" i="20" l="1"/>
  <c r="V244" i="4"/>
  <c r="U245" i="4"/>
  <c r="O245" i="20"/>
  <c r="Z246" i="4"/>
  <c r="W247" i="4" s="1"/>
  <c r="Y246" i="4"/>
  <c r="X249" i="4"/>
  <c r="AA249" i="4" s="1"/>
  <c r="X250" i="4" l="1"/>
  <c r="AA250" i="4" s="1"/>
  <c r="N245" i="20"/>
  <c r="V245" i="4"/>
  <c r="U246" i="4"/>
  <c r="O246" i="20"/>
  <c r="Z247" i="4"/>
  <c r="W248" i="4" s="1"/>
  <c r="Y247" i="4"/>
  <c r="U247" i="4" l="1"/>
  <c r="O247" i="20"/>
  <c r="Z248" i="4"/>
  <c r="W249" i="4" s="1"/>
  <c r="Y248" i="4"/>
  <c r="N246" i="20"/>
  <c r="V246" i="4"/>
  <c r="X251" i="4"/>
  <c r="AA251" i="4" s="1"/>
  <c r="X252" i="4" l="1"/>
  <c r="AA252" i="4" s="1"/>
  <c r="O248" i="20"/>
  <c r="U248" i="4"/>
  <c r="Z249" i="4"/>
  <c r="W250" i="4" s="1"/>
  <c r="Y249" i="4"/>
  <c r="N247" i="20"/>
  <c r="V247" i="4"/>
  <c r="N248" i="20" l="1"/>
  <c r="V248" i="4"/>
  <c r="U249" i="4"/>
  <c r="O249" i="20"/>
  <c r="Z250" i="4"/>
  <c r="W251" i="4" s="1"/>
  <c r="Y250" i="4"/>
  <c r="X253" i="4"/>
  <c r="AA253" i="4" s="1"/>
  <c r="X254" i="4" l="1"/>
  <c r="AA254" i="4" s="1"/>
  <c r="N249" i="20"/>
  <c r="V249" i="4"/>
  <c r="U250" i="4"/>
  <c r="O250" i="20"/>
  <c r="Z251" i="4"/>
  <c r="W252" i="4" s="1"/>
  <c r="Y251" i="4"/>
  <c r="O251" i="20" l="1"/>
  <c r="U251" i="4"/>
  <c r="Z252" i="4"/>
  <c r="W253" i="4" s="1"/>
  <c r="Y252" i="4"/>
  <c r="N250" i="20"/>
  <c r="V250" i="4"/>
  <c r="X255" i="4"/>
  <c r="AA255" i="4" s="1"/>
  <c r="X256" i="4" l="1"/>
  <c r="AA256" i="4" s="1"/>
  <c r="O252" i="20"/>
  <c r="U252" i="4"/>
  <c r="Z253" i="4"/>
  <c r="W254" i="4" s="1"/>
  <c r="Y253" i="4"/>
  <c r="N251" i="20"/>
  <c r="V251" i="4"/>
  <c r="N252" i="20" l="1"/>
  <c r="V252" i="4"/>
  <c r="U253" i="4"/>
  <c r="O253" i="20"/>
  <c r="Z254" i="4"/>
  <c r="W255" i="4" s="1"/>
  <c r="Y254" i="4"/>
  <c r="X257" i="4"/>
  <c r="AA257" i="4" s="1"/>
  <c r="X258" i="4" l="1"/>
  <c r="AA258" i="4" s="1"/>
  <c r="N253" i="20"/>
  <c r="V253" i="4"/>
  <c r="U254" i="4"/>
  <c r="O254" i="20"/>
  <c r="Z255" i="4"/>
  <c r="W256" i="4" s="1"/>
  <c r="Y255" i="4"/>
  <c r="U255" i="4" l="1"/>
  <c r="O255" i="20"/>
  <c r="Z256" i="4"/>
  <c r="W257" i="4" s="1"/>
  <c r="Y256" i="4"/>
  <c r="N254" i="20"/>
  <c r="V254" i="4"/>
  <c r="X259" i="4"/>
  <c r="AA259" i="4" l="1"/>
  <c r="X260" i="4" s="1"/>
  <c r="O256" i="20"/>
  <c r="U256" i="4"/>
  <c r="Z257" i="4"/>
  <c r="W258" i="4" s="1"/>
  <c r="Y257" i="4"/>
  <c r="N255" i="20"/>
  <c r="V255" i="4"/>
  <c r="N256" i="20" l="1"/>
  <c r="V256" i="4"/>
  <c r="U257" i="4"/>
  <c r="O257" i="20"/>
  <c r="AA260" i="4"/>
  <c r="X261" i="4" s="1"/>
  <c r="Z258" i="4"/>
  <c r="W259" i="4" s="1"/>
  <c r="Y258" i="4"/>
  <c r="Z259" i="4" l="1"/>
  <c r="W260" i="4" s="1"/>
  <c r="Y259" i="4"/>
  <c r="U258" i="4"/>
  <c r="O258" i="20"/>
  <c r="N257" i="20"/>
  <c r="V257" i="4"/>
  <c r="AA261" i="4"/>
  <c r="X262" i="4" l="1"/>
  <c r="AA262" i="4" s="1"/>
  <c r="N258" i="20"/>
  <c r="V258" i="4"/>
  <c r="O259" i="20"/>
  <c r="U259" i="4"/>
  <c r="Z260" i="4"/>
  <c r="W261" i="4" s="1"/>
  <c r="Y260" i="4"/>
  <c r="U260" i="4" l="1"/>
  <c r="O260" i="20"/>
  <c r="X263" i="4"/>
  <c r="Z261" i="4"/>
  <c r="W262" i="4" s="1"/>
  <c r="Y261" i="4"/>
  <c r="N259" i="20"/>
  <c r="V259" i="4"/>
  <c r="AA263" i="4" l="1"/>
  <c r="X264" i="4" s="1"/>
  <c r="O261" i="20"/>
  <c r="U261" i="4"/>
  <c r="Z262" i="4"/>
  <c r="W263" i="4" s="1"/>
  <c r="Y262" i="4"/>
  <c r="N260" i="20"/>
  <c r="V260" i="4"/>
  <c r="N261" i="20" l="1"/>
  <c r="V261" i="4"/>
  <c r="O262" i="20"/>
  <c r="U262" i="4"/>
  <c r="AA264" i="4"/>
  <c r="X265" i="4" s="1"/>
  <c r="AA265" i="4" s="1"/>
  <c r="Z263" i="4"/>
  <c r="W264" i="4" s="1"/>
  <c r="Y263" i="4"/>
  <c r="U263" i="4" l="1"/>
  <c r="O263" i="20"/>
  <c r="N262" i="20"/>
  <c r="V262" i="4"/>
  <c r="Z264" i="4"/>
  <c r="W265" i="4" s="1"/>
  <c r="Y264" i="4"/>
  <c r="X266" i="4"/>
  <c r="AA266" i="4" s="1"/>
  <c r="X267" i="4" l="1"/>
  <c r="AA267" i="4" s="1"/>
  <c r="U264" i="4"/>
  <c r="O264" i="20"/>
  <c r="Z265" i="4"/>
  <c r="W266" i="4" s="1"/>
  <c r="Y265" i="4"/>
  <c r="N263" i="20"/>
  <c r="V263" i="4"/>
  <c r="N264" i="20" l="1"/>
  <c r="V264" i="4"/>
  <c r="U265" i="4"/>
  <c r="O265" i="20"/>
  <c r="Z266" i="4"/>
  <c r="W267" i="4" s="1"/>
  <c r="Y266" i="4"/>
  <c r="X268" i="4"/>
  <c r="AA268" i="4" s="1"/>
  <c r="X269" i="4" l="1"/>
  <c r="AA269" i="4" s="1"/>
  <c r="N265" i="20"/>
  <c r="V265" i="4"/>
  <c r="U266" i="4"/>
  <c r="O266" i="20"/>
  <c r="Z267" i="4"/>
  <c r="W268" i="4" s="1"/>
  <c r="Y267" i="4"/>
  <c r="O267" i="20" l="1"/>
  <c r="U267" i="4"/>
  <c r="Z268" i="4"/>
  <c r="W269" i="4" s="1"/>
  <c r="Y268" i="4"/>
  <c r="N266" i="20"/>
  <c r="V266" i="4"/>
  <c r="X270" i="4"/>
  <c r="AA270" i="4" s="1"/>
  <c r="X271" i="4" l="1"/>
  <c r="AA271" i="4" s="1"/>
  <c r="U268" i="4"/>
  <c r="O268" i="20"/>
  <c r="Z269" i="4"/>
  <c r="W270" i="4" s="1"/>
  <c r="Y269" i="4"/>
  <c r="N267" i="20"/>
  <c r="V267" i="4"/>
  <c r="N268" i="20" l="1"/>
  <c r="V268" i="4"/>
  <c r="U269" i="4"/>
  <c r="O269" i="20"/>
  <c r="Z270" i="4"/>
  <c r="W271" i="4" s="1"/>
  <c r="Y270" i="4"/>
  <c r="X272" i="4"/>
  <c r="AA272" i="4" s="1"/>
  <c r="X273" i="4" l="1"/>
  <c r="N269" i="20"/>
  <c r="V269" i="4"/>
  <c r="O270" i="20"/>
  <c r="U270" i="4"/>
  <c r="Z271" i="4"/>
  <c r="W272" i="4" s="1"/>
  <c r="Y271" i="4"/>
  <c r="O271" i="20" l="1"/>
  <c r="U271" i="4"/>
  <c r="N270" i="20"/>
  <c r="V270" i="4"/>
  <c r="Z272" i="4"/>
  <c r="W273" i="4" s="1"/>
  <c r="Y272" i="4"/>
  <c r="AA273" i="4"/>
  <c r="X274" i="4" s="1"/>
  <c r="AA274" i="4" l="1"/>
  <c r="X275" i="4" s="1"/>
  <c r="AA275" i="4" s="1"/>
  <c r="U272" i="4"/>
  <c r="O272" i="20"/>
  <c r="N271" i="20"/>
  <c r="V271" i="4"/>
  <c r="Z273" i="4"/>
  <c r="W274" i="4" s="1"/>
  <c r="Y273" i="4"/>
  <c r="Z274" i="4" l="1"/>
  <c r="W275" i="4" s="1"/>
  <c r="Y274" i="4"/>
  <c r="N272" i="20"/>
  <c r="V272" i="4"/>
  <c r="X276" i="4"/>
  <c r="AA276" i="4" s="1"/>
  <c r="O273" i="20"/>
  <c r="U273" i="4"/>
  <c r="N273" i="20" l="1"/>
  <c r="V273" i="4"/>
  <c r="U274" i="4"/>
  <c r="O274" i="20"/>
  <c r="X277" i="4"/>
  <c r="AA277" i="4" s="1"/>
  <c r="Z275" i="4"/>
  <c r="W276" i="4" s="1"/>
  <c r="Y275" i="4"/>
  <c r="U275" i="4" l="1"/>
  <c r="O275" i="20"/>
  <c r="Z276" i="4"/>
  <c r="W277" i="4" s="1"/>
  <c r="Y276" i="4"/>
  <c r="N274" i="20"/>
  <c r="V274" i="4"/>
  <c r="X278" i="4"/>
  <c r="AA278" i="4" s="1"/>
  <c r="X279" i="4" l="1"/>
  <c r="AA279" i="4" s="1"/>
  <c r="O276" i="20"/>
  <c r="U276" i="4"/>
  <c r="Z277" i="4"/>
  <c r="W278" i="4" s="1"/>
  <c r="Y277" i="4"/>
  <c r="N275" i="20"/>
  <c r="V275" i="4"/>
  <c r="N276" i="20" l="1"/>
  <c r="V276" i="4"/>
  <c r="U277" i="4"/>
  <c r="O277" i="20"/>
  <c r="Z278" i="4"/>
  <c r="W279" i="4" s="1"/>
  <c r="Y278" i="4"/>
  <c r="X280" i="4"/>
  <c r="AA280" i="4" s="1"/>
  <c r="X281" i="4" l="1"/>
  <c r="AA281" i="4" s="1"/>
  <c r="N277" i="20"/>
  <c r="V277" i="4"/>
  <c r="U278" i="4"/>
  <c r="O278" i="20"/>
  <c r="Z279" i="4"/>
  <c r="W280" i="4" s="1"/>
  <c r="Y279" i="4"/>
  <c r="U279" i="4" l="1"/>
  <c r="O279" i="20"/>
  <c r="Z280" i="4"/>
  <c r="W281" i="4" s="1"/>
  <c r="Y280" i="4"/>
  <c r="N278" i="20"/>
  <c r="V278" i="4"/>
  <c r="X282" i="4"/>
  <c r="AA282" i="4" s="1"/>
  <c r="X283" i="4" l="1"/>
  <c r="AA283" i="4" s="1"/>
  <c r="O280" i="20"/>
  <c r="U280" i="4"/>
  <c r="Z281" i="4"/>
  <c r="W282" i="4" s="1"/>
  <c r="Y281" i="4"/>
  <c r="N279" i="20"/>
  <c r="V279" i="4"/>
  <c r="N280" i="20" l="1"/>
  <c r="V280" i="4"/>
  <c r="O281" i="20"/>
  <c r="U281" i="4"/>
  <c r="Z282" i="4"/>
  <c r="W283" i="4" s="1"/>
  <c r="Y282" i="4"/>
  <c r="X284" i="4"/>
  <c r="AA284" i="4" s="1"/>
  <c r="N281" i="20" l="1"/>
  <c r="V281" i="4"/>
  <c r="X285" i="4"/>
  <c r="AA285" i="4" s="1"/>
  <c r="U282" i="4"/>
  <c r="O282" i="20"/>
  <c r="Z283" i="4"/>
  <c r="W284" i="4" s="1"/>
  <c r="Y283" i="4"/>
  <c r="Z284" i="4" l="1"/>
  <c r="W285" i="4" s="1"/>
  <c r="Y284" i="4"/>
  <c r="O283" i="20"/>
  <c r="U283" i="4"/>
  <c r="X286" i="4"/>
  <c r="AA286" i="4" s="1"/>
  <c r="N282" i="20"/>
  <c r="V282" i="4"/>
  <c r="N283" i="20" l="1"/>
  <c r="V283" i="4"/>
  <c r="U284" i="4"/>
  <c r="O284" i="20"/>
  <c r="X287" i="4"/>
  <c r="AA287" i="4" s="1"/>
  <c r="Z285" i="4"/>
  <c r="W286" i="4" s="1"/>
  <c r="Y285" i="4"/>
  <c r="O285" i="20" l="1"/>
  <c r="U285" i="4"/>
  <c r="Z286" i="4"/>
  <c r="W287" i="4" s="1"/>
  <c r="Y286" i="4"/>
  <c r="N284" i="20"/>
  <c r="V284" i="4"/>
  <c r="X288" i="4"/>
  <c r="AA288" i="4" s="1"/>
  <c r="X289" i="4" l="1"/>
  <c r="AA289" i="4" s="1"/>
  <c r="U286" i="4"/>
  <c r="O286" i="20"/>
  <c r="Z287" i="4"/>
  <c r="W288" i="4" s="1"/>
  <c r="Y287" i="4"/>
  <c r="N285" i="20"/>
  <c r="V285" i="4"/>
  <c r="N286" i="20" l="1"/>
  <c r="V286" i="4"/>
  <c r="U287" i="4"/>
  <c r="O287" i="20"/>
  <c r="Z288" i="4"/>
  <c r="W289" i="4" s="1"/>
  <c r="Y288" i="4"/>
  <c r="X290" i="4"/>
  <c r="AA290" i="4" s="1"/>
  <c r="X291" i="4" l="1"/>
  <c r="AA291" i="4" s="1"/>
  <c r="N287" i="20"/>
  <c r="V287" i="4"/>
  <c r="U288" i="4"/>
  <c r="O288" i="20"/>
  <c r="Z289" i="4"/>
  <c r="W290" i="4" s="1"/>
  <c r="Y289" i="4"/>
  <c r="U289" i="4" l="1"/>
  <c r="O289" i="20"/>
  <c r="Z290" i="4"/>
  <c r="W291" i="4" s="1"/>
  <c r="Y290" i="4"/>
  <c r="N288" i="20"/>
  <c r="V288" i="4"/>
  <c r="X292" i="4"/>
  <c r="AA292" i="4" s="1"/>
  <c r="U290" i="4" l="1"/>
  <c r="O290" i="20"/>
  <c r="Z291" i="4"/>
  <c r="W292" i="4" s="1"/>
  <c r="Y291" i="4"/>
  <c r="X293" i="4"/>
  <c r="AA293" i="4" s="1"/>
  <c r="N289" i="20"/>
  <c r="V289" i="4"/>
  <c r="U291" i="4" l="1"/>
  <c r="O291" i="20"/>
  <c r="Z292" i="4"/>
  <c r="W293" i="4" s="1"/>
  <c r="Y292" i="4"/>
  <c r="X294" i="4"/>
  <c r="AA294" i="4" s="1"/>
  <c r="N290" i="20"/>
  <c r="V290" i="4"/>
  <c r="U292" i="4" l="1"/>
  <c r="O292" i="20"/>
  <c r="Z293" i="4"/>
  <c r="W294" i="4" s="1"/>
  <c r="Y293" i="4"/>
  <c r="X295" i="4"/>
  <c r="AA295" i="4" s="1"/>
  <c r="N291" i="20"/>
  <c r="V291" i="4"/>
  <c r="U293" i="4" l="1"/>
  <c r="O293" i="20"/>
  <c r="Z294" i="4"/>
  <c r="W295" i="4" s="1"/>
  <c r="Y294" i="4"/>
  <c r="X296" i="4"/>
  <c r="AA296" i="4" s="1"/>
  <c r="N292" i="20"/>
  <c r="V292" i="4"/>
  <c r="U294" i="4" l="1"/>
  <c r="O294" i="20"/>
  <c r="Z295" i="4"/>
  <c r="W296" i="4" s="1"/>
  <c r="Y295" i="4"/>
  <c r="X297" i="4"/>
  <c r="AA297" i="4" s="1"/>
  <c r="N293" i="20"/>
  <c r="V293" i="4"/>
  <c r="U295" i="4" l="1"/>
  <c r="O295" i="20"/>
  <c r="Z296" i="4"/>
  <c r="W297" i="4" s="1"/>
  <c r="Y296" i="4"/>
  <c r="X298" i="4"/>
  <c r="AA298" i="4" s="1"/>
  <c r="N294" i="20"/>
  <c r="V294" i="4"/>
  <c r="U296" i="4" l="1"/>
  <c r="O296" i="20"/>
  <c r="Z297" i="4"/>
  <c r="W298" i="4" s="1"/>
  <c r="Y297" i="4"/>
  <c r="X299" i="4"/>
  <c r="AA299" i="4" s="1"/>
  <c r="N295" i="20"/>
  <c r="V295" i="4"/>
  <c r="O297" i="20" l="1"/>
  <c r="U297" i="4"/>
  <c r="Z298" i="4"/>
  <c r="W299" i="4" s="1"/>
  <c r="Y298" i="4"/>
  <c r="X300" i="4"/>
  <c r="AA300" i="4" s="1"/>
  <c r="N296" i="20"/>
  <c r="V296" i="4"/>
  <c r="U298" i="4" l="1"/>
  <c r="O298" i="20"/>
  <c r="Z299" i="4"/>
  <c r="W300" i="4" s="1"/>
  <c r="Y299" i="4"/>
  <c r="N297" i="20"/>
  <c r="V297" i="4"/>
  <c r="X301" i="4"/>
  <c r="AA301" i="4" s="1"/>
  <c r="X302" i="4" l="1"/>
  <c r="AA302" i="4" s="1"/>
  <c r="U299" i="4"/>
  <c r="O299" i="20"/>
  <c r="Z300" i="4"/>
  <c r="W301" i="4" s="1"/>
  <c r="Y300" i="4"/>
  <c r="N298" i="20"/>
  <c r="V298" i="4"/>
  <c r="N299" i="20" l="1"/>
  <c r="V299" i="4"/>
  <c r="U300" i="4"/>
  <c r="O300" i="20"/>
  <c r="Z301" i="4"/>
  <c r="W302" i="4" s="1"/>
  <c r="Y301" i="4"/>
  <c r="X303" i="4"/>
  <c r="AA303" i="4" s="1"/>
  <c r="X304" i="4" l="1"/>
  <c r="AA304" i="4" s="1"/>
  <c r="N300" i="20"/>
  <c r="V300" i="4"/>
  <c r="U301" i="4"/>
  <c r="O301" i="20"/>
  <c r="Z302" i="4"/>
  <c r="W303" i="4" s="1"/>
  <c r="Y302" i="4"/>
  <c r="U302" i="4" l="1"/>
  <c r="O302" i="20"/>
  <c r="Z303" i="4"/>
  <c r="W304" i="4" s="1"/>
  <c r="Y303" i="4"/>
  <c r="N301" i="20"/>
  <c r="V301" i="4"/>
  <c r="X305" i="4"/>
  <c r="AA305" i="4" s="1"/>
  <c r="X306" i="4" l="1"/>
  <c r="AA306" i="4" s="1"/>
  <c r="U303" i="4"/>
  <c r="O303" i="20"/>
  <c r="Z304" i="4"/>
  <c r="W305" i="4" s="1"/>
  <c r="Y304" i="4"/>
  <c r="N302" i="20"/>
  <c r="V302" i="4"/>
  <c r="N303" i="20" l="1"/>
  <c r="V303" i="4"/>
  <c r="U304" i="4"/>
  <c r="O304" i="20"/>
  <c r="Z305" i="4"/>
  <c r="W306" i="4" s="1"/>
  <c r="Y305" i="4"/>
  <c r="X307" i="4"/>
  <c r="AA307" i="4" s="1"/>
  <c r="X308" i="4" l="1"/>
  <c r="AA308" i="4" s="1"/>
  <c r="N304" i="20"/>
  <c r="V304" i="4"/>
  <c r="O305" i="20"/>
  <c r="U305" i="4"/>
  <c r="Z306" i="4"/>
  <c r="W307" i="4" s="1"/>
  <c r="Y306" i="4"/>
  <c r="U306" i="4" l="1"/>
  <c r="O306" i="20"/>
  <c r="Z307" i="4"/>
  <c r="W308" i="4" s="1"/>
  <c r="Y307" i="4"/>
  <c r="N305" i="20"/>
  <c r="V305" i="4"/>
  <c r="X309" i="4"/>
  <c r="AA309" i="4" s="1"/>
  <c r="X310" i="4" l="1"/>
  <c r="AA310" i="4" s="1"/>
  <c r="U307" i="4"/>
  <c r="O307" i="20"/>
  <c r="Z308" i="4"/>
  <c r="W309" i="4" s="1"/>
  <c r="Y308" i="4"/>
  <c r="N306" i="20"/>
  <c r="V306" i="4"/>
  <c r="N307" i="20" l="1"/>
  <c r="V307" i="4"/>
  <c r="O308" i="20"/>
  <c r="U308" i="4"/>
  <c r="Z309" i="4"/>
  <c r="W310" i="4" s="1"/>
  <c r="Y309" i="4"/>
  <c r="X311" i="4"/>
  <c r="AA311" i="4" s="1"/>
  <c r="N308" i="20" l="1"/>
  <c r="V308" i="4"/>
  <c r="X312" i="4"/>
  <c r="AA312" i="4" s="1"/>
  <c r="U309" i="4"/>
  <c r="O309" i="20"/>
  <c r="Z310" i="4"/>
  <c r="W311" i="4" s="1"/>
  <c r="Y310" i="4"/>
  <c r="U310" i="4" l="1"/>
  <c r="O310" i="20"/>
  <c r="X313" i="4"/>
  <c r="AA313" i="4" s="1"/>
  <c r="Z311" i="4"/>
  <c r="W312" i="4" s="1"/>
  <c r="Y311" i="4"/>
  <c r="N309" i="20"/>
  <c r="V309" i="4"/>
  <c r="X314" i="4" l="1"/>
  <c r="AA314" i="4" s="1"/>
  <c r="O311" i="20"/>
  <c r="U311" i="4"/>
  <c r="Z312" i="4"/>
  <c r="W313" i="4" s="1"/>
  <c r="Y312" i="4"/>
  <c r="N310" i="20"/>
  <c r="V310" i="4"/>
  <c r="N311" i="20" l="1"/>
  <c r="V311" i="4"/>
  <c r="U312" i="4"/>
  <c r="O312" i="20"/>
  <c r="Z313" i="4"/>
  <c r="W314" i="4" s="1"/>
  <c r="Y313" i="4"/>
  <c r="X315" i="4"/>
  <c r="AA315" i="4" s="1"/>
  <c r="N312" i="20" l="1"/>
  <c r="V312" i="4"/>
  <c r="U313" i="4"/>
  <c r="O313" i="20"/>
  <c r="X316" i="4"/>
  <c r="AA316" i="4" s="1"/>
  <c r="Z314" i="4"/>
  <c r="W315" i="4" s="1"/>
  <c r="Y314" i="4"/>
  <c r="Z315" i="4" l="1"/>
  <c r="W316" i="4" s="1"/>
  <c r="Y315" i="4"/>
  <c r="U314" i="4"/>
  <c r="O314" i="20"/>
  <c r="N313" i="20"/>
  <c r="V313" i="4"/>
  <c r="X317" i="4"/>
  <c r="AA317" i="4" s="1"/>
  <c r="X318" i="4" l="1"/>
  <c r="AA318" i="4" s="1"/>
  <c r="N314" i="20"/>
  <c r="V314" i="4"/>
  <c r="U315" i="4"/>
  <c r="O315" i="20"/>
  <c r="Z316" i="4"/>
  <c r="W317" i="4" s="1"/>
  <c r="Y316" i="4"/>
  <c r="U316" i="4" l="1"/>
  <c r="O316" i="20"/>
  <c r="Z317" i="4"/>
  <c r="W318" i="4" s="1"/>
  <c r="Y317" i="4"/>
  <c r="N315" i="20"/>
  <c r="V315" i="4"/>
  <c r="X319" i="4"/>
  <c r="AA319" i="4" s="1"/>
  <c r="X320" i="4" l="1"/>
  <c r="AA320" i="4" s="1"/>
  <c r="O317" i="20"/>
  <c r="U317" i="4"/>
  <c r="Z318" i="4"/>
  <c r="W319" i="4" s="1"/>
  <c r="Y318" i="4"/>
  <c r="N316" i="20"/>
  <c r="V316" i="4"/>
  <c r="N317" i="20" l="1"/>
  <c r="V317" i="4"/>
  <c r="O318" i="20"/>
  <c r="U318" i="4"/>
  <c r="Z319" i="4"/>
  <c r="W320" i="4" s="1"/>
  <c r="Y319" i="4"/>
  <c r="X321" i="4"/>
  <c r="AA321" i="4" s="1"/>
  <c r="N318" i="20" l="1"/>
  <c r="V318" i="4"/>
  <c r="X322" i="4"/>
  <c r="AA322" i="4" s="1"/>
  <c r="U319" i="4"/>
  <c r="O319" i="20"/>
  <c r="Z320" i="4"/>
  <c r="W321" i="4" s="1"/>
  <c r="Y320" i="4"/>
  <c r="Z321" i="4" l="1"/>
  <c r="W322" i="4" s="1"/>
  <c r="Y321" i="4"/>
  <c r="U320" i="4"/>
  <c r="O320" i="20"/>
  <c r="X323" i="4"/>
  <c r="AA323" i="4" s="1"/>
  <c r="N319" i="20"/>
  <c r="V319" i="4"/>
  <c r="N320" i="20" l="1"/>
  <c r="V320" i="4"/>
  <c r="U321" i="4"/>
  <c r="O321" i="20"/>
  <c r="X324" i="4"/>
  <c r="AA324" i="4" s="1"/>
  <c r="Z322" i="4"/>
  <c r="W323" i="4" s="1"/>
  <c r="Y322" i="4"/>
  <c r="U322" i="4" l="1"/>
  <c r="O322" i="20"/>
  <c r="Z323" i="4"/>
  <c r="W324" i="4" s="1"/>
  <c r="Y323" i="4"/>
  <c r="N321" i="20"/>
  <c r="V321" i="4"/>
  <c r="X325" i="4"/>
  <c r="AA325" i="4" s="1"/>
  <c r="X326" i="4" l="1"/>
  <c r="AA326" i="4" s="1"/>
  <c r="U323" i="4"/>
  <c r="O323" i="20"/>
  <c r="Z324" i="4"/>
  <c r="W325" i="4" s="1"/>
  <c r="Y324" i="4"/>
  <c r="N322" i="20"/>
  <c r="V322" i="4"/>
  <c r="N323" i="20" l="1"/>
  <c r="V323" i="4"/>
  <c r="U324" i="4"/>
  <c r="O324" i="20"/>
  <c r="Z325" i="4"/>
  <c r="W326" i="4" s="1"/>
  <c r="Y325" i="4"/>
  <c r="X327" i="4"/>
  <c r="AA327" i="4" s="1"/>
  <c r="X328" i="4" l="1"/>
  <c r="AA328" i="4" s="1"/>
  <c r="N324" i="20"/>
  <c r="V324" i="4"/>
  <c r="U325" i="4"/>
  <c r="O325" i="20"/>
  <c r="Z326" i="4"/>
  <c r="W327" i="4" s="1"/>
  <c r="Y326" i="4"/>
  <c r="U326" i="4" l="1"/>
  <c r="O326" i="20"/>
  <c r="Z327" i="4"/>
  <c r="W328" i="4" s="1"/>
  <c r="Y327" i="4"/>
  <c r="N325" i="20"/>
  <c r="V325" i="4"/>
  <c r="X329" i="4"/>
  <c r="AA329" i="4" s="1"/>
  <c r="X330" i="4" l="1"/>
  <c r="AA330" i="4" s="1"/>
  <c r="U327" i="4"/>
  <c r="O327" i="20"/>
  <c r="Z328" i="4"/>
  <c r="W329" i="4" s="1"/>
  <c r="Y328" i="4"/>
  <c r="N326" i="20"/>
  <c r="V326" i="4"/>
  <c r="N327" i="20" l="1"/>
  <c r="V327" i="4"/>
  <c r="U328" i="4"/>
  <c r="O328" i="20"/>
  <c r="Z329" i="4"/>
  <c r="W330" i="4" s="1"/>
  <c r="Y329" i="4"/>
  <c r="X331" i="4"/>
  <c r="AA331" i="4" s="1"/>
  <c r="X332" i="4" l="1"/>
  <c r="AA332" i="4" s="1"/>
  <c r="N328" i="20"/>
  <c r="V328" i="4"/>
  <c r="U329" i="4"/>
  <c r="O329" i="20"/>
  <c r="Z330" i="4"/>
  <c r="W331" i="4" s="1"/>
  <c r="Y330" i="4"/>
  <c r="U330" i="4" l="1"/>
  <c r="O330" i="20"/>
  <c r="Z331" i="4"/>
  <c r="W332" i="4" s="1"/>
  <c r="Y331" i="4"/>
  <c r="N329" i="20"/>
  <c r="V329" i="4"/>
  <c r="X333" i="4"/>
  <c r="AA333" i="4" s="1"/>
  <c r="X334" i="4" l="1"/>
  <c r="AA334" i="4" s="1"/>
  <c r="U331" i="4"/>
  <c r="O331" i="20"/>
  <c r="Z332" i="4"/>
  <c r="W333" i="4" s="1"/>
  <c r="Y332" i="4"/>
  <c r="N330" i="20"/>
  <c r="V330" i="4"/>
  <c r="N331" i="20" l="1"/>
  <c r="V331" i="4"/>
  <c r="U332" i="4"/>
  <c r="O332" i="20"/>
  <c r="Z333" i="4"/>
  <c r="W334" i="4" s="1"/>
  <c r="Y333" i="4"/>
  <c r="X335" i="4"/>
  <c r="AA335" i="4" s="1"/>
  <c r="X336" i="4" l="1"/>
  <c r="AA336" i="4" s="1"/>
  <c r="N332" i="20"/>
  <c r="V332" i="4"/>
  <c r="U333" i="4"/>
  <c r="O333" i="20"/>
  <c r="Z334" i="4"/>
  <c r="W335" i="4" s="1"/>
  <c r="Y334" i="4"/>
  <c r="U334" i="4" l="1"/>
  <c r="O334" i="20"/>
  <c r="Z335" i="4"/>
  <c r="W336" i="4" s="1"/>
  <c r="Y335" i="4"/>
  <c r="N333" i="20"/>
  <c r="V333" i="4"/>
  <c r="X337" i="4"/>
  <c r="AA337" i="4" s="1"/>
  <c r="X338" i="4" l="1"/>
  <c r="AA338" i="4" s="1"/>
  <c r="U335" i="4"/>
  <c r="O335" i="20"/>
  <c r="Z336" i="4"/>
  <c r="W337" i="4" s="1"/>
  <c r="Y336" i="4"/>
  <c r="N334" i="20"/>
  <c r="V334" i="4"/>
  <c r="N335" i="20" l="1"/>
  <c r="V335" i="4"/>
  <c r="U336" i="4"/>
  <c r="O336" i="20"/>
  <c r="Z337" i="4"/>
  <c r="W338" i="4" s="1"/>
  <c r="Y337" i="4"/>
  <c r="X339" i="4"/>
  <c r="AA339" i="4" s="1"/>
  <c r="X340" i="4" l="1"/>
  <c r="AA340" i="4" s="1"/>
  <c r="N336" i="20"/>
  <c r="V336" i="4"/>
  <c r="U337" i="4"/>
  <c r="O337" i="20"/>
  <c r="Z338" i="4"/>
  <c r="W339" i="4" s="1"/>
  <c r="Y338" i="4"/>
  <c r="O338" i="20" l="1"/>
  <c r="U338" i="4"/>
  <c r="Z339" i="4"/>
  <c r="W340" i="4" s="1"/>
  <c r="Y339" i="4"/>
  <c r="N337" i="20"/>
  <c r="V337" i="4"/>
  <c r="X341" i="4"/>
  <c r="AA341" i="4" s="1"/>
  <c r="X342" i="4" l="1"/>
  <c r="AA342" i="4" s="1"/>
  <c r="U339" i="4"/>
  <c r="O339" i="20"/>
  <c r="Z340" i="4"/>
  <c r="W341" i="4" s="1"/>
  <c r="Y340" i="4"/>
  <c r="N338" i="20"/>
  <c r="V338" i="4"/>
  <c r="N339" i="20" l="1"/>
  <c r="V339" i="4"/>
  <c r="O340" i="20"/>
  <c r="U340" i="4"/>
  <c r="Z341" i="4"/>
  <c r="W342" i="4" s="1"/>
  <c r="Y341" i="4"/>
  <c r="X343" i="4"/>
  <c r="AA343" i="4" s="1"/>
  <c r="N340" i="20" l="1"/>
  <c r="V340" i="4"/>
  <c r="X344" i="4"/>
  <c r="AA344" i="4" s="1"/>
  <c r="U341" i="4"/>
  <c r="O341" i="20"/>
  <c r="Z342" i="4"/>
  <c r="W343" i="4" s="1"/>
  <c r="Y342" i="4"/>
  <c r="O342" i="20" l="1"/>
  <c r="U342" i="4"/>
  <c r="X345" i="4"/>
  <c r="AA345" i="4" s="1"/>
  <c r="Z343" i="4"/>
  <c r="W344" i="4" s="1"/>
  <c r="Y343" i="4"/>
  <c r="N341" i="20"/>
  <c r="V341" i="4"/>
  <c r="X346" i="4" l="1"/>
  <c r="AA346" i="4" s="1"/>
  <c r="U343" i="4"/>
  <c r="O343" i="20"/>
  <c r="N342" i="20"/>
  <c r="V342" i="4"/>
  <c r="Z344" i="4"/>
  <c r="W345" i="4" s="1"/>
  <c r="Y344" i="4"/>
  <c r="U344" i="4" l="1"/>
  <c r="O344" i="20"/>
  <c r="Z345" i="4"/>
  <c r="W346" i="4" s="1"/>
  <c r="Y345" i="4"/>
  <c r="N343" i="20"/>
  <c r="V343" i="4"/>
  <c r="X347" i="4"/>
  <c r="AA347" i="4" s="1"/>
  <c r="X348" i="4" l="1"/>
  <c r="AA348" i="4" s="1"/>
  <c r="U345" i="4"/>
  <c r="O345" i="20"/>
  <c r="Z346" i="4"/>
  <c r="W347" i="4" s="1"/>
  <c r="Y346" i="4"/>
  <c r="N344" i="20"/>
  <c r="V344" i="4"/>
  <c r="N345" i="20" l="1"/>
  <c r="V345" i="4"/>
  <c r="U346" i="4"/>
  <c r="O346" i="20"/>
  <c r="Z347" i="4"/>
  <c r="W348" i="4" s="1"/>
  <c r="Y347" i="4"/>
  <c r="X349" i="4"/>
  <c r="AA349" i="4" s="1"/>
  <c r="X350" i="4" l="1"/>
  <c r="AA350" i="4" s="1"/>
  <c r="N346" i="20"/>
  <c r="V346" i="4"/>
  <c r="U347" i="4"/>
  <c r="O347" i="20"/>
  <c r="Z348" i="4"/>
  <c r="W349" i="4" s="1"/>
  <c r="Y348" i="4"/>
  <c r="O348" i="20" l="1"/>
  <c r="U348" i="4"/>
  <c r="Z349" i="4"/>
  <c r="W350" i="4" s="1"/>
  <c r="Y349" i="4"/>
  <c r="N347" i="20"/>
  <c r="V347" i="4"/>
  <c r="X351" i="4"/>
  <c r="AA351" i="4" s="1"/>
  <c r="U349" i="4" l="1"/>
  <c r="O349" i="20"/>
  <c r="Z350" i="4"/>
  <c r="W351" i="4" s="1"/>
  <c r="Y350" i="4"/>
  <c r="N348" i="20"/>
  <c r="V348" i="4"/>
  <c r="X352" i="4"/>
  <c r="AA352" i="4" s="1"/>
  <c r="X353" i="4" l="1"/>
  <c r="AA353" i="4" s="1"/>
  <c r="U350" i="4"/>
  <c r="O350" i="20"/>
  <c r="Z351" i="4"/>
  <c r="W352" i="4" s="1"/>
  <c r="Y351" i="4"/>
  <c r="N349" i="20"/>
  <c r="V349" i="4"/>
  <c r="N350" i="20" l="1"/>
  <c r="V350" i="4"/>
  <c r="U351" i="4"/>
  <c r="O351" i="20"/>
  <c r="Z352" i="4"/>
  <c r="W353" i="4" s="1"/>
  <c r="Y352" i="4"/>
  <c r="X354" i="4"/>
  <c r="AA354" i="4" s="1"/>
  <c r="X355" i="4" l="1"/>
  <c r="AA355" i="4" s="1"/>
  <c r="N351" i="20"/>
  <c r="V351" i="4"/>
  <c r="U352" i="4"/>
  <c r="O352" i="20"/>
  <c r="Z353" i="4"/>
  <c r="W354" i="4" s="1"/>
  <c r="Y353" i="4"/>
  <c r="U353" i="4" l="1"/>
  <c r="O353" i="20"/>
  <c r="Z354" i="4"/>
  <c r="W355" i="4" s="1"/>
  <c r="Y354" i="4"/>
  <c r="N352" i="20"/>
  <c r="V352" i="4"/>
  <c r="X356" i="4"/>
  <c r="AA356" i="4" s="1"/>
  <c r="U354" i="4" l="1"/>
  <c r="O354" i="20"/>
  <c r="Z355" i="4"/>
  <c r="W356" i="4" s="1"/>
  <c r="Y355" i="4"/>
  <c r="X357" i="4"/>
  <c r="AA357" i="4" s="1"/>
  <c r="N353" i="20"/>
  <c r="V353" i="4"/>
  <c r="U355" i="4" l="1"/>
  <c r="O355" i="20"/>
  <c r="Z356" i="4"/>
  <c r="W357" i="4" s="1"/>
  <c r="Y356" i="4"/>
  <c r="X358" i="4"/>
  <c r="AA358" i="4" s="1"/>
  <c r="N354" i="20"/>
  <c r="V354" i="4"/>
  <c r="U356" i="4" l="1"/>
  <c r="O356" i="20"/>
  <c r="Z357" i="4"/>
  <c r="W358" i="4" s="1"/>
  <c r="Y357" i="4"/>
  <c r="X359" i="4"/>
  <c r="AA359" i="4" s="1"/>
  <c r="N355" i="20"/>
  <c r="V355" i="4"/>
  <c r="U357" i="4" l="1"/>
  <c r="O357" i="20"/>
  <c r="Z358" i="4"/>
  <c r="W359" i="4" s="1"/>
  <c r="Y358" i="4"/>
  <c r="X360" i="4"/>
  <c r="AA360" i="4" s="1"/>
  <c r="N356" i="20"/>
  <c r="V356" i="4"/>
  <c r="U358" i="4" l="1"/>
  <c r="O358" i="20"/>
  <c r="Z359" i="4"/>
  <c r="W360" i="4" s="1"/>
  <c r="Y359" i="4"/>
  <c r="X361" i="4"/>
  <c r="AA361" i="4" s="1"/>
  <c r="N357" i="20"/>
  <c r="V357" i="4"/>
  <c r="U359" i="4" l="1"/>
  <c r="O359" i="20"/>
  <c r="Z360" i="4"/>
  <c r="W361" i="4" s="1"/>
  <c r="Y360" i="4"/>
  <c r="X362" i="4"/>
  <c r="AA362" i="4" s="1"/>
  <c r="N358" i="20"/>
  <c r="V358" i="4"/>
  <c r="U360" i="4" l="1"/>
  <c r="O360" i="20"/>
  <c r="Z361" i="4"/>
  <c r="W362" i="4" s="1"/>
  <c r="Y361" i="4"/>
  <c r="X363" i="4"/>
  <c r="AA363" i="4" s="1"/>
  <c r="N359" i="20"/>
  <c r="V359" i="4"/>
  <c r="U361" i="4" l="1"/>
  <c r="O361" i="20"/>
  <c r="Z362" i="4"/>
  <c r="W363" i="4" s="1"/>
  <c r="Y362" i="4"/>
  <c r="X364" i="4"/>
  <c r="AA364" i="4" s="1"/>
  <c r="N360" i="20"/>
  <c r="V360" i="4"/>
  <c r="U362" i="4" l="1"/>
  <c r="O362" i="20"/>
  <c r="Z363" i="4"/>
  <c r="W364" i="4" s="1"/>
  <c r="Y363" i="4"/>
  <c r="X365" i="4"/>
  <c r="AA365" i="4" s="1"/>
  <c r="N361" i="20"/>
  <c r="V361" i="4"/>
  <c r="U363" i="4" l="1"/>
  <c r="O363" i="20"/>
  <c r="Z364" i="4"/>
  <c r="W365" i="4" s="1"/>
  <c r="Y364" i="4"/>
  <c r="X366" i="4"/>
  <c r="AA366" i="4" s="1"/>
  <c r="N362" i="20"/>
  <c r="V362" i="4"/>
  <c r="U364" i="4" l="1"/>
  <c r="O364" i="20"/>
  <c r="Z365" i="4"/>
  <c r="W366" i="4" s="1"/>
  <c r="Y365" i="4"/>
  <c r="X367" i="4"/>
  <c r="AA367" i="4" s="1"/>
  <c r="N363" i="20"/>
  <c r="V363" i="4"/>
  <c r="U365" i="4" l="1"/>
  <c r="O365" i="20"/>
  <c r="Z366" i="4"/>
  <c r="W367" i="4" s="1"/>
  <c r="Y366" i="4"/>
  <c r="X368" i="4"/>
  <c r="AA368" i="4" s="1"/>
  <c r="N364" i="20"/>
  <c r="V364" i="4"/>
  <c r="U366" i="4" l="1"/>
  <c r="O366" i="20"/>
  <c r="Z367" i="4"/>
  <c r="W368" i="4" s="1"/>
  <c r="Y367" i="4"/>
  <c r="X369" i="4"/>
  <c r="AA369" i="4" s="1"/>
  <c r="N365" i="20"/>
  <c r="V365" i="4"/>
  <c r="U367" i="4" l="1"/>
  <c r="O367" i="20"/>
  <c r="Z368" i="4"/>
  <c r="W369" i="4" s="1"/>
  <c r="Y368" i="4"/>
  <c r="X370" i="4"/>
  <c r="AA370" i="4" s="1"/>
  <c r="N366" i="20"/>
  <c r="V366" i="4"/>
  <c r="U368" i="4" l="1"/>
  <c r="O368" i="20"/>
  <c r="Z369" i="4"/>
  <c r="W370" i="4" s="1"/>
  <c r="Y369" i="4"/>
  <c r="X371" i="4"/>
  <c r="AA371" i="4" s="1"/>
  <c r="N367" i="20"/>
  <c r="V367" i="4"/>
  <c r="U369" i="4" l="1"/>
  <c r="O369" i="20"/>
  <c r="Z370" i="4"/>
  <c r="W371" i="4" s="1"/>
  <c r="Y370" i="4"/>
  <c r="X372" i="4"/>
  <c r="AA372" i="4" s="1"/>
  <c r="N368" i="20"/>
  <c r="V368" i="4"/>
  <c r="U370" i="4" l="1"/>
  <c r="O370" i="20"/>
  <c r="Z371" i="4"/>
  <c r="W372" i="4" s="1"/>
  <c r="Y371" i="4"/>
  <c r="X373" i="4"/>
  <c r="AA373" i="4" s="1"/>
  <c r="N369" i="20"/>
  <c r="V369" i="4"/>
  <c r="U371" i="4" l="1"/>
  <c r="O371" i="20"/>
  <c r="Z372" i="4"/>
  <c r="W373" i="4" s="1"/>
  <c r="Y372" i="4"/>
  <c r="X374" i="4"/>
  <c r="AA374" i="4" s="1"/>
  <c r="N370" i="20"/>
  <c r="V370" i="4"/>
  <c r="U372" i="4" l="1"/>
  <c r="O372" i="20"/>
  <c r="Z373" i="4"/>
  <c r="W374" i="4" s="1"/>
  <c r="Y373" i="4"/>
  <c r="X375" i="4"/>
  <c r="AA375" i="4" s="1"/>
  <c r="N371" i="20"/>
  <c r="V371" i="4"/>
  <c r="U373" i="4" l="1"/>
  <c r="O373" i="20"/>
  <c r="Z374" i="4"/>
  <c r="W375" i="4" s="1"/>
  <c r="Y374" i="4"/>
  <c r="X376" i="4"/>
  <c r="AA376" i="4" s="1"/>
  <c r="N372" i="20"/>
  <c r="V372" i="4"/>
  <c r="U374" i="4" l="1"/>
  <c r="O374" i="20"/>
  <c r="Z375" i="4"/>
  <c r="W376" i="4" s="1"/>
  <c r="Y375" i="4"/>
  <c r="X377" i="4"/>
  <c r="AA377" i="4" s="1"/>
  <c r="N373" i="20"/>
  <c r="V373" i="4"/>
  <c r="U375" i="4" l="1"/>
  <c r="O375" i="20"/>
  <c r="Z376" i="4"/>
  <c r="W377" i="4" s="1"/>
  <c r="Y376" i="4"/>
  <c r="X378" i="4"/>
  <c r="AA378" i="4" s="1"/>
  <c r="N374" i="20"/>
  <c r="V374" i="4"/>
  <c r="U376" i="4" l="1"/>
  <c r="O376" i="20"/>
  <c r="Z377" i="4"/>
  <c r="W378" i="4" s="1"/>
  <c r="Y377" i="4"/>
  <c r="X379" i="4"/>
  <c r="AA379" i="4" s="1"/>
  <c r="N375" i="20"/>
  <c r="V375" i="4"/>
  <c r="U377" i="4" l="1"/>
  <c r="O377" i="20"/>
  <c r="Z378" i="4"/>
  <c r="W379" i="4" s="1"/>
  <c r="Y378" i="4"/>
  <c r="X380" i="4"/>
  <c r="AA380" i="4" s="1"/>
  <c r="N376" i="20"/>
  <c r="V376" i="4"/>
  <c r="U378" i="4" l="1"/>
  <c r="O378" i="20"/>
  <c r="Z379" i="4"/>
  <c r="W380" i="4" s="1"/>
  <c r="Y379" i="4"/>
  <c r="X381" i="4"/>
  <c r="AA381" i="4" s="1"/>
  <c r="N377" i="20"/>
  <c r="V377" i="4"/>
  <c r="U379" i="4" l="1"/>
  <c r="O379" i="20"/>
  <c r="Z380" i="4"/>
  <c r="W381" i="4" s="1"/>
  <c r="Y380" i="4"/>
  <c r="X382" i="4"/>
  <c r="AA382" i="4" s="1"/>
  <c r="N378" i="20"/>
  <c r="V378" i="4"/>
  <c r="U380" i="4" l="1"/>
  <c r="O380" i="20"/>
  <c r="Z381" i="4"/>
  <c r="W382" i="4" s="1"/>
  <c r="Y381" i="4"/>
  <c r="X383" i="4"/>
  <c r="AA383" i="4" s="1"/>
  <c r="N379" i="20"/>
  <c r="V379" i="4"/>
  <c r="U381" i="4" l="1"/>
  <c r="O381" i="20"/>
  <c r="Z382" i="4"/>
  <c r="W383" i="4" s="1"/>
  <c r="Y382" i="4"/>
  <c r="X384" i="4"/>
  <c r="AA384" i="4" s="1"/>
  <c r="N380" i="20"/>
  <c r="V380" i="4"/>
  <c r="U382" i="4" l="1"/>
  <c r="O382" i="20"/>
  <c r="Z383" i="4"/>
  <c r="W384" i="4" s="1"/>
  <c r="Y383" i="4"/>
  <c r="X385" i="4"/>
  <c r="AA385" i="4" s="1"/>
  <c r="N381" i="20"/>
  <c r="V381" i="4"/>
  <c r="U383" i="4" l="1"/>
  <c r="O383" i="20"/>
  <c r="Z384" i="4"/>
  <c r="W385" i="4" s="1"/>
  <c r="Y384" i="4"/>
  <c r="X386" i="4"/>
  <c r="AA386" i="4" s="1"/>
  <c r="N382" i="20"/>
  <c r="V382" i="4"/>
  <c r="U384" i="4" l="1"/>
  <c r="O384" i="20"/>
  <c r="Z385" i="4"/>
  <c r="W386" i="4" s="1"/>
  <c r="Y385" i="4"/>
  <c r="X387" i="4"/>
  <c r="AA387" i="4" s="1"/>
  <c r="N383" i="20"/>
  <c r="V383" i="4"/>
  <c r="U385" i="4" l="1"/>
  <c r="O385" i="20"/>
  <c r="Z386" i="4"/>
  <c r="W387" i="4" s="1"/>
  <c r="Y386" i="4"/>
  <c r="X388" i="4"/>
  <c r="AA388" i="4" s="1"/>
  <c r="N384" i="20"/>
  <c r="V384" i="4"/>
  <c r="U386" i="4" l="1"/>
  <c r="O386" i="20"/>
  <c r="Z387" i="4"/>
  <c r="W388" i="4" s="1"/>
  <c r="Y387" i="4"/>
  <c r="X389" i="4"/>
  <c r="AA389" i="4" s="1"/>
  <c r="N385" i="20"/>
  <c r="V385" i="4"/>
  <c r="U387" i="4" l="1"/>
  <c r="O387" i="20"/>
  <c r="Z388" i="4"/>
  <c r="W389" i="4" s="1"/>
  <c r="Y388" i="4"/>
  <c r="X390" i="4"/>
  <c r="AA390" i="4" s="1"/>
  <c r="N386" i="20"/>
  <c r="V386" i="4"/>
  <c r="U388" i="4" l="1"/>
  <c r="O388" i="20"/>
  <c r="Z389" i="4"/>
  <c r="W390" i="4" s="1"/>
  <c r="Y389" i="4"/>
  <c r="X391" i="4"/>
  <c r="AA391" i="4" s="1"/>
  <c r="N387" i="20"/>
  <c r="V387" i="4"/>
  <c r="U389" i="4" l="1"/>
  <c r="O389" i="20"/>
  <c r="Z390" i="4"/>
  <c r="W391" i="4" s="1"/>
  <c r="Y390" i="4"/>
  <c r="X392" i="4"/>
  <c r="AA392" i="4" s="1"/>
  <c r="N388" i="20"/>
  <c r="V388" i="4"/>
  <c r="U390" i="4" l="1"/>
  <c r="O390" i="20"/>
  <c r="Z391" i="4"/>
  <c r="W392" i="4" s="1"/>
  <c r="Y391" i="4"/>
  <c r="X393" i="4"/>
  <c r="AA393" i="4" s="1"/>
  <c r="N389" i="20"/>
  <c r="V389" i="4"/>
  <c r="U391" i="4" l="1"/>
  <c r="O391" i="20"/>
  <c r="Z392" i="4"/>
  <c r="W393" i="4" s="1"/>
  <c r="Y392" i="4"/>
  <c r="X394" i="4"/>
  <c r="AA394" i="4" s="1"/>
  <c r="N390" i="20"/>
  <c r="V390" i="4"/>
  <c r="U392" i="4" l="1"/>
  <c r="O392" i="20"/>
  <c r="Z393" i="4"/>
  <c r="W394" i="4" s="1"/>
  <c r="Y393" i="4"/>
  <c r="X395" i="4"/>
  <c r="AA395" i="4" s="1"/>
  <c r="N391" i="20"/>
  <c r="V391" i="4"/>
  <c r="U393" i="4" l="1"/>
  <c r="O393" i="20"/>
  <c r="Z394" i="4"/>
  <c r="W395" i="4" s="1"/>
  <c r="Y394" i="4"/>
  <c r="X396" i="4"/>
  <c r="AA396" i="4" s="1"/>
  <c r="N392" i="20"/>
  <c r="V392" i="4"/>
  <c r="U394" i="4" l="1"/>
  <c r="O394" i="20"/>
  <c r="Z395" i="4"/>
  <c r="W396" i="4" s="1"/>
  <c r="Y395" i="4"/>
  <c r="X397" i="4"/>
  <c r="AA397" i="4" s="1"/>
  <c r="N393" i="20"/>
  <c r="V393" i="4"/>
  <c r="U395" i="4" l="1"/>
  <c r="O395" i="20"/>
  <c r="Z396" i="4"/>
  <c r="W397" i="4" s="1"/>
  <c r="Y396" i="4"/>
  <c r="X398" i="4"/>
  <c r="AA398" i="4" s="1"/>
  <c r="N394" i="20"/>
  <c r="V394" i="4"/>
  <c r="U396" i="4" l="1"/>
  <c r="O396" i="20"/>
  <c r="Z397" i="4"/>
  <c r="W398" i="4" s="1"/>
  <c r="Y397" i="4"/>
  <c r="X399" i="4"/>
  <c r="AA399" i="4" s="1"/>
  <c r="N395" i="20"/>
  <c r="V395" i="4"/>
  <c r="U397" i="4" l="1"/>
  <c r="O397" i="20"/>
  <c r="Z398" i="4"/>
  <c r="W399" i="4" s="1"/>
  <c r="Y398" i="4"/>
  <c r="X400" i="4"/>
  <c r="AA400" i="4" s="1"/>
  <c r="N396" i="20"/>
  <c r="V396" i="4"/>
  <c r="U398" i="4" l="1"/>
  <c r="O398" i="20"/>
  <c r="Z399" i="4"/>
  <c r="W400" i="4" s="1"/>
  <c r="Y399" i="4"/>
  <c r="X401" i="4"/>
  <c r="AA401" i="4" s="1"/>
  <c r="N397" i="20"/>
  <c r="V397" i="4"/>
  <c r="U399" i="4" l="1"/>
  <c r="O399" i="20"/>
  <c r="Z400" i="4"/>
  <c r="W401" i="4" s="1"/>
  <c r="Y400" i="4"/>
  <c r="X402" i="4"/>
  <c r="AA402" i="4" s="1"/>
  <c r="N398" i="20"/>
  <c r="V398" i="4"/>
  <c r="U400" i="4" l="1"/>
  <c r="O400" i="20"/>
  <c r="Z401" i="4"/>
  <c r="W402" i="4" s="1"/>
  <c r="Y401" i="4"/>
  <c r="X403" i="4"/>
  <c r="AA403" i="4" s="1"/>
  <c r="N399" i="20"/>
  <c r="V399" i="4"/>
  <c r="U401" i="4" l="1"/>
  <c r="O401" i="20"/>
  <c r="Z402" i="4"/>
  <c r="W403" i="4" s="1"/>
  <c r="Y402" i="4"/>
  <c r="X404" i="4"/>
  <c r="AA404" i="4" s="1"/>
  <c r="N400" i="20"/>
  <c r="V400" i="4"/>
  <c r="U402" i="4" l="1"/>
  <c r="O402" i="20"/>
  <c r="Z403" i="4"/>
  <c r="W404" i="4" s="1"/>
  <c r="Y403" i="4"/>
  <c r="X405" i="4"/>
  <c r="AA405" i="4" s="1"/>
  <c r="N401" i="20"/>
  <c r="V401" i="4"/>
  <c r="U403" i="4" l="1"/>
  <c r="O403" i="20"/>
  <c r="Z404" i="4"/>
  <c r="W405" i="4" s="1"/>
  <c r="Y404" i="4"/>
  <c r="X406" i="4"/>
  <c r="AA406" i="4" s="1"/>
  <c r="N402" i="20"/>
  <c r="V402" i="4"/>
  <c r="U404" i="4" l="1"/>
  <c r="O404" i="20"/>
  <c r="Z405" i="4"/>
  <c r="W406" i="4" s="1"/>
  <c r="Y405" i="4"/>
  <c r="X407" i="4"/>
  <c r="AA407" i="4" s="1"/>
  <c r="N403" i="20"/>
  <c r="V403" i="4"/>
  <c r="U405" i="4" l="1"/>
  <c r="O405" i="20"/>
  <c r="Z406" i="4"/>
  <c r="W407" i="4" s="1"/>
  <c r="Y406" i="4"/>
  <c r="X408" i="4"/>
  <c r="AA408" i="4" s="1"/>
  <c r="N404" i="20"/>
  <c r="V404" i="4"/>
  <c r="U406" i="4" l="1"/>
  <c r="O406" i="20"/>
  <c r="Z407" i="4"/>
  <c r="W408" i="4" s="1"/>
  <c r="Y407" i="4"/>
  <c r="X409" i="4"/>
  <c r="AA409" i="4" s="1"/>
  <c r="N405" i="20"/>
  <c r="V405" i="4"/>
  <c r="U407" i="4" l="1"/>
  <c r="O407" i="20"/>
  <c r="Z408" i="4"/>
  <c r="W409" i="4" s="1"/>
  <c r="Y408" i="4"/>
  <c r="X410" i="4"/>
  <c r="AA410" i="4" s="1"/>
  <c r="N406" i="20"/>
  <c r="V406" i="4"/>
  <c r="U408" i="4" l="1"/>
  <c r="O408" i="20"/>
  <c r="Z409" i="4"/>
  <c r="W410" i="4" s="1"/>
  <c r="Y409" i="4"/>
  <c r="X411" i="4"/>
  <c r="AA411" i="4" s="1"/>
  <c r="N407" i="20"/>
  <c r="V407" i="4"/>
  <c r="U409" i="4" l="1"/>
  <c r="O409" i="20"/>
  <c r="Z410" i="4"/>
  <c r="W411" i="4" s="1"/>
  <c r="Y410" i="4"/>
  <c r="X412" i="4"/>
  <c r="AA412" i="4" s="1"/>
  <c r="N408" i="20"/>
  <c r="V408" i="4"/>
  <c r="U410" i="4" l="1"/>
  <c r="O410" i="20"/>
  <c r="Z411" i="4"/>
  <c r="W412" i="4" s="1"/>
  <c r="Y411" i="4"/>
  <c r="X413" i="4"/>
  <c r="AA413" i="4" s="1"/>
  <c r="N409" i="20"/>
  <c r="V409" i="4"/>
  <c r="U411" i="4" l="1"/>
  <c r="O411" i="20"/>
  <c r="Z412" i="4"/>
  <c r="W413" i="4" s="1"/>
  <c r="Y412" i="4"/>
  <c r="X414" i="4"/>
  <c r="AA414" i="4" s="1"/>
  <c r="N410" i="20"/>
  <c r="V410" i="4"/>
  <c r="U412" i="4" l="1"/>
  <c r="O412" i="20"/>
  <c r="Z413" i="4"/>
  <c r="W414" i="4" s="1"/>
  <c r="Y413" i="4"/>
  <c r="X415" i="4"/>
  <c r="AA415" i="4" s="1"/>
  <c r="N411" i="20"/>
  <c r="V411" i="4"/>
  <c r="U413" i="4" l="1"/>
  <c r="O413" i="20"/>
  <c r="Z414" i="4"/>
  <c r="W415" i="4" s="1"/>
  <c r="Y414" i="4"/>
  <c r="X416" i="4"/>
  <c r="AA416" i="4" s="1"/>
  <c r="N412" i="20"/>
  <c r="V412" i="4"/>
  <c r="U414" i="4" l="1"/>
  <c r="O414" i="20"/>
  <c r="Z415" i="4"/>
  <c r="W416" i="4" s="1"/>
  <c r="Y415" i="4"/>
  <c r="X417" i="4"/>
  <c r="AA417" i="4" s="1"/>
  <c r="N413" i="20"/>
  <c r="V413" i="4"/>
  <c r="U415" i="4" l="1"/>
  <c r="O415" i="20"/>
  <c r="Z416" i="4"/>
  <c r="W417" i="4" s="1"/>
  <c r="Y416" i="4"/>
  <c r="X418" i="4"/>
  <c r="AA418" i="4" s="1"/>
  <c r="N414" i="20"/>
  <c r="V414" i="4"/>
  <c r="U416" i="4" l="1"/>
  <c r="O416" i="20"/>
  <c r="Z417" i="4"/>
  <c r="W418" i="4" s="1"/>
  <c r="Y417" i="4"/>
  <c r="X419" i="4"/>
  <c r="AA419" i="4" s="1"/>
  <c r="N415" i="20"/>
  <c r="V415" i="4"/>
  <c r="U417" i="4" l="1"/>
  <c r="O417" i="20"/>
  <c r="Z418" i="4"/>
  <c r="W419" i="4" s="1"/>
  <c r="Y418" i="4"/>
  <c r="X420" i="4"/>
  <c r="AA420" i="4" s="1"/>
  <c r="N416" i="20"/>
  <c r="V416" i="4"/>
  <c r="U418" i="4" l="1"/>
  <c r="O418" i="20"/>
  <c r="Z419" i="4"/>
  <c r="W420" i="4" s="1"/>
  <c r="Y419" i="4"/>
  <c r="X421" i="4"/>
  <c r="AA421" i="4" s="1"/>
  <c r="N417" i="20"/>
  <c r="V417" i="4"/>
  <c r="U419" i="4" l="1"/>
  <c r="O419" i="20"/>
  <c r="Z420" i="4"/>
  <c r="W421" i="4" s="1"/>
  <c r="Y420" i="4"/>
  <c r="X422" i="4"/>
  <c r="AA422" i="4" s="1"/>
  <c r="N418" i="20"/>
  <c r="V418" i="4"/>
  <c r="U420" i="4" l="1"/>
  <c r="O420" i="20"/>
  <c r="Z421" i="4"/>
  <c r="W422" i="4" s="1"/>
  <c r="Y421" i="4"/>
  <c r="X423" i="4"/>
  <c r="AA423" i="4" s="1"/>
  <c r="N419" i="20"/>
  <c r="V419" i="4"/>
  <c r="U421" i="4" l="1"/>
  <c r="O421" i="20"/>
  <c r="Z422" i="4"/>
  <c r="W423" i="4" s="1"/>
  <c r="Y422" i="4"/>
  <c r="X424" i="4"/>
  <c r="AA424" i="4" s="1"/>
  <c r="N420" i="20"/>
  <c r="V420" i="4"/>
  <c r="U422" i="4" l="1"/>
  <c r="O422" i="20"/>
  <c r="Z423" i="4"/>
  <c r="W424" i="4" s="1"/>
  <c r="Y423" i="4"/>
  <c r="X425" i="4"/>
  <c r="AA425" i="4" s="1"/>
  <c r="N421" i="20"/>
  <c r="V421" i="4"/>
  <c r="U423" i="4" l="1"/>
  <c r="O423" i="20"/>
  <c r="Z424" i="4"/>
  <c r="W425" i="4" s="1"/>
  <c r="Y424" i="4"/>
  <c r="X426" i="4"/>
  <c r="AA426" i="4" s="1"/>
  <c r="N422" i="20"/>
  <c r="V422" i="4"/>
  <c r="U424" i="4" l="1"/>
  <c r="O424" i="20"/>
  <c r="Z425" i="4"/>
  <c r="W426" i="4" s="1"/>
  <c r="Y425" i="4"/>
  <c r="X427" i="4"/>
  <c r="AA427" i="4" s="1"/>
  <c r="N423" i="20"/>
  <c r="V423" i="4"/>
  <c r="U425" i="4" l="1"/>
  <c r="O425" i="20"/>
  <c r="Z426" i="4"/>
  <c r="W427" i="4" s="1"/>
  <c r="Y426" i="4"/>
  <c r="X428" i="4"/>
  <c r="AA428" i="4" s="1"/>
  <c r="N424" i="20"/>
  <c r="V424" i="4"/>
  <c r="O426" i="20" l="1"/>
  <c r="U426" i="4"/>
  <c r="Z427" i="4"/>
  <c r="W428" i="4" s="1"/>
  <c r="Y427" i="4"/>
  <c r="X429" i="4"/>
  <c r="AA429" i="4" s="1"/>
  <c r="N425" i="20"/>
  <c r="V425" i="4"/>
  <c r="U427" i="4" l="1"/>
  <c r="O427" i="20"/>
  <c r="Z428" i="4"/>
  <c r="W429" i="4" s="1"/>
  <c r="Y428" i="4"/>
  <c r="N426" i="20"/>
  <c r="V426" i="4"/>
  <c r="X430" i="4"/>
  <c r="AA430" i="4" s="1"/>
  <c r="U428" i="4" l="1"/>
  <c r="O428" i="20"/>
  <c r="Z429" i="4"/>
  <c r="W430" i="4" s="1"/>
  <c r="Y429" i="4"/>
  <c r="X431" i="4"/>
  <c r="AA431" i="4" s="1"/>
  <c r="N427" i="20"/>
  <c r="V427" i="4"/>
  <c r="U429" i="4" l="1"/>
  <c r="O429" i="20"/>
  <c r="Z430" i="4"/>
  <c r="W431" i="4" s="1"/>
  <c r="Y430" i="4"/>
  <c r="X432" i="4"/>
  <c r="AA432" i="4" s="1"/>
  <c r="N428" i="20"/>
  <c r="V428" i="4"/>
  <c r="U430" i="4" l="1"/>
  <c r="O430" i="20"/>
  <c r="Z431" i="4"/>
  <c r="W432" i="4" s="1"/>
  <c r="Y431" i="4"/>
  <c r="X433" i="4"/>
  <c r="AA433" i="4" s="1"/>
  <c r="N429" i="20"/>
  <c r="V429" i="4"/>
  <c r="U431" i="4" l="1"/>
  <c r="O431" i="20"/>
  <c r="Z432" i="4"/>
  <c r="W433" i="4" s="1"/>
  <c r="Y432" i="4"/>
  <c r="X434" i="4"/>
  <c r="AA434" i="4" s="1"/>
  <c r="N430" i="20"/>
  <c r="V430" i="4"/>
  <c r="U432" i="4" l="1"/>
  <c r="O432" i="20"/>
  <c r="Z433" i="4"/>
  <c r="W434" i="4" s="1"/>
  <c r="Y433" i="4"/>
  <c r="X435" i="4"/>
  <c r="AA435" i="4" s="1"/>
  <c r="N431" i="20"/>
  <c r="V431" i="4"/>
  <c r="U433" i="4" l="1"/>
  <c r="O433" i="20"/>
  <c r="Z434" i="4"/>
  <c r="W435" i="4" s="1"/>
  <c r="Y434" i="4"/>
  <c r="X436" i="4"/>
  <c r="AA436" i="4" s="1"/>
  <c r="N432" i="20"/>
  <c r="V432" i="4"/>
  <c r="U434" i="4" l="1"/>
  <c r="O434" i="20"/>
  <c r="Z435" i="4"/>
  <c r="W436" i="4" s="1"/>
  <c r="Y435" i="4"/>
  <c r="X437" i="4"/>
  <c r="AA437" i="4" s="1"/>
  <c r="N433" i="20"/>
  <c r="V433" i="4"/>
  <c r="U435" i="4" l="1"/>
  <c r="O435" i="20"/>
  <c r="Z436" i="4"/>
  <c r="W437" i="4" s="1"/>
  <c r="Y436" i="4"/>
  <c r="X438" i="4"/>
  <c r="AA438" i="4" s="1"/>
  <c r="N434" i="20"/>
  <c r="V434" i="4"/>
  <c r="U436" i="4" l="1"/>
  <c r="O436" i="20"/>
  <c r="Z437" i="4"/>
  <c r="W438" i="4" s="1"/>
  <c r="Y437" i="4"/>
  <c r="X439" i="4"/>
  <c r="AA439" i="4" s="1"/>
  <c r="N435" i="20"/>
  <c r="V435" i="4"/>
  <c r="U437" i="4" l="1"/>
  <c r="O437" i="20"/>
  <c r="Z438" i="4"/>
  <c r="W439" i="4" s="1"/>
  <c r="Y438" i="4"/>
  <c r="X440" i="4"/>
  <c r="AA440" i="4" s="1"/>
  <c r="N436" i="20"/>
  <c r="V436" i="4"/>
  <c r="U438" i="4" l="1"/>
  <c r="O438" i="20"/>
  <c r="Z439" i="4"/>
  <c r="W440" i="4" s="1"/>
  <c r="Y439" i="4"/>
  <c r="X441" i="4"/>
  <c r="AA441" i="4" s="1"/>
  <c r="N437" i="20"/>
  <c r="V437" i="4"/>
  <c r="U439" i="4" l="1"/>
  <c r="O439" i="20"/>
  <c r="Z440" i="4"/>
  <c r="W441" i="4" s="1"/>
  <c r="Y440" i="4"/>
  <c r="X442" i="4"/>
  <c r="AA442" i="4" s="1"/>
  <c r="N438" i="20"/>
  <c r="V438" i="4"/>
  <c r="U440" i="4" l="1"/>
  <c r="O440" i="20"/>
  <c r="Z441" i="4"/>
  <c r="W442" i="4" s="1"/>
  <c r="Y441" i="4"/>
  <c r="X443" i="4"/>
  <c r="AA443" i="4" s="1"/>
  <c r="N439" i="20"/>
  <c r="V439" i="4"/>
  <c r="U441" i="4" l="1"/>
  <c r="O441" i="20"/>
  <c r="Z442" i="4"/>
  <c r="W443" i="4" s="1"/>
  <c r="Y442" i="4"/>
  <c r="X444" i="4"/>
  <c r="AA444" i="4" s="1"/>
  <c r="N440" i="20"/>
  <c r="V440" i="4"/>
  <c r="U442" i="4" l="1"/>
  <c r="O442" i="20"/>
  <c r="Z443" i="4"/>
  <c r="W444" i="4" s="1"/>
  <c r="Y443" i="4"/>
  <c r="X445" i="4"/>
  <c r="AA445" i="4" s="1"/>
  <c r="N441" i="20"/>
  <c r="V441" i="4"/>
  <c r="U443" i="4" l="1"/>
  <c r="O443" i="20"/>
  <c r="Z444" i="4"/>
  <c r="W445" i="4" s="1"/>
  <c r="Y444" i="4"/>
  <c r="X446" i="4"/>
  <c r="AA446" i="4" s="1"/>
  <c r="N442" i="20"/>
  <c r="V442" i="4"/>
  <c r="U444" i="4" l="1"/>
  <c r="O444" i="20"/>
  <c r="Z445" i="4"/>
  <c r="W446" i="4" s="1"/>
  <c r="Y445" i="4"/>
  <c r="X447" i="4"/>
  <c r="AA447" i="4" s="1"/>
  <c r="N443" i="20"/>
  <c r="V443" i="4"/>
  <c r="U445" i="4" l="1"/>
  <c r="O445" i="20"/>
  <c r="Z446" i="4"/>
  <c r="W447" i="4" s="1"/>
  <c r="Y446" i="4"/>
  <c r="X448" i="4"/>
  <c r="AA448" i="4" s="1"/>
  <c r="N444" i="20"/>
  <c r="V444" i="4"/>
  <c r="U446" i="4" l="1"/>
  <c r="O446" i="20"/>
  <c r="Z447" i="4"/>
  <c r="W448" i="4" s="1"/>
  <c r="Y447" i="4"/>
  <c r="X449" i="4"/>
  <c r="AA449" i="4" s="1"/>
  <c r="N445" i="20"/>
  <c r="V445" i="4"/>
  <c r="U447" i="4" l="1"/>
  <c r="O447" i="20"/>
  <c r="Z448" i="4"/>
  <c r="W449" i="4" s="1"/>
  <c r="Y448" i="4"/>
  <c r="X450" i="4"/>
  <c r="AA450" i="4" s="1"/>
  <c r="N446" i="20"/>
  <c r="V446" i="4"/>
  <c r="U448" i="4" l="1"/>
  <c r="O448" i="20"/>
  <c r="Z449" i="4"/>
  <c r="W450" i="4" s="1"/>
  <c r="Y449" i="4"/>
  <c r="X451" i="4"/>
  <c r="AA451" i="4" s="1"/>
  <c r="N447" i="20"/>
  <c r="V447" i="4"/>
  <c r="U449" i="4" l="1"/>
  <c r="O449" i="20"/>
  <c r="Z450" i="4"/>
  <c r="W451" i="4" s="1"/>
  <c r="Y450" i="4"/>
  <c r="X452" i="4"/>
  <c r="AA452" i="4" s="1"/>
  <c r="N448" i="20"/>
  <c r="V448" i="4"/>
  <c r="U450" i="4" l="1"/>
  <c r="O450" i="20"/>
  <c r="Z451" i="4"/>
  <c r="W452" i="4" s="1"/>
  <c r="Y451" i="4"/>
  <c r="X453" i="4"/>
  <c r="AA453" i="4" s="1"/>
  <c r="N449" i="20"/>
  <c r="V449" i="4"/>
  <c r="U451" i="4" l="1"/>
  <c r="O451" i="20"/>
  <c r="Z452" i="4"/>
  <c r="W453" i="4" s="1"/>
  <c r="Y452" i="4"/>
  <c r="X454" i="4"/>
  <c r="AA454" i="4" s="1"/>
  <c r="N450" i="20"/>
  <c r="V450" i="4"/>
  <c r="U452" i="4" l="1"/>
  <c r="O452" i="20"/>
  <c r="Z453" i="4"/>
  <c r="W454" i="4" s="1"/>
  <c r="Y453" i="4"/>
  <c r="X455" i="4"/>
  <c r="AA455" i="4" s="1"/>
  <c r="N451" i="20"/>
  <c r="V451" i="4"/>
  <c r="U453" i="4" l="1"/>
  <c r="O453" i="20"/>
  <c r="Z454" i="4"/>
  <c r="W455" i="4" s="1"/>
  <c r="Y454" i="4"/>
  <c r="X456" i="4"/>
  <c r="AA456" i="4" s="1"/>
  <c r="N452" i="20"/>
  <c r="V452" i="4"/>
  <c r="U454" i="4" l="1"/>
  <c r="O454" i="20"/>
  <c r="Z455" i="4"/>
  <c r="W456" i="4" s="1"/>
  <c r="Y455" i="4"/>
  <c r="X457" i="4"/>
  <c r="AA457" i="4" s="1"/>
  <c r="N453" i="20"/>
  <c r="V453" i="4"/>
  <c r="U455" i="4" l="1"/>
  <c r="O455" i="20"/>
  <c r="Z456" i="4"/>
  <c r="W457" i="4" s="1"/>
  <c r="Y456" i="4"/>
  <c r="X458" i="4"/>
  <c r="AA458" i="4" s="1"/>
  <c r="N454" i="20"/>
  <c r="V454" i="4"/>
  <c r="U456" i="4" l="1"/>
  <c r="O456" i="20"/>
  <c r="Z457" i="4"/>
  <c r="W458" i="4" s="1"/>
  <c r="Y457" i="4"/>
  <c r="X459" i="4"/>
  <c r="AA459" i="4" s="1"/>
  <c r="N455" i="20"/>
  <c r="V455" i="4"/>
  <c r="U457" i="4" l="1"/>
  <c r="O457" i="20"/>
  <c r="Z458" i="4"/>
  <c r="W459" i="4" s="1"/>
  <c r="Y458" i="4"/>
  <c r="X460" i="4"/>
  <c r="AA460" i="4" s="1"/>
  <c r="N456" i="20"/>
  <c r="V456" i="4"/>
  <c r="U458" i="4" l="1"/>
  <c r="O458" i="20"/>
  <c r="Z459" i="4"/>
  <c r="W460" i="4" s="1"/>
  <c r="Y459" i="4"/>
  <c r="X461" i="4"/>
  <c r="AA461" i="4" s="1"/>
  <c r="N457" i="20"/>
  <c r="V457" i="4"/>
  <c r="U459" i="4" l="1"/>
  <c r="O459" i="20"/>
  <c r="Z460" i="4"/>
  <c r="W461" i="4" s="1"/>
  <c r="Y460" i="4"/>
  <c r="X462" i="4"/>
  <c r="AA462" i="4" s="1"/>
  <c r="N458" i="20"/>
  <c r="V458" i="4"/>
  <c r="U460" i="4" l="1"/>
  <c r="O460" i="20"/>
  <c r="Z461" i="4"/>
  <c r="W462" i="4" s="1"/>
  <c r="Y461" i="4"/>
  <c r="X463" i="4"/>
  <c r="AA463" i="4" s="1"/>
  <c r="N459" i="20"/>
  <c r="V459" i="4"/>
  <c r="U461" i="4" l="1"/>
  <c r="O461" i="20"/>
  <c r="Z462" i="4"/>
  <c r="W463" i="4" s="1"/>
  <c r="Y462" i="4"/>
  <c r="X464" i="4"/>
  <c r="AA464" i="4" s="1"/>
  <c r="N460" i="20"/>
  <c r="V460" i="4"/>
  <c r="U462" i="4" l="1"/>
  <c r="O462" i="20"/>
  <c r="Z463" i="4"/>
  <c r="W464" i="4" s="1"/>
  <c r="Y463" i="4"/>
  <c r="X465" i="4"/>
  <c r="AA465" i="4" s="1"/>
  <c r="N461" i="20"/>
  <c r="V461" i="4"/>
  <c r="U463" i="4" l="1"/>
  <c r="O463" i="20"/>
  <c r="Z464" i="4"/>
  <c r="W465" i="4" s="1"/>
  <c r="Y464" i="4"/>
  <c r="X466" i="4"/>
  <c r="AA466" i="4" s="1"/>
  <c r="N462" i="20"/>
  <c r="V462" i="4"/>
  <c r="U464" i="4" l="1"/>
  <c r="O464" i="20"/>
  <c r="Z465" i="4"/>
  <c r="W466" i="4" s="1"/>
  <c r="Y465" i="4"/>
  <c r="X467" i="4"/>
  <c r="AA467" i="4" s="1"/>
  <c r="N463" i="20"/>
  <c r="V463" i="4"/>
  <c r="U465" i="4" l="1"/>
  <c r="O465" i="20"/>
  <c r="Z466" i="4"/>
  <c r="W467" i="4" s="1"/>
  <c r="Y466" i="4"/>
  <c r="X468" i="4"/>
  <c r="AA468" i="4" s="1"/>
  <c r="N464" i="20"/>
  <c r="V464" i="4"/>
  <c r="U466" i="4" l="1"/>
  <c r="O466" i="20"/>
  <c r="Z467" i="4"/>
  <c r="W468" i="4" s="1"/>
  <c r="Y467" i="4"/>
  <c r="X469" i="4"/>
  <c r="AA469" i="4" s="1"/>
  <c r="N465" i="20"/>
  <c r="V465" i="4"/>
  <c r="U467" i="4" l="1"/>
  <c r="O467" i="20"/>
  <c r="Z468" i="4"/>
  <c r="W469" i="4" s="1"/>
  <c r="Y468" i="4"/>
  <c r="X470" i="4"/>
  <c r="AA470" i="4" s="1"/>
  <c r="N466" i="20"/>
  <c r="V466" i="4"/>
  <c r="U468" i="4" l="1"/>
  <c r="O468" i="20"/>
  <c r="Z469" i="4"/>
  <c r="W470" i="4" s="1"/>
  <c r="Y469" i="4"/>
  <c r="X471" i="4"/>
  <c r="AA471" i="4" s="1"/>
  <c r="N467" i="20"/>
  <c r="V467" i="4"/>
  <c r="U469" i="4" l="1"/>
  <c r="O469" i="20"/>
  <c r="Z470" i="4"/>
  <c r="W471" i="4" s="1"/>
  <c r="Y470" i="4"/>
  <c r="X472" i="4"/>
  <c r="AA472" i="4" s="1"/>
  <c r="N468" i="20"/>
  <c r="V468" i="4"/>
  <c r="U470" i="4" l="1"/>
  <c r="O470" i="20"/>
  <c r="Z471" i="4"/>
  <c r="W472" i="4" s="1"/>
  <c r="Y471" i="4"/>
  <c r="X473" i="4"/>
  <c r="AA473" i="4" s="1"/>
  <c r="N469" i="20"/>
  <c r="V469" i="4"/>
  <c r="U471" i="4" l="1"/>
  <c r="O471" i="20"/>
  <c r="Z472" i="4"/>
  <c r="W473" i="4" s="1"/>
  <c r="Y472" i="4"/>
  <c r="X474" i="4"/>
  <c r="AA474" i="4" s="1"/>
  <c r="N470" i="20"/>
  <c r="V470" i="4"/>
  <c r="U472" i="4" l="1"/>
  <c r="O472" i="20"/>
  <c r="Z473" i="4"/>
  <c r="W474" i="4" s="1"/>
  <c r="Y473" i="4"/>
  <c r="X475" i="4"/>
  <c r="AA475" i="4" s="1"/>
  <c r="N471" i="20"/>
  <c r="V471" i="4"/>
  <c r="U473" i="4" l="1"/>
  <c r="O473" i="20"/>
  <c r="Z474" i="4"/>
  <c r="W475" i="4" s="1"/>
  <c r="Y474" i="4"/>
  <c r="X476" i="4"/>
  <c r="AA476" i="4" s="1"/>
  <c r="N472" i="20"/>
  <c r="V472" i="4"/>
  <c r="U474" i="4" l="1"/>
  <c r="O474" i="20"/>
  <c r="Z475" i="4"/>
  <c r="W476" i="4" s="1"/>
  <c r="Y475" i="4"/>
  <c r="X477" i="4"/>
  <c r="AA477" i="4" s="1"/>
  <c r="N473" i="20"/>
  <c r="V473" i="4"/>
  <c r="U475" i="4" l="1"/>
  <c r="O475" i="20"/>
  <c r="Z476" i="4"/>
  <c r="W477" i="4" s="1"/>
  <c r="Y476" i="4"/>
  <c r="X478" i="4"/>
  <c r="AA478" i="4" s="1"/>
  <c r="N474" i="20"/>
  <c r="V474" i="4"/>
  <c r="U476" i="4" l="1"/>
  <c r="O476" i="20"/>
  <c r="Z477" i="4"/>
  <c r="W478" i="4" s="1"/>
  <c r="Y477" i="4"/>
  <c r="X479" i="4"/>
  <c r="AA479" i="4" s="1"/>
  <c r="N475" i="20"/>
  <c r="V475" i="4"/>
  <c r="U477" i="4" l="1"/>
  <c r="O477" i="20"/>
  <c r="Z478" i="4"/>
  <c r="W479" i="4" s="1"/>
  <c r="Y478" i="4"/>
  <c r="X480" i="4"/>
  <c r="AA480" i="4" s="1"/>
  <c r="N476" i="20"/>
  <c r="V476" i="4"/>
  <c r="U478" i="4" l="1"/>
  <c r="O478" i="20"/>
  <c r="Z479" i="4"/>
  <c r="W480" i="4" s="1"/>
  <c r="Y479" i="4"/>
  <c r="X481" i="4"/>
  <c r="AA481" i="4" s="1"/>
  <c r="N477" i="20"/>
  <c r="V477" i="4"/>
  <c r="U479" i="4" l="1"/>
  <c r="O479" i="20"/>
  <c r="Z480" i="4"/>
  <c r="W481" i="4" s="1"/>
  <c r="Y480" i="4"/>
  <c r="X482" i="4"/>
  <c r="AA482" i="4" s="1"/>
  <c r="N478" i="20"/>
  <c r="V478" i="4"/>
  <c r="U480" i="4" l="1"/>
  <c r="O480" i="20"/>
  <c r="Z481" i="4"/>
  <c r="W482" i="4" s="1"/>
  <c r="Y481" i="4"/>
  <c r="X483" i="4"/>
  <c r="AA483" i="4" s="1"/>
  <c r="N479" i="20"/>
  <c r="V479" i="4"/>
  <c r="U481" i="4" l="1"/>
  <c r="O481" i="20"/>
  <c r="Z482" i="4"/>
  <c r="W483" i="4" s="1"/>
  <c r="Y482" i="4"/>
  <c r="X484" i="4"/>
  <c r="AA484" i="4" s="1"/>
  <c r="N480" i="20"/>
  <c r="V480" i="4"/>
  <c r="U482" i="4" l="1"/>
  <c r="O482" i="20"/>
  <c r="Z483" i="4"/>
  <c r="W484" i="4" s="1"/>
  <c r="Y483" i="4"/>
  <c r="X485" i="4"/>
  <c r="AA485" i="4" s="1"/>
  <c r="N481" i="20"/>
  <c r="V481" i="4"/>
  <c r="U483" i="4" l="1"/>
  <c r="O483" i="20"/>
  <c r="Z484" i="4"/>
  <c r="W485" i="4" s="1"/>
  <c r="Y484" i="4"/>
  <c r="X486" i="4"/>
  <c r="AA486" i="4" s="1"/>
  <c r="N482" i="20"/>
  <c r="V482" i="4"/>
  <c r="U484" i="4" l="1"/>
  <c r="O484" i="20"/>
  <c r="Z485" i="4"/>
  <c r="W486" i="4" s="1"/>
  <c r="Y485" i="4"/>
  <c r="X487" i="4"/>
  <c r="AA487" i="4" s="1"/>
  <c r="N483" i="20"/>
  <c r="V483" i="4"/>
  <c r="U485" i="4" l="1"/>
  <c r="O485" i="20"/>
  <c r="Z486" i="4"/>
  <c r="W487" i="4" s="1"/>
  <c r="Y486" i="4"/>
  <c r="X488" i="4"/>
  <c r="N484" i="20"/>
  <c r="V484" i="4"/>
  <c r="U486" i="4" l="1"/>
  <c r="O486" i="20"/>
  <c r="Z487" i="4"/>
  <c r="W488" i="4" s="1"/>
  <c r="Y487" i="4"/>
  <c r="AA488" i="4"/>
  <c r="X489" i="4" s="1"/>
  <c r="AA489" i="4" s="1"/>
  <c r="N485" i="20"/>
  <c r="V485" i="4"/>
  <c r="U487" i="4" l="1"/>
  <c r="O487" i="20"/>
  <c r="Z488" i="4"/>
  <c r="W489" i="4" s="1"/>
  <c r="Y488" i="4"/>
  <c r="X490" i="4"/>
  <c r="AA490" i="4" s="1"/>
  <c r="N486" i="20"/>
  <c r="V486" i="4"/>
  <c r="O488" i="20" l="1"/>
  <c r="U488" i="4"/>
  <c r="Z489" i="4"/>
  <c r="W490" i="4" s="1"/>
  <c r="Y489" i="4"/>
  <c r="X491" i="4"/>
  <c r="AA491" i="4" s="1"/>
  <c r="N487" i="20"/>
  <c r="V487" i="4"/>
  <c r="O489" i="20" l="1"/>
  <c r="U489" i="4"/>
  <c r="Z490" i="4"/>
  <c r="W491" i="4" s="1"/>
  <c r="Y490" i="4"/>
  <c r="N488" i="20"/>
  <c r="V488" i="4"/>
  <c r="X492" i="4"/>
  <c r="AA492" i="4" l="1"/>
  <c r="X493" i="4" s="1"/>
  <c r="AA493" i="4" s="1"/>
  <c r="O490" i="20"/>
  <c r="U490" i="4"/>
  <c r="Z491" i="4"/>
  <c r="W492" i="4" s="1"/>
  <c r="Y491" i="4"/>
  <c r="N489" i="20"/>
  <c r="V489" i="4"/>
  <c r="N490" i="20" l="1"/>
  <c r="V490" i="4"/>
  <c r="U491" i="4"/>
  <c r="O491" i="20"/>
  <c r="X494" i="4"/>
  <c r="AA494" i="4" s="1"/>
  <c r="Z492" i="4"/>
  <c r="W493" i="4" s="1"/>
  <c r="Y492" i="4"/>
  <c r="U492" i="4" l="1"/>
  <c r="O492" i="20"/>
  <c r="Z493" i="4"/>
  <c r="W494" i="4" s="1"/>
  <c r="Y493" i="4"/>
  <c r="N491" i="20"/>
  <c r="V491" i="4"/>
  <c r="X495" i="4"/>
  <c r="AA495" i="4" s="1"/>
  <c r="X496" i="4" l="1"/>
  <c r="AA496" i="4" s="1"/>
  <c r="O493" i="20"/>
  <c r="U493" i="4"/>
  <c r="Z494" i="4"/>
  <c r="W495" i="4" s="1"/>
  <c r="Y494" i="4"/>
  <c r="N492" i="20"/>
  <c r="V492" i="4"/>
  <c r="N493" i="20" l="1"/>
  <c r="V493" i="4"/>
  <c r="O494" i="20"/>
  <c r="U494" i="4"/>
  <c r="Z495" i="4"/>
  <c r="W496" i="4" s="1"/>
  <c r="Y495" i="4"/>
  <c r="X497" i="4"/>
  <c r="AA497" i="4" s="1"/>
  <c r="N494" i="20" l="1"/>
  <c r="V494" i="4"/>
  <c r="X498" i="4"/>
  <c r="AA498" i="4" s="1"/>
  <c r="U495" i="4"/>
  <c r="O495" i="20"/>
  <c r="Z496" i="4"/>
  <c r="W497" i="4" s="1"/>
  <c r="Y496" i="4"/>
  <c r="Z497" i="4" l="1"/>
  <c r="W498" i="4" s="1"/>
  <c r="Y497" i="4"/>
  <c r="U496" i="4"/>
  <c r="O496" i="20"/>
  <c r="X499" i="4"/>
  <c r="AA499" i="4" s="1"/>
  <c r="N495" i="20"/>
  <c r="V495" i="4"/>
  <c r="N496" i="20" l="1"/>
  <c r="V496" i="4"/>
  <c r="U497" i="4"/>
  <c r="O497" i="20"/>
  <c r="X500" i="4"/>
  <c r="AA500" i="4" s="1"/>
  <c r="Z498" i="4"/>
  <c r="W499" i="4" s="1"/>
  <c r="Y498" i="4"/>
  <c r="U498" i="4" l="1"/>
  <c r="O498" i="20"/>
  <c r="Z499" i="4"/>
  <c r="W500" i="4" s="1"/>
  <c r="Y499" i="4"/>
  <c r="N497" i="20"/>
  <c r="V497" i="4"/>
  <c r="X501" i="4"/>
  <c r="AA501" i="4" s="1"/>
  <c r="X502" i="4" l="1"/>
  <c r="AA502" i="4" s="1"/>
  <c r="U499" i="4"/>
  <c r="O499" i="20"/>
  <c r="Z500" i="4"/>
  <c r="W501" i="4" s="1"/>
  <c r="Y500" i="4"/>
  <c r="N498" i="20"/>
  <c r="V498" i="4"/>
  <c r="N499" i="20" l="1"/>
  <c r="V499" i="4"/>
  <c r="U500" i="4"/>
  <c r="O500" i="20"/>
  <c r="Z501" i="4"/>
  <c r="W502" i="4" s="1"/>
  <c r="Y501" i="4"/>
  <c r="X503" i="4"/>
  <c r="AA503" i="4" s="1"/>
  <c r="X504" i="4" l="1"/>
  <c r="AA504" i="4" s="1"/>
  <c r="N500" i="20"/>
  <c r="V500" i="4"/>
  <c r="U501" i="4"/>
  <c r="O501" i="20"/>
  <c r="Z502" i="4"/>
  <c r="W503" i="4" s="1"/>
  <c r="Y502" i="4"/>
  <c r="U502" i="4" l="1"/>
  <c r="O502" i="20"/>
  <c r="Z503" i="4"/>
  <c r="W504" i="4" s="1"/>
  <c r="Y503" i="4"/>
  <c r="N501" i="20"/>
  <c r="V501" i="4"/>
  <c r="X505" i="4"/>
  <c r="AA505" i="4" s="1"/>
  <c r="X506" i="4" l="1"/>
  <c r="AA506" i="4" s="1"/>
  <c r="U503" i="4"/>
  <c r="O503" i="20"/>
  <c r="Z504" i="4"/>
  <c r="W505" i="4" s="1"/>
  <c r="Y504" i="4"/>
  <c r="N502" i="20"/>
  <c r="V502" i="4"/>
  <c r="N503" i="20" l="1"/>
  <c r="V503" i="4"/>
  <c r="U504" i="4"/>
  <c r="O504" i="20"/>
  <c r="Z505" i="4"/>
  <c r="W506" i="4" s="1"/>
  <c r="Y505" i="4"/>
  <c r="X507" i="4"/>
  <c r="AA507" i="4" s="1"/>
  <c r="X508" i="4" l="1"/>
  <c r="AA508" i="4" s="1"/>
  <c r="N504" i="20"/>
  <c r="V504" i="4"/>
  <c r="U505" i="4"/>
  <c r="O505" i="20"/>
  <c r="Z506" i="4"/>
  <c r="W507" i="4" s="1"/>
  <c r="Y506" i="4"/>
  <c r="U506" i="4" l="1"/>
  <c r="O506" i="20"/>
  <c r="Z507" i="4"/>
  <c r="W508" i="4" s="1"/>
  <c r="Y507" i="4"/>
  <c r="N505" i="20"/>
  <c r="V505" i="4"/>
  <c r="X509" i="4"/>
  <c r="AA509" i="4" s="1"/>
  <c r="X510" i="4" l="1"/>
  <c r="AA510" i="4" s="1"/>
  <c r="U507" i="4"/>
  <c r="O507" i="20"/>
  <c r="Z508" i="4"/>
  <c r="W509" i="4" s="1"/>
  <c r="Y508" i="4"/>
  <c r="N506" i="20"/>
  <c r="V506" i="4"/>
  <c r="N507" i="20" l="1"/>
  <c r="V507" i="4"/>
  <c r="U508" i="4"/>
  <c r="O508" i="20"/>
  <c r="Z509" i="4"/>
  <c r="W510" i="4" s="1"/>
  <c r="Y509" i="4"/>
  <c r="X511" i="4"/>
  <c r="AA511" i="4" s="1"/>
  <c r="X512" i="4" l="1"/>
  <c r="AA512" i="4" s="1"/>
  <c r="N508" i="20"/>
  <c r="V508" i="4"/>
  <c r="U509" i="4"/>
  <c r="O509" i="20"/>
  <c r="Z510" i="4"/>
  <c r="W511" i="4" s="1"/>
  <c r="Y510" i="4"/>
  <c r="U510" i="4" l="1"/>
  <c r="O510" i="20"/>
  <c r="Z511" i="4"/>
  <c r="W512" i="4" s="1"/>
  <c r="Y511" i="4"/>
  <c r="N509" i="20"/>
  <c r="V509" i="4"/>
  <c r="X513" i="4"/>
  <c r="AA513" i="4" s="1"/>
  <c r="U511" i="4" l="1"/>
  <c r="O511" i="20"/>
  <c r="Z512" i="4"/>
  <c r="W513" i="4" s="1"/>
  <c r="Y512" i="4"/>
  <c r="X514" i="4"/>
  <c r="AA514" i="4" s="1"/>
  <c r="N510" i="20"/>
  <c r="V510" i="4"/>
  <c r="U512" i="4" l="1"/>
  <c r="O512" i="20"/>
  <c r="Z513" i="4"/>
  <c r="W514" i="4" s="1"/>
  <c r="Y513" i="4"/>
  <c r="X515" i="4"/>
  <c r="AA515" i="4" s="1"/>
  <c r="N511" i="20"/>
  <c r="V511" i="4"/>
  <c r="U513" i="4" l="1"/>
  <c r="O513" i="20"/>
  <c r="Z514" i="4"/>
  <c r="W515" i="4" s="1"/>
  <c r="Y514" i="4"/>
  <c r="X516" i="4"/>
  <c r="AA516" i="4" s="1"/>
  <c r="N512" i="20"/>
  <c r="V512" i="4"/>
  <c r="U514" i="4" l="1"/>
  <c r="O514" i="20"/>
  <c r="Z515" i="4"/>
  <c r="W516" i="4" s="1"/>
  <c r="Y515" i="4"/>
  <c r="X517" i="4"/>
  <c r="AA517" i="4" s="1"/>
  <c r="N513" i="20"/>
  <c r="V513" i="4"/>
  <c r="U515" i="4" l="1"/>
  <c r="O515" i="20"/>
  <c r="Z516" i="4"/>
  <c r="W517" i="4" s="1"/>
  <c r="Y516" i="4"/>
  <c r="X518" i="4"/>
  <c r="AA518" i="4" s="1"/>
  <c r="N514" i="20"/>
  <c r="V514" i="4"/>
  <c r="U516" i="4" l="1"/>
  <c r="O516" i="20"/>
  <c r="Z517" i="4"/>
  <c r="W518" i="4" s="1"/>
  <c r="Y517" i="4"/>
  <c r="X519" i="4"/>
  <c r="AA519" i="4" s="1"/>
  <c r="N515" i="20"/>
  <c r="V515" i="4"/>
  <c r="U517" i="4" l="1"/>
  <c r="O517" i="20"/>
  <c r="Z518" i="4"/>
  <c r="W519" i="4" s="1"/>
  <c r="Y518" i="4"/>
  <c r="X520" i="4"/>
  <c r="AA520" i="4" s="1"/>
  <c r="N516" i="20"/>
  <c r="V516" i="4"/>
  <c r="U518" i="4" l="1"/>
  <c r="O518" i="20"/>
  <c r="Z519" i="4"/>
  <c r="W520" i="4" s="1"/>
  <c r="Y519" i="4"/>
  <c r="X521" i="4"/>
  <c r="AA521" i="4" s="1"/>
  <c r="N517" i="20"/>
  <c r="V517" i="4"/>
  <c r="U519" i="4" l="1"/>
  <c r="O519" i="20"/>
  <c r="Z520" i="4"/>
  <c r="W521" i="4" s="1"/>
  <c r="Y520" i="4"/>
  <c r="X522" i="4"/>
  <c r="AA522" i="4" s="1"/>
  <c r="N518" i="20"/>
  <c r="V518" i="4"/>
  <c r="U520" i="4" l="1"/>
  <c r="O520" i="20"/>
  <c r="Z521" i="4"/>
  <c r="W522" i="4" s="1"/>
  <c r="Y521" i="4"/>
  <c r="X523" i="4"/>
  <c r="AA523" i="4" s="1"/>
  <c r="N519" i="20"/>
  <c r="V519" i="4"/>
  <c r="U521" i="4" l="1"/>
  <c r="O521" i="20"/>
  <c r="Z522" i="4"/>
  <c r="W523" i="4" s="1"/>
  <c r="Y522" i="4"/>
  <c r="X524" i="4"/>
  <c r="AA524" i="4" s="1"/>
  <c r="N520" i="20"/>
  <c r="V520" i="4"/>
  <c r="U522" i="4" l="1"/>
  <c r="O522" i="20"/>
  <c r="Z523" i="4"/>
  <c r="W524" i="4" s="1"/>
  <c r="Y523" i="4"/>
  <c r="X525" i="4"/>
  <c r="AA525" i="4" s="1"/>
  <c r="N521" i="20"/>
  <c r="V521" i="4"/>
  <c r="U523" i="4" l="1"/>
  <c r="O523" i="20"/>
  <c r="Z524" i="4"/>
  <c r="W525" i="4" s="1"/>
  <c r="Y524" i="4"/>
  <c r="X526" i="4"/>
  <c r="AA526" i="4" s="1"/>
  <c r="N522" i="20"/>
  <c r="V522" i="4"/>
  <c r="U524" i="4" l="1"/>
  <c r="O524" i="20"/>
  <c r="Z525" i="4"/>
  <c r="W526" i="4" s="1"/>
  <c r="Y525" i="4"/>
  <c r="X527" i="4"/>
  <c r="AA527" i="4" s="1"/>
  <c r="N523" i="20"/>
  <c r="V523" i="4"/>
  <c r="U525" i="4" l="1"/>
  <c r="O525" i="20"/>
  <c r="Z526" i="4"/>
  <c r="W527" i="4" s="1"/>
  <c r="Y526" i="4"/>
  <c r="X528" i="4"/>
  <c r="AA528" i="4" s="1"/>
  <c r="N524" i="20"/>
  <c r="V524" i="4"/>
  <c r="U526" i="4" l="1"/>
  <c r="O526" i="20"/>
  <c r="Z527" i="4"/>
  <c r="W528" i="4" s="1"/>
  <c r="Y527" i="4"/>
  <c r="X529" i="4"/>
  <c r="AA529" i="4" s="1"/>
  <c r="N525" i="20"/>
  <c r="V525" i="4"/>
  <c r="U527" i="4" l="1"/>
  <c r="O527" i="20"/>
  <c r="Z528" i="4"/>
  <c r="W529" i="4" s="1"/>
  <c r="Y528" i="4"/>
  <c r="X530" i="4"/>
  <c r="AA530" i="4" s="1"/>
  <c r="N526" i="20"/>
  <c r="V526" i="4"/>
  <c r="U528" i="4" l="1"/>
  <c r="O528" i="20"/>
  <c r="Z529" i="4"/>
  <c r="W530" i="4" s="1"/>
  <c r="Y529" i="4"/>
  <c r="X531" i="4"/>
  <c r="AA531" i="4" s="1"/>
  <c r="N527" i="20"/>
  <c r="V527" i="4"/>
  <c r="U529" i="4" l="1"/>
  <c r="O529" i="20"/>
  <c r="Z530" i="4"/>
  <c r="W531" i="4" s="1"/>
  <c r="Y530" i="4"/>
  <c r="X532" i="4"/>
  <c r="AA532" i="4" s="1"/>
  <c r="N528" i="20"/>
  <c r="V528" i="4"/>
  <c r="U530" i="4" l="1"/>
  <c r="O530" i="20"/>
  <c r="Z531" i="4"/>
  <c r="W532" i="4" s="1"/>
  <c r="Y531" i="4"/>
  <c r="X533" i="4"/>
  <c r="AA533" i="4" s="1"/>
  <c r="N529" i="20"/>
  <c r="V529" i="4"/>
  <c r="U531" i="4" l="1"/>
  <c r="O531" i="20"/>
  <c r="Z532" i="4"/>
  <c r="W533" i="4" s="1"/>
  <c r="Y532" i="4"/>
  <c r="X534" i="4"/>
  <c r="AA534" i="4" s="1"/>
  <c r="N530" i="20"/>
  <c r="V530" i="4"/>
  <c r="U532" i="4" l="1"/>
  <c r="O532" i="20"/>
  <c r="Z533" i="4"/>
  <c r="W534" i="4" s="1"/>
  <c r="Y533" i="4"/>
  <c r="X535" i="4"/>
  <c r="AA535" i="4" s="1"/>
  <c r="N531" i="20"/>
  <c r="V531" i="4"/>
  <c r="U533" i="4" l="1"/>
  <c r="O533" i="20"/>
  <c r="Z534" i="4"/>
  <c r="W535" i="4" s="1"/>
  <c r="Y534" i="4"/>
  <c r="X536" i="4"/>
  <c r="AA536" i="4" s="1"/>
  <c r="N532" i="20"/>
  <c r="V532" i="4"/>
  <c r="U534" i="4" l="1"/>
  <c r="O534" i="20"/>
  <c r="Z535" i="4"/>
  <c r="W536" i="4" s="1"/>
  <c r="Y535" i="4"/>
  <c r="X537" i="4"/>
  <c r="AA537" i="4" s="1"/>
  <c r="N533" i="20"/>
  <c r="V533" i="4"/>
  <c r="U535" i="4" l="1"/>
  <c r="O535" i="20"/>
  <c r="Z536" i="4"/>
  <c r="W537" i="4" s="1"/>
  <c r="Y536" i="4"/>
  <c r="X538" i="4"/>
  <c r="AA538" i="4" s="1"/>
  <c r="N534" i="20"/>
  <c r="V534" i="4"/>
  <c r="U536" i="4" l="1"/>
  <c r="O536" i="20"/>
  <c r="Z537" i="4"/>
  <c r="W538" i="4" s="1"/>
  <c r="Y537" i="4"/>
  <c r="X539" i="4"/>
  <c r="AA539" i="4" s="1"/>
  <c r="N535" i="20"/>
  <c r="V535" i="4"/>
  <c r="U537" i="4" l="1"/>
  <c r="O537" i="20"/>
  <c r="Z538" i="4"/>
  <c r="W539" i="4" s="1"/>
  <c r="Y538" i="4"/>
  <c r="X540" i="4"/>
  <c r="AA540" i="4" s="1"/>
  <c r="N536" i="20"/>
  <c r="V536" i="4"/>
  <c r="U538" i="4" l="1"/>
  <c r="O538" i="20"/>
  <c r="Z539" i="4"/>
  <c r="W540" i="4" s="1"/>
  <c r="Y539" i="4"/>
  <c r="X541" i="4"/>
  <c r="AA541" i="4" s="1"/>
  <c r="N537" i="20"/>
  <c r="V537" i="4"/>
  <c r="O539" i="20" l="1"/>
  <c r="U539" i="4"/>
  <c r="Z540" i="4"/>
  <c r="W541" i="4" s="1"/>
  <c r="Y540" i="4"/>
  <c r="X542" i="4"/>
  <c r="AA542" i="4" s="1"/>
  <c r="N538" i="20"/>
  <c r="V538" i="4"/>
  <c r="U540" i="4" l="1"/>
  <c r="O540" i="20"/>
  <c r="Z541" i="4"/>
  <c r="W542" i="4" s="1"/>
  <c r="Y541" i="4"/>
  <c r="N539" i="20"/>
  <c r="V539" i="4"/>
  <c r="X543" i="4"/>
  <c r="AA543" i="4" s="1"/>
  <c r="X544" i="4" l="1"/>
  <c r="AA544" i="4" s="1"/>
  <c r="U541" i="4"/>
  <c r="O541" i="20"/>
  <c r="Z542" i="4"/>
  <c r="W543" i="4" s="1"/>
  <c r="Y542" i="4"/>
  <c r="N540" i="20"/>
  <c r="V540" i="4"/>
  <c r="N541" i="20" l="1"/>
  <c r="V541" i="4"/>
  <c r="U542" i="4"/>
  <c r="O542" i="20"/>
  <c r="Z543" i="4"/>
  <c r="W544" i="4" s="1"/>
  <c r="Y543" i="4"/>
  <c r="X545" i="4"/>
  <c r="AA545" i="4" s="1"/>
  <c r="N542" i="20" l="1"/>
  <c r="V542" i="4"/>
  <c r="U543" i="4"/>
  <c r="O543" i="20"/>
  <c r="X546" i="4"/>
  <c r="AA546" i="4" s="1"/>
  <c r="Z544" i="4"/>
  <c r="W545" i="4" s="1"/>
  <c r="Y544" i="4"/>
  <c r="U544" i="4" l="1"/>
  <c r="O544" i="20"/>
  <c r="N543" i="20"/>
  <c r="V543" i="4"/>
  <c r="Z545" i="4"/>
  <c r="W546" i="4" s="1"/>
  <c r="Y545" i="4"/>
  <c r="X547" i="4"/>
  <c r="AA547" i="4" s="1"/>
  <c r="X548" i="4" l="1"/>
  <c r="AA548" i="4" s="1"/>
  <c r="U545" i="4"/>
  <c r="O545" i="20"/>
  <c r="Z546" i="4"/>
  <c r="W547" i="4" s="1"/>
  <c r="Y546" i="4"/>
  <c r="N544" i="20"/>
  <c r="V544" i="4"/>
  <c r="N545" i="20" l="1"/>
  <c r="V545" i="4"/>
  <c r="U546" i="4"/>
  <c r="O546" i="20"/>
  <c r="Z547" i="4"/>
  <c r="W548" i="4" s="1"/>
  <c r="Y547" i="4"/>
  <c r="X549" i="4"/>
  <c r="AA549" i="4" s="1"/>
  <c r="N546" i="20" l="1"/>
  <c r="V546" i="4"/>
  <c r="X550" i="4"/>
  <c r="AA550" i="4" s="1"/>
  <c r="U547" i="4"/>
  <c r="O547" i="20"/>
  <c r="Z548" i="4"/>
  <c r="W549" i="4" s="1"/>
  <c r="Y548" i="4"/>
  <c r="Z549" i="4" l="1"/>
  <c r="W550" i="4" s="1"/>
  <c r="Y549" i="4"/>
  <c r="U548" i="4"/>
  <c r="O548" i="20"/>
  <c r="X551" i="4"/>
  <c r="AA551" i="4" s="1"/>
  <c r="N547" i="20"/>
  <c r="V547" i="4"/>
  <c r="N548" i="20" l="1"/>
  <c r="V548" i="4"/>
  <c r="U549" i="4"/>
  <c r="O549" i="20"/>
  <c r="X552" i="4"/>
  <c r="AA552" i="4" s="1"/>
  <c r="Z550" i="4"/>
  <c r="W551" i="4" s="1"/>
  <c r="Y550" i="4"/>
  <c r="U550" i="4" l="1"/>
  <c r="O550" i="20"/>
  <c r="Z551" i="4"/>
  <c r="W552" i="4" s="1"/>
  <c r="Y551" i="4"/>
  <c r="N549" i="20"/>
  <c r="V549" i="4"/>
  <c r="X553" i="4"/>
  <c r="AA553" i="4" s="1"/>
  <c r="U551" i="4" l="1"/>
  <c r="O551" i="20"/>
  <c r="Z552" i="4"/>
  <c r="W553" i="4" s="1"/>
  <c r="Y552" i="4"/>
  <c r="X554" i="4"/>
  <c r="AA554" i="4" s="1"/>
  <c r="N550" i="20"/>
  <c r="V550" i="4"/>
  <c r="U552" i="4" l="1"/>
  <c r="O552" i="20"/>
  <c r="Z553" i="4"/>
  <c r="W554" i="4" s="1"/>
  <c r="Y553" i="4"/>
  <c r="X555" i="4"/>
  <c r="AA555" i="4" s="1"/>
  <c r="N551" i="20"/>
  <c r="V551" i="4"/>
  <c r="U553" i="4" l="1"/>
  <c r="O553" i="20"/>
  <c r="Z554" i="4"/>
  <c r="W555" i="4" s="1"/>
  <c r="Y554" i="4"/>
  <c r="X556" i="4"/>
  <c r="AA556" i="4" s="1"/>
  <c r="N552" i="20"/>
  <c r="V552" i="4"/>
  <c r="U554" i="4" l="1"/>
  <c r="O554" i="20"/>
  <c r="Z555" i="4"/>
  <c r="W556" i="4" s="1"/>
  <c r="Y555" i="4"/>
  <c r="X557" i="4"/>
  <c r="AA557" i="4" s="1"/>
  <c r="N553" i="20"/>
  <c r="V553" i="4"/>
  <c r="O555" i="20" l="1"/>
  <c r="U555" i="4"/>
  <c r="Z556" i="4"/>
  <c r="W557" i="4" s="1"/>
  <c r="Y556" i="4"/>
  <c r="X558" i="4"/>
  <c r="AA558" i="4" s="1"/>
  <c r="N554" i="20"/>
  <c r="V554" i="4"/>
  <c r="U556" i="4" l="1"/>
  <c r="O556" i="20"/>
  <c r="Z557" i="4"/>
  <c r="W558" i="4" s="1"/>
  <c r="Y557" i="4"/>
  <c r="N555" i="20"/>
  <c r="V555" i="4"/>
  <c r="X559" i="4"/>
  <c r="AA559" i="4" s="1"/>
  <c r="U557" i="4" l="1"/>
  <c r="O557" i="20"/>
  <c r="Z558" i="4"/>
  <c r="W559" i="4" s="1"/>
  <c r="Y558" i="4"/>
  <c r="X560" i="4"/>
  <c r="AA560" i="4" s="1"/>
  <c r="N556" i="20"/>
  <c r="V556" i="4"/>
  <c r="U558" i="4" l="1"/>
  <c r="O558" i="20"/>
  <c r="Z559" i="4"/>
  <c r="W560" i="4" s="1"/>
  <c r="Y559" i="4"/>
  <c r="X561" i="4"/>
  <c r="AA561" i="4" s="1"/>
  <c r="N557" i="20"/>
  <c r="V557" i="4"/>
  <c r="U559" i="4" l="1"/>
  <c r="O559" i="20"/>
  <c r="Z560" i="4"/>
  <c r="W561" i="4" s="1"/>
  <c r="Y560" i="4"/>
  <c r="X562" i="4"/>
  <c r="AA562" i="4" s="1"/>
  <c r="N558" i="20"/>
  <c r="V558" i="4"/>
  <c r="U560" i="4" l="1"/>
  <c r="O560" i="20"/>
  <c r="Z561" i="4"/>
  <c r="W562" i="4" s="1"/>
  <c r="Y561" i="4"/>
  <c r="X563" i="4"/>
  <c r="AA563" i="4" s="1"/>
  <c r="N559" i="20"/>
  <c r="V559" i="4"/>
  <c r="U561" i="4" l="1"/>
  <c r="O561" i="20"/>
  <c r="Z562" i="4"/>
  <c r="W563" i="4" s="1"/>
  <c r="Y562" i="4"/>
  <c r="X564" i="4"/>
  <c r="AA564" i="4" s="1"/>
  <c r="N560" i="20"/>
  <c r="V560" i="4"/>
  <c r="U562" i="4" l="1"/>
  <c r="O562" i="20"/>
  <c r="Z563" i="4"/>
  <c r="W564" i="4" s="1"/>
  <c r="Y563" i="4"/>
  <c r="X565" i="4"/>
  <c r="AA565" i="4" s="1"/>
  <c r="N561" i="20"/>
  <c r="V561" i="4"/>
  <c r="U563" i="4" l="1"/>
  <c r="O563" i="20"/>
  <c r="Z564" i="4"/>
  <c r="W565" i="4" s="1"/>
  <c r="Y564" i="4"/>
  <c r="X566" i="4"/>
  <c r="AA566" i="4" s="1"/>
  <c r="N562" i="20"/>
  <c r="V562" i="4"/>
  <c r="O564" i="20" l="1"/>
  <c r="U564" i="4"/>
  <c r="Z565" i="4"/>
  <c r="W566" i="4" s="1"/>
  <c r="Y565" i="4"/>
  <c r="X567" i="4"/>
  <c r="AA567" i="4" s="1"/>
  <c r="N563" i="20"/>
  <c r="V563" i="4"/>
  <c r="U565" i="4" l="1"/>
  <c r="O565" i="20"/>
  <c r="Z566" i="4"/>
  <c r="W567" i="4" s="1"/>
  <c r="Y566" i="4"/>
  <c r="N564" i="20"/>
  <c r="V564" i="4"/>
  <c r="X568" i="4"/>
  <c r="AA568" i="4" s="1"/>
  <c r="X569" i="4" l="1"/>
  <c r="AA569" i="4" s="1"/>
  <c r="U566" i="4"/>
  <c r="O566" i="20"/>
  <c r="Z567" i="4"/>
  <c r="W568" i="4" s="1"/>
  <c r="Y567" i="4"/>
  <c r="N565" i="20"/>
  <c r="V565" i="4"/>
  <c r="N566" i="20" l="1"/>
  <c r="V566" i="4"/>
  <c r="U567" i="4"/>
  <c r="O567" i="20"/>
  <c r="Z568" i="4"/>
  <c r="W569" i="4" s="1"/>
  <c r="Y568" i="4"/>
  <c r="X570" i="4"/>
  <c r="AA570" i="4" s="1"/>
  <c r="N567" i="20" l="1"/>
  <c r="V567" i="4"/>
  <c r="U568" i="4"/>
  <c r="O568" i="20"/>
  <c r="X571" i="4"/>
  <c r="AA571" i="4" s="1"/>
  <c r="Z569" i="4"/>
  <c r="W570" i="4" s="1"/>
  <c r="Y569" i="4"/>
  <c r="U569" i="4" l="1"/>
  <c r="O569" i="20"/>
  <c r="N568" i="20"/>
  <c r="V568" i="4"/>
  <c r="Z570" i="4"/>
  <c r="W571" i="4" s="1"/>
  <c r="Y570" i="4"/>
  <c r="X572" i="4"/>
  <c r="AA572" i="4" s="1"/>
  <c r="U570" i="4" l="1"/>
  <c r="O570" i="20"/>
  <c r="X573" i="4"/>
  <c r="AA573" i="4" s="1"/>
  <c r="Z571" i="4"/>
  <c r="W572" i="4" s="1"/>
  <c r="Y571" i="4"/>
  <c r="N569" i="20"/>
  <c r="V569" i="4"/>
  <c r="X574" i="4" l="1"/>
  <c r="AA574" i="4" s="1"/>
  <c r="U571" i="4"/>
  <c r="O571" i="20"/>
  <c r="Z572" i="4"/>
  <c r="W573" i="4" s="1"/>
  <c r="Y572" i="4"/>
  <c r="N570" i="20"/>
  <c r="V570" i="4"/>
  <c r="N571" i="20" l="1"/>
  <c r="V571" i="4"/>
  <c r="U572" i="4"/>
  <c r="O572" i="20"/>
  <c r="Z573" i="4"/>
  <c r="W574" i="4" s="1"/>
  <c r="Y573" i="4"/>
  <c r="X575" i="4"/>
  <c r="AA575" i="4" s="1"/>
  <c r="X576" i="4" l="1"/>
  <c r="AA576" i="4" s="1"/>
  <c r="N572" i="20"/>
  <c r="V572" i="4"/>
  <c r="U573" i="4"/>
  <c r="O573" i="20"/>
  <c r="Z574" i="4"/>
  <c r="W575" i="4" s="1"/>
  <c r="Y574" i="4"/>
  <c r="U574" i="4" l="1"/>
  <c r="O574" i="20"/>
  <c r="Z575" i="4"/>
  <c r="W576" i="4" s="1"/>
  <c r="Y575" i="4"/>
  <c r="N573" i="20"/>
  <c r="V573" i="4"/>
  <c r="X577" i="4"/>
  <c r="AA577" i="4" s="1"/>
  <c r="X578" i="4" l="1"/>
  <c r="AA578" i="4" s="1"/>
  <c r="U575" i="4"/>
  <c r="O575" i="20"/>
  <c r="Z576" i="4"/>
  <c r="W577" i="4" s="1"/>
  <c r="Y576" i="4"/>
  <c r="N574" i="20"/>
  <c r="V574" i="4"/>
  <c r="N575" i="20" l="1"/>
  <c r="V575" i="4"/>
  <c r="U576" i="4"/>
  <c r="O576" i="20"/>
  <c r="Z577" i="4"/>
  <c r="W578" i="4" s="1"/>
  <c r="Y577" i="4"/>
  <c r="X579" i="4"/>
  <c r="AA579" i="4" s="1"/>
  <c r="N576" i="20" l="1"/>
  <c r="V576" i="4"/>
  <c r="U577" i="4"/>
  <c r="O577" i="20"/>
  <c r="X580" i="4"/>
  <c r="AA580" i="4" s="1"/>
  <c r="Z578" i="4"/>
  <c r="W579" i="4" s="1"/>
  <c r="Y578" i="4"/>
  <c r="U578" i="4" l="1"/>
  <c r="O578" i="20"/>
  <c r="Z579" i="4"/>
  <c r="W580" i="4" s="1"/>
  <c r="Y579" i="4"/>
  <c r="N577" i="20"/>
  <c r="V577" i="4"/>
  <c r="X581" i="4"/>
  <c r="AA581" i="4" s="1"/>
  <c r="U579" i="4" l="1"/>
  <c r="O579" i="20"/>
  <c r="Z580" i="4"/>
  <c r="W581" i="4" s="1"/>
  <c r="Y580" i="4"/>
  <c r="X582" i="4"/>
  <c r="AA582" i="4" s="1"/>
  <c r="N578" i="20"/>
  <c r="V578" i="4"/>
  <c r="U580" i="4" l="1"/>
  <c r="O580" i="20"/>
  <c r="Z581" i="4"/>
  <c r="W582" i="4" s="1"/>
  <c r="Y581" i="4"/>
  <c r="X583" i="4"/>
  <c r="AA583" i="4" s="1"/>
  <c r="N579" i="20"/>
  <c r="V579" i="4"/>
  <c r="O581" i="20" l="1"/>
  <c r="U581" i="4"/>
  <c r="Z582" i="4"/>
  <c r="W583" i="4" s="1"/>
  <c r="Y582" i="4"/>
  <c r="X584" i="4"/>
  <c r="AA584" i="4" s="1"/>
  <c r="N580" i="20"/>
  <c r="V580" i="4"/>
  <c r="U582" i="4" l="1"/>
  <c r="O582" i="20"/>
  <c r="Z583" i="4"/>
  <c r="W584" i="4" s="1"/>
  <c r="Y583" i="4"/>
  <c r="N581" i="20"/>
  <c r="V581" i="4"/>
  <c r="X585" i="4"/>
  <c r="AA585" i="4" s="1"/>
  <c r="U583" i="4" l="1"/>
  <c r="O583" i="20"/>
  <c r="Z584" i="4"/>
  <c r="W585" i="4" s="1"/>
  <c r="Y584" i="4"/>
  <c r="X586" i="4"/>
  <c r="AA586" i="4" s="1"/>
  <c r="N582" i="20"/>
  <c r="V582" i="4"/>
  <c r="U584" i="4" l="1"/>
  <c r="O584" i="20"/>
  <c r="Z585" i="4"/>
  <c r="W586" i="4" s="1"/>
  <c r="Y585" i="4"/>
  <c r="X587" i="4"/>
  <c r="AA587" i="4" s="1"/>
  <c r="N583" i="20"/>
  <c r="V583" i="4"/>
  <c r="U585" i="4" l="1"/>
  <c r="O585" i="20"/>
  <c r="Z586" i="4"/>
  <c r="W587" i="4" s="1"/>
  <c r="Y586" i="4"/>
  <c r="X588" i="4"/>
  <c r="AA588" i="4" s="1"/>
  <c r="N584" i="20"/>
  <c r="V584" i="4"/>
  <c r="U586" i="4" l="1"/>
  <c r="O586" i="20"/>
  <c r="Z587" i="4"/>
  <c r="W588" i="4" s="1"/>
  <c r="Y587" i="4"/>
  <c r="X589" i="4"/>
  <c r="AA589" i="4" s="1"/>
  <c r="N585" i="20"/>
  <c r="V585" i="4"/>
  <c r="U587" i="4" l="1"/>
  <c r="O587" i="20"/>
  <c r="Z588" i="4"/>
  <c r="W589" i="4" s="1"/>
  <c r="Y588" i="4"/>
  <c r="X590" i="4"/>
  <c r="AA590" i="4" s="1"/>
  <c r="N586" i="20"/>
  <c r="V586" i="4"/>
  <c r="U588" i="4" l="1"/>
  <c r="O588" i="20"/>
  <c r="Z589" i="4"/>
  <c r="W590" i="4" s="1"/>
  <c r="Y589" i="4"/>
  <c r="X591" i="4"/>
  <c r="AA591" i="4" s="1"/>
  <c r="N587" i="20"/>
  <c r="V587" i="4"/>
  <c r="U589" i="4" l="1"/>
  <c r="O589" i="20"/>
  <c r="Z590" i="4"/>
  <c r="W591" i="4" s="1"/>
  <c r="Y590" i="4"/>
  <c r="X592" i="4"/>
  <c r="AA592" i="4" s="1"/>
  <c r="N588" i="20"/>
  <c r="V588" i="4"/>
  <c r="U590" i="4" l="1"/>
  <c r="O590" i="20"/>
  <c r="Z591" i="4"/>
  <c r="W592" i="4" s="1"/>
  <c r="Y591" i="4"/>
  <c r="X593" i="4"/>
  <c r="AA593" i="4" s="1"/>
  <c r="N589" i="20"/>
  <c r="V589" i="4"/>
  <c r="U591" i="4" l="1"/>
  <c r="O591" i="20"/>
  <c r="Z592" i="4"/>
  <c r="W593" i="4" s="1"/>
  <c r="Y592" i="4"/>
  <c r="X594" i="4"/>
  <c r="AA594" i="4" s="1"/>
  <c r="N590" i="20"/>
  <c r="V590" i="4"/>
  <c r="U592" i="4" l="1"/>
  <c r="O592" i="20"/>
  <c r="Z593" i="4"/>
  <c r="W594" i="4" s="1"/>
  <c r="Y593" i="4"/>
  <c r="X595" i="4"/>
  <c r="AA595" i="4" s="1"/>
  <c r="N591" i="20"/>
  <c r="V591" i="4"/>
  <c r="U593" i="4" l="1"/>
  <c r="O593" i="20"/>
  <c r="Z594" i="4"/>
  <c r="W595" i="4" s="1"/>
  <c r="Y594" i="4"/>
  <c r="X596" i="4"/>
  <c r="AA596" i="4" s="1"/>
  <c r="N592" i="20"/>
  <c r="V592" i="4"/>
  <c r="U594" i="4" l="1"/>
  <c r="O594" i="20"/>
  <c r="Z595" i="4"/>
  <c r="W596" i="4" s="1"/>
  <c r="Y595" i="4"/>
  <c r="X597" i="4"/>
  <c r="AA597" i="4" s="1"/>
  <c r="N593" i="20"/>
  <c r="V593" i="4"/>
  <c r="U595" i="4" l="1"/>
  <c r="O595" i="20"/>
  <c r="Z596" i="4"/>
  <c r="W597" i="4" s="1"/>
  <c r="Y596" i="4"/>
  <c r="X598" i="4"/>
  <c r="AA598" i="4" s="1"/>
  <c r="N594" i="20"/>
  <c r="V594" i="4"/>
  <c r="U596" i="4" l="1"/>
  <c r="O596" i="20"/>
  <c r="Z597" i="4"/>
  <c r="W598" i="4" s="1"/>
  <c r="Y597" i="4"/>
  <c r="X599" i="4"/>
  <c r="AA599" i="4" s="1"/>
  <c r="N595" i="20"/>
  <c r="V595" i="4"/>
  <c r="U597" i="4" l="1"/>
  <c r="O597" i="20"/>
  <c r="Z598" i="4"/>
  <c r="W599" i="4" s="1"/>
  <c r="Y598" i="4"/>
  <c r="X600" i="4"/>
  <c r="AA600" i="4" s="1"/>
  <c r="N596" i="20"/>
  <c r="V596" i="4"/>
  <c r="U598" i="4" l="1"/>
  <c r="O598" i="20"/>
  <c r="Z599" i="4"/>
  <c r="W600" i="4" s="1"/>
  <c r="Y599" i="4"/>
  <c r="X601" i="4"/>
  <c r="AA601" i="4" s="1"/>
  <c r="N597" i="20"/>
  <c r="V597" i="4"/>
  <c r="U599" i="4" l="1"/>
  <c r="O599" i="20"/>
  <c r="Z600" i="4"/>
  <c r="W601" i="4" s="1"/>
  <c r="Y600" i="4"/>
  <c r="X602" i="4"/>
  <c r="AA602" i="4" s="1"/>
  <c r="N598" i="20"/>
  <c r="V598" i="4"/>
  <c r="U600" i="4" l="1"/>
  <c r="O600" i="20"/>
  <c r="Z601" i="4"/>
  <c r="W602" i="4" s="1"/>
  <c r="Y601" i="4"/>
  <c r="X603" i="4"/>
  <c r="AA603" i="4" s="1"/>
  <c r="N599" i="20"/>
  <c r="V599" i="4"/>
  <c r="U601" i="4" l="1"/>
  <c r="O601" i="20"/>
  <c r="Z602" i="4"/>
  <c r="W603" i="4" s="1"/>
  <c r="Y602" i="4"/>
  <c r="X604" i="4"/>
  <c r="AA604" i="4" s="1"/>
  <c r="N600" i="20"/>
  <c r="V600" i="4"/>
  <c r="U602" i="4" l="1"/>
  <c r="O602" i="20"/>
  <c r="Z603" i="4"/>
  <c r="W604" i="4" s="1"/>
  <c r="Y603" i="4"/>
  <c r="X605" i="4"/>
  <c r="AA605" i="4" s="1"/>
  <c r="N601" i="20"/>
  <c r="V601" i="4"/>
  <c r="U603" i="4" l="1"/>
  <c r="O603" i="20"/>
  <c r="Z604" i="4"/>
  <c r="W605" i="4" s="1"/>
  <c r="Y604" i="4"/>
  <c r="X606" i="4"/>
  <c r="N602" i="20"/>
  <c r="V602" i="4"/>
  <c r="U604" i="4" l="1"/>
  <c r="O604" i="20"/>
  <c r="Z605" i="4"/>
  <c r="W606" i="4" s="1"/>
  <c r="Y605" i="4"/>
  <c r="AA606" i="4"/>
  <c r="X607" i="4" s="1"/>
  <c r="N603" i="20"/>
  <c r="V603" i="4"/>
  <c r="O605" i="20" l="1"/>
  <c r="U605" i="4"/>
  <c r="Z606" i="4"/>
  <c r="W607" i="4" s="1"/>
  <c r="Y606" i="4"/>
  <c r="AA607" i="4"/>
  <c r="X608" i="4" s="1"/>
  <c r="N604" i="20"/>
  <c r="V604" i="4"/>
  <c r="U606" i="4" l="1"/>
  <c r="O606" i="20"/>
  <c r="Z607" i="4"/>
  <c r="W608" i="4" s="1"/>
  <c r="Y607" i="4"/>
  <c r="AA608" i="4"/>
  <c r="X609" i="4" s="1"/>
  <c r="N605" i="20"/>
  <c r="V605" i="4"/>
  <c r="U607" i="4" l="1"/>
  <c r="O607" i="20"/>
  <c r="Z608" i="4"/>
  <c r="W609" i="4" s="1"/>
  <c r="Y608" i="4"/>
  <c r="AA609" i="4"/>
  <c r="X610" i="4" s="1"/>
  <c r="N606" i="20"/>
  <c r="V606" i="4"/>
  <c r="U608" i="4" l="1"/>
  <c r="O608" i="20"/>
  <c r="Z609" i="4"/>
  <c r="W610" i="4" s="1"/>
  <c r="Y609" i="4"/>
  <c r="AA610" i="4"/>
  <c r="X611" i="4" s="1"/>
  <c r="N607" i="20"/>
  <c r="V607" i="4"/>
  <c r="U609" i="4" l="1"/>
  <c r="O609" i="20"/>
  <c r="Z610" i="4"/>
  <c r="W611" i="4" s="1"/>
  <c r="Y610" i="4"/>
  <c r="AA611" i="4"/>
  <c r="X612" i="4" s="1"/>
  <c r="N608" i="20"/>
  <c r="V608" i="4"/>
  <c r="U610" i="4" l="1"/>
  <c r="O610" i="20"/>
  <c r="Z611" i="4"/>
  <c r="W612" i="4" s="1"/>
  <c r="Y611" i="4"/>
  <c r="AA612" i="4"/>
  <c r="X613" i="4" s="1"/>
  <c r="N609" i="20"/>
  <c r="V609" i="4"/>
  <c r="U611" i="4" l="1"/>
  <c r="O611" i="20"/>
  <c r="Z612" i="4"/>
  <c r="W613" i="4" s="1"/>
  <c r="Y612" i="4"/>
  <c r="AA613" i="4"/>
  <c r="X614" i="4" s="1"/>
  <c r="N610" i="20"/>
  <c r="V610" i="4"/>
  <c r="U612" i="4" l="1"/>
  <c r="O612" i="20"/>
  <c r="Z613" i="4"/>
  <c r="W614" i="4" s="1"/>
  <c r="Y613" i="4"/>
  <c r="AA614" i="4"/>
  <c r="X615" i="4" s="1"/>
  <c r="N611" i="20"/>
  <c r="V611" i="4"/>
  <c r="U613" i="4" l="1"/>
  <c r="O613" i="20"/>
  <c r="Z614" i="4"/>
  <c r="W615" i="4" s="1"/>
  <c r="Y614" i="4"/>
  <c r="AA615" i="4"/>
  <c r="X616" i="4" s="1"/>
  <c r="N612" i="20"/>
  <c r="V612" i="4"/>
  <c r="U614" i="4" l="1"/>
  <c r="O614" i="20"/>
  <c r="Z615" i="4"/>
  <c r="W616" i="4" s="1"/>
  <c r="Y615" i="4"/>
  <c r="AA616" i="4"/>
  <c r="X617" i="4" s="1"/>
  <c r="N613" i="20"/>
  <c r="V613" i="4"/>
  <c r="U615" i="4" l="1"/>
  <c r="O615" i="20"/>
  <c r="Z616" i="4"/>
  <c r="W617" i="4" s="1"/>
  <c r="Y616" i="4"/>
  <c r="AA617" i="4"/>
  <c r="X618" i="4" s="1"/>
  <c r="N614" i="20"/>
  <c r="V614" i="4"/>
  <c r="U616" i="4" l="1"/>
  <c r="O616" i="20"/>
  <c r="Z617" i="4"/>
  <c r="W618" i="4" s="1"/>
  <c r="Y617" i="4"/>
  <c r="AA618" i="4"/>
  <c r="X619" i="4" s="1"/>
  <c r="N615" i="20"/>
  <c r="V615" i="4"/>
  <c r="U617" i="4" l="1"/>
  <c r="O617" i="20"/>
  <c r="Z618" i="4"/>
  <c r="W619" i="4" s="1"/>
  <c r="Y618" i="4"/>
  <c r="AA619" i="4"/>
  <c r="X620" i="4" s="1"/>
  <c r="N616" i="20"/>
  <c r="V616" i="4"/>
  <c r="U618" i="4" l="1"/>
  <c r="O618" i="20"/>
  <c r="Z619" i="4"/>
  <c r="W620" i="4" s="1"/>
  <c r="Y619" i="4"/>
  <c r="AA620" i="4"/>
  <c r="X621" i="4" s="1"/>
  <c r="N617" i="20"/>
  <c r="V617" i="4"/>
  <c r="U619" i="4" l="1"/>
  <c r="O619" i="20"/>
  <c r="Z620" i="4"/>
  <c r="W621" i="4" s="1"/>
  <c r="Y620" i="4"/>
  <c r="AA621" i="4"/>
  <c r="X622" i="4" s="1"/>
  <c r="N618" i="20"/>
  <c r="V618" i="4"/>
  <c r="U620" i="4" l="1"/>
  <c r="O620" i="20"/>
  <c r="Z621" i="4"/>
  <c r="W622" i="4" s="1"/>
  <c r="Y621" i="4"/>
  <c r="AA622" i="4"/>
  <c r="X623" i="4" s="1"/>
  <c r="N619" i="20"/>
  <c r="V619" i="4"/>
  <c r="U621" i="4" l="1"/>
  <c r="O621" i="20"/>
  <c r="Z622" i="4"/>
  <c r="W623" i="4" s="1"/>
  <c r="Y622" i="4"/>
  <c r="AA623" i="4"/>
  <c r="X624" i="4" s="1"/>
  <c r="N620" i="20"/>
  <c r="V620" i="4"/>
  <c r="U622" i="4" l="1"/>
  <c r="O622" i="20"/>
  <c r="Z623" i="4"/>
  <c r="W624" i="4" s="1"/>
  <c r="Y623" i="4"/>
  <c r="AA624" i="4"/>
  <c r="X625" i="4" s="1"/>
  <c r="N621" i="20"/>
  <c r="V621" i="4"/>
  <c r="U623" i="4" l="1"/>
  <c r="O623" i="20"/>
  <c r="Z624" i="4"/>
  <c r="W625" i="4" s="1"/>
  <c r="Y624" i="4"/>
  <c r="AA625" i="4"/>
  <c r="X626" i="4" s="1"/>
  <c r="N622" i="20"/>
  <c r="V622" i="4"/>
  <c r="U624" i="4" l="1"/>
  <c r="O624" i="20"/>
  <c r="Z625" i="4"/>
  <c r="W626" i="4" s="1"/>
  <c r="Y625" i="4"/>
  <c r="AA626" i="4"/>
  <c r="X627" i="4" s="1"/>
  <c r="N623" i="20"/>
  <c r="V623" i="4"/>
  <c r="U625" i="4" l="1"/>
  <c r="O625" i="20"/>
  <c r="Z626" i="4"/>
  <c r="W627" i="4" s="1"/>
  <c r="Y626" i="4"/>
  <c r="AA627" i="4"/>
  <c r="X628" i="4" s="1"/>
  <c r="N624" i="20"/>
  <c r="V624" i="4"/>
  <c r="U626" i="4" l="1"/>
  <c r="O626" i="20"/>
  <c r="Z627" i="4"/>
  <c r="W628" i="4" s="1"/>
  <c r="Y627" i="4"/>
  <c r="AA628" i="4"/>
  <c r="X629" i="4" s="1"/>
  <c r="N625" i="20"/>
  <c r="V625" i="4"/>
  <c r="U627" i="4" l="1"/>
  <c r="O627" i="20"/>
  <c r="Z628" i="4"/>
  <c r="W629" i="4" s="1"/>
  <c r="Y628" i="4"/>
  <c r="AA629" i="4"/>
  <c r="X630" i="4" s="1"/>
  <c r="N626" i="20"/>
  <c r="V626" i="4"/>
  <c r="U628" i="4" l="1"/>
  <c r="O628" i="20"/>
  <c r="Z629" i="4"/>
  <c r="W630" i="4" s="1"/>
  <c r="Y629" i="4"/>
  <c r="AA630" i="4"/>
  <c r="X631" i="4" s="1"/>
  <c r="N627" i="20"/>
  <c r="V627" i="4"/>
  <c r="U629" i="4" l="1"/>
  <c r="O629" i="20"/>
  <c r="Z630" i="4"/>
  <c r="W631" i="4" s="1"/>
  <c r="Y630" i="4"/>
  <c r="AA631" i="4"/>
  <c r="X632" i="4" s="1"/>
  <c r="N628" i="20"/>
  <c r="V628" i="4"/>
  <c r="U630" i="4" l="1"/>
  <c r="O630" i="20"/>
  <c r="Z631" i="4"/>
  <c r="W632" i="4" s="1"/>
  <c r="Y631" i="4"/>
  <c r="AA632" i="4"/>
  <c r="X633" i="4" s="1"/>
  <c r="N629" i="20"/>
  <c r="V629" i="4"/>
  <c r="U631" i="4" l="1"/>
  <c r="O631" i="20"/>
  <c r="Z632" i="4"/>
  <c r="W633" i="4" s="1"/>
  <c r="Y632" i="4"/>
  <c r="AA633" i="4"/>
  <c r="X634" i="4" s="1"/>
  <c r="N630" i="20"/>
  <c r="V630" i="4"/>
  <c r="U632" i="4" l="1"/>
  <c r="O632" i="20"/>
  <c r="Z633" i="4"/>
  <c r="W634" i="4" s="1"/>
  <c r="Y633" i="4"/>
  <c r="AA634" i="4"/>
  <c r="X635" i="4" s="1"/>
  <c r="N631" i="20"/>
  <c r="V631" i="4"/>
  <c r="U633" i="4" l="1"/>
  <c r="O633" i="20"/>
  <c r="Z634" i="4"/>
  <c r="W635" i="4" s="1"/>
  <c r="Y634" i="4"/>
  <c r="AA635" i="4"/>
  <c r="X636" i="4" s="1"/>
  <c r="N632" i="20"/>
  <c r="V632" i="4"/>
  <c r="U634" i="4" l="1"/>
  <c r="O634" i="20"/>
  <c r="Z635" i="4"/>
  <c r="W636" i="4" s="1"/>
  <c r="Y635" i="4"/>
  <c r="AA636" i="4"/>
  <c r="X637" i="4" s="1"/>
  <c r="N633" i="20"/>
  <c r="V633" i="4"/>
  <c r="U635" i="4" l="1"/>
  <c r="O635" i="20"/>
  <c r="Z636" i="4"/>
  <c r="W637" i="4" s="1"/>
  <c r="Y636" i="4"/>
  <c r="AA637" i="4"/>
  <c r="X638" i="4" s="1"/>
  <c r="N634" i="20"/>
  <c r="V634" i="4"/>
  <c r="U636" i="4" l="1"/>
  <c r="O636" i="20"/>
  <c r="Z637" i="4"/>
  <c r="W638" i="4" s="1"/>
  <c r="Y637" i="4"/>
  <c r="AA638" i="4"/>
  <c r="X639" i="4" s="1"/>
  <c r="N635" i="20"/>
  <c r="V635" i="4"/>
  <c r="U637" i="4" l="1"/>
  <c r="O637" i="20"/>
  <c r="Z638" i="4"/>
  <c r="W639" i="4" s="1"/>
  <c r="Y638" i="4"/>
  <c r="AA639" i="4"/>
  <c r="X640" i="4" s="1"/>
  <c r="N636" i="20"/>
  <c r="V636" i="4"/>
  <c r="U638" i="4" l="1"/>
  <c r="O638" i="20"/>
  <c r="Z639" i="4"/>
  <c r="W640" i="4" s="1"/>
  <c r="Y639" i="4"/>
  <c r="AA640" i="4"/>
  <c r="X641" i="4" s="1"/>
  <c r="N637" i="20"/>
  <c r="V637" i="4"/>
  <c r="U639" i="4" l="1"/>
  <c r="O639" i="20"/>
  <c r="Z640" i="4"/>
  <c r="W641" i="4" s="1"/>
  <c r="Y640" i="4"/>
  <c r="AA641" i="4"/>
  <c r="X642" i="4" s="1"/>
  <c r="N638" i="20"/>
  <c r="V638" i="4"/>
  <c r="U640" i="4" l="1"/>
  <c r="O640" i="20"/>
  <c r="Z641" i="4"/>
  <c r="W642" i="4" s="1"/>
  <c r="Y641" i="4"/>
  <c r="AA642" i="4"/>
  <c r="X643" i="4" s="1"/>
  <c r="N639" i="20"/>
  <c r="V639" i="4"/>
  <c r="U641" i="4" l="1"/>
  <c r="O641" i="20"/>
  <c r="Z642" i="4"/>
  <c r="W643" i="4" s="1"/>
  <c r="Y642" i="4"/>
  <c r="AA643" i="4"/>
  <c r="X644" i="4" s="1"/>
  <c r="N640" i="20"/>
  <c r="V640" i="4"/>
  <c r="U642" i="4" l="1"/>
  <c r="O642" i="20"/>
  <c r="Z643" i="4"/>
  <c r="W644" i="4" s="1"/>
  <c r="Y643" i="4"/>
  <c r="AA644" i="4"/>
  <c r="X645" i="4" s="1"/>
  <c r="N641" i="20"/>
  <c r="V641" i="4"/>
  <c r="U643" i="4" l="1"/>
  <c r="O643" i="20"/>
  <c r="Z644" i="4"/>
  <c r="W645" i="4" s="1"/>
  <c r="Y644" i="4"/>
  <c r="AA645" i="4"/>
  <c r="X646" i="4" s="1"/>
  <c r="N642" i="20"/>
  <c r="V642" i="4"/>
  <c r="U644" i="4" l="1"/>
  <c r="O644" i="20"/>
  <c r="Z645" i="4"/>
  <c r="W646" i="4" s="1"/>
  <c r="Y645" i="4"/>
  <c r="AA646" i="4"/>
  <c r="X647" i="4" s="1"/>
  <c r="N643" i="20"/>
  <c r="V643" i="4"/>
  <c r="U645" i="4" l="1"/>
  <c r="O645" i="20"/>
  <c r="Z646" i="4"/>
  <c r="W647" i="4" s="1"/>
  <c r="Y646" i="4"/>
  <c r="AA647" i="4"/>
  <c r="X648" i="4" s="1"/>
  <c r="N644" i="20"/>
  <c r="V644" i="4"/>
  <c r="U646" i="4" l="1"/>
  <c r="O646" i="20"/>
  <c r="Z647" i="4"/>
  <c r="W648" i="4" s="1"/>
  <c r="Y647" i="4"/>
  <c r="AA648" i="4"/>
  <c r="X649" i="4" s="1"/>
  <c r="N645" i="20"/>
  <c r="V645" i="4"/>
  <c r="U647" i="4" l="1"/>
  <c r="O647" i="20"/>
  <c r="Z648" i="4"/>
  <c r="W649" i="4" s="1"/>
  <c r="Y648" i="4"/>
  <c r="AA649" i="4"/>
  <c r="X650" i="4" s="1"/>
  <c r="N646" i="20"/>
  <c r="V646" i="4"/>
  <c r="U648" i="4" l="1"/>
  <c r="O648" i="20"/>
  <c r="Z649" i="4"/>
  <c r="W650" i="4" s="1"/>
  <c r="Y649" i="4"/>
  <c r="AA650" i="4"/>
  <c r="X651" i="4" s="1"/>
  <c r="N647" i="20"/>
  <c r="V647" i="4"/>
  <c r="U649" i="4" l="1"/>
  <c r="O649" i="20"/>
  <c r="Z650" i="4"/>
  <c r="W651" i="4" s="1"/>
  <c r="Y650" i="4"/>
  <c r="AA651" i="4"/>
  <c r="X652" i="4" s="1"/>
  <c r="N648" i="20"/>
  <c r="V648" i="4"/>
  <c r="U650" i="4" l="1"/>
  <c r="O650" i="20"/>
  <c r="Z651" i="4"/>
  <c r="W652" i="4" s="1"/>
  <c r="Y651" i="4"/>
  <c r="AA652" i="4"/>
  <c r="X653" i="4" s="1"/>
  <c r="N649" i="20"/>
  <c r="V649" i="4"/>
  <c r="U651" i="4" l="1"/>
  <c r="O651" i="20"/>
  <c r="Z652" i="4"/>
  <c r="W653" i="4" s="1"/>
  <c r="Y652" i="4"/>
  <c r="AA653" i="4"/>
  <c r="X654" i="4" s="1"/>
  <c r="N650" i="20"/>
  <c r="V650" i="4"/>
  <c r="U652" i="4" l="1"/>
  <c r="O652" i="20"/>
  <c r="Z653" i="4"/>
  <c r="W654" i="4" s="1"/>
  <c r="Y653" i="4"/>
  <c r="AA654" i="4"/>
  <c r="X655" i="4" s="1"/>
  <c r="N651" i="20"/>
  <c r="V651" i="4"/>
  <c r="U653" i="4" l="1"/>
  <c r="O653" i="20"/>
  <c r="Z654" i="4"/>
  <c r="W655" i="4" s="1"/>
  <c r="Y654" i="4"/>
  <c r="AA655" i="4"/>
  <c r="X656" i="4" s="1"/>
  <c r="N652" i="20"/>
  <c r="V652" i="4"/>
  <c r="U654" i="4" l="1"/>
  <c r="O654" i="20"/>
  <c r="Z655" i="4"/>
  <c r="W656" i="4" s="1"/>
  <c r="Y655" i="4"/>
  <c r="AA656" i="4"/>
  <c r="X657" i="4" s="1"/>
  <c r="N653" i="20"/>
  <c r="V653" i="4"/>
  <c r="U655" i="4" l="1"/>
  <c r="O655" i="20"/>
  <c r="Z656" i="4"/>
  <c r="W657" i="4" s="1"/>
  <c r="Y656" i="4"/>
  <c r="AA657" i="4"/>
  <c r="X658" i="4" s="1"/>
  <c r="N654" i="20"/>
  <c r="V654" i="4"/>
  <c r="U656" i="4" l="1"/>
  <c r="O656" i="20"/>
  <c r="Z657" i="4"/>
  <c r="W658" i="4" s="1"/>
  <c r="Y657" i="4"/>
  <c r="AA658" i="4"/>
  <c r="X659" i="4" s="1"/>
  <c r="N655" i="20"/>
  <c r="V655" i="4"/>
  <c r="U657" i="4" l="1"/>
  <c r="O657" i="20"/>
  <c r="Z658" i="4"/>
  <c r="W659" i="4" s="1"/>
  <c r="Y658" i="4"/>
  <c r="AA659" i="4"/>
  <c r="X660" i="4" s="1"/>
  <c r="N656" i="20"/>
  <c r="V656" i="4"/>
  <c r="U658" i="4" l="1"/>
  <c r="O658" i="20"/>
  <c r="Z659" i="4"/>
  <c r="W660" i="4" s="1"/>
  <c r="Y659" i="4"/>
  <c r="AA660" i="4"/>
  <c r="X661" i="4" s="1"/>
  <c r="N657" i="20"/>
  <c r="V657" i="4"/>
  <c r="U659" i="4" l="1"/>
  <c r="O659" i="20"/>
  <c r="Z660" i="4"/>
  <c r="W661" i="4" s="1"/>
  <c r="Y660" i="4"/>
  <c r="AA661" i="4"/>
  <c r="X662" i="4" s="1"/>
  <c r="N658" i="20"/>
  <c r="V658" i="4"/>
  <c r="U660" i="4" l="1"/>
  <c r="O660" i="20"/>
  <c r="Z661" i="4"/>
  <c r="W662" i="4" s="1"/>
  <c r="Y661" i="4"/>
  <c r="AA662" i="4"/>
  <c r="X663" i="4" s="1"/>
  <c r="N659" i="20"/>
  <c r="V659" i="4"/>
  <c r="U661" i="4" l="1"/>
  <c r="O661" i="20"/>
  <c r="Z662" i="4"/>
  <c r="W663" i="4" s="1"/>
  <c r="Y662" i="4"/>
  <c r="AA663" i="4"/>
  <c r="X664" i="4" s="1"/>
  <c r="N660" i="20"/>
  <c r="V660" i="4"/>
  <c r="U662" i="4" l="1"/>
  <c r="O662" i="20"/>
  <c r="Z663" i="4"/>
  <c r="W664" i="4" s="1"/>
  <c r="Y663" i="4"/>
  <c r="AA664" i="4"/>
  <c r="X665" i="4" s="1"/>
  <c r="N661" i="20"/>
  <c r="V661" i="4"/>
  <c r="U663" i="4" l="1"/>
  <c r="O663" i="20"/>
  <c r="Z664" i="4"/>
  <c r="W665" i="4" s="1"/>
  <c r="Y664" i="4"/>
  <c r="AA665" i="4"/>
  <c r="X666" i="4" s="1"/>
  <c r="N662" i="20"/>
  <c r="V662" i="4"/>
  <c r="U664" i="4" l="1"/>
  <c r="O664" i="20"/>
  <c r="Z665" i="4"/>
  <c r="W666" i="4" s="1"/>
  <c r="Y665" i="4"/>
  <c r="AA666" i="4"/>
  <c r="X667" i="4" s="1"/>
  <c r="N663" i="20"/>
  <c r="V663" i="4"/>
  <c r="U665" i="4" l="1"/>
  <c r="O665" i="20"/>
  <c r="Z666" i="4"/>
  <c r="W667" i="4" s="1"/>
  <c r="Y666" i="4"/>
  <c r="AA667" i="4"/>
  <c r="X668" i="4" s="1"/>
  <c r="N664" i="20"/>
  <c r="V664" i="4"/>
  <c r="U666" i="4" l="1"/>
  <c r="O666" i="20"/>
  <c r="Z667" i="4"/>
  <c r="W668" i="4" s="1"/>
  <c r="Y667" i="4"/>
  <c r="AA668" i="4"/>
  <c r="X669" i="4" s="1"/>
  <c r="N665" i="20"/>
  <c r="V665" i="4"/>
  <c r="U667" i="4" l="1"/>
  <c r="O667" i="20"/>
  <c r="Z668" i="4"/>
  <c r="W669" i="4" s="1"/>
  <c r="Y668" i="4"/>
  <c r="AA669" i="4"/>
  <c r="X670" i="4" s="1"/>
  <c r="N666" i="20"/>
  <c r="V666" i="4"/>
  <c r="U668" i="4" l="1"/>
  <c r="O668" i="20"/>
  <c r="Z669" i="4"/>
  <c r="W670" i="4" s="1"/>
  <c r="Y669" i="4"/>
  <c r="AA670" i="4"/>
  <c r="X671" i="4" s="1"/>
  <c r="N667" i="20"/>
  <c r="V667" i="4"/>
  <c r="U669" i="4" l="1"/>
  <c r="O669" i="20"/>
  <c r="Z670" i="4"/>
  <c r="W671" i="4" s="1"/>
  <c r="Y670" i="4"/>
  <c r="AA671" i="4"/>
  <c r="X672" i="4" s="1"/>
  <c r="N668" i="20"/>
  <c r="V668" i="4"/>
  <c r="U670" i="4" l="1"/>
  <c r="O670" i="20"/>
  <c r="Z671" i="4"/>
  <c r="W672" i="4" s="1"/>
  <c r="Y671" i="4"/>
  <c r="AA672" i="4"/>
  <c r="X673" i="4" s="1"/>
  <c r="N669" i="20"/>
  <c r="V669" i="4"/>
  <c r="U671" i="4" l="1"/>
  <c r="O671" i="20"/>
  <c r="Z672" i="4"/>
  <c r="W673" i="4" s="1"/>
  <c r="Y672" i="4"/>
  <c r="AA673" i="4"/>
  <c r="X674" i="4" s="1"/>
  <c r="N670" i="20"/>
  <c r="V670" i="4"/>
  <c r="U672" i="4" l="1"/>
  <c r="O672" i="20"/>
  <c r="Z673" i="4"/>
  <c r="W674" i="4" s="1"/>
  <c r="Y673" i="4"/>
  <c r="AA674" i="4"/>
  <c r="X675" i="4" s="1"/>
  <c r="N671" i="20"/>
  <c r="V671" i="4"/>
  <c r="U673" i="4" l="1"/>
  <c r="O673" i="20"/>
  <c r="Z674" i="4"/>
  <c r="W675" i="4" s="1"/>
  <c r="Y674" i="4"/>
  <c r="AA675" i="4"/>
  <c r="X676" i="4" s="1"/>
  <c r="AA676" i="4" s="1"/>
  <c r="N672" i="20"/>
  <c r="V672" i="4"/>
  <c r="X677" i="4" l="1"/>
  <c r="AA677" i="4" s="1"/>
  <c r="U674" i="4"/>
  <c r="O674" i="20"/>
  <c r="Z675" i="4"/>
  <c r="W676" i="4" s="1"/>
  <c r="Y675" i="4"/>
  <c r="N673" i="20"/>
  <c r="V673" i="4"/>
  <c r="O675" i="20" l="1"/>
  <c r="U675" i="4"/>
  <c r="Z676" i="4"/>
  <c r="W677" i="4" s="1"/>
  <c r="Y676" i="4"/>
  <c r="N674" i="20"/>
  <c r="V674" i="4"/>
  <c r="X678" i="4"/>
  <c r="U676" i="4" l="1"/>
  <c r="O676" i="20"/>
  <c r="Z677" i="4"/>
  <c r="W678" i="4" s="1"/>
  <c r="Z678" i="4" s="1"/>
  <c r="W679" i="4" s="1"/>
  <c r="Z679" i="4" s="1"/>
  <c r="W680" i="4" s="1"/>
  <c r="Z680" i="4" s="1"/>
  <c r="W681" i="4" s="1"/>
  <c r="Z681" i="4" s="1"/>
  <c r="W682" i="4" s="1"/>
  <c r="Z682" i="4" s="1"/>
  <c r="W683" i="4" s="1"/>
  <c r="Z683" i="4" s="1"/>
  <c r="W684" i="4" s="1"/>
  <c r="Z684" i="4" s="1"/>
  <c r="W685" i="4" s="1"/>
  <c r="Z685" i="4" s="1"/>
  <c r="W686" i="4" s="1"/>
  <c r="Z686" i="4" s="1"/>
  <c r="W687" i="4" s="1"/>
  <c r="Z687" i="4" s="1"/>
  <c r="W688" i="4" s="1"/>
  <c r="Z688" i="4" s="1"/>
  <c r="W689" i="4" s="1"/>
  <c r="Z689" i="4" s="1"/>
  <c r="W690" i="4" s="1"/>
  <c r="Z690" i="4" s="1"/>
  <c r="W691" i="4" s="1"/>
  <c r="Z691" i="4" s="1"/>
  <c r="W692" i="4" s="1"/>
  <c r="Z692" i="4" s="1"/>
  <c r="W693" i="4" s="1"/>
  <c r="Z693" i="4" s="1"/>
  <c r="W694" i="4" s="1"/>
  <c r="Z694" i="4" s="1"/>
  <c r="W695" i="4" s="1"/>
  <c r="Z695" i="4" s="1"/>
  <c r="W696" i="4" s="1"/>
  <c r="Z696" i="4" s="1"/>
  <c r="W697" i="4" s="1"/>
  <c r="Z697" i="4" s="1"/>
  <c r="W698" i="4" s="1"/>
  <c r="Z698" i="4" s="1"/>
  <c r="W699" i="4" s="1"/>
  <c r="Z699" i="4" s="1"/>
  <c r="W700" i="4" s="1"/>
  <c r="Z700" i="4" s="1"/>
  <c r="Y677" i="4"/>
  <c r="N675" i="20"/>
  <c r="V675" i="4"/>
  <c r="AA678" i="4"/>
  <c r="U677" i="4" l="1"/>
  <c r="O677" i="20"/>
  <c r="Y678" i="4"/>
  <c r="U678" i="4" s="1"/>
  <c r="N678" i="20" s="1"/>
  <c r="N676" i="20"/>
  <c r="V676" i="4"/>
  <c r="X679" i="4"/>
  <c r="O678" i="20" l="1"/>
  <c r="N677" i="20"/>
  <c r="V677" i="4"/>
  <c r="V678" i="4"/>
  <c r="AA679" i="4"/>
  <c r="Y679" i="4"/>
  <c r="U679" i="4" l="1"/>
  <c r="N679" i="20" s="1"/>
  <c r="O679" i="20"/>
  <c r="X680" i="4"/>
  <c r="V679" i="4" l="1"/>
  <c r="AA680" i="4"/>
  <c r="Y680" i="4"/>
  <c r="U680" i="4" l="1"/>
  <c r="N680" i="20" s="1"/>
  <c r="O680" i="20"/>
  <c r="X681" i="4"/>
  <c r="V680" i="4" l="1"/>
  <c r="AA681" i="4"/>
  <c r="Y681" i="4"/>
  <c r="U681" i="4" l="1"/>
  <c r="N681" i="20" s="1"/>
  <c r="O681" i="20"/>
  <c r="X682" i="4"/>
  <c r="V681" i="4" l="1"/>
  <c r="AA682" i="4"/>
  <c r="Y682" i="4"/>
  <c r="U682" i="4" l="1"/>
  <c r="N682" i="20" s="1"/>
  <c r="O682" i="20"/>
  <c r="X683" i="4"/>
  <c r="V682" i="4" l="1"/>
  <c r="AA683" i="4"/>
  <c r="Y683" i="4"/>
  <c r="U683" i="4" l="1"/>
  <c r="N683" i="20" s="1"/>
  <c r="O683" i="20"/>
  <c r="X684" i="4"/>
  <c r="V683" i="4" l="1"/>
  <c r="AA684" i="4"/>
  <c r="Y684" i="4"/>
  <c r="U684" i="4" l="1"/>
  <c r="N684" i="20" s="1"/>
  <c r="O684" i="20"/>
  <c r="X685" i="4"/>
  <c r="V684" i="4" l="1"/>
  <c r="AA685" i="4"/>
  <c r="Y685" i="4"/>
  <c r="U685" i="4" l="1"/>
  <c r="N685" i="20" s="1"/>
  <c r="O685" i="20"/>
  <c r="X686" i="4"/>
  <c r="V685" i="4" l="1"/>
  <c r="AA686" i="4"/>
  <c r="Y686" i="4"/>
  <c r="U686" i="4" l="1"/>
  <c r="N686" i="20" s="1"/>
  <c r="O686" i="20"/>
  <c r="X687" i="4"/>
  <c r="V686" i="4" l="1"/>
  <c r="AA687" i="4"/>
  <c r="Y687" i="4"/>
  <c r="U687" i="4" l="1"/>
  <c r="N687" i="20" s="1"/>
  <c r="O687" i="20"/>
  <c r="X688" i="4"/>
  <c r="V687" i="4" l="1"/>
  <c r="AA688" i="4"/>
  <c r="Y688" i="4"/>
  <c r="U688" i="4" l="1"/>
  <c r="N688" i="20" s="1"/>
  <c r="O688" i="20"/>
  <c r="X689" i="4"/>
  <c r="V688" i="4" l="1"/>
  <c r="AA689" i="4"/>
  <c r="Y689" i="4"/>
  <c r="U689" i="4" l="1"/>
  <c r="N689" i="20" s="1"/>
  <c r="O689" i="20"/>
  <c r="X690" i="4"/>
  <c r="V689" i="4" l="1"/>
  <c r="AA690" i="4"/>
  <c r="Y690" i="4"/>
  <c r="U690" i="4" l="1"/>
  <c r="N690" i="20" s="1"/>
  <c r="O690" i="20"/>
  <c r="X691" i="4"/>
  <c r="V690" i="4" l="1"/>
  <c r="AA691" i="4"/>
  <c r="Y691" i="4"/>
  <c r="U691" i="4" l="1"/>
  <c r="N691" i="20" s="1"/>
  <c r="O691" i="20"/>
  <c r="X692" i="4"/>
  <c r="V691" i="4" l="1"/>
  <c r="AA692" i="4"/>
  <c r="Y692" i="4"/>
  <c r="U692" i="4" l="1"/>
  <c r="N692" i="20" s="1"/>
  <c r="O692" i="20"/>
  <c r="X693" i="4"/>
  <c r="V692" i="4" l="1"/>
  <c r="AA693" i="4"/>
  <c r="Y693" i="4"/>
  <c r="U693" i="4" l="1"/>
  <c r="N693" i="20" s="1"/>
  <c r="O693" i="20"/>
  <c r="X694" i="4"/>
  <c r="V693" i="4" l="1"/>
  <c r="AA694" i="4"/>
  <c r="Y694" i="4"/>
  <c r="U694" i="4" l="1"/>
  <c r="N694" i="20" s="1"/>
  <c r="O694" i="20"/>
  <c r="X695" i="4"/>
  <c r="V694" i="4" l="1"/>
  <c r="AA695" i="4"/>
  <c r="Y695" i="4"/>
  <c r="U695" i="4" l="1"/>
  <c r="N695" i="20" s="1"/>
  <c r="O695" i="20"/>
  <c r="X696" i="4"/>
  <c r="V695" i="4" l="1"/>
  <c r="AA696" i="4"/>
  <c r="Y696" i="4"/>
  <c r="U696" i="4" l="1"/>
  <c r="N696" i="20" s="1"/>
  <c r="O696" i="20"/>
  <c r="X697" i="4"/>
  <c r="V696" i="4" l="1"/>
  <c r="AA697" i="4"/>
  <c r="Y697" i="4"/>
  <c r="U697" i="4" l="1"/>
  <c r="N697" i="20" s="1"/>
  <c r="O697" i="20"/>
  <c r="X698" i="4"/>
  <c r="V697" i="4" l="1"/>
  <c r="AA698" i="4"/>
  <c r="Y698" i="4"/>
  <c r="U698" i="4" l="1"/>
  <c r="N698" i="20" s="1"/>
  <c r="O698" i="20"/>
  <c r="X699" i="4"/>
  <c r="V698" i="4" l="1"/>
  <c r="AA699" i="4"/>
  <c r="Y699" i="4"/>
  <c r="U699" i="4" l="1"/>
  <c r="N699" i="20" s="1"/>
  <c r="O699" i="20"/>
  <c r="X700" i="4"/>
  <c r="V699" i="4" l="1"/>
  <c r="AA700" i="4"/>
  <c r="Y700" i="4"/>
  <c r="U700" i="4" l="1"/>
  <c r="N700" i="20" s="1"/>
  <c r="O700" i="20"/>
  <c r="AA3" i="4"/>
  <c r="V700" i="4" l="1"/>
</calcChain>
</file>

<file path=xl/comments1.xml><?xml version="1.0" encoding="utf-8"?>
<comments xmlns="http://schemas.openxmlformats.org/spreadsheetml/2006/main">
  <authors>
    <author>Autor</author>
  </authors>
  <commentList>
    <comment ref="C37" authorId="0" shapeId="0">
      <text>
        <r>
          <rPr>
            <b/>
            <sz val="9"/>
            <color indexed="81"/>
            <rFont val="Segoe UI"/>
            <family val="2"/>
          </rPr>
          <t>GEBEN:</t>
        </r>
        <r>
          <rPr>
            <sz val="9"/>
            <color indexed="81"/>
            <rFont val="Segoe UI"/>
            <family val="2"/>
          </rPr>
          <t xml:space="preserve">
Elegibilidade após 5 anos de contribuição ao Funpresp-EXE. Condição desconsiderada para fins do simulador de migração.</t>
        </r>
      </text>
    </comment>
  </commentList>
</comments>
</file>

<file path=xl/sharedStrings.xml><?xml version="1.0" encoding="utf-8"?>
<sst xmlns="http://schemas.openxmlformats.org/spreadsheetml/2006/main" count="698" uniqueCount="301">
  <si>
    <t>NOME</t>
  </si>
  <si>
    <t>DATA DE NASCIMENTO</t>
  </si>
  <si>
    <t>SEXO</t>
  </si>
  <si>
    <t>REMUNERAÇÃO</t>
  </si>
  <si>
    <t>DATA DA SIMULAÇÃO</t>
  </si>
  <si>
    <t>IDADE DE AP.</t>
  </si>
  <si>
    <t>M</t>
  </si>
  <si>
    <t>F</t>
  </si>
  <si>
    <t>TEMPO DE CONTR.</t>
  </si>
  <si>
    <t>APOSENTADORIA POR TEMPO DE CONTRIBUIÇÃO</t>
  </si>
  <si>
    <t>APOSENTADORIA POR IDADE</t>
  </si>
  <si>
    <t>EC 41/2003</t>
  </si>
  <si>
    <t>PROFESSOR ENSINO FUNDAMENTAL OU MÉDIO?</t>
  </si>
  <si>
    <t>TETO RGPS</t>
  </si>
  <si>
    <t>SALÁRIO MÍNIMO</t>
  </si>
  <si>
    <t>POSSUI TEMPO ANTERIOR NO RGPS?</t>
  </si>
  <si>
    <t>ANOS</t>
  </si>
  <si>
    <t>MESES</t>
  </si>
  <si>
    <t>SIM</t>
  </si>
  <si>
    <t>NÃO</t>
  </si>
  <si>
    <t>IDADE (MESES)</t>
  </si>
  <si>
    <t>TEMPO DE CONTRIBUIÇÃO (MESES)</t>
  </si>
  <si>
    <t>INFORMAÇÕES DE ENTRADA</t>
  </si>
  <si>
    <t>ELEGIBILIDADE RPPS</t>
  </si>
  <si>
    <t>DATA</t>
  </si>
  <si>
    <t>DATAS DE TRANSIÇÃO DE LEGISLAÇÃO</t>
  </si>
  <si>
    <t>INFORMAÇÕES FINANCEIRAS</t>
  </si>
  <si>
    <t>INFORMAÇÕE UTILZIADAS NA SIMULAÇÃO</t>
  </si>
  <si>
    <t>CRÍTÉRIOS DE APOSENTADORIA NO RPPS</t>
  </si>
  <si>
    <t>TABELA DE TRIBUTAÇÃO</t>
  </si>
  <si>
    <t>TABELA REGRESSIVA</t>
  </si>
  <si>
    <t>TABELA PROGRESSIVA</t>
  </si>
  <si>
    <t>BASE DE CÁLCULO ANUAL EM R$</t>
  </si>
  <si>
    <t>BASE DE CÁLCULO MENSAL EM R$</t>
  </si>
  <si>
    <t>ALÍQUOTA %</t>
  </si>
  <si>
    <t>+ que 55.976,16</t>
  </si>
  <si>
    <t>+ que 4.664,68</t>
  </si>
  <si>
    <t>PRAZO (anos) até</t>
  </si>
  <si>
    <t>CRESIMENTO SALARIAL</t>
  </si>
  <si>
    <t>TAXA DE CRESCIMENTO ANUAL</t>
  </si>
  <si>
    <t>PROJEÇÃO DA REMUNERAÇÃO</t>
  </si>
  <si>
    <t>REMUNERAÇÃO PERÍODO INTEGRAL</t>
  </si>
  <si>
    <t>REMUNERAÇÃO ATUALIZADA</t>
  </si>
  <si>
    <t>IPCA</t>
  </si>
  <si>
    <t>FATOR</t>
  </si>
  <si>
    <t>FATOR ACUMULADO</t>
  </si>
  <si>
    <r>
      <rPr>
        <b/>
        <sz val="11"/>
        <color theme="1"/>
        <rFont val="Calibri"/>
        <family val="2"/>
      </rPr>
      <t>∑</t>
    </r>
    <r>
      <rPr>
        <b/>
        <sz val="11"/>
        <color theme="1"/>
        <rFont val="Calibri"/>
        <family val="2"/>
        <scheme val="minor"/>
      </rPr>
      <t xml:space="preserve"> 80%</t>
    </r>
    <r>
      <rPr>
        <b/>
        <sz val="8"/>
        <color theme="1"/>
        <rFont val="Calibri"/>
        <family val="2"/>
        <scheme val="minor"/>
      </rPr>
      <t>maiores salários/n</t>
    </r>
  </si>
  <si>
    <t>PROJEÇÃO COM PERMENÊNCIA NO RPPS</t>
  </si>
  <si>
    <t>REMUNERAÇÃO ATUAL</t>
  </si>
  <si>
    <t>REMUNERAÇÃO NA DATA DA APOSENTADORIA</t>
  </si>
  <si>
    <t>IDADE</t>
  </si>
  <si>
    <t>IDADE NA APOSENTADORIA</t>
  </si>
  <si>
    <t>OPÇÃO DE MIGRAÇÃO ENTRE REGIMES</t>
  </si>
  <si>
    <t>BENEFÍCIO PROJETADO</t>
  </si>
  <si>
    <t>INTEGRAL</t>
  </si>
  <si>
    <t>CONTRIBUIÇÃO SOBRE BENEFÍCIO</t>
  </si>
  <si>
    <t>% DE CONTRIBUIÇÃO SOBRE BENEFÍCIO</t>
  </si>
  <si>
    <t>IMPOSTO DE RENDA TABELA PROGRESSIVA</t>
  </si>
  <si>
    <t>Parcela a Deduzir do IR (R$)</t>
  </si>
  <si>
    <t>BENEFÍCIO LÍQUIDO DE CONTRIBUIÇÃO</t>
  </si>
  <si>
    <t>BENEFÍCIO LÍQUIDO DE IR</t>
  </si>
  <si>
    <t>EC 20/1998</t>
  </si>
  <si>
    <t>PRÉ EC 20/1998</t>
  </si>
  <si>
    <t>AP VOLUNTÁRIA</t>
  </si>
  <si>
    <t>PROVENTOS INTEGRAIS</t>
  </si>
  <si>
    <t>35/30 ANOS DE CONTRIBUIÇÃO</t>
  </si>
  <si>
    <t>REQUISITO:</t>
  </si>
  <si>
    <t>CÁLCULO DOS PROVENTOS:</t>
  </si>
  <si>
    <t>INTEGRALIDADE DA REMUNERAÇÃO RECEBIDA</t>
  </si>
  <si>
    <t>PROVENTOS PROPORCIONAIS AO TEMPO DE SERVIÇO</t>
  </si>
  <si>
    <t>30/25 ANOS DE CONTRIBUIÇÃO</t>
  </si>
  <si>
    <t>INTEGRALIDADE DA REMUNERAÇÃO RECEBIDA, PROPORCIONAL AO TEMPO DE CONTRIBUIÇÃO</t>
  </si>
  <si>
    <t>IDADE, PROVENTOS PROPORCIONAIS AO TEMPO DE SERVIÇO</t>
  </si>
  <si>
    <t>65/60 ANOS</t>
  </si>
  <si>
    <t>REGRA DE TRANSIÇÃO EC 20/1998</t>
  </si>
  <si>
    <t>53/48 ANOS</t>
  </si>
  <si>
    <t>60/55 ANOS</t>
  </si>
  <si>
    <t>5 ANOS DE EFETIVO EXERCÍCIO NO CARGO</t>
  </si>
  <si>
    <t>10 ANOS DE EFETIVO EXERCÍCIO NO SERVIÇO PÚBLICO</t>
  </si>
  <si>
    <r>
      <t>35/30 ANOS DE CONTRIBUIÇÃO +</t>
    </r>
    <r>
      <rPr>
        <sz val="11"/>
        <color rgb="FFFF0000"/>
        <rFont val="Calibri"/>
        <family val="2"/>
        <scheme val="minor"/>
      </rPr>
      <t xml:space="preserve"> 20%(35/30 - TC)</t>
    </r>
  </si>
  <si>
    <r>
      <t>30/25 ANOS DE CONTRIBUIÇÃO +</t>
    </r>
    <r>
      <rPr>
        <sz val="11"/>
        <color rgb="FFFF0000"/>
        <rFont val="Calibri"/>
        <family val="2"/>
        <scheme val="minor"/>
      </rPr>
      <t xml:space="preserve"> 40%(30/25 - TC)</t>
    </r>
  </si>
  <si>
    <r>
      <rPr>
        <sz val="11"/>
        <color rgb="FFFF0000"/>
        <rFont val="Calibri"/>
        <family val="2"/>
        <scheme val="minor"/>
      </rPr>
      <t>70%</t>
    </r>
    <r>
      <rPr>
        <sz val="11"/>
        <color theme="1"/>
        <rFont val="Calibri"/>
        <family val="2"/>
        <scheme val="minor"/>
      </rPr>
      <t xml:space="preserve"> REMUNERAÇÃO RECEBIDA </t>
    </r>
    <r>
      <rPr>
        <sz val="11"/>
        <color rgb="FFFF0000"/>
        <rFont val="Calibri"/>
        <family val="2"/>
        <scheme val="minor"/>
      </rPr>
      <t>+ 1%*TC</t>
    </r>
  </si>
  <si>
    <r>
      <t xml:space="preserve">PROVENTOS PROPORCIONAIS AO TEMPO DE </t>
    </r>
    <r>
      <rPr>
        <b/>
        <sz val="11"/>
        <color rgb="FFFF0000"/>
        <rFont val="Calibri"/>
        <family val="2"/>
        <scheme val="minor"/>
      </rPr>
      <t>CONTRIBUIÇÃO</t>
    </r>
  </si>
  <si>
    <t>NORMA</t>
  </si>
  <si>
    <t>PUBLICAÇÃO</t>
  </si>
  <si>
    <t>VIGÊNCIA</t>
  </si>
  <si>
    <t>REGRA PÓS EC 20/1998</t>
  </si>
  <si>
    <t>MÊS</t>
  </si>
  <si>
    <t>PLANO REAL</t>
  </si>
  <si>
    <t>REGRA:</t>
  </si>
  <si>
    <t>CÁLCULO PROVENTOS</t>
  </si>
  <si>
    <r>
      <rPr>
        <sz val="11"/>
        <color rgb="FFFF0000"/>
        <rFont val="Calibri"/>
        <family val="2"/>
        <scheme val="minor"/>
      </rPr>
      <t>70%</t>
    </r>
    <r>
      <rPr>
        <sz val="11"/>
        <color theme="1"/>
        <rFont val="Calibri"/>
        <family val="2"/>
        <scheme val="minor"/>
      </rPr>
      <t xml:space="preserve"> REMUNERAÇÃO RECEBIDA </t>
    </r>
    <r>
      <rPr>
        <sz val="11"/>
        <color rgb="FFFF0000"/>
        <rFont val="Calibri"/>
        <family val="2"/>
        <scheme val="minor"/>
      </rPr>
      <t>+ 5%*(TC-30/25) + PEDÁGIO</t>
    </r>
  </si>
  <si>
    <t>MÉDIA DAS 80% MAIORES REMUNERAÇÕES (PÓS 07/1994) * TC/(30/35)</t>
  </si>
  <si>
    <t>REGRA PÓS EC 41/2003</t>
  </si>
  <si>
    <t>REGRA DE TRANSIÇÃO EC 41/2003</t>
  </si>
  <si>
    <t>(ALTERA A TRANSIÇÃO DA EC 20/1998)</t>
  </si>
  <si>
    <t>MÉDIA DAS 80% MAIORES REMUNERAÇÕES (PÓS 07/1994)</t>
  </si>
  <si>
    <r>
      <t>35/30 ANOS DE CONTRIBUIÇÃO +</t>
    </r>
    <r>
      <rPr>
        <sz val="11"/>
        <rFont val="Calibri"/>
        <family val="2"/>
        <scheme val="minor"/>
      </rPr>
      <t xml:space="preserve"> (20%</t>
    </r>
    <r>
      <rPr>
        <sz val="11"/>
        <color rgb="FFFF0000"/>
        <rFont val="Calibri"/>
        <family val="2"/>
        <scheme val="minor"/>
      </rPr>
      <t>-3,5%/5%</t>
    </r>
    <r>
      <rPr>
        <sz val="11"/>
        <rFont val="Calibri"/>
        <family val="2"/>
        <scheme val="minor"/>
      </rPr>
      <t>)*(35/30 - TC)</t>
    </r>
  </si>
  <si>
    <t>90/85 (TC+IDADE)</t>
  </si>
  <si>
    <t>REGRA PÓS LEI 12.618/2012</t>
  </si>
  <si>
    <t>(FUNPRESP)</t>
  </si>
  <si>
    <t>PRÉ EC 41/2003</t>
  </si>
  <si>
    <t>LEI 12.618</t>
  </si>
  <si>
    <r>
      <t>MÍN[</t>
    </r>
    <r>
      <rPr>
        <b/>
        <sz val="11"/>
        <color theme="1"/>
        <rFont val="Calibri"/>
        <family val="2"/>
      </rPr>
      <t>∑</t>
    </r>
    <r>
      <rPr>
        <b/>
        <sz val="11"/>
        <color theme="1"/>
        <rFont val="Calibri"/>
        <family val="2"/>
        <scheme val="minor"/>
      </rPr>
      <t xml:space="preserve"> 80%</t>
    </r>
    <r>
      <rPr>
        <b/>
        <sz val="8"/>
        <color theme="1"/>
        <rFont val="Calibri"/>
        <family val="2"/>
        <scheme val="minor"/>
      </rPr>
      <t>maiores salários/n ; TETO]</t>
    </r>
  </si>
  <si>
    <r>
      <t xml:space="preserve">MÍNIMO[ </t>
    </r>
    <r>
      <rPr>
        <sz val="11"/>
        <rFont val="Calibri"/>
        <family val="2"/>
        <scheme val="minor"/>
      </rPr>
      <t>MÉDIA DAS 80% MAIORES REMUNERAÇÕES (PÓS 07/1994)</t>
    </r>
    <r>
      <rPr>
        <sz val="11"/>
        <color rgb="FFFF0000"/>
        <rFont val="Calibri"/>
        <family val="2"/>
        <scheme val="minor"/>
      </rPr>
      <t xml:space="preserve"> ; TETO RGPS]</t>
    </r>
  </si>
  <si>
    <r>
      <t xml:space="preserve">MÍNIMO[ </t>
    </r>
    <r>
      <rPr>
        <sz val="11"/>
        <rFont val="Calibri"/>
        <family val="2"/>
        <scheme val="minor"/>
      </rPr>
      <t>MÉDIA DAS 80% MAIORES REMUNERAÇÕES (PÓS 07/1994)</t>
    </r>
    <r>
      <rPr>
        <sz val="11"/>
        <color rgb="FFFF0000"/>
        <rFont val="Calibri"/>
        <family val="2"/>
        <scheme val="minor"/>
      </rPr>
      <t xml:space="preserve"> ; TETO RGPS] </t>
    </r>
    <r>
      <rPr>
        <sz val="11"/>
        <rFont val="Calibri"/>
        <family val="2"/>
        <scheme val="minor"/>
      </rPr>
      <t>* TC/(30/35)</t>
    </r>
  </si>
  <si>
    <t>TEMPO DE SERVIÇO PÚBLICO</t>
  </si>
  <si>
    <t>TEMPO DE CARGO</t>
  </si>
  <si>
    <t>(INGRESSO ATÉ 16/12/1998)</t>
  </si>
  <si>
    <t>LEI 12..618 (FUNPRESP)</t>
  </si>
  <si>
    <t>IDADE (ANOS)</t>
  </si>
  <si>
    <t>TEMPO DE CONTRIBUIÇÃO (ANOS)</t>
  </si>
  <si>
    <t>TEMPO DE SERVIÇO PÚBLICO (ANOS)</t>
  </si>
  <si>
    <t>TEMPO DE SERVIÇO PÚBLICO (MESES)</t>
  </si>
  <si>
    <t>TEMPO NO CARGO (ANOS)</t>
  </si>
  <si>
    <t>TEMPO NO CARGO (MESES)</t>
  </si>
  <si>
    <t>DATA DE INGRESSO NO CARGO</t>
  </si>
  <si>
    <t>DATA DE INGRESSO NO SERVIÇO PÚBLICO</t>
  </si>
  <si>
    <t>(EC 41/2003)</t>
  </si>
  <si>
    <t>IDADE DE ELEGIBILIDADE AP. TC (MESES)</t>
  </si>
  <si>
    <t>IDADE ELEGIBILIDADE RPPS</t>
  </si>
  <si>
    <t>Qual regra o contribuinte cai?</t>
  </si>
  <si>
    <t>BENEFÍCIO RPPS</t>
  </si>
  <si>
    <t>BENEFÍCIO RPC (FUNPRESP)</t>
  </si>
  <si>
    <t>BENEFÍCIO ESPECIAL DO RPPS</t>
  </si>
  <si>
    <t>PROJEÇÃO COM MIGRAÇÃO DO RPPS PARA O RPC (FUNPRESP)</t>
  </si>
  <si>
    <t>DATA DE APOSENTADORIA</t>
  </si>
  <si>
    <t>NO CASO DE OPÇÃO PELA MIGRAÇÃO ENTRE REGIMES</t>
  </si>
  <si>
    <t>BENEFÍCIO FUNPRESP</t>
  </si>
  <si>
    <t>SALÁRIO DE PARTICIPAÇÃO</t>
  </si>
  <si>
    <t>ELEGIBILIDADE FUNPRESP</t>
  </si>
  <si>
    <t>DATA DE ELEGIBILIDADE RPPS</t>
  </si>
  <si>
    <t>IDADE ELEGIBILIDADE FUNPRESP</t>
  </si>
  <si>
    <t>DATA DE ELEGIBILIDADE FUNPRESP</t>
  </si>
  <si>
    <t>PERCENTUAL DE CONTR. BÁSICA</t>
  </si>
  <si>
    <t>PERCENTUAL DE CONTR. FACULTATIVA</t>
  </si>
  <si>
    <t>CONTRIB. BÁSICA</t>
  </si>
  <si>
    <t>PARTICIPANTE</t>
  </si>
  <si>
    <t>PATROCINADORA</t>
  </si>
  <si>
    <t>CONTRIB. FACULTATIVA</t>
  </si>
  <si>
    <t>CONTRIBUIÇÃO FCBE</t>
  </si>
  <si>
    <t>sobre a contribuição básica</t>
  </si>
  <si>
    <t>sobre o salário de part.</t>
  </si>
  <si>
    <t>SALDO RAP</t>
  </si>
  <si>
    <t>SALDO RAS</t>
  </si>
  <si>
    <t>CONTR. ADM.</t>
  </si>
  <si>
    <t>CONTR. FCBE.</t>
  </si>
  <si>
    <t>BENEFÍCIO SUPLEMENTAR</t>
  </si>
  <si>
    <t>SALDO RAP NA AP</t>
  </si>
  <si>
    <t>SALDO RAS NA AP</t>
  </si>
  <si>
    <t>AEAN</t>
  </si>
  <si>
    <t>BENEFÍCIO APOSENT. NORMAL</t>
  </si>
  <si>
    <t xml:space="preserve">            Idade     Ano</t>
  </si>
  <si>
    <t>ex</t>
  </si>
  <si>
    <t>FATOR AP NORMAL</t>
  </si>
  <si>
    <t>FATOR AP SUPLEMENTAR</t>
  </si>
  <si>
    <t>PRAZO DE RECEBIMENTO SUPLEMENTAR</t>
  </si>
  <si>
    <t>TAXA DE JUROS FUNPRESP a.m.</t>
  </si>
  <si>
    <t>TAXA DE JUROS FUNPRESP a.a.</t>
  </si>
  <si>
    <t>BENEFÍCIO TOTAL</t>
  </si>
  <si>
    <t>BENEFÍCIOS RPPS</t>
  </si>
  <si>
    <t>BENEFÍCIOS RPPS LÍQUIDO DE IR</t>
  </si>
  <si>
    <t>IMPOSTO DE RENDA</t>
  </si>
  <si>
    <t>DADOS DE TEMPO E IDADE PARA ELEGIBILIDADE</t>
  </si>
  <si>
    <t>REMUNERAÇÃO DO PERÍODO JÁ DECORRIDO</t>
  </si>
  <si>
    <t>TIPO DE PARTICIPANTE</t>
  </si>
  <si>
    <t>Normal</t>
  </si>
  <si>
    <t>Alternativo</t>
  </si>
  <si>
    <t>% DE CONTRIB. (DEDUÇÃO IR)</t>
  </si>
  <si>
    <t>INFORMAÇÕES NA DATA DA APOSENTADORIA NO RPPS</t>
  </si>
  <si>
    <t>INFORMAÇÕES NA DATA DA APOSENTADORIA NO RPC</t>
  </si>
  <si>
    <t>CUSTEIO ADM. NA CONTRIBUIÇÃO</t>
  </si>
  <si>
    <t>CUSTEIO ADM. NO BENEFÍCIO</t>
  </si>
  <si>
    <t>CUSTEIO ADMINISTRATIVO</t>
  </si>
  <si>
    <t>BENEFÍCIO APOSENT. NORMAL LÍQUIDO</t>
  </si>
  <si>
    <t>BENEFÍCIO SUPLEMENTAR LÍQUIDO</t>
  </si>
  <si>
    <t>idade</t>
  </si>
  <si>
    <t>tempo de serviço público</t>
  </si>
  <si>
    <t>CUSTEIO</t>
  </si>
  <si>
    <t>PLANO DE CUSTEIO RPPS</t>
  </si>
  <si>
    <t>PLANO DE CUSTEIO</t>
  </si>
  <si>
    <t>CRITÉRIOS DE APOSENTADORIA NO FUNPRESP</t>
  </si>
  <si>
    <t>sobre o benefício</t>
  </si>
  <si>
    <t>CONTRIB. ALTERNATIVA</t>
  </si>
  <si>
    <t>URP</t>
  </si>
  <si>
    <t>---&gt;</t>
  </si>
  <si>
    <t>IDADE NA APOSENTADORIA (POSTERGADA)</t>
  </si>
  <si>
    <t>Postergar Data de Início do Benefício?</t>
  </si>
  <si>
    <t>Benefício Total Líquido</t>
  </si>
  <si>
    <t>Benefício Total Líquido (IR progressiva)</t>
  </si>
  <si>
    <t>Benefício Total Líquido (IR regressiva)</t>
  </si>
  <si>
    <t>Não migrando</t>
  </si>
  <si>
    <t>Migrando</t>
  </si>
  <si>
    <t>(-) Contribuição sobre o benefício (11%)</t>
  </si>
  <si>
    <t>(-) Imposto de Renda - tabela progressiva</t>
  </si>
  <si>
    <t>Benefício Líquido após contribuição</t>
  </si>
  <si>
    <t>Benefício Líquido após IR</t>
  </si>
  <si>
    <t>Benefício Especial RPPS</t>
  </si>
  <si>
    <t>10+</t>
  </si>
  <si>
    <t>Informações Cadastrais</t>
  </si>
  <si>
    <t>Data de Nascimento:</t>
  </si>
  <si>
    <t>Sexo:</t>
  </si>
  <si>
    <t>Possui tempo anterior no RGPS/INSS?</t>
  </si>
  <si>
    <t>Meses</t>
  </si>
  <si>
    <t>Anos e</t>
  </si>
  <si>
    <t>Simulador de Migração do Regime RPPS para o Regime RPC e Adesão à Funpresp</t>
  </si>
  <si>
    <t>Simulação de Migração do Regime RPPS para o Regime RPC e Adesão à Funpresp</t>
  </si>
  <si>
    <t>Remuneração atual:</t>
  </si>
  <si>
    <t>Referência</t>
  </si>
  <si>
    <t>Salário</t>
  </si>
  <si>
    <t>Data da simulação:</t>
  </si>
  <si>
    <t>Histórico de Remunerações:</t>
  </si>
  <si>
    <t>Informações de Adesão à Funpresp</t>
  </si>
  <si>
    <t>Situação na adesão à Funpresp:</t>
  </si>
  <si>
    <t>Data de elegibilidade ao benefício no RPPS:</t>
  </si>
  <si>
    <t>Data de elegibilidade ao benefício na Funpresp:</t>
  </si>
  <si>
    <t>Deseja postergar a data de aposentadoria?</t>
  </si>
  <si>
    <t>Resultado da Simulação</t>
  </si>
  <si>
    <t>Elegibilidade à aposentadoria</t>
  </si>
  <si>
    <t>Manutenção no Regime RPPS</t>
  </si>
  <si>
    <t>Migração para o Regime RPC</t>
  </si>
  <si>
    <t>Memória de cálculo do Benefício Especial RPPS</t>
  </si>
  <si>
    <t>Simulação de Migração do Regime RPPS para o Regime RPC</t>
  </si>
  <si>
    <t>Benefício RPPS</t>
  </si>
  <si>
    <t>Data de Ingresso no Serviço Público Federal:</t>
  </si>
  <si>
    <t>FC (Fator de conversão) = Tc/Tt</t>
  </si>
  <si>
    <t>=</t>
  </si>
  <si>
    <t>(2)</t>
  </si>
  <si>
    <t>(1)</t>
  </si>
  <si>
    <t>Foram consideradas contribuições relativas às gratificações natalinas;</t>
  </si>
  <si>
    <t>REMUNERAÇÃO PERÍODO ANTERIOR</t>
  </si>
  <si>
    <t>Teto do INSS</t>
  </si>
  <si>
    <t>I)</t>
  </si>
  <si>
    <t>II)</t>
  </si>
  <si>
    <t>III)</t>
  </si>
  <si>
    <t>Possui tempo anterior no RPPS, fora da União?</t>
  </si>
  <si>
    <t>DATA DE INGRESSO NO SERVIÇO PÚBLICO FEDERAL</t>
  </si>
  <si>
    <t>Data de Ingresso no Cargo Na União:</t>
  </si>
  <si>
    <t>tempo de serviço público federal</t>
  </si>
  <si>
    <t>tempo no cargo</t>
  </si>
  <si>
    <r>
      <t xml:space="preserve">Tc (quantidade de contribuições mensais efetuadas para o regime de previdência da União até a data da opção) </t>
    </r>
    <r>
      <rPr>
        <vertAlign val="superscript"/>
        <sz val="11"/>
        <color theme="4" tint="-0.499984740745262"/>
        <rFont val="Helvetica"/>
        <family val="2"/>
      </rPr>
      <t>(1)(2)</t>
    </r>
  </si>
  <si>
    <t>Foi considerado todo o período de contribuição do servidor ao regime de previdência da União, dos Estados, do Distrito Federal ou dos Municípios.</t>
  </si>
  <si>
    <t>Deseja realizar a simulação de adesão à Funpresp?</t>
  </si>
  <si>
    <t>Resultado da simulação Funpresp</t>
  </si>
  <si>
    <t>Tabela Regressiva</t>
  </si>
  <si>
    <t>Tabela Progressiva</t>
  </si>
  <si>
    <t>Valor de Portabilidade transferido à Funpresp:</t>
  </si>
  <si>
    <t>Rentabilidade</t>
  </si>
  <si>
    <t>Contrib. da Patrocinadora</t>
  </si>
  <si>
    <t>Contrib. do Participante</t>
  </si>
  <si>
    <t>Benefício de Aposentadoria Normal</t>
  </si>
  <si>
    <t>Benefício Suplementar</t>
  </si>
  <si>
    <t>Benefício Total</t>
  </si>
  <si>
    <t>(-) Custeio Administrativo</t>
  </si>
  <si>
    <t>Benefício Líquido de Custeio Adm.</t>
  </si>
  <si>
    <t>Benefício Funpresp Líquido após IR</t>
  </si>
  <si>
    <t>Evolução do Saldo de Conta na Funpresp na fase de Acumulação</t>
  </si>
  <si>
    <t>Evolução do Saldo de Conta na Funpresp na fase de Benefício</t>
  </si>
  <si>
    <t>Informação para gráfico da evolução de saldo no período de atividade</t>
  </si>
  <si>
    <t>Informação para gráfico da evolução de saldo no período de inatividade</t>
  </si>
  <si>
    <t>Saldo</t>
  </si>
  <si>
    <t>Benef. Ap. Normal</t>
  </si>
  <si>
    <t>Benef. Suplementar</t>
  </si>
  <si>
    <t>DATA suplementar</t>
  </si>
  <si>
    <t>CONCESSÃO DO BENEFÍCIO</t>
  </si>
  <si>
    <t>EVOLUÇÃO PATRIMONIAL</t>
  </si>
  <si>
    <t>Premissas para a Simulação do Benefício Funpresp</t>
  </si>
  <si>
    <t>a.a.</t>
  </si>
  <si>
    <t>Resultado do Benefício Total</t>
  </si>
  <si>
    <t>Limite de Data Nascimento</t>
  </si>
  <si>
    <t>Limite de Data de Ingresso</t>
  </si>
  <si>
    <t>Benefício Especial RPPS (II-III)*I</t>
  </si>
  <si>
    <t>Percentual de Crescimento Salarial Real:</t>
  </si>
  <si>
    <t>Salário de Participação Atual:</t>
  </si>
  <si>
    <t>Benefício Sem Migração</t>
  </si>
  <si>
    <t>Benefício Com Migração</t>
  </si>
  <si>
    <t>Salário Atual</t>
  </si>
  <si>
    <t>RPPS com migração</t>
  </si>
  <si>
    <t>Regra Atual</t>
  </si>
  <si>
    <t>DATA DE INGRESSO NO MERCADO DE TRABALHO</t>
  </si>
  <si>
    <t xml:space="preserve">Tt (455, 390 ou 325 de acordo com o §3º do art.3º da Lei12.618) </t>
  </si>
  <si>
    <t>IMPORTANTE: A Simulação é executada com base em parámetros variáveis, motivo pelo qual, o resultado não implica na garantia do valor do benefício.</t>
  </si>
  <si>
    <t>Escolha o Regime de Tributação:</t>
  </si>
  <si>
    <t xml:space="preserve">IMPORTANTE: A Simulação é executada com base em parámetros variáveis, motivo pelo qual, o resultado não implica na garantia do valor do benefício.
</t>
  </si>
  <si>
    <t>O Benefício Especial é de responsabilidade da União.</t>
  </si>
  <si>
    <t>Rentabilidade Real esperada</t>
  </si>
  <si>
    <t>RPPS Regra Atual</t>
  </si>
  <si>
    <t>(-) Total de Impostos e Custeio Adm.</t>
  </si>
  <si>
    <t>RPPS Especial</t>
  </si>
  <si>
    <t>Benefício RPPS Espcial</t>
  </si>
  <si>
    <t>Contribuição Facultativa*</t>
  </si>
  <si>
    <t>Saldo acumulado na data de aposentadoria:</t>
  </si>
  <si>
    <t>Funpresp Ap. Normal</t>
  </si>
  <si>
    <t>Funpresp Suplementar</t>
  </si>
  <si>
    <t>Quadro Comparativo da Reposição do Salário x Benefícios</t>
  </si>
  <si>
    <t>*O valor da Contribuição Facultativa equivale a 2,5% sobre o Salário de Participação, calculado considerando a diferença entre a contribuição total que o servidor realiza no RPPS e o percentual da contribuição básica obrigatória à Funpresp.</t>
  </si>
  <si>
    <r>
      <t xml:space="preserve">Média aritmética simples das maiores remunerações </t>
    </r>
    <r>
      <rPr>
        <u/>
        <sz val="11"/>
        <color theme="4" tint="-0.499984740745262"/>
        <rFont val="Helvetica"/>
        <family val="2"/>
      </rPr>
      <t>anteriores à data de mudança do regime</t>
    </r>
    <r>
      <rPr>
        <sz val="11"/>
        <color theme="4" tint="-0.499984740745262"/>
        <rFont val="Helvetica"/>
        <family val="2"/>
      </rPr>
      <t>, atualizadas pelo IPCA, correspondentes a 80% de todo o período contributivo de competência posterior a julho de 1994</t>
    </r>
  </si>
  <si>
    <t>TEMPO</t>
  </si>
  <si>
    <t>A migração de regime previdenciário é uma decisão individual do servidor público, sendo irrevogável e irretratável.</t>
  </si>
  <si>
    <t>(EC 20/1998)</t>
  </si>
  <si>
    <t>Professor da Educação Básica ou Policial?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</si>
</sst>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\-yy;@"/>
    <numFmt numFmtId="165" formatCode="_-* #,##0.0000_-;\-* #,##0.0000_-;_-* &quot;-&quot;??_-;_-@_-"/>
    <numFmt numFmtId="166" formatCode="0.0"/>
    <numFmt numFmtId="167" formatCode="#,##0.0000"/>
    <numFmt numFmtId="168" formatCode="0.000"/>
    <numFmt numFmtId="169" formatCode="_-* #,##0_-;\-* #,##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0"/>
      <color theme="1"/>
      <name val="Helvetica"/>
      <family val="2"/>
    </font>
    <font>
      <sz val="14"/>
      <color theme="1"/>
      <name val="Helvetica"/>
      <family val="2"/>
    </font>
    <font>
      <sz val="10"/>
      <color theme="1" tint="0.34998626667073579"/>
      <name val="Helvetica"/>
      <family val="2"/>
    </font>
    <font>
      <sz val="12"/>
      <color theme="1" tint="0.34998626667073579"/>
      <name val="Helvetica"/>
      <family val="2"/>
    </font>
    <font>
      <b/>
      <sz val="11"/>
      <color theme="4" tint="-0.499984740745262"/>
      <name val="Helvetica"/>
      <family val="2"/>
    </font>
    <font>
      <sz val="9"/>
      <color theme="1"/>
      <name val="Helvetica"/>
      <family val="2"/>
    </font>
    <font>
      <b/>
      <sz val="12"/>
      <color rgb="FF182A40"/>
      <name val="Helvetica"/>
      <family val="2"/>
    </font>
    <font>
      <b/>
      <sz val="11"/>
      <color rgb="FF182A40"/>
      <name val="Helvetica"/>
      <family val="2"/>
    </font>
    <font>
      <sz val="11"/>
      <color theme="4" tint="-0.499984740745262"/>
      <name val="Helvetica"/>
      <family val="2"/>
    </font>
    <font>
      <sz val="9"/>
      <color rgb="FFFF0000"/>
      <name val="Helvetica"/>
      <family val="2"/>
    </font>
    <font>
      <b/>
      <sz val="9"/>
      <color rgb="FFFF0000"/>
      <name val="Helvetica"/>
      <family val="2"/>
    </font>
    <font>
      <b/>
      <sz val="10"/>
      <color rgb="FF182A40"/>
      <name val="Helvetica"/>
      <family val="2"/>
    </font>
    <font>
      <b/>
      <sz val="10"/>
      <color rgb="FF002060"/>
      <name val="Helvetica"/>
      <family val="2"/>
    </font>
    <font>
      <sz val="10"/>
      <color rgb="FF002060"/>
      <name val="Helvetica"/>
      <family val="2"/>
    </font>
    <font>
      <sz val="8"/>
      <color theme="4" tint="-0.499984740745262"/>
      <name val="Helvetica"/>
      <family val="2"/>
    </font>
    <font>
      <sz val="8"/>
      <color theme="1"/>
      <name val="Helvetica"/>
      <family val="2"/>
    </font>
    <font>
      <b/>
      <sz val="11"/>
      <color rgb="FF002060"/>
      <name val="Helvetica"/>
      <family val="2"/>
    </font>
    <font>
      <sz val="8"/>
      <color rgb="FF002060"/>
      <name val="Helvetica"/>
      <family val="2"/>
    </font>
    <font>
      <vertAlign val="superscript"/>
      <sz val="11"/>
      <color theme="4" tint="-0.499984740745262"/>
      <name val="Helvetica"/>
      <family val="2"/>
    </font>
    <font>
      <sz val="10"/>
      <color rgb="FFFF0000"/>
      <name val="Helvetica"/>
      <family val="2"/>
    </font>
    <font>
      <b/>
      <sz val="8"/>
      <color theme="4" tint="-0.499984740745262"/>
      <name val="Helvetica"/>
      <family val="2"/>
    </font>
    <font>
      <b/>
      <sz val="10"/>
      <color theme="1"/>
      <name val="Helvetica"/>
      <family val="2"/>
    </font>
    <font>
      <b/>
      <sz val="11"/>
      <color theme="1"/>
      <name val="Helvetica"/>
      <family val="2"/>
    </font>
    <font>
      <b/>
      <sz val="9"/>
      <color rgb="FF182A40"/>
      <name val="Helvetica"/>
      <family val="2"/>
    </font>
    <font>
      <u/>
      <sz val="11"/>
      <color theme="4" tint="-0.499984740745262"/>
      <name val="Helvetica"/>
      <family val="2"/>
    </font>
    <font>
      <sz val="11"/>
      <color rgb="FFFF0000"/>
      <name val="Helvetica"/>
      <family val="2"/>
    </font>
    <font>
      <b/>
      <sz val="9"/>
      <color theme="4" tint="-0.499984740745262"/>
      <name val="Helvetica"/>
      <family val="2"/>
    </font>
  </fonts>
  <fills count="2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medium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medium">
        <color auto="1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9" fillId="0" borderId="0"/>
    <xf numFmtId="44" fontId="1" fillId="0" borderId="0" applyFont="0" applyFill="0" applyBorder="0" applyAlignment="0" applyProtection="0"/>
  </cellStyleXfs>
  <cellXfs count="322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0" fontId="3" fillId="0" borderId="0" xfId="0" applyFont="1"/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43" fontId="0" fillId="0" borderId="1" xfId="1" applyFont="1" applyBorder="1" applyAlignment="1">
      <alignment horizontal="right"/>
    </xf>
    <xf numFmtId="43" fontId="0" fillId="0" borderId="1" xfId="0" applyNumberFormat="1" applyBorder="1" applyAlignment="1">
      <alignment horizontal="center"/>
    </xf>
    <xf numFmtId="43" fontId="0" fillId="0" borderId="1" xfId="1" applyFont="1" applyFill="1" applyBorder="1" applyAlignment="1">
      <alignment horizontal="right"/>
    </xf>
    <xf numFmtId="43" fontId="0" fillId="0" borderId="1" xfId="1" quotePrefix="1" applyFont="1" applyFill="1" applyBorder="1" applyAlignment="1">
      <alignment horizontal="right"/>
    </xf>
    <xf numFmtId="10" fontId="0" fillId="0" borderId="1" xfId="2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1" xfId="1" quotePrefix="1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0" fillId="0" borderId="1" xfId="0" applyNumberFormat="1" applyBorder="1"/>
    <xf numFmtId="0" fontId="3" fillId="5" borderId="1" xfId="0" applyFont="1" applyFill="1" applyBorder="1" applyAlignment="1">
      <alignment horizontal="center"/>
    </xf>
    <xf numFmtId="17" fontId="0" fillId="2" borderId="1" xfId="0" applyNumberFormat="1" applyFill="1" applyBorder="1"/>
    <xf numFmtId="0" fontId="0" fillId="2" borderId="1" xfId="0" applyFill="1" applyBorder="1"/>
    <xf numFmtId="165" fontId="0" fillId="2" borderId="1" xfId="1" applyNumberFormat="1" applyFont="1" applyFill="1" applyBorder="1"/>
    <xf numFmtId="164" fontId="3" fillId="7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4" fontId="3" fillId="0" borderId="1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/>
    <xf numFmtId="164" fontId="3" fillId="7" borderId="3" xfId="0" applyNumberFormat="1" applyFont="1" applyFill="1" applyBorder="1" applyAlignment="1">
      <alignment horizontal="center"/>
    </xf>
    <xf numFmtId="14" fontId="0" fillId="5" borderId="1" xfId="0" applyNumberFormat="1" applyFill="1" applyBorder="1"/>
    <xf numFmtId="43" fontId="0" fillId="0" borderId="1" xfId="1" applyFont="1" applyBorder="1" applyAlignment="1">
      <alignment horizontal="center"/>
    </xf>
    <xf numFmtId="0" fontId="3" fillId="5" borderId="0" xfId="0" applyFont="1" applyFill="1"/>
    <xf numFmtId="0" fontId="0" fillId="5" borderId="0" xfId="0" applyFill="1"/>
    <xf numFmtId="0" fontId="5" fillId="5" borderId="0" xfId="0" applyFont="1" applyFill="1"/>
    <xf numFmtId="0" fontId="13" fillId="0" borderId="0" xfId="0" applyFont="1"/>
    <xf numFmtId="0" fontId="2" fillId="8" borderId="3" xfId="0" applyFont="1" applyFill="1" applyBorder="1" applyAlignment="1">
      <alignment horizontal="center"/>
    </xf>
    <xf numFmtId="0" fontId="0" fillId="3" borderId="0" xfId="0" applyFont="1" applyFill="1"/>
    <xf numFmtId="0" fontId="3" fillId="11" borderId="1" xfId="0" applyFont="1" applyFill="1" applyBorder="1" applyAlignment="1">
      <alignment horizontal="center"/>
    </xf>
    <xf numFmtId="166" fontId="0" fillId="0" borderId="0" xfId="0" applyNumberFormat="1"/>
    <xf numFmtId="0" fontId="0" fillId="0" borderId="0" xfId="0" quotePrefix="1"/>
    <xf numFmtId="0" fontId="9" fillId="14" borderId="1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0" fontId="3" fillId="11" borderId="9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9" fillId="14" borderId="9" xfId="0" applyFont="1" applyFill="1" applyBorder="1" applyAlignment="1">
      <alignment horizontal="center"/>
    </xf>
    <xf numFmtId="0" fontId="9" fillId="14" borderId="10" xfId="0" applyFont="1" applyFill="1" applyBorder="1" applyAlignment="1">
      <alignment horizontal="center"/>
    </xf>
    <xf numFmtId="0" fontId="0" fillId="0" borderId="13" xfId="0" applyBorder="1"/>
    <xf numFmtId="43" fontId="0" fillId="0" borderId="12" xfId="1" applyFont="1" applyBorder="1"/>
    <xf numFmtId="43" fontId="0" fillId="0" borderId="13" xfId="1" applyFont="1" applyBorder="1"/>
    <xf numFmtId="0" fontId="15" fillId="8" borderId="7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/>
    </xf>
    <xf numFmtId="0" fontId="0" fillId="0" borderId="7" xfId="0" applyBorder="1"/>
    <xf numFmtId="43" fontId="0" fillId="0" borderId="8" xfId="1" applyFont="1" applyBorder="1"/>
    <xf numFmtId="9" fontId="0" fillId="0" borderId="10" xfId="0" applyNumberFormat="1" applyBorder="1"/>
    <xf numFmtId="43" fontId="0" fillId="0" borderId="10" xfId="0" applyNumberFormat="1" applyBorder="1"/>
    <xf numFmtId="43" fontId="0" fillId="0" borderId="10" xfId="1" applyFont="1" applyBorder="1"/>
    <xf numFmtId="43" fontId="0" fillId="0" borderId="0" xfId="1" applyFont="1" applyBorder="1"/>
    <xf numFmtId="9" fontId="0" fillId="0" borderId="0" xfId="0" applyNumberFormat="1" applyBorder="1"/>
    <xf numFmtId="43" fontId="0" fillId="0" borderId="0" xfId="0" applyNumberFormat="1" applyBorder="1"/>
    <xf numFmtId="43" fontId="3" fillId="0" borderId="0" xfId="0" applyNumberFormat="1" applyFont="1" applyBorder="1"/>
    <xf numFmtId="10" fontId="0" fillId="0" borderId="1" xfId="2" applyNumberFormat="1" applyFont="1" applyBorder="1"/>
    <xf numFmtId="0" fontId="3" fillId="0" borderId="9" xfId="0" applyFont="1" applyBorder="1"/>
    <xf numFmtId="0" fontId="3" fillId="5" borderId="9" xfId="0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/>
    <xf numFmtId="14" fontId="3" fillId="5" borderId="12" xfId="0" applyNumberFormat="1" applyFont="1" applyFill="1" applyBorder="1" applyAlignment="1">
      <alignment horizontal="center"/>
    </xf>
    <xf numFmtId="14" fontId="3" fillId="5" borderId="13" xfId="0" applyNumberFormat="1" applyFont="1" applyFill="1" applyBorder="1" applyAlignment="1">
      <alignment horizontal="center"/>
    </xf>
    <xf numFmtId="0" fontId="0" fillId="16" borderId="7" xfId="0" applyFill="1" applyBorder="1"/>
    <xf numFmtId="0" fontId="0" fillId="16" borderId="9" xfId="0" applyFill="1" applyBorder="1"/>
    <xf numFmtId="0" fontId="0" fillId="16" borderId="11" xfId="0" applyFill="1" applyBorder="1"/>
    <xf numFmtId="0" fontId="0" fillId="0" borderId="1" xfId="0" applyNumberFormat="1" applyBorder="1" applyAlignment="1">
      <alignment horizontal="left"/>
    </xf>
    <xf numFmtId="0" fontId="0" fillId="11" borderId="1" xfId="0" applyFill="1" applyBorder="1" applyAlignment="1">
      <alignment horizontal="center"/>
    </xf>
    <xf numFmtId="0" fontId="3" fillId="0" borderId="23" xfId="0" applyFont="1" applyBorder="1"/>
    <xf numFmtId="43" fontId="3" fillId="0" borderId="24" xfId="1" applyFont="1" applyBorder="1"/>
    <xf numFmtId="0" fontId="0" fillId="0" borderId="18" xfId="0" applyBorder="1"/>
    <xf numFmtId="0" fontId="16" fillId="0" borderId="0" xfId="3"/>
    <xf numFmtId="0" fontId="18" fillId="17" borderId="26" xfId="3" applyFont="1" applyFill="1" applyBorder="1" applyAlignment="1">
      <alignment horizontal="center"/>
    </xf>
    <xf numFmtId="0" fontId="16" fillId="0" borderId="0" xfId="3" applyAlignment="1">
      <alignment horizontal="center"/>
    </xf>
    <xf numFmtId="0" fontId="17" fillId="17" borderId="17" xfId="3" applyFont="1" applyFill="1" applyBorder="1" applyAlignment="1">
      <alignment horizontal="center"/>
    </xf>
    <xf numFmtId="0" fontId="17" fillId="17" borderId="26" xfId="3" applyFont="1" applyFill="1" applyBorder="1" applyAlignment="1">
      <alignment horizontal="center"/>
    </xf>
    <xf numFmtId="2" fontId="20" fillId="0" borderId="28" xfId="4" applyNumberFormat="1" applyFont="1" applyFill="1" applyBorder="1" applyAlignment="1">
      <alignment horizontal="right" wrapText="1"/>
    </xf>
    <xf numFmtId="4" fontId="16" fillId="18" borderId="0" xfId="3" applyNumberFormat="1" applyFill="1"/>
    <xf numFmtId="0" fontId="17" fillId="17" borderId="22" xfId="3" applyFont="1" applyFill="1" applyBorder="1" applyAlignment="1">
      <alignment horizontal="center"/>
    </xf>
    <xf numFmtId="167" fontId="16" fillId="18" borderId="0" xfId="3" applyNumberFormat="1" applyFill="1"/>
    <xf numFmtId="0" fontId="17" fillId="17" borderId="29" xfId="3" applyFont="1" applyFill="1" applyBorder="1" applyAlignment="1">
      <alignment horizontal="center"/>
    </xf>
    <xf numFmtId="2" fontId="20" fillId="0" borderId="30" xfId="4" applyNumberFormat="1" applyFont="1" applyFill="1" applyBorder="1" applyAlignment="1">
      <alignment horizontal="right" wrapText="1"/>
    </xf>
    <xf numFmtId="2" fontId="20" fillId="0" borderId="31" xfId="4" applyNumberFormat="1" applyFont="1" applyFill="1" applyBorder="1" applyAlignment="1">
      <alignment horizontal="right" wrapText="1"/>
    </xf>
    <xf numFmtId="2" fontId="20" fillId="0" borderId="32" xfId="4" applyNumberFormat="1" applyFont="1" applyFill="1" applyBorder="1" applyAlignment="1">
      <alignment horizontal="right" wrapText="1"/>
    </xf>
    <xf numFmtId="2" fontId="20" fillId="0" borderId="0" xfId="4" applyNumberFormat="1" applyFont="1" applyFill="1" applyBorder="1" applyAlignment="1">
      <alignment horizontal="right" wrapText="1"/>
    </xf>
    <xf numFmtId="10" fontId="0" fillId="0" borderId="1" xfId="0" applyNumberFormat="1" applyBorder="1"/>
    <xf numFmtId="43" fontId="0" fillId="0" borderId="19" xfId="0" applyNumberFormat="1" applyBorder="1"/>
    <xf numFmtId="0" fontId="3" fillId="12" borderId="11" xfId="0" applyFont="1" applyFill="1" applyBorder="1"/>
    <xf numFmtId="43" fontId="3" fillId="12" borderId="13" xfId="0" applyNumberFormat="1" applyFont="1" applyFill="1" applyBorder="1"/>
    <xf numFmtId="0" fontId="3" fillId="6" borderId="11" xfId="0" applyFont="1" applyFill="1" applyBorder="1"/>
    <xf numFmtId="43" fontId="3" fillId="6" borderId="13" xfId="0" applyNumberFormat="1" applyFont="1" applyFill="1" applyBorder="1"/>
    <xf numFmtId="0" fontId="0" fillId="19" borderId="7" xfId="0" applyFill="1" applyBorder="1"/>
    <xf numFmtId="43" fontId="0" fillId="19" borderId="8" xfId="1" applyFont="1" applyFill="1" applyBorder="1"/>
    <xf numFmtId="0" fontId="0" fillId="5" borderId="7" xfId="0" applyFill="1" applyBorder="1"/>
    <xf numFmtId="166" fontId="0" fillId="5" borderId="8" xfId="0" applyNumberFormat="1" applyFill="1" applyBorder="1"/>
    <xf numFmtId="0" fontId="0" fillId="0" borderId="10" xfId="0" applyBorder="1"/>
    <xf numFmtId="0" fontId="0" fillId="5" borderId="9" xfId="0" applyFill="1" applyBorder="1"/>
    <xf numFmtId="166" fontId="0" fillId="5" borderId="10" xfId="0" applyNumberFormat="1" applyFill="1" applyBorder="1"/>
    <xf numFmtId="0" fontId="0" fillId="16" borderId="35" xfId="0" applyFill="1" applyBorder="1"/>
    <xf numFmtId="43" fontId="0" fillId="16" borderId="1" xfId="1" applyFont="1" applyFill="1" applyBorder="1"/>
    <xf numFmtId="2" fontId="0" fillId="0" borderId="10" xfId="0" applyNumberFormat="1" applyBorder="1"/>
    <xf numFmtId="14" fontId="0" fillId="0" borderId="10" xfId="0" applyNumberFormat="1" applyBorder="1"/>
    <xf numFmtId="0" fontId="0" fillId="0" borderId="13" xfId="0" applyBorder="1" applyAlignment="1">
      <alignment horizontal="center"/>
    </xf>
    <xf numFmtId="0" fontId="0" fillId="0" borderId="38" xfId="0" applyBorder="1"/>
    <xf numFmtId="43" fontId="0" fillId="0" borderId="40" xfId="0" applyNumberFormat="1" applyBorder="1"/>
    <xf numFmtId="43" fontId="0" fillId="0" borderId="22" xfId="0" applyNumberFormat="1" applyBorder="1"/>
    <xf numFmtId="0" fontId="3" fillId="16" borderId="39" xfId="0" applyFont="1" applyFill="1" applyBorder="1"/>
    <xf numFmtId="43" fontId="0" fillId="16" borderId="17" xfId="0" applyNumberFormat="1" applyFill="1" applyBorder="1"/>
    <xf numFmtId="43" fontId="0" fillId="16" borderId="41" xfId="0" applyNumberFormat="1" applyFill="1" applyBorder="1"/>
    <xf numFmtId="0" fontId="3" fillId="16" borderId="11" xfId="0" applyFont="1" applyFill="1" applyBorder="1"/>
    <xf numFmtId="43" fontId="3" fillId="16" borderId="13" xfId="0" applyNumberFormat="1" applyFont="1" applyFill="1" applyBorder="1"/>
    <xf numFmtId="43" fontId="0" fillId="16" borderId="10" xfId="0" applyNumberFormat="1" applyFill="1" applyBorder="1"/>
    <xf numFmtId="0" fontId="3" fillId="20" borderId="7" xfId="0" applyFont="1" applyFill="1" applyBorder="1"/>
    <xf numFmtId="43" fontId="3" fillId="20" borderId="8" xfId="1" applyFont="1" applyFill="1" applyBorder="1"/>
    <xf numFmtId="0" fontId="3" fillId="20" borderId="20" xfId="0" applyFont="1" applyFill="1" applyBorder="1"/>
    <xf numFmtId="43" fontId="3" fillId="20" borderId="26" xfId="1" applyFont="1" applyFill="1" applyBorder="1"/>
    <xf numFmtId="43" fontId="3" fillId="20" borderId="21" xfId="1" applyFont="1" applyFill="1" applyBorder="1"/>
    <xf numFmtId="0" fontId="3" fillId="20" borderId="18" xfId="0" applyFont="1" applyFill="1" applyBorder="1"/>
    <xf numFmtId="43" fontId="3" fillId="20" borderId="19" xfId="1" applyFont="1" applyFill="1" applyBorder="1"/>
    <xf numFmtId="0" fontId="3" fillId="16" borderId="18" xfId="0" applyFont="1" applyFill="1" applyBorder="1"/>
    <xf numFmtId="43" fontId="3" fillId="16" borderId="19" xfId="0" applyNumberFormat="1" applyFont="1" applyFill="1" applyBorder="1"/>
    <xf numFmtId="43" fontId="0" fillId="0" borderId="0" xfId="0" applyNumberFormat="1"/>
    <xf numFmtId="0" fontId="0" fillId="0" borderId="30" xfId="0" applyBorder="1"/>
    <xf numFmtId="43" fontId="0" fillId="0" borderId="30" xfId="1" applyFont="1" applyBorder="1"/>
    <xf numFmtId="14" fontId="0" fillId="6" borderId="30" xfId="0" applyNumberFormat="1" applyFill="1" applyBorder="1"/>
    <xf numFmtId="10" fontId="0" fillId="0" borderId="0" xfId="0" applyNumberFormat="1"/>
    <xf numFmtId="0" fontId="3" fillId="21" borderId="36" xfId="0" applyFont="1" applyFill="1" applyBorder="1" applyAlignment="1"/>
    <xf numFmtId="0" fontId="3" fillId="21" borderId="33" xfId="0" applyFont="1" applyFill="1" applyBorder="1" applyAlignment="1">
      <alignment horizontal="center"/>
    </xf>
    <xf numFmtId="0" fontId="3" fillId="21" borderId="37" xfId="0" applyFont="1" applyFill="1" applyBorder="1" applyAlignment="1">
      <alignment horizontal="center"/>
    </xf>
    <xf numFmtId="43" fontId="0" fillId="0" borderId="44" xfId="0" applyNumberFormat="1" applyBorder="1"/>
    <xf numFmtId="43" fontId="0" fillId="0" borderId="45" xfId="1" applyFont="1" applyBorder="1"/>
    <xf numFmtId="0" fontId="0" fillId="6" borderId="30" xfId="0" applyFill="1" applyBorder="1"/>
    <xf numFmtId="43" fontId="0" fillId="6" borderId="30" xfId="0" applyNumberFormat="1" applyFill="1" applyBorder="1"/>
    <xf numFmtId="0" fontId="0" fillId="22" borderId="30" xfId="0" applyFill="1" applyBorder="1"/>
    <xf numFmtId="43" fontId="0" fillId="22" borderId="30" xfId="0" applyNumberFormat="1" applyFill="1" applyBorder="1"/>
    <xf numFmtId="0" fontId="0" fillId="21" borderId="30" xfId="0" applyFill="1" applyBorder="1"/>
    <xf numFmtId="43" fontId="0" fillId="21" borderId="30" xfId="0" applyNumberFormat="1" applyFill="1" applyBorder="1"/>
    <xf numFmtId="0" fontId="0" fillId="0" borderId="46" xfId="0" applyBorder="1"/>
    <xf numFmtId="0" fontId="0" fillId="0" borderId="0" xfId="0" applyBorder="1"/>
    <xf numFmtId="14" fontId="0" fillId="23" borderId="10" xfId="0" applyNumberFormat="1" applyFill="1" applyBorder="1" applyAlignment="1">
      <alignment horizontal="center"/>
    </xf>
    <xf numFmtId="0" fontId="0" fillId="23" borderId="8" xfId="0" applyFill="1" applyBorder="1"/>
    <xf numFmtId="0" fontId="0" fillId="23" borderId="10" xfId="0" applyFill="1" applyBorder="1" applyAlignment="1">
      <alignment horizontal="center"/>
    </xf>
    <xf numFmtId="43" fontId="0" fillId="23" borderId="10" xfId="1" applyFont="1" applyFill="1" applyBorder="1"/>
    <xf numFmtId="10" fontId="0" fillId="23" borderId="10" xfId="2" applyNumberFormat="1" applyFont="1" applyFill="1" applyBorder="1" applyAlignment="1">
      <alignment horizontal="center"/>
    </xf>
    <xf numFmtId="0" fontId="0" fillId="23" borderId="19" xfId="0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30" xfId="0" applyNumberFormat="1" applyBorder="1"/>
    <xf numFmtId="164" fontId="3" fillId="7" borderId="1" xfId="0" applyNumberFormat="1" applyFont="1" applyFill="1" applyBorder="1" applyAlignment="1">
      <alignment horizontal="center" vertical="center"/>
    </xf>
    <xf numFmtId="164" fontId="3" fillId="7" borderId="30" xfId="0" applyNumberFormat="1" applyFont="1" applyFill="1" applyBorder="1" applyAlignment="1">
      <alignment horizontal="center" vertical="center" wrapText="1"/>
    </xf>
    <xf numFmtId="43" fontId="0" fillId="0" borderId="30" xfId="0" applyNumberFormat="1" applyBorder="1"/>
    <xf numFmtId="8" fontId="0" fillId="0" borderId="0" xfId="0" applyNumberFormat="1"/>
    <xf numFmtId="0" fontId="0" fillId="0" borderId="30" xfId="0" applyBorder="1" applyAlignment="1">
      <alignment horizontal="center" vertical="center" wrapText="1"/>
    </xf>
    <xf numFmtId="43" fontId="0" fillId="20" borderId="30" xfId="0" applyNumberFormat="1" applyFill="1" applyBorder="1"/>
    <xf numFmtId="0" fontId="0" fillId="7" borderId="1" xfId="0" applyFill="1" applyBorder="1"/>
    <xf numFmtId="10" fontId="0" fillId="7" borderId="1" xfId="0" applyNumberFormat="1" applyFill="1" applyBorder="1"/>
    <xf numFmtId="164" fontId="3" fillId="7" borderId="1" xfId="0" applyNumberFormat="1" applyFont="1" applyFill="1" applyBorder="1" applyAlignment="1">
      <alignment horizontal="center" vertical="center" wrapText="1"/>
    </xf>
    <xf numFmtId="0" fontId="24" fillId="0" borderId="50" xfId="0" applyFont="1" applyBorder="1" applyProtection="1">
      <protection hidden="1"/>
    </xf>
    <xf numFmtId="0" fontId="26" fillId="0" borderId="0" xfId="0" applyFont="1" applyBorder="1" applyProtection="1">
      <protection hidden="1"/>
    </xf>
    <xf numFmtId="0" fontId="31" fillId="0" borderId="0" xfId="0" applyFont="1" applyBorder="1" applyProtection="1">
      <protection hidden="1"/>
    </xf>
    <xf numFmtId="44" fontId="48" fillId="0" borderId="0" xfId="5" applyFont="1" applyBorder="1" applyProtection="1">
      <protection hidden="1"/>
    </xf>
    <xf numFmtId="0" fontId="24" fillId="0" borderId="0" xfId="0" applyFont="1" applyBorder="1" applyProtection="1">
      <protection hidden="1"/>
    </xf>
    <xf numFmtId="0" fontId="33" fillId="0" borderId="55" xfId="0" applyFont="1" applyBorder="1" applyProtection="1">
      <protection hidden="1"/>
    </xf>
    <xf numFmtId="0" fontId="25" fillId="0" borderId="55" xfId="0" applyFont="1" applyBorder="1" applyProtection="1">
      <protection hidden="1"/>
    </xf>
    <xf numFmtId="0" fontId="34" fillId="0" borderId="0" xfId="0" applyFont="1" applyBorder="1" applyProtection="1">
      <protection hidden="1"/>
    </xf>
    <xf numFmtId="14" fontId="49" fillId="0" borderId="0" xfId="0" applyNumberFormat="1" applyFont="1" applyBorder="1" applyAlignment="1" applyProtection="1">
      <alignment horizontal="center"/>
      <protection hidden="1"/>
    </xf>
    <xf numFmtId="0" fontId="29" fillId="0" borderId="0" xfId="0" applyFont="1" applyBorder="1" applyProtection="1">
      <protection hidden="1"/>
    </xf>
    <xf numFmtId="0" fontId="27" fillId="0" borderId="0" xfId="0" applyFont="1" applyBorder="1" applyProtection="1">
      <protection hidden="1"/>
    </xf>
    <xf numFmtId="44" fontId="39" fillId="0" borderId="0" xfId="5" applyFont="1" applyBorder="1" applyProtection="1">
      <protection hidden="1"/>
    </xf>
    <xf numFmtId="0" fontId="36" fillId="0" borderId="0" xfId="0" applyFont="1" applyBorder="1" applyAlignment="1" applyProtection="1">
      <alignment horizontal="left" indent="1"/>
      <protection hidden="1"/>
    </xf>
    <xf numFmtId="44" fontId="37" fillId="0" borderId="0" xfId="5" applyFont="1" applyBorder="1" applyProtection="1">
      <protection hidden="1"/>
    </xf>
    <xf numFmtId="0" fontId="35" fillId="0" borderId="0" xfId="0" applyFont="1" applyBorder="1" applyProtection="1">
      <protection hidden="1"/>
    </xf>
    <xf numFmtId="44" fontId="40" fillId="0" borderId="0" xfId="5" applyFont="1" applyBorder="1" applyProtection="1">
      <protection hidden="1"/>
    </xf>
    <xf numFmtId="0" fontId="24" fillId="0" borderId="55" xfId="0" applyFont="1" applyBorder="1" applyProtection="1">
      <protection hidden="1"/>
    </xf>
    <xf numFmtId="0" fontId="35" fillId="0" borderId="0" xfId="0" applyFont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horizontal="right"/>
      <protection hidden="1"/>
    </xf>
    <xf numFmtId="0" fontId="42" fillId="0" borderId="50" xfId="0" applyFont="1" applyBorder="1" applyProtection="1">
      <protection hidden="1"/>
    </xf>
    <xf numFmtId="0" fontId="42" fillId="0" borderId="0" xfId="0" applyFont="1" applyBorder="1" applyProtection="1">
      <protection hidden="1"/>
    </xf>
    <xf numFmtId="0" fontId="41" fillId="0" borderId="0" xfId="0" applyFont="1" applyBorder="1" applyAlignment="1" applyProtection="1">
      <alignment vertical="top"/>
      <protection hidden="1"/>
    </xf>
    <xf numFmtId="0" fontId="44" fillId="0" borderId="0" xfId="0" applyFont="1" applyBorder="1" applyProtection="1">
      <protection hidden="1"/>
    </xf>
    <xf numFmtId="0" fontId="24" fillId="0" borderId="52" xfId="0" applyFont="1" applyBorder="1" applyProtection="1">
      <protection hidden="1"/>
    </xf>
    <xf numFmtId="0" fontId="47" fillId="0" borderId="53" xfId="0" applyFont="1" applyBorder="1" applyAlignment="1" applyProtection="1">
      <alignment vertical="top" wrapText="1"/>
      <protection hidden="1"/>
    </xf>
    <xf numFmtId="0" fontId="32" fillId="0" borderId="53" xfId="0" applyFont="1" applyBorder="1" applyAlignment="1" applyProtection="1">
      <alignment horizontal="right"/>
      <protection hidden="1"/>
    </xf>
    <xf numFmtId="14" fontId="32" fillId="0" borderId="53" xfId="0" applyNumberFormat="1" applyFont="1" applyBorder="1" applyProtection="1">
      <protection hidden="1"/>
    </xf>
    <xf numFmtId="0" fontId="24" fillId="0" borderId="51" xfId="0" applyFont="1" applyBorder="1" applyProtection="1">
      <protection hidden="1"/>
    </xf>
    <xf numFmtId="0" fontId="42" fillId="0" borderId="51" xfId="0" applyFont="1" applyBorder="1" applyProtection="1">
      <protection hidden="1"/>
    </xf>
    <xf numFmtId="0" fontId="24" fillId="0" borderId="54" xfId="0" applyFont="1" applyBorder="1" applyProtection="1">
      <protection hidden="1"/>
    </xf>
    <xf numFmtId="0" fontId="24" fillId="0" borderId="48" xfId="0" applyFont="1" applyBorder="1" applyProtection="1">
      <protection hidden="1"/>
    </xf>
    <xf numFmtId="0" fontId="24" fillId="0" borderId="0" xfId="0" applyFont="1" applyAlignment="1" applyProtection="1">
      <protection hidden="1"/>
    </xf>
    <xf numFmtId="0" fontId="24" fillId="0" borderId="47" xfId="0" applyFont="1" applyBorder="1" applyAlignment="1" applyProtection="1">
      <protection hidden="1"/>
    </xf>
    <xf numFmtId="0" fontId="24" fillId="0" borderId="49" xfId="0" applyFont="1" applyBorder="1" applyAlignment="1" applyProtection="1">
      <protection hidden="1"/>
    </xf>
    <xf numFmtId="0" fontId="24" fillId="0" borderId="0" xfId="0" applyFont="1" applyProtection="1">
      <protection hidden="1"/>
    </xf>
    <xf numFmtId="0" fontId="24" fillId="0" borderId="50" xfId="0" applyFont="1" applyBorder="1" applyAlignment="1" applyProtection="1">
      <protection hidden="1"/>
    </xf>
    <xf numFmtId="0" fontId="24" fillId="0" borderId="51" xfId="0" applyFont="1" applyBorder="1" applyAlignment="1" applyProtection="1">
      <protection hidden="1"/>
    </xf>
    <xf numFmtId="0" fontId="24" fillId="7" borderId="50" xfId="0" applyFont="1" applyFill="1" applyBorder="1" applyProtection="1">
      <protection hidden="1"/>
    </xf>
    <xf numFmtId="0" fontId="24" fillId="7" borderId="51" xfId="0" applyFont="1" applyFill="1" applyBorder="1" applyProtection="1">
      <protection hidden="1"/>
    </xf>
    <xf numFmtId="0" fontId="30" fillId="0" borderId="0" xfId="0" applyFont="1" applyBorder="1" applyProtection="1">
      <protection hidden="1"/>
    </xf>
    <xf numFmtId="0" fontId="42" fillId="0" borderId="0" xfId="0" applyFont="1" applyProtection="1">
      <protection hidden="1"/>
    </xf>
    <xf numFmtId="44" fontId="27" fillId="0" borderId="0" xfId="5" applyFont="1" applyBorder="1" applyProtection="1">
      <protection hidden="1"/>
    </xf>
    <xf numFmtId="14" fontId="24" fillId="0" borderId="0" xfId="0" applyNumberFormat="1" applyFont="1" applyBorder="1" applyAlignment="1" applyProtection="1">
      <alignment horizontal="center"/>
      <protection hidden="1"/>
    </xf>
    <xf numFmtId="0" fontId="38" fillId="0" borderId="0" xfId="0" applyFont="1" applyBorder="1" applyProtection="1">
      <protection hidden="1"/>
    </xf>
    <xf numFmtId="44" fontId="40" fillId="0" borderId="53" xfId="5" applyFont="1" applyBorder="1" applyProtection="1">
      <protection hidden="1"/>
    </xf>
    <xf numFmtId="44" fontId="46" fillId="0" borderId="53" xfId="5" applyFont="1" applyBorder="1" applyProtection="1">
      <protection hidden="1"/>
    </xf>
    <xf numFmtId="0" fontId="33" fillId="0" borderId="0" xfId="0" applyFont="1" applyBorder="1" applyProtection="1">
      <protection hidden="1"/>
    </xf>
    <xf numFmtId="0" fontId="24" fillId="0" borderId="53" xfId="0" applyFont="1" applyBorder="1" applyProtection="1">
      <protection hidden="1"/>
    </xf>
    <xf numFmtId="0" fontId="38" fillId="0" borderId="50" xfId="0" applyFont="1" applyBorder="1" applyAlignment="1" applyProtection="1">
      <alignment vertical="center" wrapText="1"/>
      <protection hidden="1"/>
    </xf>
    <xf numFmtId="0" fontId="31" fillId="0" borderId="0" xfId="0" applyFont="1" applyBorder="1" applyAlignment="1" applyProtection="1">
      <alignment horizontal="right" vertical="top"/>
      <protection hidden="1"/>
    </xf>
    <xf numFmtId="0" fontId="31" fillId="0" borderId="53" xfId="0" applyFont="1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24" fillId="7" borderId="56" xfId="0" applyFont="1" applyFill="1" applyBorder="1" applyAlignment="1" applyProtection="1">
      <alignment horizontal="center"/>
      <protection locked="0"/>
    </xf>
    <xf numFmtId="10" fontId="24" fillId="7" borderId="56" xfId="2" applyNumberFormat="1" applyFont="1" applyFill="1" applyBorder="1" applyAlignment="1" applyProtection="1">
      <alignment horizontal="center"/>
      <protection locked="0"/>
    </xf>
    <xf numFmtId="14" fontId="24" fillId="7" borderId="56" xfId="0" applyNumberFormat="1" applyFont="1" applyFill="1" applyBorder="1" applyAlignment="1" applyProtection="1">
      <alignment horizontal="center"/>
      <protection locked="0"/>
    </xf>
    <xf numFmtId="0" fontId="27" fillId="7" borderId="56" xfId="0" applyFont="1" applyFill="1" applyBorder="1" applyAlignment="1" applyProtection="1">
      <alignment horizontal="center"/>
      <protection locked="0"/>
    </xf>
    <xf numFmtId="0" fontId="47" fillId="0" borderId="53" xfId="0" applyFont="1" applyBorder="1" applyAlignment="1" applyProtection="1">
      <alignment vertical="top"/>
      <protection hidden="1"/>
    </xf>
    <xf numFmtId="0" fontId="33" fillId="0" borderId="53" xfId="0" applyFont="1" applyBorder="1" applyProtection="1">
      <protection hidden="1"/>
    </xf>
    <xf numFmtId="0" fontId="36" fillId="0" borderId="0" xfId="0" quotePrefix="1" applyFont="1" applyBorder="1" applyAlignment="1" applyProtection="1">
      <alignment horizontal="left" indent="1"/>
      <protection hidden="1"/>
    </xf>
    <xf numFmtId="44" fontId="24" fillId="0" borderId="0" xfId="0" applyNumberFormat="1" applyFont="1" applyProtection="1">
      <protection hidden="1"/>
    </xf>
    <xf numFmtId="0" fontId="29" fillId="0" borderId="0" xfId="0" applyFont="1" applyBorder="1" applyAlignment="1" applyProtection="1">
      <alignment wrapText="1"/>
      <protection hidden="1"/>
    </xf>
    <xf numFmtId="0" fontId="38" fillId="0" borderId="53" xfId="0" applyFont="1" applyBorder="1" applyProtection="1">
      <protection hidden="1"/>
    </xf>
    <xf numFmtId="169" fontId="0" fillId="0" borderId="0" xfId="1" applyNumberFormat="1" applyFont="1"/>
    <xf numFmtId="0" fontId="31" fillId="0" borderId="0" xfId="0" applyFont="1" applyBorder="1" applyAlignment="1" applyProtection="1">
      <protection hidden="1"/>
    </xf>
    <xf numFmtId="0" fontId="0" fillId="0" borderId="11" xfId="0" applyFill="1" applyBorder="1"/>
    <xf numFmtId="0" fontId="0" fillId="0" borderId="13" xfId="0" applyFill="1" applyBorder="1" applyAlignment="1">
      <alignment horizontal="center"/>
    </xf>
    <xf numFmtId="43" fontId="0" fillId="0" borderId="0" xfId="1" applyFont="1"/>
    <xf numFmtId="165" fontId="0" fillId="0" borderId="0" xfId="1" applyNumberFormat="1" applyFont="1"/>
    <xf numFmtId="2" fontId="0" fillId="2" borderId="1" xfId="0" applyNumberFormat="1" applyFill="1" applyBorder="1"/>
    <xf numFmtId="0" fontId="24" fillId="24" borderId="0" xfId="0" applyFont="1" applyFill="1" applyAlignment="1"/>
    <xf numFmtId="0" fontId="24" fillId="24" borderId="0" xfId="0" applyFont="1" applyFill="1" applyBorder="1" applyAlignment="1"/>
    <xf numFmtId="0" fontId="24" fillId="24" borderId="0" xfId="0" applyFont="1" applyFill="1"/>
    <xf numFmtId="0" fontId="24" fillId="24" borderId="0" xfId="0" applyFont="1" applyFill="1" applyBorder="1"/>
    <xf numFmtId="0" fontId="26" fillId="24" borderId="0" xfId="0" applyFont="1" applyFill="1" applyBorder="1"/>
    <xf numFmtId="0" fontId="31" fillId="24" borderId="0" xfId="0" applyFont="1" applyFill="1" applyBorder="1"/>
    <xf numFmtId="0" fontId="31" fillId="24" borderId="30" xfId="0" applyFont="1" applyFill="1" applyBorder="1" applyAlignment="1">
      <alignment horizontal="center"/>
    </xf>
    <xf numFmtId="14" fontId="24" fillId="24" borderId="3" xfId="0" applyNumberFormat="1" applyFont="1" applyFill="1" applyBorder="1" applyAlignment="1" applyProtection="1">
      <alignment horizontal="center"/>
      <protection hidden="1"/>
    </xf>
    <xf numFmtId="43" fontId="27" fillId="24" borderId="3" xfId="1" applyFont="1" applyFill="1" applyBorder="1" applyProtection="1">
      <protection locked="0"/>
    </xf>
    <xf numFmtId="14" fontId="24" fillId="24" borderId="30" xfId="0" applyNumberFormat="1" applyFont="1" applyFill="1" applyBorder="1" applyAlignment="1" applyProtection="1">
      <alignment horizontal="center"/>
      <protection hidden="1"/>
    </xf>
    <xf numFmtId="44" fontId="27" fillId="24" borderId="3" xfId="5" applyFont="1" applyFill="1" applyBorder="1" applyProtection="1">
      <protection locked="0"/>
    </xf>
    <xf numFmtId="44" fontId="27" fillId="24" borderId="30" xfId="5" applyFont="1" applyFill="1" applyBorder="1" applyProtection="1">
      <protection locked="0"/>
    </xf>
    <xf numFmtId="43" fontId="3" fillId="0" borderId="10" xfId="1" applyNumberFormat="1" applyFont="1" applyFill="1" applyBorder="1"/>
    <xf numFmtId="0" fontId="17" fillId="17" borderId="25" xfId="3" applyFont="1" applyFill="1" applyBorder="1" applyAlignment="1">
      <alignment horizontal="left" wrapText="1"/>
    </xf>
    <xf numFmtId="0" fontId="16" fillId="0" borderId="27" xfId="3" applyBorder="1"/>
    <xf numFmtId="0" fontId="4" fillId="2" borderId="0" xfId="0" applyFont="1" applyFill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9" borderId="18" xfId="0" applyFont="1" applyFill="1" applyBorder="1" applyAlignment="1">
      <alignment horizontal="center"/>
    </xf>
    <xf numFmtId="0" fontId="0" fillId="9" borderId="19" xfId="0" applyFont="1" applyFill="1" applyBorder="1" applyAlignment="1">
      <alignment horizontal="center"/>
    </xf>
    <xf numFmtId="0" fontId="0" fillId="9" borderId="20" xfId="0" applyFont="1" applyFill="1" applyBorder="1" applyAlignment="1">
      <alignment horizontal="center"/>
    </xf>
    <xf numFmtId="0" fontId="0" fillId="9" borderId="2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 vertical="center" wrapText="1"/>
    </xf>
    <xf numFmtId="0" fontId="0" fillId="21" borderId="32" xfId="0" applyFill="1" applyBorder="1" applyAlignment="1">
      <alignment horizontal="center"/>
    </xf>
    <xf numFmtId="0" fontId="0" fillId="21" borderId="42" xfId="0" applyFill="1" applyBorder="1" applyAlignment="1">
      <alignment horizontal="center"/>
    </xf>
    <xf numFmtId="0" fontId="0" fillId="21" borderId="43" xfId="0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21" fillId="0" borderId="4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8" fillId="10" borderId="14" xfId="0" applyFont="1" applyFill="1" applyBorder="1" applyAlignment="1">
      <alignment horizontal="center"/>
    </xf>
    <xf numFmtId="0" fontId="8" fillId="10" borderId="15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3" fillId="15" borderId="6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24" fillId="0" borderId="48" xfId="0" applyFont="1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28" fillId="7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 applyProtection="1">
      <alignment horizontal="left" vertical="center" wrapText="1" indent="3"/>
      <protection hidden="1"/>
    </xf>
    <xf numFmtId="0" fontId="53" fillId="0" borderId="0" xfId="0" applyFont="1" applyBorder="1" applyAlignment="1" applyProtection="1">
      <alignment horizontal="left" vertical="top" wrapText="1"/>
      <protection hidden="1"/>
    </xf>
    <xf numFmtId="44" fontId="27" fillId="0" borderId="0" xfId="5" applyFont="1" applyBorder="1" applyAlignment="1" applyProtection="1">
      <alignment horizontal="left"/>
      <protection hidden="1"/>
    </xf>
    <xf numFmtId="0" fontId="35" fillId="0" borderId="0" xfId="0" applyFont="1" applyBorder="1" applyAlignment="1" applyProtection="1">
      <alignment horizontal="left" vertical="top" wrapText="1"/>
      <protection hidden="1"/>
    </xf>
    <xf numFmtId="0" fontId="43" fillId="0" borderId="0" xfId="0" applyFont="1" applyBorder="1" applyAlignment="1" applyProtection="1">
      <alignment horizontal="center" vertical="center"/>
      <protection hidden="1"/>
    </xf>
    <xf numFmtId="0" fontId="44" fillId="0" borderId="0" xfId="0" applyFont="1" applyBorder="1" applyAlignment="1" applyProtection="1">
      <alignment horizontal="left" vertical="top" wrapText="1"/>
      <protection hidden="1"/>
    </xf>
    <xf numFmtId="168" fontId="43" fillId="0" borderId="0" xfId="0" applyNumberFormat="1" applyFont="1" applyBorder="1" applyAlignment="1" applyProtection="1">
      <alignment horizontal="center" vertical="center"/>
      <protection hidden="1"/>
    </xf>
    <xf numFmtId="44" fontId="43" fillId="0" borderId="0" xfId="5" applyFont="1" applyBorder="1" applyAlignment="1" applyProtection="1">
      <alignment horizontal="center" vertical="center"/>
      <protection hidden="1"/>
    </xf>
    <xf numFmtId="0" fontId="52" fillId="0" borderId="0" xfId="0" applyFont="1" applyBorder="1" applyAlignment="1" applyProtection="1">
      <alignment horizontal="center"/>
      <protection hidden="1"/>
    </xf>
    <xf numFmtId="0" fontId="47" fillId="0" borderId="0" xfId="0" applyFont="1" applyBorder="1" applyAlignment="1" applyProtection="1">
      <alignment horizontal="left" vertical="top" wrapText="1"/>
      <protection hidden="1"/>
    </xf>
    <xf numFmtId="0" fontId="24" fillId="7" borderId="57" xfId="0" applyFont="1" applyFill="1" applyBorder="1" applyAlignment="1" applyProtection="1">
      <alignment horizontal="left"/>
      <protection locked="0"/>
    </xf>
    <xf numFmtId="0" fontId="24" fillId="7" borderId="56" xfId="0" applyFont="1" applyFill="1" applyBorder="1" applyAlignment="1" applyProtection="1">
      <alignment horizontal="left"/>
      <protection locked="0"/>
    </xf>
    <xf numFmtId="0" fontId="50" fillId="0" borderId="0" xfId="0" applyFont="1" applyBorder="1" applyAlignment="1" applyProtection="1">
      <alignment horizontal="center" vertical="center" wrapText="1"/>
      <protection hidden="1"/>
    </xf>
    <xf numFmtId="44" fontId="40" fillId="0" borderId="48" xfId="5" applyFont="1" applyBorder="1" applyAlignment="1" applyProtection="1">
      <alignment horizontal="center"/>
      <protection hidden="1"/>
    </xf>
    <xf numFmtId="44" fontId="40" fillId="0" borderId="0" xfId="5" applyFont="1" applyBorder="1" applyAlignment="1" applyProtection="1">
      <alignment horizontal="center"/>
      <protection hidden="1"/>
    </xf>
    <xf numFmtId="44" fontId="40" fillId="0" borderId="53" xfId="5" applyFont="1" applyBorder="1" applyAlignment="1" applyProtection="1">
      <alignment horizontal="center"/>
      <protection hidden="1"/>
    </xf>
    <xf numFmtId="44" fontId="39" fillId="0" borderId="0" xfId="5" applyFont="1" applyBorder="1" applyAlignment="1" applyProtection="1">
      <alignment horizontal="center"/>
      <protection hidden="1"/>
    </xf>
    <xf numFmtId="44" fontId="46" fillId="0" borderId="53" xfId="5" applyFont="1" applyBorder="1" applyAlignment="1" applyProtection="1">
      <alignment horizontal="center"/>
      <protection hidden="1"/>
    </xf>
    <xf numFmtId="0" fontId="29" fillId="0" borderId="0" xfId="0" applyFont="1" applyBorder="1" applyAlignment="1" applyProtection="1">
      <alignment horizontal="left" vertical="top" wrapText="1"/>
      <protection hidden="1"/>
    </xf>
    <xf numFmtId="44" fontId="43" fillId="0" borderId="0" xfId="5" applyFont="1" applyBorder="1" applyAlignment="1" applyProtection="1">
      <alignment horizontal="center"/>
      <protection hidden="1"/>
    </xf>
    <xf numFmtId="44" fontId="27" fillId="7" borderId="57" xfId="5" applyFont="1" applyFill="1" applyBorder="1" applyAlignment="1" applyProtection="1">
      <alignment horizontal="center"/>
      <protection locked="0"/>
    </xf>
    <xf numFmtId="44" fontId="27" fillId="7" borderId="56" xfId="5" applyFont="1" applyFill="1" applyBorder="1" applyAlignment="1" applyProtection="1">
      <alignment horizontal="center"/>
      <protection locked="0"/>
    </xf>
    <xf numFmtId="0" fontId="24" fillId="24" borderId="0" xfId="0" applyFont="1" applyFill="1" applyBorder="1" applyAlignment="1">
      <alignment horizontal="center" vertical="center" wrapText="1"/>
    </xf>
  </cellXfs>
  <cellStyles count="6">
    <cellStyle name="Moeda" xfId="5" builtinId="4"/>
    <cellStyle name="Normal" xfId="0" builtinId="0"/>
    <cellStyle name="Normal 2" xfId="3"/>
    <cellStyle name="Normal_Plan1" xfId="4"/>
    <cellStyle name="Porcentagem" xfId="2" builtinId="5"/>
    <cellStyle name="Vírgula" xfId="1" builtinId="3"/>
  </cellStyles>
  <dxfs count="51">
    <dxf>
      <font>
        <color theme="0"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8" tint="0.7999816888943144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Medium9"/>
  <colors>
    <mruColors>
      <color rgb="FF002060"/>
      <color rgb="FF182A40"/>
      <color rgb="FFD9D9D9"/>
      <color rgb="FF8DC53F"/>
      <color rgb="FFC0E4E6"/>
      <color rgb="FF119A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55896336158935"/>
          <c:y val="6.7366196704798376E-2"/>
          <c:w val="0.75302683923129421"/>
          <c:h val="0.58550689399220579"/>
        </c:manualLayout>
      </c:layout>
      <c:areaChart>
        <c:grouping val="stacked"/>
        <c:varyColors val="0"/>
        <c:ser>
          <c:idx val="0"/>
          <c:order val="0"/>
          <c:tx>
            <c:strRef>
              <c:f>'Info GRaf'!$J$4</c:f>
              <c:strCache>
                <c:ptCount val="1"/>
                <c:pt idx="0">
                  <c:v>Contrib. do Participante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'CÁLCULO FUNPRESP'!$P$5:$P$700</c:f>
              <c:strCache>
                <c:ptCount val="221"/>
                <c:pt idx="0">
                  <c:v>31/03/2019</c:v>
                </c:pt>
                <c:pt idx="1">
                  <c:v>30/04/2019</c:v>
                </c:pt>
                <c:pt idx="2">
                  <c:v>31/05/2019</c:v>
                </c:pt>
                <c:pt idx="3">
                  <c:v>30/06/2019</c:v>
                </c:pt>
                <c:pt idx="4">
                  <c:v>31/07/2019</c:v>
                </c:pt>
                <c:pt idx="5">
                  <c:v>31/08/2019</c:v>
                </c:pt>
                <c:pt idx="6">
                  <c:v>30/09/2019</c:v>
                </c:pt>
                <c:pt idx="7">
                  <c:v>31/10/2019</c:v>
                </c:pt>
                <c:pt idx="8">
                  <c:v>30/11/2019</c:v>
                </c:pt>
                <c:pt idx="9">
                  <c:v>31/12/2019</c:v>
                </c:pt>
                <c:pt idx="10">
                  <c:v>31/01/2020</c:v>
                </c:pt>
                <c:pt idx="11">
                  <c:v>29/02/2020</c:v>
                </c:pt>
                <c:pt idx="12">
                  <c:v>31/03/2020</c:v>
                </c:pt>
                <c:pt idx="13">
                  <c:v>30/04/2020</c:v>
                </c:pt>
                <c:pt idx="14">
                  <c:v>31/05/2020</c:v>
                </c:pt>
                <c:pt idx="15">
                  <c:v>30/06/2020</c:v>
                </c:pt>
                <c:pt idx="16">
                  <c:v>31/07/2020</c:v>
                </c:pt>
                <c:pt idx="17">
                  <c:v>31/08/2020</c:v>
                </c:pt>
                <c:pt idx="18">
                  <c:v>30/09/2020</c:v>
                </c:pt>
                <c:pt idx="19">
                  <c:v>31/10/2020</c:v>
                </c:pt>
                <c:pt idx="20">
                  <c:v>30/11/2020</c:v>
                </c:pt>
                <c:pt idx="21">
                  <c:v>31/12/2020</c:v>
                </c:pt>
                <c:pt idx="22">
                  <c:v>31/01/2021</c:v>
                </c:pt>
                <c:pt idx="23">
                  <c:v>28/02/2021</c:v>
                </c:pt>
                <c:pt idx="24">
                  <c:v>31/03/2021</c:v>
                </c:pt>
                <c:pt idx="25">
                  <c:v>30/04/2021</c:v>
                </c:pt>
                <c:pt idx="26">
                  <c:v>31/05/2021</c:v>
                </c:pt>
                <c:pt idx="27">
                  <c:v>30/06/2021</c:v>
                </c:pt>
                <c:pt idx="28">
                  <c:v>31/07/2021</c:v>
                </c:pt>
                <c:pt idx="29">
                  <c:v>31/08/2021</c:v>
                </c:pt>
                <c:pt idx="30">
                  <c:v>30/09/2021</c:v>
                </c:pt>
                <c:pt idx="31">
                  <c:v>31/10/2021</c:v>
                </c:pt>
                <c:pt idx="32">
                  <c:v>30/11/2021</c:v>
                </c:pt>
                <c:pt idx="33">
                  <c:v>31/12/2021</c:v>
                </c:pt>
                <c:pt idx="34">
                  <c:v>31/01/2022</c:v>
                </c:pt>
                <c:pt idx="35">
                  <c:v>28/02/2022</c:v>
                </c:pt>
                <c:pt idx="36">
                  <c:v>31/03/2022</c:v>
                </c:pt>
                <c:pt idx="37">
                  <c:v>30/04/2022</c:v>
                </c:pt>
                <c:pt idx="38">
                  <c:v>31/05/2022</c:v>
                </c:pt>
                <c:pt idx="39">
                  <c:v>30/06/2022</c:v>
                </c:pt>
                <c:pt idx="40">
                  <c:v>31/07/2022</c:v>
                </c:pt>
                <c:pt idx="41">
                  <c:v>31/08/2022</c:v>
                </c:pt>
                <c:pt idx="42">
                  <c:v>30/09/2022</c:v>
                </c:pt>
                <c:pt idx="43">
                  <c:v>31/10/2022</c:v>
                </c:pt>
                <c:pt idx="44">
                  <c:v>30/11/2022</c:v>
                </c:pt>
                <c:pt idx="45">
                  <c:v>31/12/2022</c:v>
                </c:pt>
                <c:pt idx="46">
                  <c:v>31/01/2023</c:v>
                </c:pt>
                <c:pt idx="47">
                  <c:v>28/02/2023</c:v>
                </c:pt>
                <c:pt idx="48">
                  <c:v>31/03/2023</c:v>
                </c:pt>
                <c:pt idx="49">
                  <c:v>30/04/2023</c:v>
                </c:pt>
                <c:pt idx="50">
                  <c:v>31/05/2023</c:v>
                </c:pt>
                <c:pt idx="51">
                  <c:v>30/06/2023</c:v>
                </c:pt>
                <c:pt idx="52">
                  <c:v>31/07/2023</c:v>
                </c:pt>
                <c:pt idx="53">
                  <c:v>31/08/2023</c:v>
                </c:pt>
                <c:pt idx="54">
                  <c:v>30/09/2023</c:v>
                </c:pt>
                <c:pt idx="55">
                  <c:v>31/10/2023</c:v>
                </c:pt>
                <c:pt idx="56">
                  <c:v>30/11/2023</c:v>
                </c:pt>
                <c:pt idx="57">
                  <c:v>31/12/2023</c:v>
                </c:pt>
                <c:pt idx="58">
                  <c:v>31/01/2024</c:v>
                </c:pt>
                <c:pt idx="59">
                  <c:v>29/02/2024</c:v>
                </c:pt>
                <c:pt idx="60">
                  <c:v>31/03/2024</c:v>
                </c:pt>
                <c:pt idx="61">
                  <c:v>30/04/2024</c:v>
                </c:pt>
                <c:pt idx="62">
                  <c:v>31/05/2024</c:v>
                </c:pt>
                <c:pt idx="63">
                  <c:v>30/06/2024</c:v>
                </c:pt>
                <c:pt idx="64">
                  <c:v>31/07/2024</c:v>
                </c:pt>
                <c:pt idx="65">
                  <c:v>31/08/2024</c:v>
                </c:pt>
                <c:pt idx="66">
                  <c:v>30/09/2024</c:v>
                </c:pt>
                <c:pt idx="67">
                  <c:v>31/10/2024</c:v>
                </c:pt>
                <c:pt idx="68">
                  <c:v>30/11/2024</c:v>
                </c:pt>
                <c:pt idx="69">
                  <c:v>31/12/2024</c:v>
                </c:pt>
                <c:pt idx="70">
                  <c:v>31/01/2025</c:v>
                </c:pt>
                <c:pt idx="71">
                  <c:v>28/02/2025</c:v>
                </c:pt>
                <c:pt idx="72">
                  <c:v>31/03/2025</c:v>
                </c:pt>
                <c:pt idx="73">
                  <c:v>30/04/2025</c:v>
                </c:pt>
                <c:pt idx="74">
                  <c:v>31/05/2025</c:v>
                </c:pt>
                <c:pt idx="75">
                  <c:v>30/06/2025</c:v>
                </c:pt>
                <c:pt idx="76">
                  <c:v>31/07/2025</c:v>
                </c:pt>
                <c:pt idx="77">
                  <c:v>31/08/2025</c:v>
                </c:pt>
                <c:pt idx="78">
                  <c:v>30/09/2025</c:v>
                </c:pt>
                <c:pt idx="79">
                  <c:v>31/10/2025</c:v>
                </c:pt>
                <c:pt idx="80">
                  <c:v>30/11/2025</c:v>
                </c:pt>
                <c:pt idx="81">
                  <c:v>31/12/2025</c:v>
                </c:pt>
                <c:pt idx="82">
                  <c:v>31/01/2026</c:v>
                </c:pt>
                <c:pt idx="83">
                  <c:v>28/02/2026</c:v>
                </c:pt>
                <c:pt idx="84">
                  <c:v>31/03/2026</c:v>
                </c:pt>
                <c:pt idx="85">
                  <c:v>30/04/2026</c:v>
                </c:pt>
                <c:pt idx="86">
                  <c:v>31/05/2026</c:v>
                </c:pt>
                <c:pt idx="87">
                  <c:v>30/06/2026</c:v>
                </c:pt>
                <c:pt idx="88">
                  <c:v>31/07/2026</c:v>
                </c:pt>
                <c:pt idx="89">
                  <c:v>31/08/2026</c:v>
                </c:pt>
                <c:pt idx="90">
                  <c:v>30/09/2026</c:v>
                </c:pt>
                <c:pt idx="91">
                  <c:v>31/10/2026</c:v>
                </c:pt>
                <c:pt idx="92">
                  <c:v>30/11/2026</c:v>
                </c:pt>
                <c:pt idx="93">
                  <c:v>31/12/2026</c:v>
                </c:pt>
                <c:pt idx="94">
                  <c:v>31/01/2027</c:v>
                </c:pt>
                <c:pt idx="95">
                  <c:v>28/02/2027</c:v>
                </c:pt>
                <c:pt idx="96">
                  <c:v>31/03/2027</c:v>
                </c:pt>
                <c:pt idx="97">
                  <c:v>30/04/2027</c:v>
                </c:pt>
                <c:pt idx="98">
                  <c:v>31/05/2027</c:v>
                </c:pt>
                <c:pt idx="99">
                  <c:v>30/06/2027</c:v>
                </c:pt>
                <c:pt idx="100">
                  <c:v>31/07/2027</c:v>
                </c:pt>
                <c:pt idx="101">
                  <c:v>31/08/2027</c:v>
                </c:pt>
                <c:pt idx="102">
                  <c:v>30/09/2027</c:v>
                </c:pt>
                <c:pt idx="103">
                  <c:v>31/10/2027</c:v>
                </c:pt>
                <c:pt idx="104">
                  <c:v>30/11/2027</c:v>
                </c:pt>
                <c:pt idx="105">
                  <c:v>31/12/2027</c:v>
                </c:pt>
                <c:pt idx="106">
                  <c:v>31/01/2028</c:v>
                </c:pt>
                <c:pt idx="107">
                  <c:v>29/02/2028</c:v>
                </c:pt>
                <c:pt idx="108">
                  <c:v>31/03/2028</c:v>
                </c:pt>
                <c:pt idx="109">
                  <c:v>30/04/2028</c:v>
                </c:pt>
                <c:pt idx="110">
                  <c:v>31/05/2028</c:v>
                </c:pt>
                <c:pt idx="111">
                  <c:v>30/06/2028</c:v>
                </c:pt>
                <c:pt idx="112">
                  <c:v>31/07/2028</c:v>
                </c:pt>
                <c:pt idx="113">
                  <c:v>31/08/2028</c:v>
                </c:pt>
                <c:pt idx="114">
                  <c:v>30/09/2028</c:v>
                </c:pt>
                <c:pt idx="115">
                  <c:v>31/10/2028</c:v>
                </c:pt>
                <c:pt idx="116">
                  <c:v>30/11/2028</c:v>
                </c:pt>
                <c:pt idx="117">
                  <c:v>31/12/2028</c:v>
                </c:pt>
                <c:pt idx="118">
                  <c:v>31/01/2029</c:v>
                </c:pt>
                <c:pt idx="119">
                  <c:v>28/02/2029</c:v>
                </c:pt>
                <c:pt idx="120">
                  <c:v>31/03/2029</c:v>
                </c:pt>
                <c:pt idx="121">
                  <c:v>30/04/2029</c:v>
                </c:pt>
                <c:pt idx="122">
                  <c:v>31/05/2029</c:v>
                </c:pt>
                <c:pt idx="123">
                  <c:v>30/06/2029</c:v>
                </c:pt>
                <c:pt idx="124">
                  <c:v>31/07/2029</c:v>
                </c:pt>
                <c:pt idx="125">
                  <c:v>31/08/2029</c:v>
                </c:pt>
                <c:pt idx="126">
                  <c:v>30/09/2029</c:v>
                </c:pt>
                <c:pt idx="127">
                  <c:v>31/10/2029</c:v>
                </c:pt>
                <c:pt idx="128">
                  <c:v>30/11/2029</c:v>
                </c:pt>
                <c:pt idx="129">
                  <c:v>31/12/2029</c:v>
                </c:pt>
                <c:pt idx="130">
                  <c:v>31/01/2030</c:v>
                </c:pt>
                <c:pt idx="131">
                  <c:v>28/02/2030</c:v>
                </c:pt>
                <c:pt idx="132">
                  <c:v>31/03/2030</c:v>
                </c:pt>
                <c:pt idx="133">
                  <c:v>30/04/2030</c:v>
                </c:pt>
                <c:pt idx="134">
                  <c:v>31/05/2030</c:v>
                </c:pt>
                <c:pt idx="135">
                  <c:v>30/06/2030</c:v>
                </c:pt>
                <c:pt idx="136">
                  <c:v>31/07/2030</c:v>
                </c:pt>
                <c:pt idx="137">
                  <c:v>31/08/2030</c:v>
                </c:pt>
                <c:pt idx="138">
                  <c:v>30/09/2030</c:v>
                </c:pt>
                <c:pt idx="139">
                  <c:v>31/10/2030</c:v>
                </c:pt>
                <c:pt idx="140">
                  <c:v>30/11/2030</c:v>
                </c:pt>
                <c:pt idx="141">
                  <c:v>31/12/2030</c:v>
                </c:pt>
                <c:pt idx="142">
                  <c:v>31/01/2031</c:v>
                </c:pt>
                <c:pt idx="143">
                  <c:v>28/02/2031</c:v>
                </c:pt>
                <c:pt idx="144">
                  <c:v>31/03/2031</c:v>
                </c:pt>
                <c:pt idx="145">
                  <c:v>30/04/2031</c:v>
                </c:pt>
                <c:pt idx="146">
                  <c:v>31/05/2031</c:v>
                </c:pt>
                <c:pt idx="147">
                  <c:v>30/06/2031</c:v>
                </c:pt>
                <c:pt idx="148">
                  <c:v>31/07/2031</c:v>
                </c:pt>
                <c:pt idx="149">
                  <c:v>31/08/2031</c:v>
                </c:pt>
                <c:pt idx="150">
                  <c:v>30/09/2031</c:v>
                </c:pt>
                <c:pt idx="151">
                  <c:v>31/10/2031</c:v>
                </c:pt>
                <c:pt idx="152">
                  <c:v>30/11/2031</c:v>
                </c:pt>
                <c:pt idx="153">
                  <c:v>31/12/2031</c:v>
                </c:pt>
                <c:pt idx="154">
                  <c:v>31/01/2032</c:v>
                </c:pt>
                <c:pt idx="155">
                  <c:v>29/02/2032</c:v>
                </c:pt>
                <c:pt idx="156">
                  <c:v>31/03/2032</c:v>
                </c:pt>
                <c:pt idx="157">
                  <c:v>30/04/2032</c:v>
                </c:pt>
                <c:pt idx="158">
                  <c:v>31/05/2032</c:v>
                </c:pt>
                <c:pt idx="159">
                  <c:v>30/06/2032</c:v>
                </c:pt>
                <c:pt idx="160">
                  <c:v>31/07/2032</c:v>
                </c:pt>
                <c:pt idx="161">
                  <c:v>31/08/2032</c:v>
                </c:pt>
                <c:pt idx="162">
                  <c:v>30/09/2032</c:v>
                </c:pt>
                <c:pt idx="163">
                  <c:v>31/10/2032</c:v>
                </c:pt>
                <c:pt idx="164">
                  <c:v>30/11/2032</c:v>
                </c:pt>
                <c:pt idx="165">
                  <c:v>31/12/2032</c:v>
                </c:pt>
                <c:pt idx="166">
                  <c:v>31/01/2033</c:v>
                </c:pt>
                <c:pt idx="167">
                  <c:v>28/02/2033</c:v>
                </c:pt>
                <c:pt idx="168">
                  <c:v>31/03/2033</c:v>
                </c:pt>
                <c:pt idx="169">
                  <c:v>30/04/2033</c:v>
                </c:pt>
                <c:pt idx="170">
                  <c:v>31/05/2033</c:v>
                </c:pt>
                <c:pt idx="171">
                  <c:v>30/06/2033</c:v>
                </c:pt>
                <c:pt idx="172">
                  <c:v>31/07/2033</c:v>
                </c:pt>
                <c:pt idx="173">
                  <c:v>31/08/2033</c:v>
                </c:pt>
                <c:pt idx="174">
                  <c:v>30/09/2033</c:v>
                </c:pt>
                <c:pt idx="175">
                  <c:v>31/10/2033</c:v>
                </c:pt>
                <c:pt idx="176">
                  <c:v>30/11/2033</c:v>
                </c:pt>
                <c:pt idx="177">
                  <c:v>31/12/2033</c:v>
                </c:pt>
                <c:pt idx="178">
                  <c:v>31/01/2034</c:v>
                </c:pt>
                <c:pt idx="179">
                  <c:v>28/02/2034</c:v>
                </c:pt>
                <c:pt idx="180">
                  <c:v>31/03/2034</c:v>
                </c:pt>
                <c:pt idx="181">
                  <c:v>30/04/2034</c:v>
                </c:pt>
                <c:pt idx="182">
                  <c:v>31/05/2034</c:v>
                </c:pt>
                <c:pt idx="183">
                  <c:v>30/06/2034</c:v>
                </c:pt>
                <c:pt idx="184">
                  <c:v>31/07/2034</c:v>
                </c:pt>
                <c:pt idx="185">
                  <c:v>31/08/2034</c:v>
                </c:pt>
                <c:pt idx="186">
                  <c:v>30/09/2034</c:v>
                </c:pt>
                <c:pt idx="187">
                  <c:v>31/10/2034</c:v>
                </c:pt>
                <c:pt idx="188">
                  <c:v>30/11/2034</c:v>
                </c:pt>
                <c:pt idx="189">
                  <c:v>31/12/2034</c:v>
                </c:pt>
                <c:pt idx="190">
                  <c:v>31/01/2035</c:v>
                </c:pt>
                <c:pt idx="191">
                  <c:v>28/02/2035</c:v>
                </c:pt>
                <c:pt idx="192">
                  <c:v>31/03/2035</c:v>
                </c:pt>
                <c:pt idx="193">
                  <c:v>30/04/2035</c:v>
                </c:pt>
                <c:pt idx="194">
                  <c:v>31/05/2035</c:v>
                </c:pt>
                <c:pt idx="195">
                  <c:v>30/06/2035</c:v>
                </c:pt>
                <c:pt idx="196">
                  <c:v>31/07/2035</c:v>
                </c:pt>
                <c:pt idx="197">
                  <c:v>31/08/2035</c:v>
                </c:pt>
                <c:pt idx="198">
                  <c:v>30/09/2035</c:v>
                </c:pt>
                <c:pt idx="199">
                  <c:v>31/10/2035</c:v>
                </c:pt>
                <c:pt idx="200">
                  <c:v>30/11/2035</c:v>
                </c:pt>
                <c:pt idx="201">
                  <c:v>31/12/2035</c:v>
                </c:pt>
                <c:pt idx="202">
                  <c:v>31/01/2036</c:v>
                </c:pt>
                <c:pt idx="203">
                  <c:v>29/02/2036</c:v>
                </c:pt>
                <c:pt idx="204">
                  <c:v>31/03/2036</c:v>
                </c:pt>
                <c:pt idx="205">
                  <c:v>30/04/2036</c:v>
                </c:pt>
                <c:pt idx="206">
                  <c:v>31/05/2036</c:v>
                </c:pt>
                <c:pt idx="207">
                  <c:v>30/06/2036</c:v>
                </c:pt>
                <c:pt idx="208">
                  <c:v>31/07/2036</c:v>
                </c:pt>
                <c:pt idx="209">
                  <c:v>31/08/2036</c:v>
                </c:pt>
                <c:pt idx="210">
                  <c:v>30/09/2036</c:v>
                </c:pt>
                <c:pt idx="211">
                  <c:v>31/10/2036</c:v>
                </c:pt>
                <c:pt idx="212">
                  <c:v>30/11/2036</c:v>
                </c:pt>
                <c:pt idx="213">
                  <c:v>31/12/2036</c:v>
                </c:pt>
                <c:pt idx="214">
                  <c:v>31/01/2037</c:v>
                </c:pt>
                <c:pt idx="215">
                  <c:v>28/02/2037</c:v>
                </c:pt>
                <c:pt idx="216">
                  <c:v>31/03/2037</c:v>
                </c:pt>
                <c:pt idx="217">
                  <c:v>30/04/2037</c:v>
                </c:pt>
                <c:pt idx="218">
                  <c:v>31/05/2037</c:v>
                </c:pt>
                <c:pt idx="219">
                  <c:v>30/06/2037</c:v>
                </c:pt>
                <c:pt idx="220">
                  <c:v>31/07/2037</c:v>
                </c:pt>
              </c:strCache>
            </c:strRef>
          </c:cat>
          <c:val>
            <c:numRef>
              <c:f>'Info GRaf'!$J$5:$J$700</c:f>
              <c:numCache>
                <c:formatCode>_(* #,##0.00_);_(* \(#,##0.00\);_(* "-"??_);_(@_)</c:formatCode>
                <c:ptCount val="6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</c:numCache>
            </c:numRef>
          </c:val>
        </c:ser>
        <c:ser>
          <c:idx val="1"/>
          <c:order val="1"/>
          <c:tx>
            <c:strRef>
              <c:f>'Info GRaf'!$K$4</c:f>
              <c:strCache>
                <c:ptCount val="1"/>
                <c:pt idx="0">
                  <c:v>Contrib. da Patrocinadora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'CÁLCULO FUNPRESP'!$P$5:$P$700</c:f>
              <c:strCache>
                <c:ptCount val="221"/>
                <c:pt idx="0">
                  <c:v>31/03/2019</c:v>
                </c:pt>
                <c:pt idx="1">
                  <c:v>30/04/2019</c:v>
                </c:pt>
                <c:pt idx="2">
                  <c:v>31/05/2019</c:v>
                </c:pt>
                <c:pt idx="3">
                  <c:v>30/06/2019</c:v>
                </c:pt>
                <c:pt idx="4">
                  <c:v>31/07/2019</c:v>
                </c:pt>
                <c:pt idx="5">
                  <c:v>31/08/2019</c:v>
                </c:pt>
                <c:pt idx="6">
                  <c:v>30/09/2019</c:v>
                </c:pt>
                <c:pt idx="7">
                  <c:v>31/10/2019</c:v>
                </c:pt>
                <c:pt idx="8">
                  <c:v>30/11/2019</c:v>
                </c:pt>
                <c:pt idx="9">
                  <c:v>31/12/2019</c:v>
                </c:pt>
                <c:pt idx="10">
                  <c:v>31/01/2020</c:v>
                </c:pt>
                <c:pt idx="11">
                  <c:v>29/02/2020</c:v>
                </c:pt>
                <c:pt idx="12">
                  <c:v>31/03/2020</c:v>
                </c:pt>
                <c:pt idx="13">
                  <c:v>30/04/2020</c:v>
                </c:pt>
                <c:pt idx="14">
                  <c:v>31/05/2020</c:v>
                </c:pt>
                <c:pt idx="15">
                  <c:v>30/06/2020</c:v>
                </c:pt>
                <c:pt idx="16">
                  <c:v>31/07/2020</c:v>
                </c:pt>
                <c:pt idx="17">
                  <c:v>31/08/2020</c:v>
                </c:pt>
                <c:pt idx="18">
                  <c:v>30/09/2020</c:v>
                </c:pt>
                <c:pt idx="19">
                  <c:v>31/10/2020</c:v>
                </c:pt>
                <c:pt idx="20">
                  <c:v>30/11/2020</c:v>
                </c:pt>
                <c:pt idx="21">
                  <c:v>31/12/2020</c:v>
                </c:pt>
                <c:pt idx="22">
                  <c:v>31/01/2021</c:v>
                </c:pt>
                <c:pt idx="23">
                  <c:v>28/02/2021</c:v>
                </c:pt>
                <c:pt idx="24">
                  <c:v>31/03/2021</c:v>
                </c:pt>
                <c:pt idx="25">
                  <c:v>30/04/2021</c:v>
                </c:pt>
                <c:pt idx="26">
                  <c:v>31/05/2021</c:v>
                </c:pt>
                <c:pt idx="27">
                  <c:v>30/06/2021</c:v>
                </c:pt>
                <c:pt idx="28">
                  <c:v>31/07/2021</c:v>
                </c:pt>
                <c:pt idx="29">
                  <c:v>31/08/2021</c:v>
                </c:pt>
                <c:pt idx="30">
                  <c:v>30/09/2021</c:v>
                </c:pt>
                <c:pt idx="31">
                  <c:v>31/10/2021</c:v>
                </c:pt>
                <c:pt idx="32">
                  <c:v>30/11/2021</c:v>
                </c:pt>
                <c:pt idx="33">
                  <c:v>31/12/2021</c:v>
                </c:pt>
                <c:pt idx="34">
                  <c:v>31/01/2022</c:v>
                </c:pt>
                <c:pt idx="35">
                  <c:v>28/02/2022</c:v>
                </c:pt>
                <c:pt idx="36">
                  <c:v>31/03/2022</c:v>
                </c:pt>
                <c:pt idx="37">
                  <c:v>30/04/2022</c:v>
                </c:pt>
                <c:pt idx="38">
                  <c:v>31/05/2022</c:v>
                </c:pt>
                <c:pt idx="39">
                  <c:v>30/06/2022</c:v>
                </c:pt>
                <c:pt idx="40">
                  <c:v>31/07/2022</c:v>
                </c:pt>
                <c:pt idx="41">
                  <c:v>31/08/2022</c:v>
                </c:pt>
                <c:pt idx="42">
                  <c:v>30/09/2022</c:v>
                </c:pt>
                <c:pt idx="43">
                  <c:v>31/10/2022</c:v>
                </c:pt>
                <c:pt idx="44">
                  <c:v>30/11/2022</c:v>
                </c:pt>
                <c:pt idx="45">
                  <c:v>31/12/2022</c:v>
                </c:pt>
                <c:pt idx="46">
                  <c:v>31/01/2023</c:v>
                </c:pt>
                <c:pt idx="47">
                  <c:v>28/02/2023</c:v>
                </c:pt>
                <c:pt idx="48">
                  <c:v>31/03/2023</c:v>
                </c:pt>
                <c:pt idx="49">
                  <c:v>30/04/2023</c:v>
                </c:pt>
                <c:pt idx="50">
                  <c:v>31/05/2023</c:v>
                </c:pt>
                <c:pt idx="51">
                  <c:v>30/06/2023</c:v>
                </c:pt>
                <c:pt idx="52">
                  <c:v>31/07/2023</c:v>
                </c:pt>
                <c:pt idx="53">
                  <c:v>31/08/2023</c:v>
                </c:pt>
                <c:pt idx="54">
                  <c:v>30/09/2023</c:v>
                </c:pt>
                <c:pt idx="55">
                  <c:v>31/10/2023</c:v>
                </c:pt>
                <c:pt idx="56">
                  <c:v>30/11/2023</c:v>
                </c:pt>
                <c:pt idx="57">
                  <c:v>31/12/2023</c:v>
                </c:pt>
                <c:pt idx="58">
                  <c:v>31/01/2024</c:v>
                </c:pt>
                <c:pt idx="59">
                  <c:v>29/02/2024</c:v>
                </c:pt>
                <c:pt idx="60">
                  <c:v>31/03/2024</c:v>
                </c:pt>
                <c:pt idx="61">
                  <c:v>30/04/2024</c:v>
                </c:pt>
                <c:pt idx="62">
                  <c:v>31/05/2024</c:v>
                </c:pt>
                <c:pt idx="63">
                  <c:v>30/06/2024</c:v>
                </c:pt>
                <c:pt idx="64">
                  <c:v>31/07/2024</c:v>
                </c:pt>
                <c:pt idx="65">
                  <c:v>31/08/2024</c:v>
                </c:pt>
                <c:pt idx="66">
                  <c:v>30/09/2024</c:v>
                </c:pt>
                <c:pt idx="67">
                  <c:v>31/10/2024</c:v>
                </c:pt>
                <c:pt idx="68">
                  <c:v>30/11/2024</c:v>
                </c:pt>
                <c:pt idx="69">
                  <c:v>31/12/2024</c:v>
                </c:pt>
                <c:pt idx="70">
                  <c:v>31/01/2025</c:v>
                </c:pt>
                <c:pt idx="71">
                  <c:v>28/02/2025</c:v>
                </c:pt>
                <c:pt idx="72">
                  <c:v>31/03/2025</c:v>
                </c:pt>
                <c:pt idx="73">
                  <c:v>30/04/2025</c:v>
                </c:pt>
                <c:pt idx="74">
                  <c:v>31/05/2025</c:v>
                </c:pt>
                <c:pt idx="75">
                  <c:v>30/06/2025</c:v>
                </c:pt>
                <c:pt idx="76">
                  <c:v>31/07/2025</c:v>
                </c:pt>
                <c:pt idx="77">
                  <c:v>31/08/2025</c:v>
                </c:pt>
                <c:pt idx="78">
                  <c:v>30/09/2025</c:v>
                </c:pt>
                <c:pt idx="79">
                  <c:v>31/10/2025</c:v>
                </c:pt>
                <c:pt idx="80">
                  <c:v>30/11/2025</c:v>
                </c:pt>
                <c:pt idx="81">
                  <c:v>31/12/2025</c:v>
                </c:pt>
                <c:pt idx="82">
                  <c:v>31/01/2026</c:v>
                </c:pt>
                <c:pt idx="83">
                  <c:v>28/02/2026</c:v>
                </c:pt>
                <c:pt idx="84">
                  <c:v>31/03/2026</c:v>
                </c:pt>
                <c:pt idx="85">
                  <c:v>30/04/2026</c:v>
                </c:pt>
                <c:pt idx="86">
                  <c:v>31/05/2026</c:v>
                </c:pt>
                <c:pt idx="87">
                  <c:v>30/06/2026</c:v>
                </c:pt>
                <c:pt idx="88">
                  <c:v>31/07/2026</c:v>
                </c:pt>
                <c:pt idx="89">
                  <c:v>31/08/2026</c:v>
                </c:pt>
                <c:pt idx="90">
                  <c:v>30/09/2026</c:v>
                </c:pt>
                <c:pt idx="91">
                  <c:v>31/10/2026</c:v>
                </c:pt>
                <c:pt idx="92">
                  <c:v>30/11/2026</c:v>
                </c:pt>
                <c:pt idx="93">
                  <c:v>31/12/2026</c:v>
                </c:pt>
                <c:pt idx="94">
                  <c:v>31/01/2027</c:v>
                </c:pt>
                <c:pt idx="95">
                  <c:v>28/02/2027</c:v>
                </c:pt>
                <c:pt idx="96">
                  <c:v>31/03/2027</c:v>
                </c:pt>
                <c:pt idx="97">
                  <c:v>30/04/2027</c:v>
                </c:pt>
                <c:pt idx="98">
                  <c:v>31/05/2027</c:v>
                </c:pt>
                <c:pt idx="99">
                  <c:v>30/06/2027</c:v>
                </c:pt>
                <c:pt idx="100">
                  <c:v>31/07/2027</c:v>
                </c:pt>
                <c:pt idx="101">
                  <c:v>31/08/2027</c:v>
                </c:pt>
                <c:pt idx="102">
                  <c:v>30/09/2027</c:v>
                </c:pt>
                <c:pt idx="103">
                  <c:v>31/10/2027</c:v>
                </c:pt>
                <c:pt idx="104">
                  <c:v>30/11/2027</c:v>
                </c:pt>
                <c:pt idx="105">
                  <c:v>31/12/2027</c:v>
                </c:pt>
                <c:pt idx="106">
                  <c:v>31/01/2028</c:v>
                </c:pt>
                <c:pt idx="107">
                  <c:v>29/02/2028</c:v>
                </c:pt>
                <c:pt idx="108">
                  <c:v>31/03/2028</c:v>
                </c:pt>
                <c:pt idx="109">
                  <c:v>30/04/2028</c:v>
                </c:pt>
                <c:pt idx="110">
                  <c:v>31/05/2028</c:v>
                </c:pt>
                <c:pt idx="111">
                  <c:v>30/06/2028</c:v>
                </c:pt>
                <c:pt idx="112">
                  <c:v>31/07/2028</c:v>
                </c:pt>
                <c:pt idx="113">
                  <c:v>31/08/2028</c:v>
                </c:pt>
                <c:pt idx="114">
                  <c:v>30/09/2028</c:v>
                </c:pt>
                <c:pt idx="115">
                  <c:v>31/10/2028</c:v>
                </c:pt>
                <c:pt idx="116">
                  <c:v>30/11/2028</c:v>
                </c:pt>
                <c:pt idx="117">
                  <c:v>31/12/2028</c:v>
                </c:pt>
                <c:pt idx="118">
                  <c:v>31/01/2029</c:v>
                </c:pt>
                <c:pt idx="119">
                  <c:v>28/02/2029</c:v>
                </c:pt>
                <c:pt idx="120">
                  <c:v>31/03/2029</c:v>
                </c:pt>
                <c:pt idx="121">
                  <c:v>30/04/2029</c:v>
                </c:pt>
                <c:pt idx="122">
                  <c:v>31/05/2029</c:v>
                </c:pt>
                <c:pt idx="123">
                  <c:v>30/06/2029</c:v>
                </c:pt>
                <c:pt idx="124">
                  <c:v>31/07/2029</c:v>
                </c:pt>
                <c:pt idx="125">
                  <c:v>31/08/2029</c:v>
                </c:pt>
                <c:pt idx="126">
                  <c:v>30/09/2029</c:v>
                </c:pt>
                <c:pt idx="127">
                  <c:v>31/10/2029</c:v>
                </c:pt>
                <c:pt idx="128">
                  <c:v>30/11/2029</c:v>
                </c:pt>
                <c:pt idx="129">
                  <c:v>31/12/2029</c:v>
                </c:pt>
                <c:pt idx="130">
                  <c:v>31/01/2030</c:v>
                </c:pt>
                <c:pt idx="131">
                  <c:v>28/02/2030</c:v>
                </c:pt>
                <c:pt idx="132">
                  <c:v>31/03/2030</c:v>
                </c:pt>
                <c:pt idx="133">
                  <c:v>30/04/2030</c:v>
                </c:pt>
                <c:pt idx="134">
                  <c:v>31/05/2030</c:v>
                </c:pt>
                <c:pt idx="135">
                  <c:v>30/06/2030</c:v>
                </c:pt>
                <c:pt idx="136">
                  <c:v>31/07/2030</c:v>
                </c:pt>
                <c:pt idx="137">
                  <c:v>31/08/2030</c:v>
                </c:pt>
                <c:pt idx="138">
                  <c:v>30/09/2030</c:v>
                </c:pt>
                <c:pt idx="139">
                  <c:v>31/10/2030</c:v>
                </c:pt>
                <c:pt idx="140">
                  <c:v>30/11/2030</c:v>
                </c:pt>
                <c:pt idx="141">
                  <c:v>31/12/2030</c:v>
                </c:pt>
                <c:pt idx="142">
                  <c:v>31/01/2031</c:v>
                </c:pt>
                <c:pt idx="143">
                  <c:v>28/02/2031</c:v>
                </c:pt>
                <c:pt idx="144">
                  <c:v>31/03/2031</c:v>
                </c:pt>
                <c:pt idx="145">
                  <c:v>30/04/2031</c:v>
                </c:pt>
                <c:pt idx="146">
                  <c:v>31/05/2031</c:v>
                </c:pt>
                <c:pt idx="147">
                  <c:v>30/06/2031</c:v>
                </c:pt>
                <c:pt idx="148">
                  <c:v>31/07/2031</c:v>
                </c:pt>
                <c:pt idx="149">
                  <c:v>31/08/2031</c:v>
                </c:pt>
                <c:pt idx="150">
                  <c:v>30/09/2031</c:v>
                </c:pt>
                <c:pt idx="151">
                  <c:v>31/10/2031</c:v>
                </c:pt>
                <c:pt idx="152">
                  <c:v>30/11/2031</c:v>
                </c:pt>
                <c:pt idx="153">
                  <c:v>31/12/2031</c:v>
                </c:pt>
                <c:pt idx="154">
                  <c:v>31/01/2032</c:v>
                </c:pt>
                <c:pt idx="155">
                  <c:v>29/02/2032</c:v>
                </c:pt>
                <c:pt idx="156">
                  <c:v>31/03/2032</c:v>
                </c:pt>
                <c:pt idx="157">
                  <c:v>30/04/2032</c:v>
                </c:pt>
                <c:pt idx="158">
                  <c:v>31/05/2032</c:v>
                </c:pt>
                <c:pt idx="159">
                  <c:v>30/06/2032</c:v>
                </c:pt>
                <c:pt idx="160">
                  <c:v>31/07/2032</c:v>
                </c:pt>
                <c:pt idx="161">
                  <c:v>31/08/2032</c:v>
                </c:pt>
                <c:pt idx="162">
                  <c:v>30/09/2032</c:v>
                </c:pt>
                <c:pt idx="163">
                  <c:v>31/10/2032</c:v>
                </c:pt>
                <c:pt idx="164">
                  <c:v>30/11/2032</c:v>
                </c:pt>
                <c:pt idx="165">
                  <c:v>31/12/2032</c:v>
                </c:pt>
                <c:pt idx="166">
                  <c:v>31/01/2033</c:v>
                </c:pt>
                <c:pt idx="167">
                  <c:v>28/02/2033</c:v>
                </c:pt>
                <c:pt idx="168">
                  <c:v>31/03/2033</c:v>
                </c:pt>
                <c:pt idx="169">
                  <c:v>30/04/2033</c:v>
                </c:pt>
                <c:pt idx="170">
                  <c:v>31/05/2033</c:v>
                </c:pt>
                <c:pt idx="171">
                  <c:v>30/06/2033</c:v>
                </c:pt>
                <c:pt idx="172">
                  <c:v>31/07/2033</c:v>
                </c:pt>
                <c:pt idx="173">
                  <c:v>31/08/2033</c:v>
                </c:pt>
                <c:pt idx="174">
                  <c:v>30/09/2033</c:v>
                </c:pt>
                <c:pt idx="175">
                  <c:v>31/10/2033</c:v>
                </c:pt>
                <c:pt idx="176">
                  <c:v>30/11/2033</c:v>
                </c:pt>
                <c:pt idx="177">
                  <c:v>31/12/2033</c:v>
                </c:pt>
                <c:pt idx="178">
                  <c:v>31/01/2034</c:v>
                </c:pt>
                <c:pt idx="179">
                  <c:v>28/02/2034</c:v>
                </c:pt>
                <c:pt idx="180">
                  <c:v>31/03/2034</c:v>
                </c:pt>
                <c:pt idx="181">
                  <c:v>30/04/2034</c:v>
                </c:pt>
                <c:pt idx="182">
                  <c:v>31/05/2034</c:v>
                </c:pt>
                <c:pt idx="183">
                  <c:v>30/06/2034</c:v>
                </c:pt>
                <c:pt idx="184">
                  <c:v>31/07/2034</c:v>
                </c:pt>
                <c:pt idx="185">
                  <c:v>31/08/2034</c:v>
                </c:pt>
                <c:pt idx="186">
                  <c:v>30/09/2034</c:v>
                </c:pt>
                <c:pt idx="187">
                  <c:v>31/10/2034</c:v>
                </c:pt>
                <c:pt idx="188">
                  <c:v>30/11/2034</c:v>
                </c:pt>
                <c:pt idx="189">
                  <c:v>31/12/2034</c:v>
                </c:pt>
                <c:pt idx="190">
                  <c:v>31/01/2035</c:v>
                </c:pt>
                <c:pt idx="191">
                  <c:v>28/02/2035</c:v>
                </c:pt>
                <c:pt idx="192">
                  <c:v>31/03/2035</c:v>
                </c:pt>
                <c:pt idx="193">
                  <c:v>30/04/2035</c:v>
                </c:pt>
                <c:pt idx="194">
                  <c:v>31/05/2035</c:v>
                </c:pt>
                <c:pt idx="195">
                  <c:v>30/06/2035</c:v>
                </c:pt>
                <c:pt idx="196">
                  <c:v>31/07/2035</c:v>
                </c:pt>
                <c:pt idx="197">
                  <c:v>31/08/2035</c:v>
                </c:pt>
                <c:pt idx="198">
                  <c:v>30/09/2035</c:v>
                </c:pt>
                <c:pt idx="199">
                  <c:v>31/10/2035</c:v>
                </c:pt>
                <c:pt idx="200">
                  <c:v>30/11/2035</c:v>
                </c:pt>
                <c:pt idx="201">
                  <c:v>31/12/2035</c:v>
                </c:pt>
                <c:pt idx="202">
                  <c:v>31/01/2036</c:v>
                </c:pt>
                <c:pt idx="203">
                  <c:v>29/02/2036</c:v>
                </c:pt>
                <c:pt idx="204">
                  <c:v>31/03/2036</c:v>
                </c:pt>
                <c:pt idx="205">
                  <c:v>30/04/2036</c:v>
                </c:pt>
                <c:pt idx="206">
                  <c:v>31/05/2036</c:v>
                </c:pt>
                <c:pt idx="207">
                  <c:v>30/06/2036</c:v>
                </c:pt>
                <c:pt idx="208">
                  <c:v>31/07/2036</c:v>
                </c:pt>
                <c:pt idx="209">
                  <c:v>31/08/2036</c:v>
                </c:pt>
                <c:pt idx="210">
                  <c:v>30/09/2036</c:v>
                </c:pt>
                <c:pt idx="211">
                  <c:v>31/10/2036</c:v>
                </c:pt>
                <c:pt idx="212">
                  <c:v>30/11/2036</c:v>
                </c:pt>
                <c:pt idx="213">
                  <c:v>31/12/2036</c:v>
                </c:pt>
                <c:pt idx="214">
                  <c:v>31/01/2037</c:v>
                </c:pt>
                <c:pt idx="215">
                  <c:v>28/02/2037</c:v>
                </c:pt>
                <c:pt idx="216">
                  <c:v>31/03/2037</c:v>
                </c:pt>
                <c:pt idx="217">
                  <c:v>30/04/2037</c:v>
                </c:pt>
                <c:pt idx="218">
                  <c:v>31/05/2037</c:v>
                </c:pt>
                <c:pt idx="219">
                  <c:v>30/06/2037</c:v>
                </c:pt>
                <c:pt idx="220">
                  <c:v>31/07/2037</c:v>
                </c:pt>
              </c:strCache>
            </c:strRef>
          </c:cat>
          <c:val>
            <c:numRef>
              <c:f>'Info GRaf'!$K$5:$K$700</c:f>
              <c:numCache>
                <c:formatCode>_(* #,##0.00_);_(* \(#,##0.00\);_(* "-"??_);_(@_)</c:formatCode>
                <c:ptCount val="6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'Info GRaf'!$L$4</c:f>
              <c:strCache>
                <c:ptCount val="1"/>
                <c:pt idx="0">
                  <c:v>Rentabilidade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25400">
              <a:noFill/>
            </a:ln>
            <a:effectLst>
              <a:innerShdw dist="12700" dir="16200000">
                <a:schemeClr val="lt1"/>
              </a:innerShdw>
            </a:effectLst>
          </c:spPr>
          <c:val>
            <c:numRef>
              <c:f>'Info GRaf'!$L$5:$L$700</c:f>
              <c:numCache>
                <c:formatCode>_(* #,##0.00_);_(* \(#,##0.00\);_(* "-"??_);_(@_)</c:formatCode>
                <c:ptCount val="6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31777616"/>
        <c:axId val="-531756944"/>
      </c:areaChart>
      <c:dateAx>
        <c:axId val="-53177761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31756944"/>
        <c:crosses val="autoZero"/>
        <c:auto val="1"/>
        <c:lblOffset val="100"/>
        <c:baseTimeUnit val="months"/>
      </c:dateAx>
      <c:valAx>
        <c:axId val="-5317569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R$&quot;\ 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31777616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4599905526147464E-2"/>
                <c:y val="0.15596955245348568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040893509164122E-2"/>
          <c:y val="0.89750948943376929"/>
          <c:w val="0.93898187893454554"/>
          <c:h val="0.1003076195591556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4981058964673"/>
          <c:y val="6.0771733565404495E-2"/>
          <c:w val="0.80321434427479466"/>
          <c:h val="0.6437673144313476"/>
        </c:manualLayout>
      </c:layout>
      <c:areaChart>
        <c:grouping val="standard"/>
        <c:varyColors val="0"/>
        <c:ser>
          <c:idx val="0"/>
          <c:order val="0"/>
          <c:tx>
            <c:strRef>
              <c:f>'Info GRaf'!$O$4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</c:spPr>
          <c:cat>
            <c:strRef>
              <c:f>'CÁLCULO FUNPRESP'!$U$5:$U$700</c:f>
              <c:strCache>
                <c:ptCount val="1"/>
                <c:pt idx="0">
                  <c:v>31/07/2037</c:v>
                </c:pt>
              </c:strCache>
            </c:strRef>
          </c:cat>
          <c:val>
            <c:numRef>
              <c:f>'Info GRaf'!$O$5:$O$700</c:f>
              <c:numCache>
                <c:formatCode>_(* #,##0.00_);_(* \(#,##0.00\);_(* "-"??_);_(@_)</c:formatCode>
                <c:ptCount val="6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31785232"/>
        <c:axId val="-531780880"/>
      </c:areaChart>
      <c:dateAx>
        <c:axId val="-53178523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31780880"/>
        <c:crosses val="autoZero"/>
        <c:auto val="1"/>
        <c:lblOffset val="100"/>
        <c:baseTimeUnit val="months"/>
        <c:majorUnit val="12"/>
      </c:dateAx>
      <c:valAx>
        <c:axId val="-5317808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R$&quot;\ 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317852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7711177067954914E-5"/>
                <c:y val="0.17057542503398501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46501945877482E-2"/>
          <c:y val="0.1082695921113092"/>
          <c:w val="0.62159833469092229"/>
          <c:h val="0.7768415693815954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'Info GRaf'!$D$4</c:f>
              <c:strCache>
                <c:ptCount val="1"/>
                <c:pt idx="0">
                  <c:v>RPPS com migração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 GRaf'!$A$5:$A$7</c:f>
              <c:strCache>
                <c:ptCount val="3"/>
                <c:pt idx="0">
                  <c:v>Salário</c:v>
                </c:pt>
                <c:pt idx="1">
                  <c:v>Benefício Sem Migração</c:v>
                </c:pt>
                <c:pt idx="2">
                  <c:v>Benefício Com Migração</c:v>
                </c:pt>
              </c:strCache>
            </c:strRef>
          </c:cat>
          <c:val>
            <c:numRef>
              <c:f>'Info GRaf'!$D$5:$D$7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'Info GRaf'!$E$4</c:f>
              <c:strCache>
                <c:ptCount val="1"/>
                <c:pt idx="0">
                  <c:v>RPPS Especial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 GRaf'!$A$5:$A$7</c:f>
              <c:strCache>
                <c:ptCount val="3"/>
                <c:pt idx="0">
                  <c:v>Salário</c:v>
                </c:pt>
                <c:pt idx="1">
                  <c:v>Benefício Sem Migração</c:v>
                </c:pt>
                <c:pt idx="2">
                  <c:v>Benefício Com Migração</c:v>
                </c:pt>
              </c:strCache>
            </c:strRef>
          </c:cat>
          <c:val>
            <c:numRef>
              <c:f>'Info GRaf'!$E$5:$E$7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2"/>
          <c:tx>
            <c:strRef>
              <c:f>'Info GRaf'!$G$4</c:f>
              <c:strCache>
                <c:ptCount val="1"/>
                <c:pt idx="0">
                  <c:v>Funpresp Suplementar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'Info GRaf'!$G$5:$G$7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3"/>
          <c:tx>
            <c:strRef>
              <c:f>'Info GRaf'!$C$4</c:f>
              <c:strCache>
                <c:ptCount val="1"/>
                <c:pt idx="0">
                  <c:v>RPPS Regra Atual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'Info GRaf'!$C$5:$C$7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4"/>
          <c:tx>
            <c:strRef>
              <c:f>'Info GRaf'!$F$4</c:f>
              <c:strCache>
                <c:ptCount val="1"/>
                <c:pt idx="0">
                  <c:v>Funpresp Ap. Normal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 GRaf'!$A$5:$A$7</c:f>
              <c:strCache>
                <c:ptCount val="3"/>
                <c:pt idx="0">
                  <c:v>Salário</c:v>
                </c:pt>
                <c:pt idx="1">
                  <c:v>Benefício Sem Migração</c:v>
                </c:pt>
                <c:pt idx="2">
                  <c:v>Benefício Com Migração</c:v>
                </c:pt>
              </c:strCache>
            </c:strRef>
          </c:cat>
          <c:val>
            <c:numRef>
              <c:f>'Info GRaf'!$F$5:$F$7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5"/>
          <c:tx>
            <c:strRef>
              <c:f>'Info GRaf'!$B$4</c:f>
              <c:strCache>
                <c:ptCount val="1"/>
                <c:pt idx="0">
                  <c:v>Salário Atual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 GRaf'!$A$5:$A$7</c:f>
              <c:strCache>
                <c:ptCount val="3"/>
                <c:pt idx="0">
                  <c:v>Salário</c:v>
                </c:pt>
                <c:pt idx="1">
                  <c:v>Benefício Sem Migração</c:v>
                </c:pt>
                <c:pt idx="2">
                  <c:v>Benefício Com Migração</c:v>
                </c:pt>
              </c:strCache>
            </c:strRef>
          </c:cat>
          <c:val>
            <c:numRef>
              <c:f>'Info GRaf'!$B$5:$B$7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overlap val="100"/>
        <c:axId val="-531759664"/>
        <c:axId val="-531772720"/>
      </c:barChart>
      <c:catAx>
        <c:axId val="-53175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31772720"/>
        <c:crosses val="autoZero"/>
        <c:auto val="1"/>
        <c:lblAlgn val="ctr"/>
        <c:lblOffset val="10"/>
        <c:noMultiLvlLbl val="0"/>
      </c:catAx>
      <c:valAx>
        <c:axId val="-53177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31759664"/>
        <c:crosses val="autoZero"/>
        <c:crossBetween val="between"/>
        <c:majorUnit val="5000"/>
        <c:minorUnit val="1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23589465109983"/>
          <c:y val="3.7667304977747805E-2"/>
          <c:w val="0.2687296225902796"/>
          <c:h val="0.9246646709557913"/>
        </c:manualLayout>
      </c:layout>
      <c:overlay val="0"/>
      <c:spPr>
        <a:solidFill>
          <a:schemeClr val="bg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pattFill prst="ltDnDiag">
      <a:fgClr>
        <a:srgbClr val="D9D9D9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57150</xdr:rowOff>
    </xdr:from>
    <xdr:to>
      <xdr:col>14</xdr:col>
      <xdr:colOff>38100</xdr:colOff>
      <xdr:row>3</xdr:row>
      <xdr:rowOff>93345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1525" y="238125"/>
          <a:ext cx="7124700" cy="1360170"/>
        </a:xfrm>
        <a:prstGeom prst="rect">
          <a:avLst/>
        </a:prstGeom>
      </xdr:spPr>
    </xdr:pic>
    <xdr:clientData/>
  </xdr:twoCellAnchor>
  <xdr:twoCellAnchor>
    <xdr:from>
      <xdr:col>3</xdr:col>
      <xdr:colOff>135629</xdr:colOff>
      <xdr:row>111</xdr:row>
      <xdr:rowOff>24847</xdr:rowOff>
    </xdr:from>
    <xdr:to>
      <xdr:col>6</xdr:col>
      <xdr:colOff>695740</xdr:colOff>
      <xdr:row>121</xdr:row>
      <xdr:rowOff>160682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74544</xdr:colOff>
      <xdr:row>111</xdr:row>
      <xdr:rowOff>33130</xdr:rowOff>
    </xdr:from>
    <xdr:to>
      <xdr:col>13</xdr:col>
      <xdr:colOff>690562</xdr:colOff>
      <xdr:row>121</xdr:row>
      <xdr:rowOff>149226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123825</xdr:colOff>
      <xdr:row>103</xdr:row>
      <xdr:rowOff>28575</xdr:rowOff>
    </xdr:from>
    <xdr:to>
      <xdr:col>13</xdr:col>
      <xdr:colOff>685800</xdr:colOff>
      <xdr:row>109</xdr:row>
      <xdr:rowOff>76199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28575</xdr:rowOff>
    </xdr:from>
    <xdr:to>
      <xdr:col>3</xdr:col>
      <xdr:colOff>746459</xdr:colOff>
      <xdr:row>1</xdr:row>
      <xdr:rowOff>723900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42875"/>
          <a:ext cx="1537034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4341437755\Downloads\SIMULADOR%20MIGRA&#199;&#195;O%20-%20VCA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AS RPPS"/>
      <sheetName val="IPCA"/>
      <sheetName val="Tabua(fem)"/>
      <sheetName val="Tabua(masc)"/>
      <sheetName val="PREMISSAS"/>
      <sheetName val="ELEGIBILIDADE"/>
      <sheetName val="CÁLCULO RPPS"/>
      <sheetName val="CÁLCULO FUNPRESP"/>
      <sheetName val="RESULTADOS"/>
      <sheetName val="CONFIG"/>
      <sheetName val="LST"/>
      <sheetName val="HOME"/>
      <sheetName val="SIMULAC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C2">
            <v>1</v>
          </cell>
        </row>
        <row r="23">
          <cell r="C23">
            <v>8000</v>
          </cell>
        </row>
      </sheetData>
      <sheetData sheetId="10">
        <row r="3">
          <cell r="C3">
            <v>7.4999999999999997E-2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3:AB34"/>
  <sheetViews>
    <sheetView topLeftCell="U1" workbookViewId="0">
      <selection activeCell="AB15" sqref="AB15"/>
    </sheetView>
  </sheetViews>
  <sheetFormatPr defaultRowHeight="15" x14ac:dyDescent="0.25"/>
  <cols>
    <col min="2" max="3" width="2.85546875" customWidth="1"/>
    <col min="4" max="4" width="75" customWidth="1"/>
    <col min="5" max="5" width="3.140625" customWidth="1"/>
    <col min="6" max="7" width="2.85546875" customWidth="1"/>
    <col min="8" max="8" width="85.5703125" bestFit="1" customWidth="1"/>
    <col min="9" max="9" width="3.140625" customWidth="1"/>
    <col min="10" max="11" width="2.85546875" customWidth="1"/>
    <col min="12" max="12" width="52.42578125" customWidth="1"/>
    <col min="13" max="13" width="3.140625" customWidth="1"/>
    <col min="14" max="15" width="2.85546875" customWidth="1"/>
    <col min="16" max="16" width="54.42578125" customWidth="1"/>
    <col min="17" max="17" width="3.140625" customWidth="1"/>
    <col min="18" max="19" width="2.85546875" customWidth="1"/>
    <col min="20" max="20" width="64.140625" bestFit="1" customWidth="1"/>
    <col min="21" max="21" width="3.140625" customWidth="1"/>
    <col min="22" max="23" width="2.7109375" customWidth="1"/>
    <col min="24" max="24" width="48.140625" customWidth="1"/>
    <col min="25" max="25" width="3.140625" customWidth="1"/>
    <col min="26" max="27" width="2.85546875" customWidth="1"/>
    <col min="28" max="28" width="73.85546875" bestFit="1" customWidth="1"/>
  </cols>
  <sheetData>
    <row r="3" spans="2:28" x14ac:dyDescent="0.25">
      <c r="B3" s="32" t="s">
        <v>62</v>
      </c>
      <c r="F3" s="32" t="s">
        <v>74</v>
      </c>
      <c r="J3" s="32" t="s">
        <v>86</v>
      </c>
      <c r="N3" s="33" t="s">
        <v>94</v>
      </c>
      <c r="R3" s="33" t="s">
        <v>93</v>
      </c>
      <c r="V3" s="41" t="s">
        <v>93</v>
      </c>
      <c r="Z3" s="31" t="s">
        <v>99</v>
      </c>
    </row>
    <row r="4" spans="2:28" x14ac:dyDescent="0.25">
      <c r="O4" s="33" t="s">
        <v>95</v>
      </c>
      <c r="W4" s="41" t="s">
        <v>108</v>
      </c>
      <c r="AA4" s="31" t="s">
        <v>100</v>
      </c>
    </row>
    <row r="5" spans="2:28" x14ac:dyDescent="0.25">
      <c r="B5" t="s">
        <v>63</v>
      </c>
      <c r="F5" t="s">
        <v>63</v>
      </c>
      <c r="J5" t="s">
        <v>63</v>
      </c>
      <c r="N5" t="s">
        <v>63</v>
      </c>
      <c r="R5" t="s">
        <v>63</v>
      </c>
      <c r="V5" t="s">
        <v>63</v>
      </c>
      <c r="Z5" t="s">
        <v>63</v>
      </c>
    </row>
    <row r="6" spans="2:28" s="5" customFormat="1" x14ac:dyDescent="0.25">
      <c r="C6" s="5" t="s">
        <v>64</v>
      </c>
      <c r="G6" s="5" t="s">
        <v>64</v>
      </c>
      <c r="K6" s="5" t="s">
        <v>64</v>
      </c>
      <c r="O6" s="5" t="s">
        <v>64</v>
      </c>
      <c r="W6" s="5" t="s">
        <v>64</v>
      </c>
    </row>
    <row r="7" spans="2:28" x14ac:dyDescent="0.25">
      <c r="D7" t="s">
        <v>66</v>
      </c>
      <c r="H7" t="s">
        <v>66</v>
      </c>
      <c r="L7" t="s">
        <v>66</v>
      </c>
      <c r="P7" t="s">
        <v>66</v>
      </c>
      <c r="T7" t="s">
        <v>66</v>
      </c>
      <c r="X7" t="s">
        <v>66</v>
      </c>
      <c r="AB7" t="s">
        <v>66</v>
      </c>
    </row>
    <row r="8" spans="2:28" x14ac:dyDescent="0.25">
      <c r="D8" t="s">
        <v>65</v>
      </c>
      <c r="H8" t="s">
        <v>79</v>
      </c>
      <c r="L8" t="s">
        <v>65</v>
      </c>
      <c r="P8" t="s">
        <v>97</v>
      </c>
      <c r="T8" t="s">
        <v>65</v>
      </c>
      <c r="X8" t="s">
        <v>65</v>
      </c>
      <c r="AB8" t="s">
        <v>65</v>
      </c>
    </row>
    <row r="9" spans="2:28" x14ac:dyDescent="0.25">
      <c r="H9" s="29" t="s">
        <v>75</v>
      </c>
      <c r="L9" s="29" t="s">
        <v>76</v>
      </c>
      <c r="P9" s="28" t="s">
        <v>75</v>
      </c>
      <c r="T9" s="28" t="s">
        <v>76</v>
      </c>
      <c r="X9" s="28" t="s">
        <v>76</v>
      </c>
      <c r="AB9" s="28" t="s">
        <v>76</v>
      </c>
    </row>
    <row r="10" spans="2:28" x14ac:dyDescent="0.25">
      <c r="H10" s="29" t="s">
        <v>77</v>
      </c>
      <c r="L10" s="29" t="s">
        <v>77</v>
      </c>
      <c r="P10" s="28" t="s">
        <v>77</v>
      </c>
      <c r="T10" s="28" t="s">
        <v>77</v>
      </c>
      <c r="X10" s="28" t="s">
        <v>77</v>
      </c>
      <c r="AB10" s="28" t="s">
        <v>77</v>
      </c>
    </row>
    <row r="11" spans="2:28" x14ac:dyDescent="0.25">
      <c r="L11" s="29" t="s">
        <v>78</v>
      </c>
      <c r="P11" s="29"/>
      <c r="T11" s="28" t="s">
        <v>78</v>
      </c>
      <c r="X11" s="28" t="s">
        <v>78</v>
      </c>
      <c r="AB11" s="28" t="s">
        <v>78</v>
      </c>
    </row>
    <row r="12" spans="2:28" x14ac:dyDescent="0.25">
      <c r="L12" s="29"/>
      <c r="P12" s="29"/>
      <c r="T12" s="28"/>
      <c r="X12" s="29" t="s">
        <v>98</v>
      </c>
      <c r="AB12" s="28"/>
    </row>
    <row r="14" spans="2:28" x14ac:dyDescent="0.25">
      <c r="D14" t="s">
        <v>67</v>
      </c>
      <c r="H14" t="s">
        <v>67</v>
      </c>
      <c r="L14" t="s">
        <v>67</v>
      </c>
      <c r="P14" t="s">
        <v>67</v>
      </c>
      <c r="T14" t="s">
        <v>67</v>
      </c>
      <c r="X14" t="s">
        <v>67</v>
      </c>
      <c r="AB14" t="s">
        <v>67</v>
      </c>
    </row>
    <row r="15" spans="2:28" x14ac:dyDescent="0.25">
      <c r="D15" t="s">
        <v>68</v>
      </c>
      <c r="H15" t="s">
        <v>68</v>
      </c>
      <c r="L15" t="s">
        <v>68</v>
      </c>
      <c r="P15" s="29" t="s">
        <v>96</v>
      </c>
      <c r="T15" s="29" t="s">
        <v>96</v>
      </c>
      <c r="X15" t="s">
        <v>68</v>
      </c>
      <c r="AB15" s="29" t="s">
        <v>104</v>
      </c>
    </row>
    <row r="17" spans="3:28" s="5" customFormat="1" x14ac:dyDescent="0.25">
      <c r="C17" s="5" t="s">
        <v>69</v>
      </c>
      <c r="G17" s="5" t="s">
        <v>69</v>
      </c>
      <c r="K17" s="5" t="s">
        <v>82</v>
      </c>
      <c r="O17" s="5" t="s">
        <v>82</v>
      </c>
      <c r="S17" s="38"/>
      <c r="T17" s="38"/>
      <c r="W17" s="38"/>
      <c r="X17" s="38"/>
      <c r="AA17" s="38"/>
      <c r="AB17" s="38"/>
    </row>
    <row r="18" spans="3:28" x14ac:dyDescent="0.25">
      <c r="D18" t="s">
        <v>66</v>
      </c>
      <c r="H18" t="s">
        <v>66</v>
      </c>
      <c r="L18" t="s">
        <v>66</v>
      </c>
      <c r="P18" t="s">
        <v>66</v>
      </c>
      <c r="S18" s="39"/>
      <c r="T18" s="39"/>
      <c r="W18" s="38"/>
      <c r="X18" s="38"/>
      <c r="AA18" s="39"/>
      <c r="AB18" s="39"/>
    </row>
    <row r="19" spans="3:28" x14ac:dyDescent="0.25">
      <c r="D19" t="s">
        <v>70</v>
      </c>
      <c r="H19" t="s">
        <v>80</v>
      </c>
      <c r="L19" t="s">
        <v>65</v>
      </c>
      <c r="P19" t="s">
        <v>65</v>
      </c>
      <c r="S19" s="39"/>
      <c r="T19" s="39"/>
      <c r="W19" s="38"/>
      <c r="X19" s="38"/>
      <c r="AA19" s="39"/>
      <c r="AB19" s="39"/>
    </row>
    <row r="20" spans="3:28" x14ac:dyDescent="0.25">
      <c r="H20" s="29" t="s">
        <v>75</v>
      </c>
      <c r="L20" s="29" t="s">
        <v>76</v>
      </c>
      <c r="P20" s="29" t="s">
        <v>76</v>
      </c>
      <c r="S20" s="39"/>
      <c r="T20" s="40"/>
      <c r="W20" s="38"/>
      <c r="X20" s="38"/>
      <c r="AA20" s="39"/>
      <c r="AB20" s="40"/>
    </row>
    <row r="21" spans="3:28" x14ac:dyDescent="0.25">
      <c r="H21" s="29" t="s">
        <v>77</v>
      </c>
      <c r="L21" s="29" t="s">
        <v>77</v>
      </c>
      <c r="P21" s="29" t="s">
        <v>77</v>
      </c>
      <c r="S21" s="39"/>
      <c r="T21" s="40"/>
      <c r="W21" s="38"/>
      <c r="X21" s="38"/>
      <c r="AA21" s="39"/>
      <c r="AB21" s="40"/>
    </row>
    <row r="22" spans="3:28" x14ac:dyDescent="0.25">
      <c r="L22" s="29" t="s">
        <v>78</v>
      </c>
      <c r="P22" s="29" t="s">
        <v>78</v>
      </c>
      <c r="S22" s="39"/>
      <c r="T22" s="40"/>
      <c r="W22" s="38"/>
      <c r="X22" s="38"/>
      <c r="AA22" s="39"/>
      <c r="AB22" s="40"/>
    </row>
    <row r="23" spans="3:28" x14ac:dyDescent="0.25">
      <c r="L23" s="29"/>
      <c r="P23" s="29"/>
      <c r="S23" s="39"/>
      <c r="T23" s="40"/>
      <c r="W23" s="38"/>
      <c r="X23" s="38"/>
      <c r="AA23" s="39"/>
      <c r="AB23" s="40"/>
    </row>
    <row r="24" spans="3:28" x14ac:dyDescent="0.25">
      <c r="D24" t="s">
        <v>67</v>
      </c>
      <c r="H24" t="s">
        <v>67</v>
      </c>
      <c r="L24" t="s">
        <v>67</v>
      </c>
      <c r="P24" t="s">
        <v>67</v>
      </c>
      <c r="S24" s="39"/>
      <c r="T24" s="39"/>
      <c r="W24" s="38"/>
      <c r="X24" s="38"/>
      <c r="AA24" s="39"/>
      <c r="AB24" s="39"/>
    </row>
    <row r="25" spans="3:28" x14ac:dyDescent="0.25">
      <c r="D25" t="s">
        <v>71</v>
      </c>
      <c r="H25" t="s">
        <v>91</v>
      </c>
      <c r="L25" t="s">
        <v>81</v>
      </c>
      <c r="P25" t="s">
        <v>81</v>
      </c>
      <c r="S25" s="39"/>
      <c r="T25" s="39"/>
      <c r="W25" s="38"/>
      <c r="X25" s="38"/>
      <c r="AA25" s="39"/>
      <c r="AB25" s="39"/>
    </row>
    <row r="26" spans="3:28" x14ac:dyDescent="0.25">
      <c r="S26" s="39"/>
      <c r="T26" s="39"/>
      <c r="W26" s="38"/>
      <c r="X26" s="38"/>
      <c r="AA26" s="39"/>
      <c r="AB26" s="39"/>
    </row>
    <row r="27" spans="3:28" s="5" customFormat="1" x14ac:dyDescent="0.25">
      <c r="C27" s="5" t="s">
        <v>72</v>
      </c>
      <c r="G27" s="5" t="s">
        <v>72</v>
      </c>
      <c r="K27" s="5" t="s">
        <v>72</v>
      </c>
      <c r="O27" s="5" t="s">
        <v>72</v>
      </c>
      <c r="S27" s="34" t="s">
        <v>50</v>
      </c>
      <c r="W27" s="38"/>
      <c r="X27" s="38"/>
      <c r="AA27" s="34" t="s">
        <v>50</v>
      </c>
    </row>
    <row r="28" spans="3:28" x14ac:dyDescent="0.25">
      <c r="D28" t="s">
        <v>66</v>
      </c>
      <c r="H28" t="s">
        <v>66</v>
      </c>
      <c r="L28" t="s">
        <v>66</v>
      </c>
      <c r="P28" t="s">
        <v>66</v>
      </c>
      <c r="T28" t="s">
        <v>66</v>
      </c>
      <c r="W28" s="38"/>
      <c r="X28" s="38"/>
      <c r="AB28" t="s">
        <v>66</v>
      </c>
    </row>
    <row r="29" spans="3:28" x14ac:dyDescent="0.25">
      <c r="D29" t="s">
        <v>73</v>
      </c>
      <c r="H29" t="s">
        <v>73</v>
      </c>
      <c r="L29" t="s">
        <v>73</v>
      </c>
      <c r="P29" t="s">
        <v>73</v>
      </c>
      <c r="T29" t="s">
        <v>73</v>
      </c>
      <c r="W29" s="38"/>
      <c r="X29" s="38"/>
      <c r="AB29" t="s">
        <v>73</v>
      </c>
    </row>
    <row r="30" spans="3:28" x14ac:dyDescent="0.25">
      <c r="P30" s="29" t="s">
        <v>77</v>
      </c>
      <c r="T30" t="s">
        <v>77</v>
      </c>
      <c r="W30" s="38"/>
      <c r="X30" s="38"/>
      <c r="AB30" t="s">
        <v>77</v>
      </c>
    </row>
    <row r="31" spans="3:28" x14ac:dyDescent="0.25">
      <c r="P31" s="29" t="s">
        <v>78</v>
      </c>
      <c r="T31" t="s">
        <v>78</v>
      </c>
      <c r="W31" s="38"/>
      <c r="X31" s="38"/>
      <c r="AB31" t="s">
        <v>78</v>
      </c>
    </row>
    <row r="32" spans="3:28" x14ac:dyDescent="0.25">
      <c r="W32" s="38"/>
      <c r="X32" s="38"/>
    </row>
    <row r="33" spans="4:28" x14ac:dyDescent="0.25">
      <c r="D33" t="s">
        <v>67</v>
      </c>
      <c r="H33" t="s">
        <v>67</v>
      </c>
      <c r="L33" t="s">
        <v>67</v>
      </c>
      <c r="P33" t="s">
        <v>67</v>
      </c>
      <c r="T33" t="s">
        <v>67</v>
      </c>
      <c r="W33" s="38"/>
      <c r="X33" s="38"/>
      <c r="AB33" s="29"/>
    </row>
    <row r="34" spans="4:28" x14ac:dyDescent="0.25">
      <c r="D34" t="s">
        <v>71</v>
      </c>
      <c r="H34" t="s">
        <v>71</v>
      </c>
      <c r="L34" t="s">
        <v>71</v>
      </c>
      <c r="P34" t="s">
        <v>71</v>
      </c>
      <c r="T34" s="29" t="s">
        <v>92</v>
      </c>
      <c r="W34" s="38"/>
      <c r="X34" s="38"/>
      <c r="AB34" s="29" t="s">
        <v>105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P654"/>
  <sheetViews>
    <sheetView workbookViewId="0">
      <selection activeCell="L32" sqref="L32"/>
    </sheetView>
  </sheetViews>
  <sheetFormatPr defaultRowHeight="15" x14ac:dyDescent="0.25"/>
  <cols>
    <col min="1" max="1" width="3.42578125" customWidth="1"/>
    <col min="2" max="2" width="45.85546875" customWidth="1"/>
    <col min="3" max="3" width="13.28515625" bestFit="1" customWidth="1"/>
    <col min="4" max="4" width="7.140625" customWidth="1"/>
    <col min="5" max="5" width="43.85546875" bestFit="1" customWidth="1"/>
    <col min="6" max="6" width="11.5703125" bestFit="1" customWidth="1"/>
    <col min="7" max="7" width="2.85546875" customWidth="1"/>
    <col min="8" max="8" width="35.5703125" customWidth="1"/>
    <col min="9" max="9" width="9.5703125" bestFit="1" customWidth="1"/>
    <col min="10" max="10" width="2.85546875" customWidth="1"/>
    <col min="11" max="11" width="47" customWidth="1"/>
    <col min="12" max="13" width="15.42578125" customWidth="1"/>
    <col min="14" max="14" width="7.140625" customWidth="1"/>
    <col min="15" max="15" width="10.7109375" bestFit="1" customWidth="1"/>
    <col min="16" max="16" width="16.5703125" customWidth="1"/>
  </cols>
  <sheetData>
    <row r="1" spans="2:16" ht="15.75" thickBot="1" x14ac:dyDescent="0.3"/>
    <row r="2" spans="2:16" ht="15.75" thickBot="1" x14ac:dyDescent="0.3">
      <c r="B2" s="259" t="s">
        <v>22</v>
      </c>
      <c r="C2" s="261"/>
      <c r="O2" s="280" t="s">
        <v>164</v>
      </c>
      <c r="P2" s="280"/>
    </row>
    <row r="3" spans="2:16" x14ac:dyDescent="0.25">
      <c r="B3" s="80" t="s">
        <v>4</v>
      </c>
      <c r="C3" s="156">
        <f ca="1">TODAY()</f>
        <v>43550</v>
      </c>
      <c r="O3" s="280"/>
      <c r="P3" s="280"/>
    </row>
    <row r="4" spans="2:16" x14ac:dyDescent="0.25">
      <c r="B4" s="80" t="s">
        <v>0</v>
      </c>
      <c r="C4" s="157"/>
      <c r="O4" s="9" t="s">
        <v>24</v>
      </c>
      <c r="P4" s="9" t="s">
        <v>3</v>
      </c>
    </row>
    <row r="5" spans="2:16" x14ac:dyDescent="0.25">
      <c r="B5" s="81" t="s">
        <v>1</v>
      </c>
      <c r="C5" s="156">
        <f>Painel!I9</f>
        <v>27414</v>
      </c>
      <c r="E5" s="139" t="s">
        <v>176</v>
      </c>
      <c r="F5" s="140">
        <f ca="1">YEARFRAC(C5,$C$3,1)</f>
        <v>44.178632270625457</v>
      </c>
      <c r="O5" s="21">
        <f>EOMONTH(C9,0)</f>
        <v>37468</v>
      </c>
      <c r="P5" s="4">
        <f>'Histórico de Remunerações'!E7</f>
        <v>0</v>
      </c>
    </row>
    <row r="6" spans="2:16" x14ac:dyDescent="0.25">
      <c r="B6" s="81" t="s">
        <v>2</v>
      </c>
      <c r="C6" s="158" t="str">
        <f>Painel!I11</f>
        <v>M</v>
      </c>
      <c r="O6" s="21">
        <f ca="1">IFERROR(IF(LEFT(O5,2)="13",DATE(RIGHT(O5,4),12,31),IF(EOMONTH(O5,1)&gt;PREMISSAS!$C$3,"",IF(MONTH(O5)=11,"13º "&amp;YEAR(O5),EOMONTH(O5,1)))),"")</f>
        <v>37499</v>
      </c>
      <c r="P6" s="4">
        <f>'Histórico de Remunerações'!E8</f>
        <v>0</v>
      </c>
    </row>
    <row r="7" spans="2:16" x14ac:dyDescent="0.25">
      <c r="B7" s="81" t="s">
        <v>48</v>
      </c>
      <c r="C7" s="159">
        <f ca="1">Painel!I23</f>
        <v>0</v>
      </c>
      <c r="O7" s="21">
        <f ca="1">IFERROR(IF(LEFT(O6,2)="13",DATE(RIGHT(O6,4),12,31),IF(EOMONTH(O6,1)&gt;PREMISSAS!$C$3,"",IF(MONTH(O6)=11,"13º "&amp;YEAR(O6),EOMONTH(O6,1)))),"")</f>
        <v>37529</v>
      </c>
      <c r="P7" s="4">
        <f>'Histórico de Remunerações'!E9</f>
        <v>0</v>
      </c>
    </row>
    <row r="8" spans="2:16" x14ac:dyDescent="0.25">
      <c r="B8" s="81" t="s">
        <v>236</v>
      </c>
      <c r="C8" s="156">
        <f>Painel!I13</f>
        <v>37438</v>
      </c>
      <c r="E8" s="139" t="s">
        <v>238</v>
      </c>
      <c r="F8" s="140">
        <f ca="1">YEARFRAC(C8,$C$3,1)</f>
        <v>16.735016732582903</v>
      </c>
      <c r="O8" s="21">
        <f ca="1">IFERROR(IF(LEFT(O7,2)="13",DATE(RIGHT(O7,4),12,31),IF(EOMONTH(O7,1)&gt;PREMISSAS!$C$3,"",IF(MONTH(O7)=11,"13º "&amp;YEAR(O7),EOMONTH(O7,1)))),"")</f>
        <v>37560</v>
      </c>
      <c r="P8" s="4">
        <f>'Histórico de Remunerações'!E10</f>
        <v>0</v>
      </c>
    </row>
    <row r="9" spans="2:16" x14ac:dyDescent="0.25">
      <c r="B9" s="81" t="s">
        <v>117</v>
      </c>
      <c r="C9" s="156">
        <f>EOMONTH(C8,IF(Painel!I19="NÃO",0,-(Painel!K19*12+Painel!M19)))</f>
        <v>37468</v>
      </c>
      <c r="E9" s="139" t="s">
        <v>177</v>
      </c>
      <c r="F9" s="140">
        <f ca="1">YEARFRAC(C9,$C$3,1)</f>
        <v>16.652874961971403</v>
      </c>
      <c r="O9" s="21">
        <f ca="1">IFERROR(IF(LEFT(O8,2)="13",DATE(RIGHT(O8,4),12,31),IF(EOMONTH(O8,1)&gt;PREMISSAS!$C$3,"",IF(MONTH(O8)=11,"13º "&amp;YEAR(O8),EOMONTH(O8,1)))),"")</f>
        <v>37590</v>
      </c>
      <c r="P9" s="4">
        <f>'Histórico de Remunerações'!E11</f>
        <v>0</v>
      </c>
    </row>
    <row r="10" spans="2:16" x14ac:dyDescent="0.25">
      <c r="B10" s="81" t="s">
        <v>116</v>
      </c>
      <c r="C10" s="156">
        <f>Painel!I15</f>
        <v>37438</v>
      </c>
      <c r="E10" s="139" t="s">
        <v>239</v>
      </c>
      <c r="F10" s="140">
        <f ca="1">YEARFRAC(C10,$C$3,1)</f>
        <v>16.735016732582903</v>
      </c>
      <c r="O10" s="21" t="str">
        <f ca="1">IFERROR(IF(LEFT(O9,2)="13",DATE(RIGHT(O9,4),12,31),IF(EOMONTH(O9,1)&gt;PREMISSAS!$C$3,"",IF(MONTH(O9)=11,"13º "&amp;YEAR(O9),EOMONTH(O9,1)))),"")</f>
        <v>13º 2002</v>
      </c>
      <c r="P10" s="4">
        <f>'Histórico de Remunerações'!E12</f>
        <v>0</v>
      </c>
    </row>
    <row r="11" spans="2:16" x14ac:dyDescent="0.25">
      <c r="B11" s="81" t="s">
        <v>279</v>
      </c>
      <c r="C11" s="156">
        <f>EOMONTH(C9,IF(Painel!I21="NÃO",0,-(Painel!K21*12+Painel!M21)))</f>
        <v>37468</v>
      </c>
      <c r="E11" s="155"/>
      <c r="F11" s="69"/>
      <c r="O11" s="21">
        <f ca="1">IFERROR(IF(LEFT(O10,2)="13",DATE(RIGHT(O10,4),12,31),IF(EOMONTH(O10,1)&gt;PREMISSAS!$C$3,"",IF(MONTH(O10)=11,"13º "&amp;YEAR(O10),EOMONTH(O10,1)))),"")</f>
        <v>37621</v>
      </c>
      <c r="P11" s="4">
        <f>'Histórico de Remunerações'!E13</f>
        <v>0</v>
      </c>
    </row>
    <row r="12" spans="2:16" x14ac:dyDescent="0.25">
      <c r="B12" s="81" t="s">
        <v>12</v>
      </c>
      <c r="C12" s="158" t="str">
        <f>Painel!I17</f>
        <v>NÃO</v>
      </c>
      <c r="O12" s="21">
        <f ca="1">IFERROR(IF(LEFT(O11,2)="13",DATE(RIGHT(O11,4),12,31),IF(EOMONTH(O11,1)&gt;PREMISSAS!$C$3,"",IF(MONTH(O11)=11,"13º "&amp;YEAR(O11),EOMONTH(O11,1)))),"")</f>
        <v>37652</v>
      </c>
      <c r="P12" s="4">
        <f>'Histórico de Remunerações'!E14</f>
        <v>0</v>
      </c>
    </row>
    <row r="13" spans="2:16" x14ac:dyDescent="0.25">
      <c r="B13" s="81" t="s">
        <v>15</v>
      </c>
      <c r="C13" s="158" t="str">
        <f>Painel!I21</f>
        <v>NÃO</v>
      </c>
      <c r="O13" s="21">
        <f ca="1">IFERROR(IF(LEFT(O12,2)="13",DATE(RIGHT(O12,4),12,31),IF(EOMONTH(O12,1)&gt;PREMISSAS!$C$3,"",IF(MONTH(O12)=11,"13º "&amp;YEAR(O12),EOMONTH(O12,1)))),"")</f>
        <v>37680</v>
      </c>
      <c r="P13" s="4">
        <f>'Histórico de Remunerações'!E15</f>
        <v>0</v>
      </c>
    </row>
    <row r="14" spans="2:16" ht="15.75" thickBot="1" x14ac:dyDescent="0.3">
      <c r="B14" s="81" t="s">
        <v>16</v>
      </c>
      <c r="C14" s="158">
        <f>Painel!K21</f>
        <v>17</v>
      </c>
      <c r="O14" s="21">
        <f ca="1">IFERROR(IF(LEFT(O13,2)="13",DATE(RIGHT(O13,4),12,31),IF(EOMONTH(O13,1)&gt;PREMISSAS!$C$3,"",IF(MONTH(O13)=11,"13º "&amp;YEAR(O13),EOMONTH(O13,1)))),"")</f>
        <v>37711</v>
      </c>
      <c r="P14" s="4">
        <f>'Histórico de Remunerações'!E16</f>
        <v>0</v>
      </c>
    </row>
    <row r="15" spans="2:16" x14ac:dyDescent="0.25">
      <c r="B15" s="81" t="s">
        <v>17</v>
      </c>
      <c r="C15" s="158">
        <f>Painel!M21</f>
        <v>0</v>
      </c>
      <c r="K15" s="87" t="s">
        <v>187</v>
      </c>
      <c r="L15" s="161" t="str">
        <f>Painel!I89</f>
        <v>NÃO</v>
      </c>
      <c r="O15" s="21">
        <f ca="1">IFERROR(IF(LEFT(O14,2)="13",DATE(RIGHT(O14,4),12,31),IF(EOMONTH(O14,1)&gt;PREMISSAS!$C$3,"",IF(MONTH(O14)=11,"13º "&amp;YEAR(O14),EOMONTH(O14,1)))),"")</f>
        <v>37741</v>
      </c>
      <c r="P15" s="4">
        <f>'Histórico de Remunerações'!E17</f>
        <v>0</v>
      </c>
    </row>
    <row r="16" spans="2:16" ht="15.75" thickBot="1" x14ac:dyDescent="0.3">
      <c r="B16" s="81" t="s">
        <v>134</v>
      </c>
      <c r="C16" s="160">
        <f>Painel!I77</f>
        <v>8.5000000000000006E-2</v>
      </c>
      <c r="E16" s="138"/>
      <c r="K16" s="238" t="s">
        <v>186</v>
      </c>
      <c r="L16" s="239">
        <f>Painel!I91</f>
        <v>65</v>
      </c>
      <c r="O16" s="21">
        <f ca="1">IFERROR(IF(LEFT(O15,2)="13",DATE(RIGHT(O15,4),12,31),IF(EOMONTH(O15,1)&gt;PREMISSAS!$C$3,"",IF(MONTH(O15)=11,"13º "&amp;YEAR(O15),EOMONTH(O15,1)))),"")</f>
        <v>37772</v>
      </c>
      <c r="P16" s="4">
        <f>'Histórico de Remunerações'!E18</f>
        <v>0</v>
      </c>
    </row>
    <row r="17" spans="2:16" ht="15.75" thickBot="1" x14ac:dyDescent="0.3">
      <c r="B17" s="115" t="s">
        <v>165</v>
      </c>
      <c r="C17" s="158" t="str">
        <f ca="1">IF(C7&gt;PREMISSAS!$C$13,PREMISSAS!$U$12,PREMISSAS!$U$13)</f>
        <v>Alternativo</v>
      </c>
      <c r="D17" s="146" t="s">
        <v>185</v>
      </c>
      <c r="E17" s="146" t="s">
        <v>129</v>
      </c>
      <c r="F17" s="147">
        <f ca="1">IF(C17=PREMISSAS!U13,Painel!M75,0)</f>
        <v>0</v>
      </c>
      <c r="O17" s="21">
        <f ca="1">IFERROR(IF(LEFT(O16,2)="13",DATE(RIGHT(O16,4),12,31),IF(EOMONTH(O16,1)&gt;PREMISSAS!$C$3,"",IF(MONTH(O16)=11,"13º "&amp;YEAR(O16),EOMONTH(O16,1)))),"")</f>
        <v>37802</v>
      </c>
      <c r="P17" s="4">
        <f>'Histórico de Remunerações'!E19</f>
        <v>0</v>
      </c>
    </row>
    <row r="18" spans="2:16" x14ac:dyDescent="0.25">
      <c r="B18" s="81" t="s">
        <v>135</v>
      </c>
      <c r="C18" s="160">
        <v>2.5000000000000001E-2</v>
      </c>
      <c r="O18" s="21">
        <f ca="1">IFERROR(IF(LEFT(O17,2)="13",DATE(RIGHT(O17,4),12,31),IF(EOMONTH(O17,1)&gt;PREMISSAS!$C$3,"",IF(MONTH(O17)=11,"13º "&amp;YEAR(O17),EOMONTH(O17,1)))),"")</f>
        <v>37833</v>
      </c>
      <c r="P18" s="4">
        <f>'Histórico de Remunerações'!E20</f>
        <v>0</v>
      </c>
    </row>
    <row r="19" spans="2:16" ht="15.75" thickBot="1" x14ac:dyDescent="0.3">
      <c r="B19" s="82" t="s">
        <v>156</v>
      </c>
      <c r="C19" s="119">
        <f ca="1">INT(ELEGIBILIDADE!J9/12)</f>
        <v>23</v>
      </c>
      <c r="E19" s="138"/>
      <c r="O19" s="21">
        <f ca="1">IFERROR(IF(LEFT(O18,2)="13",DATE(RIGHT(O18,4),12,31),IF(EOMONTH(O18,1)&gt;PREMISSAS!$C$3,"",IF(MONTH(O18)=11,"13º "&amp;YEAR(O18),EOMONTH(O18,1)))),"")</f>
        <v>37864</v>
      </c>
      <c r="P19" s="4">
        <f>'Histórico de Remunerações'!E21</f>
        <v>0</v>
      </c>
    </row>
    <row r="20" spans="2:16" x14ac:dyDescent="0.25">
      <c r="O20" s="21">
        <f ca="1">IFERROR(IF(LEFT(O19,2)="13",DATE(RIGHT(O19,4),12,31),IF(EOMONTH(O19,1)&gt;PREMISSAS!$C$3,"",IF(MONTH(O19)=11,"13º "&amp;YEAR(O19),EOMONTH(O19,1)))),"")</f>
        <v>37894</v>
      </c>
      <c r="P20" s="4">
        <f>'Histórico de Remunerações'!E22</f>
        <v>0</v>
      </c>
    </row>
    <row r="21" spans="2:16" x14ac:dyDescent="0.25">
      <c r="O21" s="21">
        <f ca="1">IFERROR(IF(LEFT(O20,2)="13",DATE(RIGHT(O20,4),12,31),IF(EOMONTH(O20,1)&gt;PREMISSAS!$C$3,"",IF(MONTH(O20)=11,"13º "&amp;YEAR(O20),EOMONTH(O20,1)))),"")</f>
        <v>37925</v>
      </c>
      <c r="P21" s="4">
        <f>'Histórico de Remunerações'!E23</f>
        <v>0</v>
      </c>
    </row>
    <row r="22" spans="2:16" ht="18.75" x14ac:dyDescent="0.3">
      <c r="B22" s="286" t="s">
        <v>52</v>
      </c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8"/>
      <c r="O22" s="21">
        <f ca="1">IFERROR(IF(LEFT(O21,2)="13",DATE(RIGHT(O21,4),12,31),IF(EOMONTH(O21,1)&gt;PREMISSAS!$C$3,"",IF(MONTH(O21)=11,"13º "&amp;YEAR(O21),EOMONTH(O21,1)))),"")</f>
        <v>37955</v>
      </c>
      <c r="P22" s="4">
        <f>'Histórico de Remunerações'!E24</f>
        <v>0</v>
      </c>
    </row>
    <row r="23" spans="2:16" ht="15.75" thickBot="1" x14ac:dyDescent="0.3">
      <c r="O23" s="21" t="str">
        <f ca="1">IFERROR(IF(LEFT(O22,2)="13",DATE(RIGHT(O22,4),12,31),IF(EOMONTH(O22,1)&gt;PREMISSAS!$C$3,"",IF(MONTH(O22)=11,"13º "&amp;YEAR(O22),EOMONTH(O22,1)))),"")</f>
        <v>13º 2003</v>
      </c>
      <c r="P23" s="4">
        <f>'Histórico de Remunerações'!E25</f>
        <v>0</v>
      </c>
    </row>
    <row r="24" spans="2:16" x14ac:dyDescent="0.25">
      <c r="B24" s="281" t="s">
        <v>169</v>
      </c>
      <c r="C24" s="282"/>
      <c r="K24" s="281" t="s">
        <v>170</v>
      </c>
      <c r="L24" s="282"/>
      <c r="O24" s="21">
        <f ca="1">IFERROR(IF(LEFT(O23,2)="13",DATE(RIGHT(O23,4),12,31),IF(EOMONTH(O23,1)&gt;PREMISSAS!$C$3,"",IF(MONTH(O23)=11,"13º "&amp;YEAR(O23),EOMONTH(O23,1)))),"")</f>
        <v>37986</v>
      </c>
      <c r="P24" s="4">
        <f>'Histórico de Remunerações'!E26</f>
        <v>0</v>
      </c>
    </row>
    <row r="25" spans="2:16" x14ac:dyDescent="0.25">
      <c r="B25" s="53" t="s">
        <v>51</v>
      </c>
      <c r="C25" s="117">
        <f ca="1">IF(RESULTADOS!C8&lt;=PREMISSAS!$D$8,ELEGIBILIDADE!C19,ELEGIBILIDADE!D19)/12</f>
        <v>62.5</v>
      </c>
      <c r="K25" s="53" t="s">
        <v>51</v>
      </c>
      <c r="L25" s="117">
        <f ca="1">ELEGIBILIDADE!J16/12</f>
        <v>62.5</v>
      </c>
      <c r="O25" s="21">
        <f ca="1">IFERROR(IF(LEFT(O24,2)="13",DATE(RIGHT(O24,4),12,31),IF(EOMONTH(O24,1)&gt;PREMISSAS!$C$3,"",IF(MONTH(O24)=11,"13º "&amp;YEAR(O24),EOMONTH(O24,1)))),"")</f>
        <v>38017</v>
      </c>
      <c r="P25" s="4">
        <f>'Histórico de Remunerações'!E27</f>
        <v>0</v>
      </c>
    </row>
    <row r="26" spans="2:16" x14ac:dyDescent="0.25">
      <c r="B26" s="53" t="s">
        <v>126</v>
      </c>
      <c r="C26" s="118">
        <f ca="1">IF(RESULTADOS!C8&lt;=PREMISSAS!$D$8,ELEGIBILIDADE!C20,ELEGIBILIDADE!D20)</f>
        <v>50241</v>
      </c>
      <c r="K26" s="53" t="s">
        <v>126</v>
      </c>
      <c r="L26" s="118">
        <f ca="1">ELEGIBILIDADE!J17</f>
        <v>50241</v>
      </c>
      <c r="O26" s="21">
        <f ca="1">IFERROR(IF(LEFT(O25,2)="13",DATE(RIGHT(O25,4),12,31),IF(EOMONTH(O25,1)&gt;PREMISSAS!$C$3,"",IF(MONTH(O25)=11,"13º "&amp;YEAR(O25),EOMONTH(O25,1)))),"")</f>
        <v>38046</v>
      </c>
      <c r="P26" s="4">
        <f>'Histórico de Remunerações'!E28</f>
        <v>0</v>
      </c>
    </row>
    <row r="27" spans="2:16" ht="15.75" thickBot="1" x14ac:dyDescent="0.3">
      <c r="B27" s="55" t="s">
        <v>49</v>
      </c>
      <c r="C27" s="60">
        <f ca="1">VLOOKUP(EOMONTH('CÁLCULO RPPS'!$F$1,0),'CÁLCULO RPPS'!$B$5:$C$724,2,FALSE)</f>
        <v>0</v>
      </c>
      <c r="K27" s="55" t="s">
        <v>49</v>
      </c>
      <c r="L27" s="60">
        <f ca="1">VLOOKUP(EOMONTH(ELEGIBILIDADE!$J$17,0),'CÁLCULO FUNPRESP'!$B$5:$C$700,2,FALSE)</f>
        <v>0</v>
      </c>
      <c r="O27" s="21">
        <f ca="1">IFERROR(IF(LEFT(O26,2)="13",DATE(RIGHT(O26,4),12,31),IF(EOMONTH(O26,1)&gt;PREMISSAS!$C$3,"",IF(MONTH(O26)=11,"13º "&amp;YEAR(O26),EOMONTH(O26,1)))),"")</f>
        <v>38077</v>
      </c>
      <c r="P27" s="4">
        <f>'Histórico de Remunerações'!E29</f>
        <v>0</v>
      </c>
    </row>
    <row r="28" spans="2:16" x14ac:dyDescent="0.25">
      <c r="O28" s="21">
        <f ca="1">IFERROR(IF(LEFT(O27,2)="13",DATE(RIGHT(O27,4),12,31),IF(EOMONTH(O27,1)&gt;PREMISSAS!$C$3,"",IF(MONTH(O27)=11,"13º "&amp;YEAR(O27),EOMONTH(O27,1)))),"")</f>
        <v>38107</v>
      </c>
      <c r="P28" s="4">
        <f>'Histórico de Remunerações'!E30</f>
        <v>0</v>
      </c>
    </row>
    <row r="29" spans="2:16" ht="15.75" x14ac:dyDescent="0.25">
      <c r="B29" s="289" t="s">
        <v>47</v>
      </c>
      <c r="C29" s="289"/>
      <c r="E29" s="285" t="s">
        <v>125</v>
      </c>
      <c r="F29" s="285"/>
      <c r="G29" s="285"/>
      <c r="H29" s="285"/>
      <c r="I29" s="285"/>
      <c r="J29" s="285"/>
      <c r="K29" s="285"/>
      <c r="L29" s="285"/>
      <c r="M29" s="285"/>
      <c r="O29" s="21">
        <f ca="1">IFERROR(IF(LEFT(O28,2)="13",DATE(RIGHT(O28,4),12,31),IF(EOMONTH(O28,1)&gt;PREMISSAS!$C$3,"",IF(MONTH(O28)=11,"13º "&amp;YEAR(O28),EOMONTH(O28,1)))),"")</f>
        <v>38138</v>
      </c>
      <c r="P29" s="4">
        <f>'Histórico de Remunerações'!E31</f>
        <v>0</v>
      </c>
    </row>
    <row r="30" spans="2:16" ht="15.75" thickBot="1" x14ac:dyDescent="0.3">
      <c r="O30" s="21">
        <f ca="1">IFERROR(IF(LEFT(O29,2)="13",DATE(RIGHT(O29,4),12,31),IF(EOMONTH(O29,1)&gt;PREMISSAS!$C$3,"",IF(MONTH(O29)=11,"13º "&amp;YEAR(O29),EOMONTH(O29,1)))),"")</f>
        <v>38168</v>
      </c>
      <c r="P30" s="4">
        <f>'Histórico de Remunerações'!E32</f>
        <v>0</v>
      </c>
    </row>
    <row r="31" spans="2:16" ht="15.75" thickBot="1" x14ac:dyDescent="0.3">
      <c r="B31" s="290" t="s">
        <v>122</v>
      </c>
      <c r="C31" s="291"/>
      <c r="E31" s="292" t="s">
        <v>122</v>
      </c>
      <c r="F31" s="293"/>
      <c r="H31" s="292" t="s">
        <v>124</v>
      </c>
      <c r="I31" s="293"/>
      <c r="K31" s="143" t="s">
        <v>123</v>
      </c>
      <c r="L31" s="144" t="str">
        <f ca="1">"Até "&amp;TEXT(EOMONTH(L26,C19*12),"DD/MM/AA")</f>
        <v>Até 31/07/60</v>
      </c>
      <c r="M31" s="145" t="str">
        <f ca="1">"Após "&amp;TEXT(EOMONTH(L26,C19*12),"DD/MM/AA")</f>
        <v>Após 31/07/60</v>
      </c>
      <c r="O31" s="21">
        <f ca="1">IFERROR(IF(LEFT(O30,2)="13",DATE(RIGHT(O30,4),12,31),IF(EOMONTH(O30,1)&gt;PREMISSAS!$C$3,"",IF(MONTH(O30)=11,"13º "&amp;YEAR(O30),EOMONTH(O30,1)))),"")</f>
        <v>38199</v>
      </c>
      <c r="P31" s="4">
        <f>'Histórico de Remunerações'!E33</f>
        <v>0</v>
      </c>
    </row>
    <row r="32" spans="2:16" x14ac:dyDescent="0.25">
      <c r="B32" s="129" t="s">
        <v>53</v>
      </c>
      <c r="C32" s="130">
        <f ca="1">HLOOKUP("Cai nesta",ELEGIBILIDADE!$C$23:$D$25,3,FALSE)</f>
        <v>0</v>
      </c>
      <c r="E32" s="134" t="s">
        <v>53</v>
      </c>
      <c r="F32" s="135">
        <f ca="1">VLOOKUP(EOMONTH(ELEGIBILIDADE!$C$20,0),'CÁLCULO RPPS'!$Q$5:$R$724,2,FALSE)</f>
        <v>0</v>
      </c>
      <c r="H32" s="129" t="s">
        <v>53</v>
      </c>
      <c r="I32" s="130">
        <f ca="1">ELEGIBILIDADE!$J$22</f>
        <v>0</v>
      </c>
      <c r="K32" s="131" t="s">
        <v>151</v>
      </c>
      <c r="L32" s="132">
        <f ca="1">ELEGIBILIDADE!J12</f>
        <v>0</v>
      </c>
      <c r="M32" s="133">
        <f ca="1">L32</f>
        <v>0</v>
      </c>
      <c r="O32" s="21">
        <f ca="1">IFERROR(IF(LEFT(O31,2)="13",DATE(RIGHT(O31,4),12,31),IF(EOMONTH(O31,1)&gt;PREMISSAS!$C$3,"",IF(MONTH(O31)=11,"13º "&amp;YEAR(O31),EOMONTH(O31,1)))),"")</f>
        <v>38230</v>
      </c>
      <c r="P32" s="4">
        <f>'Histórico de Remunerações'!E34</f>
        <v>0</v>
      </c>
    </row>
    <row r="33" spans="2:16" x14ac:dyDescent="0.25">
      <c r="B33" s="53" t="s">
        <v>56</v>
      </c>
      <c r="C33" s="66">
        <f ca="1">IF(C32&gt;PREMISSAS!$C$13,PREMISSAS!$C$65,0)</f>
        <v>0</v>
      </c>
      <c r="E33" s="53" t="s">
        <v>56</v>
      </c>
      <c r="F33" s="66">
        <f ca="1">IF(F32&gt;PREMISSAS!$C$13,PREMISSAS!$C$65,0)</f>
        <v>0</v>
      </c>
      <c r="H33" s="53" t="s">
        <v>56</v>
      </c>
      <c r="I33" s="66">
        <v>0</v>
      </c>
      <c r="J33" s="70"/>
      <c r="K33" s="120" t="s">
        <v>173</v>
      </c>
      <c r="L33" s="122">
        <f ca="1">-L32*PREMISSAS!$C$61</f>
        <v>0</v>
      </c>
      <c r="M33" s="121">
        <f ca="1">-M32*PREMISSAS!$C$61</f>
        <v>0</v>
      </c>
      <c r="O33" s="21">
        <f ca="1">IFERROR(IF(LEFT(O32,2)="13",DATE(RIGHT(O32,4),12,31),IF(EOMONTH(O32,1)&gt;PREMISSAS!$C$3,"",IF(MONTH(O32)=11,"13º "&amp;YEAR(O32),EOMONTH(O32,1)))),"")</f>
        <v>38260</v>
      </c>
      <c r="P33" s="4">
        <f>'Histórico de Remunerações'!E35</f>
        <v>0</v>
      </c>
    </row>
    <row r="34" spans="2:16" ht="15.75" thickBot="1" x14ac:dyDescent="0.3">
      <c r="B34" s="53" t="s">
        <v>55</v>
      </c>
      <c r="C34" s="67">
        <f ca="1">-(C32-PREMISSAS!$C$13)*C33</f>
        <v>0</v>
      </c>
      <c r="E34" s="53" t="s">
        <v>55</v>
      </c>
      <c r="F34" s="67">
        <f ca="1">-F32*F33</f>
        <v>0</v>
      </c>
      <c r="H34" s="53" t="s">
        <v>55</v>
      </c>
      <c r="I34" s="67">
        <f ca="1">-I32*I33</f>
        <v>0</v>
      </c>
      <c r="J34" s="71"/>
      <c r="K34" s="123" t="s">
        <v>174</v>
      </c>
      <c r="L34" s="124">
        <f ca="1">SUM(L32:L33)</f>
        <v>0</v>
      </c>
      <c r="M34" s="125">
        <f ca="1">SUM(M32:M33)</f>
        <v>0</v>
      </c>
      <c r="O34" s="21">
        <f ca="1">IFERROR(IF(LEFT(O33,2)="13",DATE(RIGHT(O33,4),12,31),IF(EOMONTH(O33,1)&gt;PREMISSAS!$C$3,"",IF(MONTH(O33)=11,"13º "&amp;YEAR(O33),EOMONTH(O33,1)))),"")</f>
        <v>38291</v>
      </c>
      <c r="P34" s="4">
        <f>'Histórico de Remunerações'!E36</f>
        <v>0</v>
      </c>
    </row>
    <row r="35" spans="2:16" ht="15.75" thickBot="1" x14ac:dyDescent="0.3">
      <c r="B35" s="81" t="s">
        <v>59</v>
      </c>
      <c r="C35" s="128">
        <f ca="1">C32+C34</f>
        <v>0</v>
      </c>
      <c r="E35" s="126" t="s">
        <v>59</v>
      </c>
      <c r="F35" s="127">
        <f ca="1">F32+F34</f>
        <v>0</v>
      </c>
      <c r="H35" s="126" t="s">
        <v>59</v>
      </c>
      <c r="I35" s="127">
        <f ca="1">I32+I34</f>
        <v>0</v>
      </c>
      <c r="J35" s="71"/>
      <c r="K35" s="131" t="s">
        <v>147</v>
      </c>
      <c r="L35" s="132">
        <f ca="1">ELEGIBILIDADE!J13</f>
        <v>0</v>
      </c>
      <c r="O35" s="21">
        <f ca="1">IFERROR(IF(LEFT(O34,2)="13",DATE(RIGHT(O34,4),12,31),IF(EOMONTH(O34,1)&gt;PREMISSAS!$C$3,"",IF(MONTH(O34)=11,"13º "&amp;YEAR(O34),EOMONTH(O34,1)))),"")</f>
        <v>38321</v>
      </c>
      <c r="P35" s="4">
        <f>'Histórico de Remunerações'!E37</f>
        <v>0</v>
      </c>
    </row>
    <row r="36" spans="2:16" ht="15.75" thickBot="1" x14ac:dyDescent="0.3">
      <c r="B36" s="53" t="s">
        <v>57</v>
      </c>
      <c r="C36" s="68">
        <f ca="1">-IF(C35&lt;PREMISSAS!$C$42,0,IF(C35&lt;PREMISSAS!$C$43,PREMISSAS!$D$43*C35-PREMISSAS!$E$43,IF(C35&lt;PREMISSAS!$C$44,PREMISSAS!$D$44*C35-PREMISSAS!$E$44,IF(C35&lt;PREMISSAS!$C$45,PREMISSAS!$D$45*C35-PREMISSAS!$E$45,PREMISSAS!$D$46*C35-PREMISSAS!$E$46))))</f>
        <v>0</v>
      </c>
      <c r="K36" s="120" t="s">
        <v>173</v>
      </c>
      <c r="L36" s="122">
        <f ca="1">-L35*PREMISSAS!$C$61</f>
        <v>0</v>
      </c>
      <c r="O36" s="21" t="str">
        <f ca="1">IFERROR(IF(LEFT(O35,2)="13",DATE(RIGHT(O35,4),12,31),IF(EOMONTH(O35,1)&gt;PREMISSAS!$C$3,"",IF(MONTH(O35)=11,"13º "&amp;YEAR(O35),EOMONTH(O35,1)))),"")</f>
        <v>13º 2004</v>
      </c>
      <c r="P36" s="4">
        <f>'Histórico de Remunerações'!E38</f>
        <v>0</v>
      </c>
    </row>
    <row r="37" spans="2:16" ht="15.75" thickBot="1" x14ac:dyDescent="0.3">
      <c r="B37" s="106" t="s">
        <v>60</v>
      </c>
      <c r="C37" s="107">
        <f ca="1">SUM(C35:C36)</f>
        <v>0</v>
      </c>
      <c r="E37" s="136" t="s">
        <v>160</v>
      </c>
      <c r="F37" s="137">
        <f ca="1">F35+I35</f>
        <v>0</v>
      </c>
      <c r="K37" s="123" t="s">
        <v>175</v>
      </c>
      <c r="L37" s="124">
        <f ca="1">SUM(L35:L36)</f>
        <v>0</v>
      </c>
      <c r="O37" s="21">
        <f ca="1">IFERROR(IF(LEFT(O36,2)="13",DATE(RIGHT(O36,4),12,31),IF(EOMONTH(O36,1)&gt;PREMISSAS!$C$3,"",IF(MONTH(O36)=11,"13º "&amp;YEAR(O36),EOMONTH(O36,1)))),"")</f>
        <v>38352</v>
      </c>
      <c r="P37" s="4">
        <f>'Histórico de Remunerações'!E39</f>
        <v>0</v>
      </c>
    </row>
    <row r="38" spans="2:16" ht="15.75" thickBot="1" x14ac:dyDescent="0.3">
      <c r="E38" s="64" t="s">
        <v>57</v>
      </c>
      <c r="F38" s="65">
        <f ca="1">-IF(F37&lt;PREMISSAS!$C$42,0,IF(F37&lt;PREMISSAS!$C$43,PREMISSAS!$D$43*F37-PREMISSAS!$E$43,IF(F37&lt;PREMISSAS!$C$44,PREMISSAS!$D$44*F37-PREMISSAS!$E$44,IF(F37&lt;PREMISSAS!$C$45,PREMISSAS!$D$45*F37-PREMISSAS!$E$45,PREMISSAS!$D$46*F37-PREMISSAS!$E$46))))</f>
        <v>0</v>
      </c>
      <c r="O38" s="21">
        <f ca="1">IFERROR(IF(LEFT(O37,2)="13",DATE(RIGHT(O37,4),12,31),IF(EOMONTH(O37,1)&gt;PREMISSAS!$C$3,"",IF(MONTH(O37)=11,"13º "&amp;YEAR(O37),EOMONTH(O37,1)))),"")</f>
        <v>38383</v>
      </c>
      <c r="P38" s="4">
        <f>'Histórico de Remunerações'!E40</f>
        <v>0</v>
      </c>
    </row>
    <row r="39" spans="2:16" ht="15.75" thickBot="1" x14ac:dyDescent="0.3">
      <c r="E39" s="106" t="s">
        <v>161</v>
      </c>
      <c r="F39" s="107">
        <f ca="1">SUM(F37:F38)</f>
        <v>0</v>
      </c>
      <c r="L39" s="283" t="s">
        <v>31</v>
      </c>
      <c r="M39" s="294" t="s">
        <v>31</v>
      </c>
      <c r="O39" s="21">
        <f ca="1">IFERROR(IF(LEFT(O38,2)="13",DATE(RIGHT(O38,4),12,31),IF(EOMONTH(O38,1)&gt;PREMISSAS!$C$3,"",IF(MONTH(O38)=11,"13º "&amp;YEAR(O38),EOMONTH(O38,1)))),"")</f>
        <v>38411</v>
      </c>
      <c r="P39" s="4">
        <f>'Histórico de Remunerações'!E41</f>
        <v>0</v>
      </c>
    </row>
    <row r="40" spans="2:16" ht="15.75" thickBot="1" x14ac:dyDescent="0.3">
      <c r="L40" s="284"/>
      <c r="M40" s="295"/>
      <c r="O40" s="21">
        <f ca="1">IFERROR(IF(LEFT(O39,2)="13",DATE(RIGHT(O39,4),12,31),IF(EOMONTH(O39,1)&gt;PREMISSAS!$C$3,"",IF(MONTH(O39)=11,"13º "&amp;YEAR(O39),EOMONTH(O39,1)))),"")</f>
        <v>38442</v>
      </c>
      <c r="P40" s="4">
        <f>'Histórico de Remunerações'!E42</f>
        <v>0</v>
      </c>
    </row>
    <row r="41" spans="2:16" x14ac:dyDescent="0.25">
      <c r="F41" s="170">
        <f ca="1">IFERROR(F39*F35/F37,0)</f>
        <v>0</v>
      </c>
      <c r="I41" s="170">
        <f ca="1">IFERROR(F39*I35/F37,0)</f>
        <v>0</v>
      </c>
      <c r="K41" s="87" t="s">
        <v>159</v>
      </c>
      <c r="L41" s="103">
        <f ca="1">L34+L37</f>
        <v>0</v>
      </c>
      <c r="M41" s="103">
        <f ca="1">SUM(M34)</f>
        <v>0</v>
      </c>
      <c r="O41" s="21">
        <f ca="1">IFERROR(IF(LEFT(O40,2)="13",DATE(RIGHT(O40,4),12,31),IF(EOMONTH(O40,1)&gt;PREMISSAS!$C$3,"",IF(MONTH(O40)=11,"13º "&amp;YEAR(O40),EOMONTH(O40,1)))),"")</f>
        <v>38472</v>
      </c>
      <c r="P41" s="4">
        <f>'Histórico de Remunerações'!E43</f>
        <v>0</v>
      </c>
    </row>
    <row r="42" spans="2:16" x14ac:dyDescent="0.25">
      <c r="J42" s="69"/>
      <c r="K42" s="108" t="s">
        <v>162</v>
      </c>
      <c r="L42" s="109">
        <f ca="1">-IF(L41&lt;PREMISSAS!$C$42,0,IF(L41&lt;PREMISSAS!$C$43,PREMISSAS!$D$43*L41-PREMISSAS!$E$43,IF(L41&lt;PREMISSAS!$C$44,PREMISSAS!$D$44*L41-PREMISSAS!$E$44,IF(L41&lt;PREMISSAS!$C$45,PREMISSAS!$D$45*L41-PREMISSAS!$E$45,PREMISSAS!$D$46*L41-PREMISSAS!$E$46))))</f>
        <v>0</v>
      </c>
      <c r="M42" s="109">
        <f ca="1">-IF(M41&lt;PREMISSAS!$C$42,0,IF(M41&lt;PREMISSAS!$C$43,PREMISSAS!$D$43*M41-PREMISSAS!$E$43,IF(M41&lt;PREMISSAS!$C$44,PREMISSAS!$D$44*M41-PREMISSAS!$E$44,IF(M41&lt;PREMISSAS!$C$45,PREMISSAS!$D$45*M41-PREMISSAS!$E$45,PREMISSAS!$D$46*M41-PREMISSAS!$E$46))))</f>
        <v>0</v>
      </c>
      <c r="O42" s="21">
        <f ca="1">IFERROR(IF(LEFT(O41,2)="13",DATE(RIGHT(O41,4),12,31),IF(EOMONTH(O41,1)&gt;PREMISSAS!$C$3,"",IF(MONTH(O41)=11,"13º "&amp;YEAR(O41),EOMONTH(O41,1)))),"")</f>
        <v>38503</v>
      </c>
      <c r="P42" s="4">
        <f>'Histórico de Remunerações'!E44</f>
        <v>0</v>
      </c>
    </row>
    <row r="43" spans="2:16" ht="15.75" thickBot="1" x14ac:dyDescent="0.3">
      <c r="J43" s="72"/>
      <c r="K43" s="104" t="s">
        <v>60</v>
      </c>
      <c r="L43" s="105">
        <f ca="1">SUM(L41:L42)</f>
        <v>0</v>
      </c>
      <c r="M43" s="105">
        <f ca="1">SUM(M41:M42)</f>
        <v>0</v>
      </c>
      <c r="O43" s="21">
        <f ca="1">IFERROR(IF(LEFT(O42,2)="13",DATE(RIGHT(O42,4),12,31),IF(EOMONTH(O42,1)&gt;PREMISSAS!$C$3,"",IF(MONTH(O42)=11,"13º "&amp;YEAR(O42),EOMONTH(O42,1)))),"")</f>
        <v>38533</v>
      </c>
      <c r="P43" s="4">
        <f>'Histórico de Remunerações'!E45</f>
        <v>0</v>
      </c>
    </row>
    <row r="44" spans="2:16" ht="15.75" thickBot="1" x14ac:dyDescent="0.3">
      <c r="O44" s="21">
        <f ca="1">IFERROR(IF(LEFT(O43,2)="13",DATE(RIGHT(O43,4),12,31),IF(EOMONTH(O43,1)&gt;PREMISSAS!$C$3,"",IF(MONTH(O43)=11,"13º "&amp;YEAR(O43),EOMONTH(O43,1)))),"")</f>
        <v>38564</v>
      </c>
      <c r="P44" s="4">
        <f>'Histórico de Remunerações'!E46</f>
        <v>0</v>
      </c>
    </row>
    <row r="45" spans="2:16" x14ac:dyDescent="0.25">
      <c r="K45" t="s">
        <v>297</v>
      </c>
      <c r="L45" s="283" t="s">
        <v>30</v>
      </c>
      <c r="M45" s="294" t="s">
        <v>30</v>
      </c>
      <c r="O45" s="21">
        <f ca="1">IFERROR(IF(LEFT(O44,2)="13",DATE(RIGHT(O44,4),12,31),IF(EOMONTH(O44,1)&gt;PREMISSAS!$C$3,"",IF(MONTH(O44)=11,"13º "&amp;YEAR(O44),EOMONTH(O44,1)))),"")</f>
        <v>38595</v>
      </c>
      <c r="P45" s="4">
        <f>'Histórico de Remunerações'!E47</f>
        <v>0</v>
      </c>
    </row>
    <row r="46" spans="2:16" ht="15.75" thickBot="1" x14ac:dyDescent="0.3">
      <c r="K46" s="236">
        <f ca="1">COUNT('CÁLCULO FUNPRESP'!P5:P700)/12</f>
        <v>18.416666666666668</v>
      </c>
      <c r="L46" s="284"/>
      <c r="M46" s="295"/>
      <c r="O46" s="21">
        <f ca="1">IFERROR(IF(LEFT(O45,2)="13",DATE(RIGHT(O45,4),12,31),IF(EOMONTH(O45,1)&gt;PREMISSAS!$C$3,"",IF(MONTH(O45)=11,"13º "&amp;YEAR(O45),EOMONTH(O45,1)))),"")</f>
        <v>38625</v>
      </c>
      <c r="P46" s="4">
        <f>'Histórico de Remunerações'!E48</f>
        <v>0</v>
      </c>
    </row>
    <row r="47" spans="2:16" x14ac:dyDescent="0.25">
      <c r="K47" s="87" t="s">
        <v>159</v>
      </c>
      <c r="L47" s="103">
        <f ca="1">L41</f>
        <v>0</v>
      </c>
      <c r="M47" s="103">
        <f ca="1">M41</f>
        <v>0</v>
      </c>
      <c r="O47" s="21">
        <f ca="1">IFERROR(IF(LEFT(O46,2)="13",DATE(RIGHT(O46,4),12,31),IF(EOMONTH(O46,1)&gt;PREMISSAS!$C$3,"",IF(MONTH(O46)=11,"13º "&amp;YEAR(O46),EOMONTH(O46,1)))),"")</f>
        <v>38656</v>
      </c>
      <c r="P47" s="4">
        <f>'Histórico de Remunerações'!E49</f>
        <v>0</v>
      </c>
    </row>
    <row r="48" spans="2:16" x14ac:dyDescent="0.25">
      <c r="K48" s="108" t="s">
        <v>162</v>
      </c>
      <c r="L48" s="109">
        <f ca="1">-L47*IF(K46&lt;PREMISSAS!B50,PREMISSAS!C50,IF(K46&lt;PREMISSAS!B51,PREMISSAS!C51,IF(K46&lt;PREMISSAS!B52,PREMISSAS!C52,IF(K46&lt;PREMISSAS!B53,PREMISSAS!C53,IF(K46&lt;PREMISSAS!B54,PREMISSAS!C54,PREMISSAS!C55)))))</f>
        <v>0</v>
      </c>
      <c r="M48" s="109">
        <f ca="1">-M47*IF(K46&lt;PREMISSAS!B50,PREMISSAS!C50,IF(K46&lt;PREMISSAS!B51,PREMISSAS!C51,IF(K46&lt;PREMISSAS!B52,PREMISSAS!C52,IF(K46&lt;PREMISSAS!B53,PREMISSAS!C53,IF(K46&lt;PREMISSAS!B54,PREMISSAS!C54,PREMISSAS!C55)))))</f>
        <v>0</v>
      </c>
      <c r="O48" s="21">
        <f ca="1">IFERROR(IF(LEFT(O47,2)="13",DATE(RIGHT(O47,4),12,31),IF(EOMONTH(O47,1)&gt;PREMISSAS!$C$3,"",IF(MONTH(O47)=11,"13º "&amp;YEAR(O47),EOMONTH(O47,1)))),"")</f>
        <v>38686</v>
      </c>
      <c r="P48" s="4">
        <f>'Histórico de Remunerações'!E50</f>
        <v>0</v>
      </c>
    </row>
    <row r="49" spans="2:16" ht="15.75" thickBot="1" x14ac:dyDescent="0.3">
      <c r="K49" s="104" t="s">
        <v>60</v>
      </c>
      <c r="L49" s="105">
        <f ca="1">SUM(L47:L48)</f>
        <v>0</v>
      </c>
      <c r="M49" s="105">
        <f ca="1">SUM(M47:M48)</f>
        <v>0</v>
      </c>
      <c r="O49" s="21" t="str">
        <f ca="1">IFERROR(IF(LEFT(O48,2)="13",DATE(RIGHT(O48,4),12,31),IF(EOMONTH(O48,1)&gt;PREMISSAS!$C$3,"",IF(MONTH(O48)=11,"13º "&amp;YEAR(O48),EOMONTH(O48,1)))),"")</f>
        <v>13º 2005</v>
      </c>
      <c r="P49" s="4">
        <f>'Histórico de Remunerações'!E51</f>
        <v>0</v>
      </c>
    </row>
    <row r="50" spans="2:16" x14ac:dyDescent="0.25">
      <c r="O50" s="21">
        <f ca="1">IFERROR(IF(LEFT(O49,2)="13",DATE(RIGHT(O49,4),12,31),IF(EOMONTH(O49,1)&gt;PREMISSAS!$C$3,"",IF(MONTH(O49)=11,"13º "&amp;YEAR(O49),EOMONTH(O49,1)))),"")</f>
        <v>38717</v>
      </c>
      <c r="P50" s="4">
        <f>'Histórico de Remunerações'!E52</f>
        <v>0</v>
      </c>
    </row>
    <row r="51" spans="2:16" x14ac:dyDescent="0.25">
      <c r="B51" s="148" t="str">
        <f ca="1">"Total das contribuições entre "&amp;TEXT(C3,"mm/aaaa")&amp;" e "&amp;TEXT(C26,"mm/aaaa")</f>
        <v>Total das contribuições entre 03/2019 e 07/2037</v>
      </c>
      <c r="C51" s="149">
        <f ca="1">13*11%*C7*(C25-F5)</f>
        <v>0</v>
      </c>
      <c r="E51" s="148" t="str">
        <f ca="1">"Total das contribuições entre "&amp;TEXT(C3,"mm/aaaa")&amp;" e "&amp;TEXT(C26,"mm/aaaa")</f>
        <v>Total das contribuições entre 03/2019 e 07/2037</v>
      </c>
      <c r="F51" s="149">
        <f ca="1">13*11%*IF(C17="Normal",PREMISSAS!C13,F17)*(C25-F5)</f>
        <v>0</v>
      </c>
      <c r="K51" s="148" t="str">
        <f ca="1">"Total das contr. básicas entre "&amp;TEXT(C3,"mm/aaaa")&amp;" e "&amp;TEXT(L26,"mm/aaaa")</f>
        <v>Total das contr. básicas entre 03/2019 e 07/2037</v>
      </c>
      <c r="L51" s="149">
        <f ca="1">13*C16*IF(C17="Normal",C7-PREMISSAS!C13,F17)*(L25-F5)</f>
        <v>0</v>
      </c>
      <c r="O51" s="21">
        <f ca="1">IFERROR(IF(LEFT(O50,2)="13",DATE(RIGHT(O50,4),12,31),IF(EOMONTH(O50,1)&gt;PREMISSAS!$C$3,"",IF(MONTH(O50)=11,"13º "&amp;YEAR(O50),EOMONTH(O50,1)))),"")</f>
        <v>38748</v>
      </c>
      <c r="P51" s="4">
        <f>'Histórico de Remunerações'!E53</f>
        <v>0</v>
      </c>
    </row>
    <row r="52" spans="2:16" x14ac:dyDescent="0.25">
      <c r="K52" s="148" t="str">
        <f ca="1">"Total das contr. facultativas entre "&amp;TEXT(C3,"mm/aaaa")&amp;" e "&amp;TEXT(L26,"mm/aaaa")</f>
        <v>Total das contr. facultativas entre 03/2019 e 07/2037</v>
      </c>
      <c r="L52" s="149">
        <f ca="1">13*C18*IF(C17="Normal",C7-PREMISSAS!C13,F17)*(L25-F5)</f>
        <v>0</v>
      </c>
      <c r="O52" s="21">
        <f ca="1">IFERROR(IF(LEFT(O51,2)="13",DATE(RIGHT(O51,4),12,31),IF(EOMONTH(O51,1)&gt;PREMISSAS!$C$3,"",IF(MONTH(O51)=11,"13º "&amp;YEAR(O51),EOMONTH(O51,1)))),"")</f>
        <v>38776</v>
      </c>
      <c r="P52" s="4">
        <f>'Histórico de Remunerações'!E54</f>
        <v>0</v>
      </c>
    </row>
    <row r="53" spans="2:16" ht="15.75" thickBot="1" x14ac:dyDescent="0.3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O53" s="21">
        <f ca="1">IFERROR(IF(LEFT(O52,2)="13",DATE(RIGHT(O52,4),12,31),IF(EOMONTH(O52,1)&gt;PREMISSAS!$C$3,"",IF(MONTH(O52)=11,"13º "&amp;YEAR(O52),EOMONTH(O52,1)))),"")</f>
        <v>38807</v>
      </c>
      <c r="P53" s="4">
        <f>'Histórico de Remunerações'!E55</f>
        <v>0</v>
      </c>
    </row>
    <row r="54" spans="2:16" x14ac:dyDescent="0.25">
      <c r="O54" s="21">
        <f ca="1">IFERROR(IF(LEFT(O53,2)="13",DATE(RIGHT(O53,4),12,31),IF(EOMONTH(O53,1)&gt;PREMISSAS!$C$3,"",IF(MONTH(O53)=11,"13º "&amp;YEAR(O53),EOMONTH(O53,1)))),"")</f>
        <v>38837</v>
      </c>
      <c r="P54" s="4">
        <f>'Histórico de Remunerações'!E56</f>
        <v>0</v>
      </c>
    </row>
    <row r="55" spans="2:16" ht="16.5" thickBot="1" x14ac:dyDescent="0.3">
      <c r="B55" s="279" t="s">
        <v>191</v>
      </c>
      <c r="C55" s="279"/>
      <c r="E55" s="279" t="s">
        <v>192</v>
      </c>
      <c r="F55" s="279"/>
      <c r="L55" s="170">
        <f ca="1">IFERROR(Painel!G102*Painel!G97/Painel!G98,0)</f>
        <v>0</v>
      </c>
      <c r="O55" s="21">
        <f ca="1">IFERROR(IF(LEFT(O54,2)="13",DATE(RIGHT(O54,4),12,31),IF(EOMONTH(O54,1)&gt;PREMISSAS!$C$3,"",IF(MONTH(O54)=11,"13º "&amp;YEAR(O54),EOMONTH(O54,1)))),"")</f>
        <v>38868</v>
      </c>
      <c r="P55" s="4">
        <f>'Histórico de Remunerações'!E57</f>
        <v>0</v>
      </c>
    </row>
    <row r="56" spans="2:16" x14ac:dyDescent="0.25">
      <c r="L56" s="170">
        <f ca="1">IFERROR(Painel!G96/Painel!G98*Painel!G102,0)</f>
        <v>0</v>
      </c>
      <c r="O56" s="21">
        <f ca="1">IFERROR(IF(LEFT(O55,2)="13",DATE(RIGHT(O55,4),12,31),IF(EOMONTH(O55,1)&gt;PREMISSAS!$C$3,"",IF(MONTH(O55)=11,"13º "&amp;YEAR(O55),EOMONTH(O55,1)))),"")</f>
        <v>38898</v>
      </c>
      <c r="P56" s="4">
        <f>'Histórico de Remunerações'!E58</f>
        <v>0</v>
      </c>
    </row>
    <row r="57" spans="2:16" x14ac:dyDescent="0.25">
      <c r="B57" s="152" t="s">
        <v>188</v>
      </c>
      <c r="C57" s="153">
        <f ca="1">C37</f>
        <v>0</v>
      </c>
      <c r="E57" s="152" t="s">
        <v>189</v>
      </c>
      <c r="F57" s="153">
        <f ca="1">F39+L43</f>
        <v>0</v>
      </c>
      <c r="O57" s="21">
        <f ca="1">IFERROR(IF(LEFT(O56,2)="13",DATE(RIGHT(O56,4),12,31),IF(EOMONTH(O56,1)&gt;PREMISSAS!$C$3,"",IF(MONTH(O56)=11,"13º "&amp;YEAR(O56),EOMONTH(O56,1)))),"")</f>
        <v>38929</v>
      </c>
      <c r="P57" s="4">
        <f>'Histórico de Remunerações'!E59</f>
        <v>0</v>
      </c>
    </row>
    <row r="58" spans="2:16" x14ac:dyDescent="0.25">
      <c r="O58" s="21">
        <f ca="1">IFERROR(IF(LEFT(O57,2)="13",DATE(RIGHT(O57,4),12,31),IF(EOMONTH(O57,1)&gt;PREMISSAS!$C$3,"",IF(MONTH(O57)=11,"13º "&amp;YEAR(O57),EOMONTH(O57,1)))),"")</f>
        <v>38960</v>
      </c>
      <c r="P58" s="4">
        <f>'Histórico de Remunerações'!E60</f>
        <v>0</v>
      </c>
    </row>
    <row r="59" spans="2:16" x14ac:dyDescent="0.25">
      <c r="E59" s="152" t="s">
        <v>190</v>
      </c>
      <c r="F59" s="153">
        <f ca="1">F39+L49</f>
        <v>0</v>
      </c>
      <c r="O59" s="21">
        <f ca="1">IFERROR(IF(LEFT(O58,2)="13",DATE(RIGHT(O58,4),12,31),IF(EOMONTH(O58,1)&gt;PREMISSAS!$C$3,"",IF(MONTH(O58)=11,"13º "&amp;YEAR(O58),EOMONTH(O58,1)))),"")</f>
        <v>38990</v>
      </c>
      <c r="P59" s="4">
        <f>'Histórico de Remunerações'!E61</f>
        <v>0</v>
      </c>
    </row>
    <row r="60" spans="2:16" x14ac:dyDescent="0.25">
      <c r="O60" s="21">
        <f ca="1">IFERROR(IF(LEFT(O59,2)="13",DATE(RIGHT(O59,4),12,31),IF(EOMONTH(O59,1)&gt;PREMISSAS!$C$3,"",IF(MONTH(O59)=11,"13º "&amp;YEAR(O59),EOMONTH(O59,1)))),"")</f>
        <v>39021</v>
      </c>
      <c r="P60" s="4">
        <f>'Histórico de Remunerações'!E62</f>
        <v>0</v>
      </c>
    </row>
    <row r="61" spans="2:16" x14ac:dyDescent="0.25">
      <c r="B61" s="150" t="str">
        <f ca="1">B51</f>
        <v>Total das contribuições entre 03/2019 e 07/2037</v>
      </c>
      <c r="C61" s="151">
        <f ca="1">C51</f>
        <v>0</v>
      </c>
      <c r="E61" s="150" t="str">
        <f ca="1">E51</f>
        <v>Total das contribuições entre 03/2019 e 07/2037</v>
      </c>
      <c r="F61" s="151">
        <f ca="1">F51+L51</f>
        <v>0</v>
      </c>
      <c r="O61" s="21">
        <f ca="1">IFERROR(IF(LEFT(O60,2)="13",DATE(RIGHT(O60,4),12,31),IF(EOMONTH(O60,1)&gt;PREMISSAS!$C$3,"",IF(MONTH(O60)=11,"13º "&amp;YEAR(O60),EOMONTH(O60,1)))),"")</f>
        <v>39051</v>
      </c>
      <c r="P61" s="4">
        <f>'Histórico de Remunerações'!E63</f>
        <v>0</v>
      </c>
    </row>
    <row r="62" spans="2:16" x14ac:dyDescent="0.25">
      <c r="O62" s="21" t="str">
        <f ca="1">IFERROR(IF(LEFT(O61,2)="13",DATE(RIGHT(O61,4),12,31),IF(EOMONTH(O61,1)&gt;PREMISSAS!$C$3,"",IF(MONTH(O61)=11,"13º "&amp;YEAR(O61),EOMONTH(O61,1)))),"")</f>
        <v>13º 2006</v>
      </c>
      <c r="P62" s="4">
        <f>'Histórico de Remunerações'!E64</f>
        <v>0</v>
      </c>
    </row>
    <row r="63" spans="2:16" x14ac:dyDescent="0.25">
      <c r="O63" s="21">
        <f ca="1">IFERROR(IF(LEFT(O62,2)="13",DATE(RIGHT(O62,4),12,31),IF(EOMONTH(O62,1)&gt;PREMISSAS!$C$3,"",IF(MONTH(O62)=11,"13º "&amp;YEAR(O62),EOMONTH(O62,1)))),"")</f>
        <v>39082</v>
      </c>
      <c r="P63" s="4">
        <f>'Histórico de Remunerações'!E65</f>
        <v>0</v>
      </c>
    </row>
    <row r="64" spans="2:16" x14ac:dyDescent="0.25">
      <c r="O64" s="21">
        <f ca="1">IFERROR(IF(LEFT(O63,2)="13",DATE(RIGHT(O63,4),12,31),IF(EOMONTH(O63,1)&gt;PREMISSAS!$C$3,"",IF(MONTH(O63)=11,"13º "&amp;YEAR(O63),EOMONTH(O63,1)))),"")</f>
        <v>39113</v>
      </c>
      <c r="P64" s="4">
        <f>'Histórico de Remunerações'!E66</f>
        <v>0</v>
      </c>
    </row>
    <row r="65" spans="15:16" x14ac:dyDescent="0.25">
      <c r="O65" s="21">
        <f ca="1">IFERROR(IF(LEFT(O64,2)="13",DATE(RIGHT(O64,4),12,31),IF(EOMONTH(O64,1)&gt;PREMISSAS!$C$3,"",IF(MONTH(O64)=11,"13º "&amp;YEAR(O64),EOMONTH(O64,1)))),"")</f>
        <v>39141</v>
      </c>
      <c r="P65" s="4">
        <f>'Histórico de Remunerações'!E67</f>
        <v>0</v>
      </c>
    </row>
    <row r="66" spans="15:16" x14ac:dyDescent="0.25">
      <c r="O66" s="21">
        <f ca="1">IFERROR(IF(LEFT(O65,2)="13",DATE(RIGHT(O65,4),12,31),IF(EOMONTH(O65,1)&gt;PREMISSAS!$C$3,"",IF(MONTH(O65)=11,"13º "&amp;YEAR(O65),EOMONTH(O65,1)))),"")</f>
        <v>39172</v>
      </c>
      <c r="P66" s="4">
        <f>'Histórico de Remunerações'!E68</f>
        <v>0</v>
      </c>
    </row>
    <row r="67" spans="15:16" x14ac:dyDescent="0.25">
      <c r="O67" s="21">
        <f ca="1">IFERROR(IF(LEFT(O66,2)="13",DATE(RIGHT(O66,4),12,31),IF(EOMONTH(O66,1)&gt;PREMISSAS!$C$3,"",IF(MONTH(O66)=11,"13º "&amp;YEAR(O66),EOMONTH(O66,1)))),"")</f>
        <v>39202</v>
      </c>
      <c r="P67" s="4">
        <f>'Histórico de Remunerações'!E69</f>
        <v>0</v>
      </c>
    </row>
    <row r="68" spans="15:16" x14ac:dyDescent="0.25">
      <c r="O68" s="21">
        <f ca="1">IFERROR(IF(LEFT(O67,2)="13",DATE(RIGHT(O67,4),12,31),IF(EOMONTH(O67,1)&gt;PREMISSAS!$C$3,"",IF(MONTH(O67)=11,"13º "&amp;YEAR(O67),EOMONTH(O67,1)))),"")</f>
        <v>39233</v>
      </c>
      <c r="P68" s="4">
        <f>'Histórico de Remunerações'!E70</f>
        <v>0</v>
      </c>
    </row>
    <row r="69" spans="15:16" x14ac:dyDescent="0.25">
      <c r="O69" s="21">
        <f ca="1">IFERROR(IF(LEFT(O68,2)="13",DATE(RIGHT(O68,4),12,31),IF(EOMONTH(O68,1)&gt;PREMISSAS!$C$3,"",IF(MONTH(O68)=11,"13º "&amp;YEAR(O68),EOMONTH(O68,1)))),"")</f>
        <v>39263</v>
      </c>
      <c r="P69" s="4">
        <f>'Histórico de Remunerações'!E71</f>
        <v>0</v>
      </c>
    </row>
    <row r="70" spans="15:16" x14ac:dyDescent="0.25">
      <c r="O70" s="21">
        <f ca="1">IFERROR(IF(LEFT(O69,2)="13",DATE(RIGHT(O69,4),12,31),IF(EOMONTH(O69,1)&gt;PREMISSAS!$C$3,"",IF(MONTH(O69)=11,"13º "&amp;YEAR(O69),EOMONTH(O69,1)))),"")</f>
        <v>39294</v>
      </c>
      <c r="P70" s="4">
        <f>'Histórico de Remunerações'!E72</f>
        <v>0</v>
      </c>
    </row>
    <row r="71" spans="15:16" x14ac:dyDescent="0.25">
      <c r="O71" s="21">
        <f ca="1">IFERROR(IF(LEFT(O70,2)="13",DATE(RIGHT(O70,4),12,31),IF(EOMONTH(O70,1)&gt;PREMISSAS!$C$3,"",IF(MONTH(O70)=11,"13º "&amp;YEAR(O70),EOMONTH(O70,1)))),"")</f>
        <v>39325</v>
      </c>
      <c r="P71" s="4">
        <f>'Histórico de Remunerações'!E73</f>
        <v>0</v>
      </c>
    </row>
    <row r="72" spans="15:16" x14ac:dyDescent="0.25">
      <c r="O72" s="21">
        <f ca="1">IFERROR(IF(LEFT(O71,2)="13",DATE(RIGHT(O71,4),12,31),IF(EOMONTH(O71,1)&gt;PREMISSAS!$C$3,"",IF(MONTH(O71)=11,"13º "&amp;YEAR(O71),EOMONTH(O71,1)))),"")</f>
        <v>39355</v>
      </c>
      <c r="P72" s="4">
        <f>'Histórico de Remunerações'!E74</f>
        <v>0</v>
      </c>
    </row>
    <row r="73" spans="15:16" x14ac:dyDescent="0.25">
      <c r="O73" s="21">
        <f ca="1">IFERROR(IF(LEFT(O72,2)="13",DATE(RIGHT(O72,4),12,31),IF(EOMONTH(O72,1)&gt;PREMISSAS!$C$3,"",IF(MONTH(O72)=11,"13º "&amp;YEAR(O72),EOMONTH(O72,1)))),"")</f>
        <v>39386</v>
      </c>
      <c r="P73" s="4">
        <f>'Histórico de Remunerações'!E75</f>
        <v>0</v>
      </c>
    </row>
    <row r="74" spans="15:16" x14ac:dyDescent="0.25">
      <c r="O74" s="21">
        <f ca="1">IFERROR(IF(LEFT(O73,2)="13",DATE(RIGHT(O73,4),12,31),IF(EOMONTH(O73,1)&gt;PREMISSAS!$C$3,"",IF(MONTH(O73)=11,"13º "&amp;YEAR(O73),EOMONTH(O73,1)))),"")</f>
        <v>39416</v>
      </c>
      <c r="P74" s="4">
        <f>'Histórico de Remunerações'!E76</f>
        <v>0</v>
      </c>
    </row>
    <row r="75" spans="15:16" x14ac:dyDescent="0.25">
      <c r="O75" s="21" t="str">
        <f ca="1">IFERROR(IF(LEFT(O74,2)="13",DATE(RIGHT(O74,4),12,31),IF(EOMONTH(O74,1)&gt;PREMISSAS!$C$3,"",IF(MONTH(O74)=11,"13º "&amp;YEAR(O74),EOMONTH(O74,1)))),"")</f>
        <v>13º 2007</v>
      </c>
      <c r="P75" s="4">
        <f>'Histórico de Remunerações'!E77</f>
        <v>0</v>
      </c>
    </row>
    <row r="76" spans="15:16" x14ac:dyDescent="0.25">
      <c r="O76" s="21">
        <f ca="1">IFERROR(IF(LEFT(O75,2)="13",DATE(RIGHT(O75,4),12,31),IF(EOMONTH(O75,1)&gt;PREMISSAS!$C$3,"",IF(MONTH(O75)=11,"13º "&amp;YEAR(O75),EOMONTH(O75,1)))),"")</f>
        <v>39447</v>
      </c>
      <c r="P76" s="4">
        <f>'Histórico de Remunerações'!E78</f>
        <v>0</v>
      </c>
    </row>
    <row r="77" spans="15:16" x14ac:dyDescent="0.25">
      <c r="O77" s="21">
        <f ca="1">IFERROR(IF(LEFT(O76,2)="13",DATE(RIGHT(O76,4),12,31),IF(EOMONTH(O76,1)&gt;PREMISSAS!$C$3,"",IF(MONTH(O76)=11,"13º "&amp;YEAR(O76),EOMONTH(O76,1)))),"")</f>
        <v>39478</v>
      </c>
      <c r="P77" s="4">
        <f>'Histórico de Remunerações'!E79</f>
        <v>0</v>
      </c>
    </row>
    <row r="78" spans="15:16" x14ac:dyDescent="0.25">
      <c r="O78" s="21">
        <f ca="1">IFERROR(IF(LEFT(O77,2)="13",DATE(RIGHT(O77,4),12,31),IF(EOMONTH(O77,1)&gt;PREMISSAS!$C$3,"",IF(MONTH(O77)=11,"13º "&amp;YEAR(O77),EOMONTH(O77,1)))),"")</f>
        <v>39507</v>
      </c>
      <c r="P78" s="4">
        <f>'Histórico de Remunerações'!E80</f>
        <v>0</v>
      </c>
    </row>
    <row r="79" spans="15:16" x14ac:dyDescent="0.25">
      <c r="O79" s="21">
        <f ca="1">IFERROR(IF(LEFT(O78,2)="13",DATE(RIGHT(O78,4),12,31),IF(EOMONTH(O78,1)&gt;PREMISSAS!$C$3,"",IF(MONTH(O78)=11,"13º "&amp;YEAR(O78),EOMONTH(O78,1)))),"")</f>
        <v>39538</v>
      </c>
      <c r="P79" s="4">
        <f>'Histórico de Remunerações'!E81</f>
        <v>0</v>
      </c>
    </row>
    <row r="80" spans="15:16" x14ac:dyDescent="0.25">
      <c r="O80" s="21">
        <f ca="1">IFERROR(IF(LEFT(O79,2)="13",DATE(RIGHT(O79,4),12,31),IF(EOMONTH(O79,1)&gt;PREMISSAS!$C$3,"",IF(MONTH(O79)=11,"13º "&amp;YEAR(O79),EOMONTH(O79,1)))),"")</f>
        <v>39568</v>
      </c>
      <c r="P80" s="4">
        <f>'Histórico de Remunerações'!E82</f>
        <v>0</v>
      </c>
    </row>
    <row r="81" spans="15:16" x14ac:dyDescent="0.25">
      <c r="O81" s="21">
        <f ca="1">IFERROR(IF(LEFT(O80,2)="13",DATE(RIGHT(O80,4),12,31),IF(EOMONTH(O80,1)&gt;PREMISSAS!$C$3,"",IF(MONTH(O80)=11,"13º "&amp;YEAR(O80),EOMONTH(O80,1)))),"")</f>
        <v>39599</v>
      </c>
      <c r="P81" s="4">
        <f>'Histórico de Remunerações'!E83</f>
        <v>0</v>
      </c>
    </row>
    <row r="82" spans="15:16" x14ac:dyDescent="0.25">
      <c r="O82" s="21">
        <f ca="1">IFERROR(IF(LEFT(O81,2)="13",DATE(RIGHT(O81,4),12,31),IF(EOMONTH(O81,1)&gt;PREMISSAS!$C$3,"",IF(MONTH(O81)=11,"13º "&amp;YEAR(O81),EOMONTH(O81,1)))),"")</f>
        <v>39629</v>
      </c>
      <c r="P82" s="4">
        <f>'Histórico de Remunerações'!E84</f>
        <v>0</v>
      </c>
    </row>
    <row r="83" spans="15:16" x14ac:dyDescent="0.25">
      <c r="O83" s="21">
        <f ca="1">IFERROR(IF(LEFT(O82,2)="13",DATE(RIGHT(O82,4),12,31),IF(EOMONTH(O82,1)&gt;PREMISSAS!$C$3,"",IF(MONTH(O82)=11,"13º "&amp;YEAR(O82),EOMONTH(O82,1)))),"")</f>
        <v>39660</v>
      </c>
      <c r="P83" s="4">
        <f>'Histórico de Remunerações'!E85</f>
        <v>0</v>
      </c>
    </row>
    <row r="84" spans="15:16" x14ac:dyDescent="0.25">
      <c r="O84" s="21">
        <f ca="1">IFERROR(IF(LEFT(O83,2)="13",DATE(RIGHT(O83,4),12,31),IF(EOMONTH(O83,1)&gt;PREMISSAS!$C$3,"",IF(MONTH(O83)=11,"13º "&amp;YEAR(O83),EOMONTH(O83,1)))),"")</f>
        <v>39691</v>
      </c>
      <c r="P84" s="4">
        <f>'Histórico de Remunerações'!E86</f>
        <v>0</v>
      </c>
    </row>
    <row r="85" spans="15:16" x14ac:dyDescent="0.25">
      <c r="O85" s="21">
        <f ca="1">IFERROR(IF(LEFT(O84,2)="13",DATE(RIGHT(O84,4),12,31),IF(EOMONTH(O84,1)&gt;PREMISSAS!$C$3,"",IF(MONTH(O84)=11,"13º "&amp;YEAR(O84),EOMONTH(O84,1)))),"")</f>
        <v>39721</v>
      </c>
      <c r="P85" s="4">
        <f>'Histórico de Remunerações'!E87</f>
        <v>0</v>
      </c>
    </row>
    <row r="86" spans="15:16" x14ac:dyDescent="0.25">
      <c r="O86" s="21">
        <f ca="1">IFERROR(IF(LEFT(O85,2)="13",DATE(RIGHT(O85,4),12,31),IF(EOMONTH(O85,1)&gt;PREMISSAS!$C$3,"",IF(MONTH(O85)=11,"13º "&amp;YEAR(O85),EOMONTH(O85,1)))),"")</f>
        <v>39752</v>
      </c>
      <c r="P86" s="4">
        <f>'Histórico de Remunerações'!E88</f>
        <v>0</v>
      </c>
    </row>
    <row r="87" spans="15:16" x14ac:dyDescent="0.25">
      <c r="O87" s="21">
        <f ca="1">IFERROR(IF(LEFT(O86,2)="13",DATE(RIGHT(O86,4),12,31),IF(EOMONTH(O86,1)&gt;PREMISSAS!$C$3,"",IF(MONTH(O86)=11,"13º "&amp;YEAR(O86),EOMONTH(O86,1)))),"")</f>
        <v>39782</v>
      </c>
      <c r="P87" s="4">
        <f>'Histórico de Remunerações'!E89</f>
        <v>0</v>
      </c>
    </row>
    <row r="88" spans="15:16" x14ac:dyDescent="0.25">
      <c r="O88" s="21" t="str">
        <f ca="1">IFERROR(IF(LEFT(O87,2)="13",DATE(RIGHT(O87,4),12,31),IF(EOMONTH(O87,1)&gt;PREMISSAS!$C$3,"",IF(MONTH(O87)=11,"13º "&amp;YEAR(O87),EOMONTH(O87,1)))),"")</f>
        <v>13º 2008</v>
      </c>
      <c r="P88" s="4">
        <f>'Histórico de Remunerações'!E90</f>
        <v>0</v>
      </c>
    </row>
    <row r="89" spans="15:16" x14ac:dyDescent="0.25">
      <c r="O89" s="21">
        <f ca="1">IFERROR(IF(LEFT(O88,2)="13",DATE(RIGHT(O88,4),12,31),IF(EOMONTH(O88,1)&gt;PREMISSAS!$C$3,"",IF(MONTH(O88)=11,"13º "&amp;YEAR(O88),EOMONTH(O88,1)))),"")</f>
        <v>39813</v>
      </c>
      <c r="P89" s="4">
        <f>'Histórico de Remunerações'!E91</f>
        <v>0</v>
      </c>
    </row>
    <row r="90" spans="15:16" x14ac:dyDescent="0.25">
      <c r="O90" s="21">
        <f ca="1">IFERROR(IF(LEFT(O89,2)="13",DATE(RIGHT(O89,4),12,31),IF(EOMONTH(O89,1)&gt;PREMISSAS!$C$3,"",IF(MONTH(O89)=11,"13º "&amp;YEAR(O89),EOMONTH(O89,1)))),"")</f>
        <v>39844</v>
      </c>
      <c r="P90" s="4">
        <f>'Histórico de Remunerações'!E92</f>
        <v>0</v>
      </c>
    </row>
    <row r="91" spans="15:16" x14ac:dyDescent="0.25">
      <c r="O91" s="21">
        <f ca="1">IFERROR(IF(LEFT(O90,2)="13",DATE(RIGHT(O90,4),12,31),IF(EOMONTH(O90,1)&gt;PREMISSAS!$C$3,"",IF(MONTH(O90)=11,"13º "&amp;YEAR(O90),EOMONTH(O90,1)))),"")</f>
        <v>39872</v>
      </c>
      <c r="P91" s="4">
        <f>'Histórico de Remunerações'!E93</f>
        <v>0</v>
      </c>
    </row>
    <row r="92" spans="15:16" x14ac:dyDescent="0.25">
      <c r="O92" s="21">
        <f ca="1">IFERROR(IF(LEFT(O91,2)="13",DATE(RIGHT(O91,4),12,31),IF(EOMONTH(O91,1)&gt;PREMISSAS!$C$3,"",IF(MONTH(O91)=11,"13º "&amp;YEAR(O91),EOMONTH(O91,1)))),"")</f>
        <v>39903</v>
      </c>
      <c r="P92" s="4">
        <f>'Histórico de Remunerações'!E94</f>
        <v>0</v>
      </c>
    </row>
    <row r="93" spans="15:16" x14ac:dyDescent="0.25">
      <c r="O93" s="21">
        <f ca="1">IFERROR(IF(LEFT(O92,2)="13",DATE(RIGHT(O92,4),12,31),IF(EOMONTH(O92,1)&gt;PREMISSAS!$C$3,"",IF(MONTH(O92)=11,"13º "&amp;YEAR(O92),EOMONTH(O92,1)))),"")</f>
        <v>39933</v>
      </c>
      <c r="P93" s="4">
        <f>'Histórico de Remunerações'!E95</f>
        <v>0</v>
      </c>
    </row>
    <row r="94" spans="15:16" x14ac:dyDescent="0.25">
      <c r="O94" s="21">
        <f ca="1">IFERROR(IF(LEFT(O93,2)="13",DATE(RIGHT(O93,4),12,31),IF(EOMONTH(O93,1)&gt;PREMISSAS!$C$3,"",IF(MONTH(O93)=11,"13º "&amp;YEAR(O93),EOMONTH(O93,1)))),"")</f>
        <v>39964</v>
      </c>
      <c r="P94" s="4">
        <f>'Histórico de Remunerações'!E96</f>
        <v>0</v>
      </c>
    </row>
    <row r="95" spans="15:16" x14ac:dyDescent="0.25">
      <c r="O95" s="21">
        <f ca="1">IFERROR(IF(LEFT(O94,2)="13",DATE(RIGHT(O94,4),12,31),IF(EOMONTH(O94,1)&gt;PREMISSAS!$C$3,"",IF(MONTH(O94)=11,"13º "&amp;YEAR(O94),EOMONTH(O94,1)))),"")</f>
        <v>39994</v>
      </c>
      <c r="P95" s="4">
        <f>'Histórico de Remunerações'!E97</f>
        <v>0</v>
      </c>
    </row>
    <row r="96" spans="15:16" x14ac:dyDescent="0.25">
      <c r="O96" s="21">
        <f ca="1">IFERROR(IF(LEFT(O95,2)="13",DATE(RIGHT(O95,4),12,31),IF(EOMONTH(O95,1)&gt;PREMISSAS!$C$3,"",IF(MONTH(O95)=11,"13º "&amp;YEAR(O95),EOMONTH(O95,1)))),"")</f>
        <v>40025</v>
      </c>
      <c r="P96" s="4">
        <f>'Histórico de Remunerações'!E98</f>
        <v>0</v>
      </c>
    </row>
    <row r="97" spans="15:16" x14ac:dyDescent="0.25">
      <c r="O97" s="21">
        <f ca="1">IFERROR(IF(LEFT(O96,2)="13",DATE(RIGHT(O96,4),12,31),IF(EOMONTH(O96,1)&gt;PREMISSAS!$C$3,"",IF(MONTH(O96)=11,"13º "&amp;YEAR(O96),EOMONTH(O96,1)))),"")</f>
        <v>40056</v>
      </c>
      <c r="P97" s="4">
        <f>'Histórico de Remunerações'!E99</f>
        <v>0</v>
      </c>
    </row>
    <row r="98" spans="15:16" x14ac:dyDescent="0.25">
      <c r="O98" s="21">
        <f ca="1">IFERROR(IF(LEFT(O97,2)="13",DATE(RIGHT(O97,4),12,31),IF(EOMONTH(O97,1)&gt;PREMISSAS!$C$3,"",IF(MONTH(O97)=11,"13º "&amp;YEAR(O97),EOMONTH(O97,1)))),"")</f>
        <v>40086</v>
      </c>
      <c r="P98" s="4">
        <f>'Histórico de Remunerações'!E100</f>
        <v>0</v>
      </c>
    </row>
    <row r="99" spans="15:16" x14ac:dyDescent="0.25">
      <c r="O99" s="21">
        <f ca="1">IFERROR(IF(LEFT(O98,2)="13",DATE(RIGHT(O98,4),12,31),IF(EOMONTH(O98,1)&gt;PREMISSAS!$C$3,"",IF(MONTH(O98)=11,"13º "&amp;YEAR(O98),EOMONTH(O98,1)))),"")</f>
        <v>40117</v>
      </c>
      <c r="P99" s="4">
        <f>'Histórico de Remunerações'!E101</f>
        <v>0</v>
      </c>
    </row>
    <row r="100" spans="15:16" x14ac:dyDescent="0.25">
      <c r="O100" s="21">
        <f ca="1">IFERROR(IF(LEFT(O99,2)="13",DATE(RIGHT(O99,4),12,31),IF(EOMONTH(O99,1)&gt;PREMISSAS!$C$3,"",IF(MONTH(O99)=11,"13º "&amp;YEAR(O99),EOMONTH(O99,1)))),"")</f>
        <v>40147</v>
      </c>
      <c r="P100" s="4">
        <f>'Histórico de Remunerações'!E102</f>
        <v>0</v>
      </c>
    </row>
    <row r="101" spans="15:16" x14ac:dyDescent="0.25">
      <c r="O101" s="21" t="str">
        <f ca="1">IFERROR(IF(LEFT(O100,2)="13",DATE(RIGHT(O100,4),12,31),IF(EOMONTH(O100,1)&gt;PREMISSAS!$C$3,"",IF(MONTH(O100)=11,"13º "&amp;YEAR(O100),EOMONTH(O100,1)))),"")</f>
        <v>13º 2009</v>
      </c>
      <c r="P101" s="4">
        <f>'Histórico de Remunerações'!E103</f>
        <v>0</v>
      </c>
    </row>
    <row r="102" spans="15:16" x14ac:dyDescent="0.25">
      <c r="O102" s="21">
        <f ca="1">IFERROR(IF(LEFT(O101,2)="13",DATE(RIGHT(O101,4),12,31),IF(EOMONTH(O101,1)&gt;PREMISSAS!$C$3,"",IF(MONTH(O101)=11,"13º "&amp;YEAR(O101),EOMONTH(O101,1)))),"")</f>
        <v>40178</v>
      </c>
      <c r="P102" s="4">
        <f>'Histórico de Remunerações'!E104</f>
        <v>0</v>
      </c>
    </row>
    <row r="103" spans="15:16" x14ac:dyDescent="0.25">
      <c r="O103" s="21">
        <f ca="1">IFERROR(IF(LEFT(O102,2)="13",DATE(RIGHT(O102,4),12,31),IF(EOMONTH(O102,1)&gt;PREMISSAS!$C$3,"",IF(MONTH(O102)=11,"13º "&amp;YEAR(O102),EOMONTH(O102,1)))),"")</f>
        <v>40209</v>
      </c>
      <c r="P103" s="4">
        <f>'Histórico de Remunerações'!E105</f>
        <v>0</v>
      </c>
    </row>
    <row r="104" spans="15:16" x14ac:dyDescent="0.25">
      <c r="O104" s="21">
        <f ca="1">IFERROR(IF(LEFT(O103,2)="13",DATE(RIGHT(O103,4),12,31),IF(EOMONTH(O103,1)&gt;PREMISSAS!$C$3,"",IF(MONTH(O103)=11,"13º "&amp;YEAR(O103),EOMONTH(O103,1)))),"")</f>
        <v>40237</v>
      </c>
      <c r="P104" s="4">
        <f>'Histórico de Remunerações'!E106</f>
        <v>0</v>
      </c>
    </row>
    <row r="105" spans="15:16" x14ac:dyDescent="0.25">
      <c r="O105" s="21">
        <f ca="1">IFERROR(IF(LEFT(O104,2)="13",DATE(RIGHT(O104,4),12,31),IF(EOMONTH(O104,1)&gt;PREMISSAS!$C$3,"",IF(MONTH(O104)=11,"13º "&amp;YEAR(O104),EOMONTH(O104,1)))),"")</f>
        <v>40268</v>
      </c>
      <c r="P105" s="4">
        <f>'Histórico de Remunerações'!E107</f>
        <v>0</v>
      </c>
    </row>
    <row r="106" spans="15:16" x14ac:dyDescent="0.25">
      <c r="O106" s="21">
        <f ca="1">IFERROR(IF(LEFT(O105,2)="13",DATE(RIGHT(O105,4),12,31),IF(EOMONTH(O105,1)&gt;PREMISSAS!$C$3,"",IF(MONTH(O105)=11,"13º "&amp;YEAR(O105),EOMONTH(O105,1)))),"")</f>
        <v>40298</v>
      </c>
      <c r="P106" s="4">
        <f>'Histórico de Remunerações'!E108</f>
        <v>0</v>
      </c>
    </row>
    <row r="107" spans="15:16" x14ac:dyDescent="0.25">
      <c r="O107" s="21">
        <f ca="1">IFERROR(IF(LEFT(O106,2)="13",DATE(RIGHT(O106,4),12,31),IF(EOMONTH(O106,1)&gt;PREMISSAS!$C$3,"",IF(MONTH(O106)=11,"13º "&amp;YEAR(O106),EOMONTH(O106,1)))),"")</f>
        <v>40329</v>
      </c>
      <c r="P107" s="4">
        <f>'Histórico de Remunerações'!E109</f>
        <v>0</v>
      </c>
    </row>
    <row r="108" spans="15:16" x14ac:dyDescent="0.25">
      <c r="O108" s="21">
        <f ca="1">IFERROR(IF(LEFT(O107,2)="13",DATE(RIGHT(O107,4),12,31),IF(EOMONTH(O107,1)&gt;PREMISSAS!$C$3,"",IF(MONTH(O107)=11,"13º "&amp;YEAR(O107),EOMONTH(O107,1)))),"")</f>
        <v>40359</v>
      </c>
      <c r="P108" s="4">
        <f>'Histórico de Remunerações'!E110</f>
        <v>0</v>
      </c>
    </row>
    <row r="109" spans="15:16" x14ac:dyDescent="0.25">
      <c r="O109" s="21">
        <f ca="1">IFERROR(IF(LEFT(O108,2)="13",DATE(RIGHT(O108,4),12,31),IF(EOMONTH(O108,1)&gt;PREMISSAS!$C$3,"",IF(MONTH(O108)=11,"13º "&amp;YEAR(O108),EOMONTH(O108,1)))),"")</f>
        <v>40390</v>
      </c>
      <c r="P109" s="4">
        <f>'Histórico de Remunerações'!E111</f>
        <v>0</v>
      </c>
    </row>
    <row r="110" spans="15:16" x14ac:dyDescent="0.25">
      <c r="O110" s="21">
        <f ca="1">IFERROR(IF(LEFT(O109,2)="13",DATE(RIGHT(O109,4),12,31),IF(EOMONTH(O109,1)&gt;PREMISSAS!$C$3,"",IF(MONTH(O109)=11,"13º "&amp;YEAR(O109),EOMONTH(O109,1)))),"")</f>
        <v>40421</v>
      </c>
      <c r="P110" s="4">
        <f>'Histórico de Remunerações'!E112</f>
        <v>0</v>
      </c>
    </row>
    <row r="111" spans="15:16" x14ac:dyDescent="0.25">
      <c r="O111" s="21">
        <f ca="1">IFERROR(IF(LEFT(O110,2)="13",DATE(RIGHT(O110,4),12,31),IF(EOMONTH(O110,1)&gt;PREMISSAS!$C$3,"",IF(MONTH(O110)=11,"13º "&amp;YEAR(O110),EOMONTH(O110,1)))),"")</f>
        <v>40451</v>
      </c>
      <c r="P111" s="4">
        <f>'Histórico de Remunerações'!E113</f>
        <v>0</v>
      </c>
    </row>
    <row r="112" spans="15:16" x14ac:dyDescent="0.25">
      <c r="O112" s="21">
        <f ca="1">IFERROR(IF(LEFT(O111,2)="13",DATE(RIGHT(O111,4),12,31),IF(EOMONTH(O111,1)&gt;PREMISSAS!$C$3,"",IF(MONTH(O111)=11,"13º "&amp;YEAR(O111),EOMONTH(O111,1)))),"")</f>
        <v>40482</v>
      </c>
      <c r="P112" s="4">
        <f>'Histórico de Remunerações'!E114</f>
        <v>0</v>
      </c>
    </row>
    <row r="113" spans="15:16" x14ac:dyDescent="0.25">
      <c r="O113" s="21">
        <f ca="1">IFERROR(IF(LEFT(O112,2)="13",DATE(RIGHT(O112,4),12,31),IF(EOMONTH(O112,1)&gt;PREMISSAS!$C$3,"",IF(MONTH(O112)=11,"13º "&amp;YEAR(O112),EOMONTH(O112,1)))),"")</f>
        <v>40512</v>
      </c>
      <c r="P113" s="4">
        <f>'Histórico de Remunerações'!E115</f>
        <v>0</v>
      </c>
    </row>
    <row r="114" spans="15:16" x14ac:dyDescent="0.25">
      <c r="O114" s="21" t="str">
        <f ca="1">IFERROR(IF(LEFT(O113,2)="13",DATE(RIGHT(O113,4),12,31),IF(EOMONTH(O113,1)&gt;PREMISSAS!$C$3,"",IF(MONTH(O113)=11,"13º "&amp;YEAR(O113),EOMONTH(O113,1)))),"")</f>
        <v>13º 2010</v>
      </c>
      <c r="P114" s="4">
        <f>'Histórico de Remunerações'!E116</f>
        <v>0</v>
      </c>
    </row>
    <row r="115" spans="15:16" x14ac:dyDescent="0.25">
      <c r="O115" s="21">
        <f ca="1">IFERROR(IF(LEFT(O114,2)="13",DATE(RIGHT(O114,4),12,31),IF(EOMONTH(O114,1)&gt;PREMISSAS!$C$3,"",IF(MONTH(O114)=11,"13º "&amp;YEAR(O114),EOMONTH(O114,1)))),"")</f>
        <v>40543</v>
      </c>
      <c r="P115" s="4">
        <f>'Histórico de Remunerações'!E117</f>
        <v>0</v>
      </c>
    </row>
    <row r="116" spans="15:16" x14ac:dyDescent="0.25">
      <c r="O116" s="21">
        <f ca="1">IFERROR(IF(LEFT(O115,2)="13",DATE(RIGHT(O115,4),12,31),IF(EOMONTH(O115,1)&gt;PREMISSAS!$C$3,"",IF(MONTH(O115)=11,"13º "&amp;YEAR(O115),EOMONTH(O115,1)))),"")</f>
        <v>40574</v>
      </c>
      <c r="P116" s="4">
        <f>'Histórico de Remunerações'!E118</f>
        <v>0</v>
      </c>
    </row>
    <row r="117" spans="15:16" x14ac:dyDescent="0.25">
      <c r="O117" s="21">
        <f ca="1">IFERROR(IF(LEFT(O116,2)="13",DATE(RIGHT(O116,4),12,31),IF(EOMONTH(O116,1)&gt;PREMISSAS!$C$3,"",IF(MONTH(O116)=11,"13º "&amp;YEAR(O116),EOMONTH(O116,1)))),"")</f>
        <v>40602</v>
      </c>
      <c r="P117" s="4">
        <f>'Histórico de Remunerações'!E119</f>
        <v>0</v>
      </c>
    </row>
    <row r="118" spans="15:16" x14ac:dyDescent="0.25">
      <c r="O118" s="21">
        <f ca="1">IFERROR(IF(LEFT(O117,2)="13",DATE(RIGHT(O117,4),12,31),IF(EOMONTH(O117,1)&gt;PREMISSAS!$C$3,"",IF(MONTH(O117)=11,"13º "&amp;YEAR(O117),EOMONTH(O117,1)))),"")</f>
        <v>40633</v>
      </c>
      <c r="P118" s="4">
        <f>'Histórico de Remunerações'!E120</f>
        <v>0</v>
      </c>
    </row>
    <row r="119" spans="15:16" x14ac:dyDescent="0.25">
      <c r="O119" s="21">
        <f ca="1">IFERROR(IF(LEFT(O118,2)="13",DATE(RIGHT(O118,4),12,31),IF(EOMONTH(O118,1)&gt;PREMISSAS!$C$3,"",IF(MONTH(O118)=11,"13º "&amp;YEAR(O118),EOMONTH(O118,1)))),"")</f>
        <v>40663</v>
      </c>
      <c r="P119" s="4">
        <f>'Histórico de Remunerações'!E121</f>
        <v>0</v>
      </c>
    </row>
    <row r="120" spans="15:16" x14ac:dyDescent="0.25">
      <c r="O120" s="21">
        <f ca="1">IFERROR(IF(LEFT(O119,2)="13",DATE(RIGHT(O119,4),12,31),IF(EOMONTH(O119,1)&gt;PREMISSAS!$C$3,"",IF(MONTH(O119)=11,"13º "&amp;YEAR(O119),EOMONTH(O119,1)))),"")</f>
        <v>40694</v>
      </c>
      <c r="P120" s="4">
        <f>'Histórico de Remunerações'!E122</f>
        <v>0</v>
      </c>
    </row>
    <row r="121" spans="15:16" x14ac:dyDescent="0.25">
      <c r="O121" s="21">
        <f ca="1">IFERROR(IF(LEFT(O120,2)="13",DATE(RIGHT(O120,4),12,31),IF(EOMONTH(O120,1)&gt;PREMISSAS!$C$3,"",IF(MONTH(O120)=11,"13º "&amp;YEAR(O120),EOMONTH(O120,1)))),"")</f>
        <v>40724</v>
      </c>
      <c r="P121" s="4">
        <f>'Histórico de Remunerações'!E123</f>
        <v>0</v>
      </c>
    </row>
    <row r="122" spans="15:16" x14ac:dyDescent="0.25">
      <c r="O122" s="21">
        <f ca="1">IFERROR(IF(LEFT(O121,2)="13",DATE(RIGHT(O121,4),12,31),IF(EOMONTH(O121,1)&gt;PREMISSAS!$C$3,"",IF(MONTH(O121)=11,"13º "&amp;YEAR(O121),EOMONTH(O121,1)))),"")</f>
        <v>40755</v>
      </c>
      <c r="P122" s="4">
        <f>'Histórico de Remunerações'!E124</f>
        <v>0</v>
      </c>
    </row>
    <row r="123" spans="15:16" x14ac:dyDescent="0.25">
      <c r="O123" s="21">
        <f ca="1">IFERROR(IF(LEFT(O122,2)="13",DATE(RIGHT(O122,4),12,31),IF(EOMONTH(O122,1)&gt;PREMISSAS!$C$3,"",IF(MONTH(O122)=11,"13º "&amp;YEAR(O122),EOMONTH(O122,1)))),"")</f>
        <v>40786</v>
      </c>
      <c r="P123" s="4">
        <f>'Histórico de Remunerações'!E125</f>
        <v>0</v>
      </c>
    </row>
    <row r="124" spans="15:16" x14ac:dyDescent="0.25">
      <c r="O124" s="21">
        <f ca="1">IFERROR(IF(LEFT(O123,2)="13",DATE(RIGHT(O123,4),12,31),IF(EOMONTH(O123,1)&gt;PREMISSAS!$C$3,"",IF(MONTH(O123)=11,"13º "&amp;YEAR(O123),EOMONTH(O123,1)))),"")</f>
        <v>40816</v>
      </c>
      <c r="P124" s="4">
        <f>'Histórico de Remunerações'!E126</f>
        <v>0</v>
      </c>
    </row>
    <row r="125" spans="15:16" x14ac:dyDescent="0.25">
      <c r="O125" s="21">
        <f ca="1">IFERROR(IF(LEFT(O124,2)="13",DATE(RIGHT(O124,4),12,31),IF(EOMONTH(O124,1)&gt;PREMISSAS!$C$3,"",IF(MONTH(O124)=11,"13º "&amp;YEAR(O124),EOMONTH(O124,1)))),"")</f>
        <v>40847</v>
      </c>
      <c r="P125" s="4">
        <f>'Histórico de Remunerações'!E127</f>
        <v>0</v>
      </c>
    </row>
    <row r="126" spans="15:16" x14ac:dyDescent="0.25">
      <c r="O126" s="21">
        <f ca="1">IFERROR(IF(LEFT(O125,2)="13",DATE(RIGHT(O125,4),12,31),IF(EOMONTH(O125,1)&gt;PREMISSAS!$C$3,"",IF(MONTH(O125)=11,"13º "&amp;YEAR(O125),EOMONTH(O125,1)))),"")</f>
        <v>40877</v>
      </c>
      <c r="P126" s="4">
        <f>'Histórico de Remunerações'!E128</f>
        <v>0</v>
      </c>
    </row>
    <row r="127" spans="15:16" x14ac:dyDescent="0.25">
      <c r="O127" s="21" t="str">
        <f ca="1">IFERROR(IF(LEFT(O126,2)="13",DATE(RIGHT(O126,4),12,31),IF(EOMONTH(O126,1)&gt;PREMISSAS!$C$3,"",IF(MONTH(O126)=11,"13º "&amp;YEAR(O126),EOMONTH(O126,1)))),"")</f>
        <v>13º 2011</v>
      </c>
      <c r="P127" s="4">
        <f>'Histórico de Remunerações'!E129</f>
        <v>0</v>
      </c>
    </row>
    <row r="128" spans="15:16" x14ac:dyDescent="0.25">
      <c r="O128" s="21">
        <f ca="1">IFERROR(IF(LEFT(O127,2)="13",DATE(RIGHT(O127,4),12,31),IF(EOMONTH(O127,1)&gt;PREMISSAS!$C$3,"",IF(MONTH(O127)=11,"13º "&amp;YEAR(O127),EOMONTH(O127,1)))),"")</f>
        <v>40908</v>
      </c>
      <c r="P128" s="4">
        <f>'Histórico de Remunerações'!E130</f>
        <v>0</v>
      </c>
    </row>
    <row r="129" spans="15:16" x14ac:dyDescent="0.25">
      <c r="O129" s="21">
        <f ca="1">IFERROR(IF(LEFT(O128,2)="13",DATE(RIGHT(O128,4),12,31),IF(EOMONTH(O128,1)&gt;PREMISSAS!$C$3,"",IF(MONTH(O128)=11,"13º "&amp;YEAR(O128),EOMONTH(O128,1)))),"")</f>
        <v>40939</v>
      </c>
      <c r="P129" s="4">
        <f>'Histórico de Remunerações'!E131</f>
        <v>0</v>
      </c>
    </row>
    <row r="130" spans="15:16" x14ac:dyDescent="0.25">
      <c r="O130" s="21">
        <f ca="1">IFERROR(IF(LEFT(O129,2)="13",DATE(RIGHT(O129,4),12,31),IF(EOMONTH(O129,1)&gt;PREMISSAS!$C$3,"",IF(MONTH(O129)=11,"13º "&amp;YEAR(O129),EOMONTH(O129,1)))),"")</f>
        <v>40968</v>
      </c>
      <c r="P130" s="4">
        <f>'Histórico de Remunerações'!E132</f>
        <v>0</v>
      </c>
    </row>
    <row r="131" spans="15:16" x14ac:dyDescent="0.25">
      <c r="O131" s="21">
        <f ca="1">IFERROR(IF(LEFT(O130,2)="13",DATE(RIGHT(O130,4),12,31),IF(EOMONTH(O130,1)&gt;PREMISSAS!$C$3,"",IF(MONTH(O130)=11,"13º "&amp;YEAR(O130),EOMONTH(O130,1)))),"")</f>
        <v>40999</v>
      </c>
      <c r="P131" s="4">
        <f>'Histórico de Remunerações'!E133</f>
        <v>0</v>
      </c>
    </row>
    <row r="132" spans="15:16" x14ac:dyDescent="0.25">
      <c r="O132" s="21">
        <f ca="1">IFERROR(IF(LEFT(O131,2)="13",DATE(RIGHT(O131,4),12,31),IF(EOMONTH(O131,1)&gt;PREMISSAS!$C$3,"",IF(MONTH(O131)=11,"13º "&amp;YEAR(O131),EOMONTH(O131,1)))),"")</f>
        <v>41029</v>
      </c>
      <c r="P132" s="4">
        <f>'Histórico de Remunerações'!E134</f>
        <v>0</v>
      </c>
    </row>
    <row r="133" spans="15:16" x14ac:dyDescent="0.25">
      <c r="O133" s="21">
        <f ca="1">IFERROR(IF(LEFT(O132,2)="13",DATE(RIGHT(O132,4),12,31),IF(EOMONTH(O132,1)&gt;PREMISSAS!$C$3,"",IF(MONTH(O132)=11,"13º "&amp;YEAR(O132),EOMONTH(O132,1)))),"")</f>
        <v>41060</v>
      </c>
      <c r="P133" s="4">
        <f>'Histórico de Remunerações'!E135</f>
        <v>0</v>
      </c>
    </row>
    <row r="134" spans="15:16" x14ac:dyDescent="0.25">
      <c r="O134" s="21">
        <f ca="1">IFERROR(IF(LEFT(O133,2)="13",DATE(RIGHT(O133,4),12,31),IF(EOMONTH(O133,1)&gt;PREMISSAS!$C$3,"",IF(MONTH(O133)=11,"13º "&amp;YEAR(O133),EOMONTH(O133,1)))),"")</f>
        <v>41090</v>
      </c>
      <c r="P134" s="4">
        <f>'Histórico de Remunerações'!E136</f>
        <v>0</v>
      </c>
    </row>
    <row r="135" spans="15:16" x14ac:dyDescent="0.25">
      <c r="O135" s="21">
        <f ca="1">IFERROR(IF(LEFT(O134,2)="13",DATE(RIGHT(O134,4),12,31),IF(EOMONTH(O134,1)&gt;PREMISSAS!$C$3,"",IF(MONTH(O134)=11,"13º "&amp;YEAR(O134),EOMONTH(O134,1)))),"")</f>
        <v>41121</v>
      </c>
      <c r="P135" s="4">
        <f>'Histórico de Remunerações'!E137</f>
        <v>0</v>
      </c>
    </row>
    <row r="136" spans="15:16" x14ac:dyDescent="0.25">
      <c r="O136" s="21">
        <f ca="1">IFERROR(IF(LEFT(O135,2)="13",DATE(RIGHT(O135,4),12,31),IF(EOMONTH(O135,1)&gt;PREMISSAS!$C$3,"",IF(MONTH(O135)=11,"13º "&amp;YEAR(O135),EOMONTH(O135,1)))),"")</f>
        <v>41152</v>
      </c>
      <c r="P136" s="4">
        <f>'Histórico de Remunerações'!E138</f>
        <v>0</v>
      </c>
    </row>
    <row r="137" spans="15:16" x14ac:dyDescent="0.25">
      <c r="O137" s="21">
        <f ca="1">IFERROR(IF(LEFT(O136,2)="13",DATE(RIGHT(O136,4),12,31),IF(EOMONTH(O136,1)&gt;PREMISSAS!$C$3,"",IF(MONTH(O136)=11,"13º "&amp;YEAR(O136),EOMONTH(O136,1)))),"")</f>
        <v>41182</v>
      </c>
      <c r="P137" s="4">
        <f>'Histórico de Remunerações'!E139</f>
        <v>0</v>
      </c>
    </row>
    <row r="138" spans="15:16" x14ac:dyDescent="0.25">
      <c r="O138" s="21">
        <f ca="1">IFERROR(IF(LEFT(O137,2)="13",DATE(RIGHT(O137,4),12,31),IF(EOMONTH(O137,1)&gt;PREMISSAS!$C$3,"",IF(MONTH(O137)=11,"13º "&amp;YEAR(O137),EOMONTH(O137,1)))),"")</f>
        <v>41213</v>
      </c>
      <c r="P138" s="4">
        <f>'Histórico de Remunerações'!E140</f>
        <v>0</v>
      </c>
    </row>
    <row r="139" spans="15:16" x14ac:dyDescent="0.25">
      <c r="O139" s="21">
        <f ca="1">IFERROR(IF(LEFT(O138,2)="13",DATE(RIGHT(O138,4),12,31),IF(EOMONTH(O138,1)&gt;PREMISSAS!$C$3,"",IF(MONTH(O138)=11,"13º "&amp;YEAR(O138),EOMONTH(O138,1)))),"")</f>
        <v>41243</v>
      </c>
      <c r="P139" s="4">
        <f>'Histórico de Remunerações'!E141</f>
        <v>0</v>
      </c>
    </row>
    <row r="140" spans="15:16" x14ac:dyDescent="0.25">
      <c r="O140" s="21" t="str">
        <f ca="1">IFERROR(IF(LEFT(O139,2)="13",DATE(RIGHT(O139,4),12,31),IF(EOMONTH(O139,1)&gt;PREMISSAS!$C$3,"",IF(MONTH(O139)=11,"13º "&amp;YEAR(O139),EOMONTH(O139,1)))),"")</f>
        <v>13º 2012</v>
      </c>
      <c r="P140" s="4">
        <f>'Histórico de Remunerações'!E142</f>
        <v>0</v>
      </c>
    </row>
    <row r="141" spans="15:16" x14ac:dyDescent="0.25">
      <c r="O141" s="21">
        <f ca="1">IFERROR(IF(LEFT(O140,2)="13",DATE(RIGHT(O140,4),12,31),IF(EOMONTH(O140,1)&gt;PREMISSAS!$C$3,"",IF(MONTH(O140)=11,"13º "&amp;YEAR(O140),EOMONTH(O140,1)))),"")</f>
        <v>41274</v>
      </c>
      <c r="P141" s="4">
        <f>'Histórico de Remunerações'!E143</f>
        <v>0</v>
      </c>
    </row>
    <row r="142" spans="15:16" x14ac:dyDescent="0.25">
      <c r="O142" s="21">
        <f ca="1">IFERROR(IF(LEFT(O141,2)="13",DATE(RIGHT(O141,4),12,31),IF(EOMONTH(O141,1)&gt;PREMISSAS!$C$3,"",IF(MONTH(O141)=11,"13º "&amp;YEAR(O141),EOMONTH(O141,1)))),"")</f>
        <v>41305</v>
      </c>
      <c r="P142" s="4">
        <f>'Histórico de Remunerações'!E144</f>
        <v>0</v>
      </c>
    </row>
    <row r="143" spans="15:16" x14ac:dyDescent="0.25">
      <c r="O143" s="21">
        <f ca="1">IFERROR(IF(LEFT(O142,2)="13",DATE(RIGHT(O142,4),12,31),IF(EOMONTH(O142,1)&gt;PREMISSAS!$C$3,"",IF(MONTH(O142)=11,"13º "&amp;YEAR(O142),EOMONTH(O142,1)))),"")</f>
        <v>41333</v>
      </c>
      <c r="P143" s="4">
        <f>'Histórico de Remunerações'!E145</f>
        <v>0</v>
      </c>
    </row>
    <row r="144" spans="15:16" x14ac:dyDescent="0.25">
      <c r="O144" s="21">
        <f ca="1">IFERROR(IF(LEFT(O143,2)="13",DATE(RIGHT(O143,4),12,31),IF(EOMONTH(O143,1)&gt;PREMISSAS!$C$3,"",IF(MONTH(O143)=11,"13º "&amp;YEAR(O143),EOMONTH(O143,1)))),"")</f>
        <v>41364</v>
      </c>
      <c r="P144" s="4">
        <f>'Histórico de Remunerações'!E146</f>
        <v>0</v>
      </c>
    </row>
    <row r="145" spans="15:16" x14ac:dyDescent="0.25">
      <c r="O145" s="21">
        <f ca="1">IFERROR(IF(LEFT(O144,2)="13",DATE(RIGHT(O144,4),12,31),IF(EOMONTH(O144,1)&gt;PREMISSAS!$C$3,"",IF(MONTH(O144)=11,"13º "&amp;YEAR(O144),EOMONTH(O144,1)))),"")</f>
        <v>41394</v>
      </c>
      <c r="P145" s="4">
        <f>'Histórico de Remunerações'!E147</f>
        <v>0</v>
      </c>
    </row>
    <row r="146" spans="15:16" x14ac:dyDescent="0.25">
      <c r="O146" s="21">
        <f ca="1">IFERROR(IF(LEFT(O145,2)="13",DATE(RIGHT(O145,4),12,31),IF(EOMONTH(O145,1)&gt;PREMISSAS!$C$3,"",IF(MONTH(O145)=11,"13º "&amp;YEAR(O145),EOMONTH(O145,1)))),"")</f>
        <v>41425</v>
      </c>
      <c r="P146" s="4">
        <f>'Histórico de Remunerações'!E148</f>
        <v>0</v>
      </c>
    </row>
    <row r="147" spans="15:16" x14ac:dyDescent="0.25">
      <c r="O147" s="21">
        <f ca="1">IFERROR(IF(LEFT(O146,2)="13",DATE(RIGHT(O146,4),12,31),IF(EOMONTH(O146,1)&gt;PREMISSAS!$C$3,"",IF(MONTH(O146)=11,"13º "&amp;YEAR(O146),EOMONTH(O146,1)))),"")</f>
        <v>41455</v>
      </c>
      <c r="P147" s="4">
        <f>'Histórico de Remunerações'!E149</f>
        <v>0</v>
      </c>
    </row>
    <row r="148" spans="15:16" x14ac:dyDescent="0.25">
      <c r="O148" s="21">
        <f ca="1">IFERROR(IF(LEFT(O147,2)="13",DATE(RIGHT(O147,4),12,31),IF(EOMONTH(O147,1)&gt;PREMISSAS!$C$3,"",IF(MONTH(O147)=11,"13º "&amp;YEAR(O147),EOMONTH(O147,1)))),"")</f>
        <v>41486</v>
      </c>
      <c r="P148" s="4">
        <f>'Histórico de Remunerações'!E150</f>
        <v>0</v>
      </c>
    </row>
    <row r="149" spans="15:16" x14ac:dyDescent="0.25">
      <c r="O149" s="21">
        <f ca="1">IFERROR(IF(LEFT(O148,2)="13",DATE(RIGHT(O148,4),12,31),IF(EOMONTH(O148,1)&gt;PREMISSAS!$C$3,"",IF(MONTH(O148)=11,"13º "&amp;YEAR(O148),EOMONTH(O148,1)))),"")</f>
        <v>41517</v>
      </c>
      <c r="P149" s="4">
        <f>'Histórico de Remunerações'!E151</f>
        <v>0</v>
      </c>
    </row>
    <row r="150" spans="15:16" x14ac:dyDescent="0.25">
      <c r="O150" s="21">
        <f ca="1">IFERROR(IF(LEFT(O149,2)="13",DATE(RIGHT(O149,4),12,31),IF(EOMONTH(O149,1)&gt;PREMISSAS!$C$3,"",IF(MONTH(O149)=11,"13º "&amp;YEAR(O149),EOMONTH(O149,1)))),"")</f>
        <v>41547</v>
      </c>
      <c r="P150" s="4">
        <f>'Histórico de Remunerações'!E152</f>
        <v>0</v>
      </c>
    </row>
    <row r="151" spans="15:16" x14ac:dyDescent="0.25">
      <c r="O151" s="21">
        <f ca="1">IFERROR(IF(LEFT(O150,2)="13",DATE(RIGHT(O150,4),12,31),IF(EOMONTH(O150,1)&gt;PREMISSAS!$C$3,"",IF(MONTH(O150)=11,"13º "&amp;YEAR(O150),EOMONTH(O150,1)))),"")</f>
        <v>41578</v>
      </c>
      <c r="P151" s="4">
        <f>'Histórico de Remunerações'!E153</f>
        <v>0</v>
      </c>
    </row>
    <row r="152" spans="15:16" x14ac:dyDescent="0.25">
      <c r="O152" s="21">
        <f ca="1">IFERROR(IF(LEFT(O151,2)="13",DATE(RIGHT(O151,4),12,31),IF(EOMONTH(O151,1)&gt;PREMISSAS!$C$3,"",IF(MONTH(O151)=11,"13º "&amp;YEAR(O151),EOMONTH(O151,1)))),"")</f>
        <v>41608</v>
      </c>
      <c r="P152" s="4">
        <f>'Histórico de Remunerações'!E154</f>
        <v>0</v>
      </c>
    </row>
    <row r="153" spans="15:16" x14ac:dyDescent="0.25">
      <c r="O153" s="21" t="str">
        <f ca="1">IFERROR(IF(LEFT(O152,2)="13",DATE(RIGHT(O152,4),12,31),IF(EOMONTH(O152,1)&gt;PREMISSAS!$C$3,"",IF(MONTH(O152)=11,"13º "&amp;YEAR(O152),EOMONTH(O152,1)))),"")</f>
        <v>13º 2013</v>
      </c>
      <c r="P153" s="4">
        <f>'Histórico de Remunerações'!E155</f>
        <v>0</v>
      </c>
    </row>
    <row r="154" spans="15:16" x14ac:dyDescent="0.25">
      <c r="O154" s="21">
        <f ca="1">IFERROR(IF(LEFT(O153,2)="13",DATE(RIGHT(O153,4),12,31),IF(EOMONTH(O153,1)&gt;PREMISSAS!$C$3,"",IF(MONTH(O153)=11,"13º "&amp;YEAR(O153),EOMONTH(O153,1)))),"")</f>
        <v>41639</v>
      </c>
      <c r="P154" s="4">
        <f>'Histórico de Remunerações'!E156</f>
        <v>0</v>
      </c>
    </row>
    <row r="155" spans="15:16" x14ac:dyDescent="0.25">
      <c r="O155" s="21">
        <f ca="1">IFERROR(IF(LEFT(O154,2)="13",DATE(RIGHT(O154,4),12,31),IF(EOMONTH(O154,1)&gt;PREMISSAS!$C$3,"",IF(MONTH(O154)=11,"13º "&amp;YEAR(O154),EOMONTH(O154,1)))),"")</f>
        <v>41670</v>
      </c>
      <c r="P155" s="4">
        <f>'Histórico de Remunerações'!E157</f>
        <v>0</v>
      </c>
    </row>
    <row r="156" spans="15:16" x14ac:dyDescent="0.25">
      <c r="O156" s="21">
        <f ca="1">IFERROR(IF(LEFT(O155,2)="13",DATE(RIGHT(O155,4),12,31),IF(EOMONTH(O155,1)&gt;PREMISSAS!$C$3,"",IF(MONTH(O155)=11,"13º "&amp;YEAR(O155),EOMONTH(O155,1)))),"")</f>
        <v>41698</v>
      </c>
      <c r="P156" s="4">
        <f>'Histórico de Remunerações'!E158</f>
        <v>0</v>
      </c>
    </row>
    <row r="157" spans="15:16" x14ac:dyDescent="0.25">
      <c r="O157" s="21">
        <f ca="1">IFERROR(IF(LEFT(O156,2)="13",DATE(RIGHT(O156,4),12,31),IF(EOMONTH(O156,1)&gt;PREMISSAS!$C$3,"",IF(MONTH(O156)=11,"13º "&amp;YEAR(O156),EOMONTH(O156,1)))),"")</f>
        <v>41729</v>
      </c>
      <c r="P157" s="4">
        <f>'Histórico de Remunerações'!E159</f>
        <v>0</v>
      </c>
    </row>
    <row r="158" spans="15:16" x14ac:dyDescent="0.25">
      <c r="O158" s="21">
        <f ca="1">IFERROR(IF(LEFT(O157,2)="13",DATE(RIGHT(O157,4),12,31),IF(EOMONTH(O157,1)&gt;PREMISSAS!$C$3,"",IF(MONTH(O157)=11,"13º "&amp;YEAR(O157),EOMONTH(O157,1)))),"")</f>
        <v>41759</v>
      </c>
      <c r="P158" s="4">
        <f>'Histórico de Remunerações'!E160</f>
        <v>0</v>
      </c>
    </row>
    <row r="159" spans="15:16" x14ac:dyDescent="0.25">
      <c r="O159" s="21">
        <f ca="1">IFERROR(IF(LEFT(O158,2)="13",DATE(RIGHT(O158,4),12,31),IF(EOMONTH(O158,1)&gt;PREMISSAS!$C$3,"",IF(MONTH(O158)=11,"13º "&amp;YEAR(O158),EOMONTH(O158,1)))),"")</f>
        <v>41790</v>
      </c>
      <c r="P159" s="4">
        <f>'Histórico de Remunerações'!E161</f>
        <v>0</v>
      </c>
    </row>
    <row r="160" spans="15:16" x14ac:dyDescent="0.25">
      <c r="O160" s="21">
        <f ca="1">IFERROR(IF(LEFT(O159,2)="13",DATE(RIGHT(O159,4),12,31),IF(EOMONTH(O159,1)&gt;PREMISSAS!$C$3,"",IF(MONTH(O159)=11,"13º "&amp;YEAR(O159),EOMONTH(O159,1)))),"")</f>
        <v>41820</v>
      </c>
      <c r="P160" s="4">
        <f>'Histórico de Remunerações'!E162</f>
        <v>0</v>
      </c>
    </row>
    <row r="161" spans="15:16" x14ac:dyDescent="0.25">
      <c r="O161" s="21">
        <f ca="1">IFERROR(IF(LEFT(O160,2)="13",DATE(RIGHT(O160,4),12,31),IF(EOMONTH(O160,1)&gt;PREMISSAS!$C$3,"",IF(MONTH(O160)=11,"13º "&amp;YEAR(O160),EOMONTH(O160,1)))),"")</f>
        <v>41851</v>
      </c>
      <c r="P161" s="4">
        <f>'Histórico de Remunerações'!E163</f>
        <v>0</v>
      </c>
    </row>
    <row r="162" spans="15:16" x14ac:dyDescent="0.25">
      <c r="O162" s="21">
        <f ca="1">IFERROR(IF(LEFT(O161,2)="13",DATE(RIGHT(O161,4),12,31),IF(EOMONTH(O161,1)&gt;PREMISSAS!$C$3,"",IF(MONTH(O161)=11,"13º "&amp;YEAR(O161),EOMONTH(O161,1)))),"")</f>
        <v>41882</v>
      </c>
      <c r="P162" s="4">
        <f>'Histórico de Remunerações'!E164</f>
        <v>0</v>
      </c>
    </row>
    <row r="163" spans="15:16" x14ac:dyDescent="0.25">
      <c r="O163" s="21">
        <f ca="1">IFERROR(IF(LEFT(O162,2)="13",DATE(RIGHT(O162,4),12,31),IF(EOMONTH(O162,1)&gt;PREMISSAS!$C$3,"",IF(MONTH(O162)=11,"13º "&amp;YEAR(O162),EOMONTH(O162,1)))),"")</f>
        <v>41912</v>
      </c>
      <c r="P163" s="4">
        <f>'Histórico de Remunerações'!E165</f>
        <v>0</v>
      </c>
    </row>
    <row r="164" spans="15:16" x14ac:dyDescent="0.25">
      <c r="O164" s="21">
        <f ca="1">IFERROR(IF(LEFT(O163,2)="13",DATE(RIGHT(O163,4),12,31),IF(EOMONTH(O163,1)&gt;PREMISSAS!$C$3,"",IF(MONTH(O163)=11,"13º "&amp;YEAR(O163),EOMONTH(O163,1)))),"")</f>
        <v>41943</v>
      </c>
      <c r="P164" s="4">
        <f>'Histórico de Remunerações'!E166</f>
        <v>0</v>
      </c>
    </row>
    <row r="165" spans="15:16" x14ac:dyDescent="0.25">
      <c r="O165" s="21">
        <f ca="1">IFERROR(IF(LEFT(O164,2)="13",DATE(RIGHT(O164,4),12,31),IF(EOMONTH(O164,1)&gt;PREMISSAS!$C$3,"",IF(MONTH(O164)=11,"13º "&amp;YEAR(O164),EOMONTH(O164,1)))),"")</f>
        <v>41973</v>
      </c>
      <c r="P165" s="4">
        <f>'Histórico de Remunerações'!E167</f>
        <v>0</v>
      </c>
    </row>
    <row r="166" spans="15:16" x14ac:dyDescent="0.25">
      <c r="O166" s="21" t="str">
        <f ca="1">IFERROR(IF(LEFT(O165,2)="13",DATE(RIGHT(O165,4),12,31),IF(EOMONTH(O165,1)&gt;PREMISSAS!$C$3,"",IF(MONTH(O165)=11,"13º "&amp;YEAR(O165),EOMONTH(O165,1)))),"")</f>
        <v>13º 2014</v>
      </c>
      <c r="P166" s="4">
        <f>'Histórico de Remunerações'!E168</f>
        <v>0</v>
      </c>
    </row>
    <row r="167" spans="15:16" x14ac:dyDescent="0.25">
      <c r="O167" s="21">
        <f ca="1">IFERROR(IF(LEFT(O166,2)="13",DATE(RIGHT(O166,4),12,31),IF(EOMONTH(O166,1)&gt;PREMISSAS!$C$3,"",IF(MONTH(O166)=11,"13º "&amp;YEAR(O166),EOMONTH(O166,1)))),"")</f>
        <v>42004</v>
      </c>
      <c r="P167" s="4">
        <f>'Histórico de Remunerações'!E169</f>
        <v>0</v>
      </c>
    </row>
    <row r="168" spans="15:16" x14ac:dyDescent="0.25">
      <c r="O168" s="21">
        <f ca="1">IFERROR(IF(LEFT(O167,2)="13",DATE(RIGHT(O167,4),12,31),IF(EOMONTH(O167,1)&gt;PREMISSAS!$C$3,"",IF(MONTH(O167)=11,"13º "&amp;YEAR(O167),EOMONTH(O167,1)))),"")</f>
        <v>42035</v>
      </c>
      <c r="P168" s="4">
        <f>'Histórico de Remunerações'!E170</f>
        <v>0</v>
      </c>
    </row>
    <row r="169" spans="15:16" x14ac:dyDescent="0.25">
      <c r="O169" s="21">
        <f ca="1">IFERROR(IF(LEFT(O168,2)="13",DATE(RIGHT(O168,4),12,31),IF(EOMONTH(O168,1)&gt;PREMISSAS!$C$3,"",IF(MONTH(O168)=11,"13º "&amp;YEAR(O168),EOMONTH(O168,1)))),"")</f>
        <v>42063</v>
      </c>
      <c r="P169" s="4">
        <f>'Histórico de Remunerações'!E171</f>
        <v>0</v>
      </c>
    </row>
    <row r="170" spans="15:16" x14ac:dyDescent="0.25">
      <c r="O170" s="21">
        <f ca="1">IFERROR(IF(LEFT(O169,2)="13",DATE(RIGHT(O169,4),12,31),IF(EOMONTH(O169,1)&gt;PREMISSAS!$C$3,"",IF(MONTH(O169)=11,"13º "&amp;YEAR(O169),EOMONTH(O169,1)))),"")</f>
        <v>42094</v>
      </c>
      <c r="P170" s="4">
        <f>'Histórico de Remunerações'!E172</f>
        <v>0</v>
      </c>
    </row>
    <row r="171" spans="15:16" x14ac:dyDescent="0.25">
      <c r="O171" s="21">
        <f ca="1">IFERROR(IF(LEFT(O170,2)="13",DATE(RIGHT(O170,4),12,31),IF(EOMONTH(O170,1)&gt;PREMISSAS!$C$3,"",IF(MONTH(O170)=11,"13º "&amp;YEAR(O170),EOMONTH(O170,1)))),"")</f>
        <v>42124</v>
      </c>
      <c r="P171" s="4">
        <f>'Histórico de Remunerações'!E173</f>
        <v>0</v>
      </c>
    </row>
    <row r="172" spans="15:16" x14ac:dyDescent="0.25">
      <c r="O172" s="21">
        <f ca="1">IFERROR(IF(LEFT(O171,2)="13",DATE(RIGHT(O171,4),12,31),IF(EOMONTH(O171,1)&gt;PREMISSAS!$C$3,"",IF(MONTH(O171)=11,"13º "&amp;YEAR(O171),EOMONTH(O171,1)))),"")</f>
        <v>42155</v>
      </c>
      <c r="P172" s="4">
        <f>'Histórico de Remunerações'!E174</f>
        <v>0</v>
      </c>
    </row>
    <row r="173" spans="15:16" x14ac:dyDescent="0.25">
      <c r="O173" s="21">
        <f ca="1">IFERROR(IF(LEFT(O172,2)="13",DATE(RIGHT(O172,4),12,31),IF(EOMONTH(O172,1)&gt;PREMISSAS!$C$3,"",IF(MONTH(O172)=11,"13º "&amp;YEAR(O172),EOMONTH(O172,1)))),"")</f>
        <v>42185</v>
      </c>
      <c r="P173" s="4">
        <f>'Histórico de Remunerações'!E175</f>
        <v>0</v>
      </c>
    </row>
    <row r="174" spans="15:16" x14ac:dyDescent="0.25">
      <c r="O174" s="21">
        <f ca="1">IFERROR(IF(LEFT(O173,2)="13",DATE(RIGHT(O173,4),12,31),IF(EOMONTH(O173,1)&gt;PREMISSAS!$C$3,"",IF(MONTH(O173)=11,"13º "&amp;YEAR(O173),EOMONTH(O173,1)))),"")</f>
        <v>42216</v>
      </c>
      <c r="P174" s="4">
        <f>'Histórico de Remunerações'!E176</f>
        <v>0</v>
      </c>
    </row>
    <row r="175" spans="15:16" x14ac:dyDescent="0.25">
      <c r="O175" s="21">
        <f ca="1">IFERROR(IF(LEFT(O174,2)="13",DATE(RIGHT(O174,4),12,31),IF(EOMONTH(O174,1)&gt;PREMISSAS!$C$3,"",IF(MONTH(O174)=11,"13º "&amp;YEAR(O174),EOMONTH(O174,1)))),"")</f>
        <v>42247</v>
      </c>
      <c r="P175" s="4">
        <f>'Histórico de Remunerações'!E177</f>
        <v>0</v>
      </c>
    </row>
    <row r="176" spans="15:16" x14ac:dyDescent="0.25">
      <c r="O176" s="21">
        <f ca="1">IFERROR(IF(LEFT(O175,2)="13",DATE(RIGHT(O175,4),12,31),IF(EOMONTH(O175,1)&gt;PREMISSAS!$C$3,"",IF(MONTH(O175)=11,"13º "&amp;YEAR(O175),EOMONTH(O175,1)))),"")</f>
        <v>42277</v>
      </c>
      <c r="P176" s="4">
        <f>'Histórico de Remunerações'!E178</f>
        <v>0</v>
      </c>
    </row>
    <row r="177" spans="15:16" x14ac:dyDescent="0.25">
      <c r="O177" s="21">
        <f ca="1">IFERROR(IF(LEFT(O176,2)="13",DATE(RIGHT(O176,4),12,31),IF(EOMONTH(O176,1)&gt;PREMISSAS!$C$3,"",IF(MONTH(O176)=11,"13º "&amp;YEAR(O176),EOMONTH(O176,1)))),"")</f>
        <v>42308</v>
      </c>
      <c r="P177" s="4">
        <f>'Histórico de Remunerações'!E179</f>
        <v>0</v>
      </c>
    </row>
    <row r="178" spans="15:16" x14ac:dyDescent="0.25">
      <c r="O178" s="21">
        <f ca="1">IFERROR(IF(LEFT(O177,2)="13",DATE(RIGHT(O177,4),12,31),IF(EOMONTH(O177,1)&gt;PREMISSAS!$C$3,"",IF(MONTH(O177)=11,"13º "&amp;YEAR(O177),EOMONTH(O177,1)))),"")</f>
        <v>42338</v>
      </c>
      <c r="P178" s="4">
        <f>'Histórico de Remunerações'!E180</f>
        <v>0</v>
      </c>
    </row>
    <row r="179" spans="15:16" x14ac:dyDescent="0.25">
      <c r="O179" s="21" t="str">
        <f ca="1">IFERROR(IF(LEFT(O178,2)="13",DATE(RIGHT(O178,4),12,31),IF(EOMONTH(O178,1)&gt;PREMISSAS!$C$3,"",IF(MONTH(O178)=11,"13º "&amp;YEAR(O178),EOMONTH(O178,1)))),"")</f>
        <v>13º 2015</v>
      </c>
      <c r="P179" s="4">
        <f>'Histórico de Remunerações'!E181</f>
        <v>0</v>
      </c>
    </row>
    <row r="180" spans="15:16" x14ac:dyDescent="0.25">
      <c r="O180" s="21">
        <f ca="1">IFERROR(IF(LEFT(O179,2)="13",DATE(RIGHT(O179,4),12,31),IF(EOMONTH(O179,1)&gt;PREMISSAS!$C$3,"",IF(MONTH(O179)=11,"13º "&amp;YEAR(O179),EOMONTH(O179,1)))),"")</f>
        <v>42369</v>
      </c>
      <c r="P180" s="4">
        <f>'Histórico de Remunerações'!E182</f>
        <v>0</v>
      </c>
    </row>
    <row r="181" spans="15:16" x14ac:dyDescent="0.25">
      <c r="O181" s="21">
        <f ca="1">IFERROR(IF(LEFT(O180,2)="13",DATE(RIGHT(O180,4),12,31),IF(EOMONTH(O180,1)&gt;PREMISSAS!$C$3,"",IF(MONTH(O180)=11,"13º "&amp;YEAR(O180),EOMONTH(O180,1)))),"")</f>
        <v>42400</v>
      </c>
      <c r="P181" s="4">
        <f>'Histórico de Remunerações'!E183</f>
        <v>0</v>
      </c>
    </row>
    <row r="182" spans="15:16" x14ac:dyDescent="0.25">
      <c r="O182" s="21">
        <f ca="1">IFERROR(IF(LEFT(O181,2)="13",DATE(RIGHT(O181,4),12,31),IF(EOMONTH(O181,1)&gt;PREMISSAS!$C$3,"",IF(MONTH(O181)=11,"13º "&amp;YEAR(O181),EOMONTH(O181,1)))),"")</f>
        <v>42429</v>
      </c>
      <c r="P182" s="4">
        <f>'Histórico de Remunerações'!E184</f>
        <v>0</v>
      </c>
    </row>
    <row r="183" spans="15:16" x14ac:dyDescent="0.25">
      <c r="O183" s="21">
        <f ca="1">IFERROR(IF(LEFT(O182,2)="13",DATE(RIGHT(O182,4),12,31),IF(EOMONTH(O182,1)&gt;PREMISSAS!$C$3,"",IF(MONTH(O182)=11,"13º "&amp;YEAR(O182),EOMONTH(O182,1)))),"")</f>
        <v>42460</v>
      </c>
      <c r="P183" s="4">
        <f>'Histórico de Remunerações'!E185</f>
        <v>0</v>
      </c>
    </row>
    <row r="184" spans="15:16" x14ac:dyDescent="0.25">
      <c r="O184" s="21">
        <f ca="1">IFERROR(IF(LEFT(O183,2)="13",DATE(RIGHT(O183,4),12,31),IF(EOMONTH(O183,1)&gt;PREMISSAS!$C$3,"",IF(MONTH(O183)=11,"13º "&amp;YEAR(O183),EOMONTH(O183,1)))),"")</f>
        <v>42490</v>
      </c>
      <c r="P184" s="4">
        <f>'Histórico de Remunerações'!E186</f>
        <v>0</v>
      </c>
    </row>
    <row r="185" spans="15:16" x14ac:dyDescent="0.25">
      <c r="O185" s="21">
        <f ca="1">IFERROR(IF(LEFT(O184,2)="13",DATE(RIGHT(O184,4),12,31),IF(EOMONTH(O184,1)&gt;PREMISSAS!$C$3,"",IF(MONTH(O184)=11,"13º "&amp;YEAR(O184),EOMONTH(O184,1)))),"")</f>
        <v>42521</v>
      </c>
      <c r="P185" s="4">
        <f>'Histórico de Remunerações'!E187</f>
        <v>0</v>
      </c>
    </row>
    <row r="186" spans="15:16" x14ac:dyDescent="0.25">
      <c r="O186" s="21">
        <f ca="1">IFERROR(IF(LEFT(O185,2)="13",DATE(RIGHT(O185,4),12,31),IF(EOMONTH(O185,1)&gt;PREMISSAS!$C$3,"",IF(MONTH(O185)=11,"13º "&amp;YEAR(O185),EOMONTH(O185,1)))),"")</f>
        <v>42551</v>
      </c>
      <c r="P186" s="4">
        <f>'Histórico de Remunerações'!E188</f>
        <v>0</v>
      </c>
    </row>
    <row r="187" spans="15:16" x14ac:dyDescent="0.25">
      <c r="O187" s="21">
        <f ca="1">IFERROR(IF(LEFT(O186,2)="13",DATE(RIGHT(O186,4),12,31),IF(EOMONTH(O186,1)&gt;PREMISSAS!$C$3,"",IF(MONTH(O186)=11,"13º "&amp;YEAR(O186),EOMONTH(O186,1)))),"")</f>
        <v>42582</v>
      </c>
      <c r="P187" s="4">
        <f>'Histórico de Remunerações'!E189</f>
        <v>0</v>
      </c>
    </row>
    <row r="188" spans="15:16" x14ac:dyDescent="0.25">
      <c r="O188" s="21">
        <f ca="1">IFERROR(IF(LEFT(O187,2)="13",DATE(RIGHT(O187,4),12,31),IF(EOMONTH(O187,1)&gt;PREMISSAS!$C$3,"",IF(MONTH(O187)=11,"13º "&amp;YEAR(O187),EOMONTH(O187,1)))),"")</f>
        <v>42613</v>
      </c>
      <c r="P188" s="4">
        <f>'Histórico de Remunerações'!E190</f>
        <v>0</v>
      </c>
    </row>
    <row r="189" spans="15:16" x14ac:dyDescent="0.25">
      <c r="O189" s="21">
        <f ca="1">IFERROR(IF(LEFT(O188,2)="13",DATE(RIGHT(O188,4),12,31),IF(EOMONTH(O188,1)&gt;PREMISSAS!$C$3,"",IF(MONTH(O188)=11,"13º "&amp;YEAR(O188),EOMONTH(O188,1)))),"")</f>
        <v>42643</v>
      </c>
      <c r="P189" s="4">
        <f>'Histórico de Remunerações'!E191</f>
        <v>0</v>
      </c>
    </row>
    <row r="190" spans="15:16" x14ac:dyDescent="0.25">
      <c r="O190" s="21">
        <f ca="1">IFERROR(IF(LEFT(O189,2)="13",DATE(RIGHT(O189,4),12,31),IF(EOMONTH(O189,1)&gt;PREMISSAS!$C$3,"",IF(MONTH(O189)=11,"13º "&amp;YEAR(O189),EOMONTH(O189,1)))),"")</f>
        <v>42674</v>
      </c>
      <c r="P190" s="4">
        <f>'Histórico de Remunerações'!E192</f>
        <v>0</v>
      </c>
    </row>
    <row r="191" spans="15:16" x14ac:dyDescent="0.25">
      <c r="O191" s="21">
        <f ca="1">IFERROR(IF(LEFT(O190,2)="13",DATE(RIGHT(O190,4),12,31),IF(EOMONTH(O190,1)&gt;PREMISSAS!$C$3,"",IF(MONTH(O190)=11,"13º "&amp;YEAR(O190),EOMONTH(O190,1)))),"")</f>
        <v>42704</v>
      </c>
      <c r="P191" s="4">
        <f>'Histórico de Remunerações'!E193</f>
        <v>0</v>
      </c>
    </row>
    <row r="192" spans="15:16" x14ac:dyDescent="0.25">
      <c r="O192" s="21" t="str">
        <f ca="1">IFERROR(IF(LEFT(O191,2)="13",DATE(RIGHT(O191,4),12,31),IF(EOMONTH(O191,1)&gt;PREMISSAS!$C$3,"",IF(MONTH(O191)=11,"13º "&amp;YEAR(O191),EOMONTH(O191,1)))),"")</f>
        <v>13º 2016</v>
      </c>
      <c r="P192" s="4">
        <f>'Histórico de Remunerações'!E194</f>
        <v>0</v>
      </c>
    </row>
    <row r="193" spans="15:16" x14ac:dyDescent="0.25">
      <c r="O193" s="21">
        <f ca="1">IFERROR(IF(LEFT(O192,2)="13",DATE(RIGHT(O192,4),12,31),IF(EOMONTH(O192,1)&gt;PREMISSAS!$C$3,"",IF(MONTH(O192)=11,"13º "&amp;YEAR(O192),EOMONTH(O192,1)))),"")</f>
        <v>42735</v>
      </c>
      <c r="P193" s="4">
        <f>'Histórico de Remunerações'!E195</f>
        <v>0</v>
      </c>
    </row>
    <row r="194" spans="15:16" x14ac:dyDescent="0.25">
      <c r="O194" s="21">
        <f ca="1">IFERROR(IF(LEFT(O193,2)="13",DATE(RIGHT(O193,4),12,31),IF(EOMONTH(O193,1)&gt;PREMISSAS!$C$3,"",IF(MONTH(O193)=11,"13º "&amp;YEAR(O193),EOMONTH(O193,1)))),"")</f>
        <v>42766</v>
      </c>
      <c r="P194" s="4">
        <f>'Histórico de Remunerações'!E196</f>
        <v>0</v>
      </c>
    </row>
    <row r="195" spans="15:16" x14ac:dyDescent="0.25">
      <c r="O195" s="21">
        <f ca="1">IFERROR(IF(LEFT(O194,2)="13",DATE(RIGHT(O194,4),12,31),IF(EOMONTH(O194,1)&gt;PREMISSAS!$C$3,"",IF(MONTH(O194)=11,"13º "&amp;YEAR(O194),EOMONTH(O194,1)))),"")</f>
        <v>42794</v>
      </c>
      <c r="P195" s="4">
        <f>'Histórico de Remunerações'!E197</f>
        <v>0</v>
      </c>
    </row>
    <row r="196" spans="15:16" x14ac:dyDescent="0.25">
      <c r="O196" s="21">
        <f ca="1">IFERROR(IF(LEFT(O195,2)="13",DATE(RIGHT(O195,4),12,31),IF(EOMONTH(O195,1)&gt;PREMISSAS!$C$3,"",IF(MONTH(O195)=11,"13º "&amp;YEAR(O195),EOMONTH(O195,1)))),"")</f>
        <v>42825</v>
      </c>
      <c r="P196" s="4">
        <f>'Histórico de Remunerações'!E198</f>
        <v>0</v>
      </c>
    </row>
    <row r="197" spans="15:16" x14ac:dyDescent="0.25">
      <c r="O197" s="21">
        <f ca="1">IFERROR(IF(LEFT(O196,2)="13",DATE(RIGHT(O196,4),12,31),IF(EOMONTH(O196,1)&gt;PREMISSAS!$C$3,"",IF(MONTH(O196)=11,"13º "&amp;YEAR(O196),EOMONTH(O196,1)))),"")</f>
        <v>42855</v>
      </c>
      <c r="P197" s="4">
        <f>'Histórico de Remunerações'!E199</f>
        <v>0</v>
      </c>
    </row>
    <row r="198" spans="15:16" x14ac:dyDescent="0.25">
      <c r="O198" s="21">
        <f ca="1">IFERROR(IF(LEFT(O197,2)="13",DATE(RIGHT(O197,4),12,31),IF(EOMONTH(O197,1)&gt;PREMISSAS!$C$3,"",IF(MONTH(O197)=11,"13º "&amp;YEAR(O197),EOMONTH(O197,1)))),"")</f>
        <v>42886</v>
      </c>
      <c r="P198" s="4">
        <f>'Histórico de Remunerações'!E200</f>
        <v>0</v>
      </c>
    </row>
    <row r="199" spans="15:16" x14ac:dyDescent="0.25">
      <c r="O199" s="21">
        <f ca="1">IFERROR(IF(LEFT(O198,2)="13",DATE(RIGHT(O198,4),12,31),IF(EOMONTH(O198,1)&gt;PREMISSAS!$C$3,"",IF(MONTH(O198)=11,"13º "&amp;YEAR(O198),EOMONTH(O198,1)))),"")</f>
        <v>42916</v>
      </c>
      <c r="P199" s="4">
        <f>'Histórico de Remunerações'!E201</f>
        <v>0</v>
      </c>
    </row>
    <row r="200" spans="15:16" x14ac:dyDescent="0.25">
      <c r="O200" s="21">
        <f ca="1">IFERROR(IF(LEFT(O199,2)="13",DATE(RIGHT(O199,4),12,31),IF(EOMONTH(O199,1)&gt;PREMISSAS!$C$3,"",IF(MONTH(O199)=11,"13º "&amp;YEAR(O199),EOMONTH(O199,1)))),"")</f>
        <v>42947</v>
      </c>
      <c r="P200" s="4">
        <f>'Histórico de Remunerações'!E202</f>
        <v>0</v>
      </c>
    </row>
    <row r="201" spans="15:16" x14ac:dyDescent="0.25">
      <c r="O201" s="21">
        <f ca="1">IFERROR(IF(LEFT(O200,2)="13",DATE(RIGHT(O200,4),12,31),IF(EOMONTH(O200,1)&gt;PREMISSAS!$C$3,"",IF(MONTH(O200)=11,"13º "&amp;YEAR(O200),EOMONTH(O200,1)))),"")</f>
        <v>42978</v>
      </c>
      <c r="P201" s="4">
        <f>'Histórico de Remunerações'!E203</f>
        <v>0</v>
      </c>
    </row>
    <row r="202" spans="15:16" x14ac:dyDescent="0.25">
      <c r="O202" s="21">
        <f ca="1">IFERROR(IF(LEFT(O201,2)="13",DATE(RIGHT(O201,4),12,31),IF(EOMONTH(O201,1)&gt;PREMISSAS!$C$3,"",IF(MONTH(O201)=11,"13º "&amp;YEAR(O201),EOMONTH(O201,1)))),"")</f>
        <v>43008</v>
      </c>
      <c r="P202" s="4">
        <f>'Histórico de Remunerações'!E204</f>
        <v>0</v>
      </c>
    </row>
    <row r="203" spans="15:16" x14ac:dyDescent="0.25">
      <c r="O203" s="21">
        <f ca="1">IFERROR(IF(LEFT(O202,2)="13",DATE(RIGHT(O202,4),12,31),IF(EOMONTH(O202,1)&gt;PREMISSAS!$C$3,"",IF(MONTH(O202)=11,"13º "&amp;YEAR(O202),EOMONTH(O202,1)))),"")</f>
        <v>43039</v>
      </c>
      <c r="P203" s="4">
        <f>'Histórico de Remunerações'!E205</f>
        <v>0</v>
      </c>
    </row>
    <row r="204" spans="15:16" x14ac:dyDescent="0.25">
      <c r="O204" s="21">
        <f ca="1">IFERROR(IF(LEFT(O203,2)="13",DATE(RIGHT(O203,4),12,31),IF(EOMONTH(O203,1)&gt;PREMISSAS!$C$3,"",IF(MONTH(O203)=11,"13º "&amp;YEAR(O203),EOMONTH(O203,1)))),"")</f>
        <v>43069</v>
      </c>
      <c r="P204" s="4">
        <f>'Histórico de Remunerações'!E206</f>
        <v>0</v>
      </c>
    </row>
    <row r="205" spans="15:16" x14ac:dyDescent="0.25">
      <c r="O205" s="21" t="str">
        <f ca="1">IFERROR(IF(LEFT(O204,2)="13",DATE(RIGHT(O204,4),12,31),IF(EOMONTH(O204,1)&gt;PREMISSAS!$C$3,"",IF(MONTH(O204)=11,"13º "&amp;YEAR(O204),EOMONTH(O204,1)))),"")</f>
        <v>13º 2017</v>
      </c>
      <c r="P205" s="4">
        <f>'Histórico de Remunerações'!E207</f>
        <v>0</v>
      </c>
    </row>
    <row r="206" spans="15:16" x14ac:dyDescent="0.25">
      <c r="O206" s="21">
        <f ca="1">IFERROR(IF(LEFT(O205,2)="13",DATE(RIGHT(O205,4),12,31),IF(EOMONTH(O205,1)&gt;PREMISSAS!$C$3,"",IF(MONTH(O205)=11,"13º "&amp;YEAR(O205),EOMONTH(O205,1)))),"")</f>
        <v>43100</v>
      </c>
      <c r="P206" s="4">
        <f>'Histórico de Remunerações'!E208</f>
        <v>0</v>
      </c>
    </row>
    <row r="207" spans="15:16" x14ac:dyDescent="0.25">
      <c r="O207" s="21">
        <f ca="1">IFERROR(IF(LEFT(O206,2)="13",DATE(RIGHT(O206,4),12,31),IF(EOMONTH(O206,1)&gt;PREMISSAS!$C$3,"",IF(MONTH(O206)=11,"13º "&amp;YEAR(O206),EOMONTH(O206,1)))),"")</f>
        <v>43131</v>
      </c>
      <c r="P207" s="4">
        <f>'Histórico de Remunerações'!E209</f>
        <v>0</v>
      </c>
    </row>
    <row r="208" spans="15:16" x14ac:dyDescent="0.25">
      <c r="O208" s="21">
        <f ca="1">IFERROR(IF(LEFT(O207,2)="13",DATE(RIGHT(O207,4),12,31),IF(EOMONTH(O207,1)&gt;PREMISSAS!$C$3,"",IF(MONTH(O207)=11,"13º "&amp;YEAR(O207),EOMONTH(O207,1)))),"")</f>
        <v>43159</v>
      </c>
      <c r="P208" s="4">
        <f>'Histórico de Remunerações'!E210</f>
        <v>0</v>
      </c>
    </row>
    <row r="209" spans="15:16" x14ac:dyDescent="0.25">
      <c r="O209" s="21">
        <f ca="1">IFERROR(IF(LEFT(O208,2)="13",DATE(RIGHT(O208,4),12,31),IF(EOMONTH(O208,1)&gt;PREMISSAS!$C$3,"",IF(MONTH(O208)=11,"13º "&amp;YEAR(O208),EOMONTH(O208,1)))),"")</f>
        <v>43190</v>
      </c>
      <c r="P209" s="4">
        <f>'Histórico de Remunerações'!E211</f>
        <v>0</v>
      </c>
    </row>
    <row r="210" spans="15:16" x14ac:dyDescent="0.25">
      <c r="O210" s="21">
        <f ca="1">IFERROR(IF(LEFT(O209,2)="13",DATE(RIGHT(O209,4),12,31),IF(EOMONTH(O209,1)&gt;PREMISSAS!$C$3,"",IF(MONTH(O209)=11,"13º "&amp;YEAR(O209),EOMONTH(O209,1)))),"")</f>
        <v>43220</v>
      </c>
      <c r="P210" s="4">
        <f>'Histórico de Remunerações'!E212</f>
        <v>0</v>
      </c>
    </row>
    <row r="211" spans="15:16" x14ac:dyDescent="0.25">
      <c r="O211" s="21">
        <f ca="1">IFERROR(IF(LEFT(O210,2)="13",DATE(RIGHT(O210,4),12,31),IF(EOMONTH(O210,1)&gt;PREMISSAS!$C$3,"",IF(MONTH(O210)=11,"13º "&amp;YEAR(O210),EOMONTH(O210,1)))),"")</f>
        <v>43251</v>
      </c>
      <c r="P211" s="4">
        <f>'Histórico de Remunerações'!E213</f>
        <v>0</v>
      </c>
    </row>
    <row r="212" spans="15:16" x14ac:dyDescent="0.25">
      <c r="O212" s="21">
        <f ca="1">IFERROR(IF(LEFT(O211,2)="13",DATE(RIGHT(O211,4),12,31),IF(EOMONTH(O211,1)&gt;PREMISSAS!$C$3,"",IF(MONTH(O211)=11,"13º "&amp;YEAR(O211),EOMONTH(O211,1)))),"")</f>
        <v>43281</v>
      </c>
      <c r="P212" s="4">
        <f>'Histórico de Remunerações'!E214</f>
        <v>0</v>
      </c>
    </row>
    <row r="213" spans="15:16" x14ac:dyDescent="0.25">
      <c r="O213" s="21">
        <f ca="1">IFERROR(IF(LEFT(O212,2)="13",DATE(RIGHT(O212,4),12,31),IF(EOMONTH(O212,1)&gt;PREMISSAS!$C$3,"",IF(MONTH(O212)=11,"13º "&amp;YEAR(O212),EOMONTH(O212,1)))),"")</f>
        <v>43312</v>
      </c>
      <c r="P213" s="4">
        <f>'Histórico de Remunerações'!E215</f>
        <v>0</v>
      </c>
    </row>
    <row r="214" spans="15:16" x14ac:dyDescent="0.25">
      <c r="O214" s="21">
        <f ca="1">IFERROR(IF(LEFT(O213,2)="13",DATE(RIGHT(O213,4),12,31),IF(EOMONTH(O213,1)&gt;PREMISSAS!$C$3,"",IF(MONTH(O213)=11,"13º "&amp;YEAR(O213),EOMONTH(O213,1)))),"")</f>
        <v>43343</v>
      </c>
      <c r="P214" s="4">
        <f>'Histórico de Remunerações'!E216</f>
        <v>0</v>
      </c>
    </row>
    <row r="215" spans="15:16" x14ac:dyDescent="0.25">
      <c r="O215" s="21">
        <f ca="1">IFERROR(IF(LEFT(O214,2)="13",DATE(RIGHT(O214,4),12,31),IF(EOMONTH(O214,1)&gt;PREMISSAS!$C$3,"",IF(MONTH(O214)=11,"13º "&amp;YEAR(O214),EOMONTH(O214,1)))),"")</f>
        <v>43373</v>
      </c>
      <c r="P215" s="4">
        <f>'Histórico de Remunerações'!E217</f>
        <v>0</v>
      </c>
    </row>
    <row r="216" spans="15:16" x14ac:dyDescent="0.25">
      <c r="O216" s="21">
        <f ca="1">IFERROR(IF(LEFT(O215,2)="13",DATE(RIGHT(O215,4),12,31),IF(EOMONTH(O215,1)&gt;PREMISSAS!$C$3,"",IF(MONTH(O215)=11,"13º "&amp;YEAR(O215),EOMONTH(O215,1)))),"")</f>
        <v>43404</v>
      </c>
      <c r="P216" s="4">
        <f>'Histórico de Remunerações'!E218</f>
        <v>0</v>
      </c>
    </row>
    <row r="217" spans="15:16" x14ac:dyDescent="0.25">
      <c r="O217" s="21">
        <f ca="1">IFERROR(IF(LEFT(O216,2)="13",DATE(RIGHT(O216,4),12,31),IF(EOMONTH(O216,1)&gt;PREMISSAS!$C$3,"",IF(MONTH(O216)=11,"13º "&amp;YEAR(O216),EOMONTH(O216,1)))),"")</f>
        <v>43434</v>
      </c>
      <c r="P217" s="4">
        <f>'Histórico de Remunerações'!E219</f>
        <v>0</v>
      </c>
    </row>
    <row r="218" spans="15:16" x14ac:dyDescent="0.25">
      <c r="O218" s="21" t="str">
        <f ca="1">IFERROR(IF(LEFT(O217,2)="13",DATE(RIGHT(O217,4),12,31),IF(EOMONTH(O217,1)&gt;PREMISSAS!$C$3,"",IF(MONTH(O217)=11,"13º "&amp;YEAR(O217),EOMONTH(O217,1)))),"")</f>
        <v>13º 2018</v>
      </c>
      <c r="P218" s="4">
        <f>'Histórico de Remunerações'!E220</f>
        <v>0</v>
      </c>
    </row>
    <row r="219" spans="15:16" x14ac:dyDescent="0.25">
      <c r="O219" s="21">
        <f ca="1">IFERROR(IF(LEFT(O218,2)="13",DATE(RIGHT(O218,4),12,31),IF(EOMONTH(O218,1)&gt;PREMISSAS!$C$3,"",IF(MONTH(O218)=11,"13º "&amp;YEAR(O218),EOMONTH(O218,1)))),"")</f>
        <v>43465</v>
      </c>
      <c r="P219" s="4">
        <f>'Histórico de Remunerações'!E221</f>
        <v>0</v>
      </c>
    </row>
    <row r="220" spans="15:16" x14ac:dyDescent="0.25">
      <c r="O220" s="21">
        <f ca="1">IFERROR(IF(LEFT(O219,2)="13",DATE(RIGHT(O219,4),12,31),IF(EOMONTH(O219,1)&gt;PREMISSAS!$C$3,"",IF(MONTH(O219)=11,"13º "&amp;YEAR(O219),EOMONTH(O219,1)))),"")</f>
        <v>43496</v>
      </c>
      <c r="P220" s="4">
        <f>'Histórico de Remunerações'!E222</f>
        <v>0</v>
      </c>
    </row>
    <row r="221" spans="15:16" x14ac:dyDescent="0.25">
      <c r="O221" s="21">
        <f ca="1">IFERROR(IF(LEFT(O220,2)="13",DATE(RIGHT(O220,4),12,31),IF(EOMONTH(O220,1)&gt;PREMISSAS!$C$3,"",IF(MONTH(O220)=11,"13º "&amp;YEAR(O220),EOMONTH(O220,1)))),"")</f>
        <v>43524</v>
      </c>
      <c r="P221" s="4">
        <f>'Histórico de Remunerações'!E223</f>
        <v>0</v>
      </c>
    </row>
    <row r="222" spans="15:16" x14ac:dyDescent="0.25">
      <c r="O222" s="21" t="str">
        <f ca="1">IFERROR(IF(LEFT(O221,2)="13",DATE(RIGHT(O221,4),12,31),IF(EOMONTH(O221,1)&gt;PREMISSAS!$C$3,"",IF(MONTH(O221)=11,"13º "&amp;YEAR(O221),EOMONTH(O221,1)))),"")</f>
        <v/>
      </c>
      <c r="P222" s="4">
        <f>'Histórico de Remunerações'!E224</f>
        <v>0</v>
      </c>
    </row>
    <row r="223" spans="15:16" x14ac:dyDescent="0.25">
      <c r="O223" s="21" t="str">
        <f ca="1">IFERROR(IF(LEFT(O222,2)="13",DATE(RIGHT(O222,4),12,31),IF(EOMONTH(O222,1)&gt;PREMISSAS!$C$3,"",IF(MONTH(O222)=11,"13º "&amp;YEAR(O222),EOMONTH(O222,1)))),"")</f>
        <v/>
      </c>
      <c r="P223" s="4">
        <f>'Histórico de Remunerações'!E225</f>
        <v>0</v>
      </c>
    </row>
    <row r="224" spans="15:16" x14ac:dyDescent="0.25">
      <c r="O224" s="21" t="str">
        <f ca="1">IFERROR(IF(LEFT(O223,2)="13",DATE(RIGHT(O223,4),12,31),IF(EOMONTH(O223,1)&gt;PREMISSAS!$C$3,"",IF(MONTH(O223)=11,"13º "&amp;YEAR(O223),EOMONTH(O223,1)))),"")</f>
        <v/>
      </c>
      <c r="P224" s="4">
        <f>'Histórico de Remunerações'!E226</f>
        <v>0</v>
      </c>
    </row>
    <row r="225" spans="15:16" x14ac:dyDescent="0.25">
      <c r="O225" s="21" t="str">
        <f ca="1">IFERROR(IF(LEFT(O224,2)="13",DATE(RIGHT(O224,4),12,31),IF(EOMONTH(O224,1)&gt;PREMISSAS!$C$3,"",IF(MONTH(O224)=11,"13º "&amp;YEAR(O224),EOMONTH(O224,1)))),"")</f>
        <v/>
      </c>
      <c r="P225" s="4">
        <f>'Histórico de Remunerações'!E227</f>
        <v>0</v>
      </c>
    </row>
    <row r="226" spans="15:16" x14ac:dyDescent="0.25">
      <c r="O226" s="21" t="str">
        <f ca="1">IFERROR(IF(LEFT(O225,2)="13",DATE(RIGHT(O225,4),12,31),IF(EOMONTH(O225,1)&gt;PREMISSAS!$C$3,"",IF(MONTH(O225)=11,"13º "&amp;YEAR(O225),EOMONTH(O225,1)))),"")</f>
        <v/>
      </c>
      <c r="P226" s="4">
        <f>'Histórico de Remunerações'!E228</f>
        <v>0</v>
      </c>
    </row>
    <row r="227" spans="15:16" x14ac:dyDescent="0.25">
      <c r="O227" s="21" t="str">
        <f ca="1">IFERROR(IF(LEFT(O226,2)="13",DATE(RIGHT(O226,4),12,31),IF(EOMONTH(O226,1)&gt;PREMISSAS!$C$3,"",IF(MONTH(O226)=11,"13º "&amp;YEAR(O226),EOMONTH(O226,1)))),"")</f>
        <v/>
      </c>
      <c r="P227" s="4">
        <f>'Histórico de Remunerações'!E229</f>
        <v>0</v>
      </c>
    </row>
    <row r="228" spans="15:16" x14ac:dyDescent="0.25">
      <c r="O228" s="21" t="str">
        <f ca="1">IFERROR(IF(LEFT(O227,2)="13",DATE(RIGHT(O227,4),12,31),IF(EOMONTH(O227,1)&gt;PREMISSAS!$C$3,"",IF(MONTH(O227)=11,"13º "&amp;YEAR(O227),EOMONTH(O227,1)))),"")</f>
        <v/>
      </c>
      <c r="P228" s="4">
        <f>'Histórico de Remunerações'!E230</f>
        <v>0</v>
      </c>
    </row>
    <row r="229" spans="15:16" x14ac:dyDescent="0.25">
      <c r="O229" s="21" t="str">
        <f ca="1">IFERROR(IF(LEFT(O228,2)="13",DATE(RIGHT(O228,4),12,31),IF(EOMONTH(O228,1)&gt;PREMISSAS!$C$3,"",IF(MONTH(O228)=11,"13º "&amp;YEAR(O228),EOMONTH(O228,1)))),"")</f>
        <v/>
      </c>
      <c r="P229" s="4">
        <f>'Histórico de Remunerações'!E231</f>
        <v>0</v>
      </c>
    </row>
    <row r="230" spans="15:16" x14ac:dyDescent="0.25">
      <c r="O230" s="21" t="str">
        <f ca="1">IFERROR(IF(LEFT(O229,2)="13",DATE(RIGHT(O229,4),12,31),IF(EOMONTH(O229,1)&gt;PREMISSAS!$C$3,"",IF(MONTH(O229)=11,"13º "&amp;YEAR(O229),EOMONTH(O229,1)))),"")</f>
        <v/>
      </c>
      <c r="P230" s="4">
        <f>'Histórico de Remunerações'!E232</f>
        <v>0</v>
      </c>
    </row>
    <row r="231" spans="15:16" x14ac:dyDescent="0.25">
      <c r="O231" s="21" t="str">
        <f ca="1">IFERROR(IF(LEFT(O230,2)="13",DATE(RIGHT(O230,4),12,31),IF(EOMONTH(O230,1)&gt;PREMISSAS!$C$3,"",IF(MONTH(O230)=11,"13º "&amp;YEAR(O230),EOMONTH(O230,1)))),"")</f>
        <v/>
      </c>
      <c r="P231" s="4">
        <f>'Histórico de Remunerações'!E233</f>
        <v>0</v>
      </c>
    </row>
    <row r="232" spans="15:16" x14ac:dyDescent="0.25">
      <c r="O232" s="21" t="str">
        <f ca="1">IFERROR(IF(LEFT(O231,2)="13",DATE(RIGHT(O231,4),12,31),IF(EOMONTH(O231,1)&gt;PREMISSAS!$C$3,"",IF(MONTH(O231)=11,"13º "&amp;YEAR(O231),EOMONTH(O231,1)))),"")</f>
        <v/>
      </c>
      <c r="P232" s="4">
        <f>'Histórico de Remunerações'!E234</f>
        <v>0</v>
      </c>
    </row>
    <row r="233" spans="15:16" x14ac:dyDescent="0.25">
      <c r="O233" s="21" t="str">
        <f ca="1">IFERROR(IF(LEFT(O232,2)="13",DATE(RIGHT(O232,4),12,31),IF(EOMONTH(O232,1)&gt;PREMISSAS!$C$3,"",IF(MONTH(O232)=11,"13º "&amp;YEAR(O232),EOMONTH(O232,1)))),"")</f>
        <v/>
      </c>
      <c r="P233" s="4">
        <f>'Histórico de Remunerações'!E235</f>
        <v>0</v>
      </c>
    </row>
    <row r="234" spans="15:16" x14ac:dyDescent="0.25">
      <c r="O234" s="21" t="str">
        <f ca="1">IFERROR(IF(LEFT(O233,2)="13",DATE(RIGHT(O233,4),12,31),IF(EOMONTH(O233,1)&gt;PREMISSAS!$C$3,"",IF(MONTH(O233)=11,"13º "&amp;YEAR(O233),EOMONTH(O233,1)))),"")</f>
        <v/>
      </c>
      <c r="P234" s="4">
        <f>'Histórico de Remunerações'!E236</f>
        <v>0</v>
      </c>
    </row>
    <row r="235" spans="15:16" x14ac:dyDescent="0.25">
      <c r="O235" s="21" t="str">
        <f ca="1">IFERROR(IF(LEFT(O234,2)="13",DATE(RIGHT(O234,4),12,31),IF(EOMONTH(O234,1)&gt;PREMISSAS!$C$3,"",IF(MONTH(O234)=11,"13º "&amp;YEAR(O234),EOMONTH(O234,1)))),"")</f>
        <v/>
      </c>
      <c r="P235" s="4">
        <f>'Histórico de Remunerações'!E237</f>
        <v>0</v>
      </c>
    </row>
    <row r="236" spans="15:16" x14ac:dyDescent="0.25">
      <c r="O236" s="21" t="str">
        <f ca="1">IFERROR(IF(LEFT(O235,2)="13",DATE(RIGHT(O235,4),12,31),IF(EOMONTH(O235,1)&gt;PREMISSAS!$C$3,"",IF(MONTH(O235)=11,"13º "&amp;YEAR(O235),EOMONTH(O235,1)))),"")</f>
        <v/>
      </c>
      <c r="P236" s="4">
        <f>'Histórico de Remunerações'!E238</f>
        <v>0</v>
      </c>
    </row>
    <row r="237" spans="15:16" x14ac:dyDescent="0.25">
      <c r="O237" s="21" t="str">
        <f ca="1">IFERROR(IF(LEFT(O236,2)="13",DATE(RIGHT(O236,4),12,31),IF(EOMONTH(O236,1)&gt;PREMISSAS!$C$3,"",IF(MONTH(O236)=11,"13º "&amp;YEAR(O236),EOMONTH(O236,1)))),"")</f>
        <v/>
      </c>
      <c r="P237" s="4">
        <f>'Histórico de Remunerações'!E239</f>
        <v>0</v>
      </c>
    </row>
    <row r="238" spans="15:16" x14ac:dyDescent="0.25">
      <c r="O238" s="21" t="str">
        <f ca="1">IFERROR(IF(LEFT(O237,2)="13",DATE(RIGHT(O237,4),12,31),IF(EOMONTH(O237,1)&gt;PREMISSAS!$C$3,"",IF(MONTH(O237)=11,"13º "&amp;YEAR(O237),EOMONTH(O237,1)))),"")</f>
        <v/>
      </c>
      <c r="P238" s="4">
        <f>'Histórico de Remunerações'!E240</f>
        <v>0</v>
      </c>
    </row>
    <row r="239" spans="15:16" x14ac:dyDescent="0.25">
      <c r="O239" s="21" t="str">
        <f ca="1">IFERROR(IF(LEFT(O238,2)="13",DATE(RIGHT(O238,4),12,31),IF(EOMONTH(O238,1)&gt;PREMISSAS!$C$3,"",IF(MONTH(O238)=11,"13º "&amp;YEAR(O238),EOMONTH(O238,1)))),"")</f>
        <v/>
      </c>
      <c r="P239" s="4">
        <f>'Histórico de Remunerações'!E241</f>
        <v>0</v>
      </c>
    </row>
    <row r="240" spans="15:16" x14ac:dyDescent="0.25">
      <c r="O240" s="21" t="str">
        <f ca="1">IFERROR(IF(LEFT(O239,2)="13",DATE(RIGHT(O239,4),12,31),IF(EOMONTH(O239,1)&gt;PREMISSAS!$C$3,"",IF(MONTH(O239)=11,"13º "&amp;YEAR(O239),EOMONTH(O239,1)))),"")</f>
        <v/>
      </c>
      <c r="P240" s="4">
        <f>'Histórico de Remunerações'!E242</f>
        <v>0</v>
      </c>
    </row>
    <row r="241" spans="15:16" x14ac:dyDescent="0.25">
      <c r="O241" s="21" t="str">
        <f ca="1">IFERROR(IF(LEFT(O240,2)="13",DATE(RIGHT(O240,4),12,31),IF(EOMONTH(O240,1)&gt;PREMISSAS!$C$3,"",IF(MONTH(O240)=11,"13º "&amp;YEAR(O240),EOMONTH(O240,1)))),"")</f>
        <v/>
      </c>
      <c r="P241" s="4">
        <f>'Histórico de Remunerações'!E243</f>
        <v>0</v>
      </c>
    </row>
    <row r="242" spans="15:16" x14ac:dyDescent="0.25">
      <c r="O242" s="21" t="str">
        <f ca="1">IFERROR(IF(LEFT(O241,2)="13",DATE(RIGHT(O241,4),12,31),IF(EOMONTH(O241,1)&gt;PREMISSAS!$C$3,"",IF(MONTH(O241)=11,"13º "&amp;YEAR(O241),EOMONTH(O241,1)))),"")</f>
        <v/>
      </c>
      <c r="P242" s="4">
        <f>'Histórico de Remunerações'!E244</f>
        <v>0</v>
      </c>
    </row>
    <row r="243" spans="15:16" x14ac:dyDescent="0.25">
      <c r="O243" s="21" t="str">
        <f ca="1">IFERROR(IF(LEFT(O242,2)="13",DATE(RIGHT(O242,4),12,31),IF(EOMONTH(O242,1)&gt;PREMISSAS!$C$3,"",IF(MONTH(O242)=11,"13º "&amp;YEAR(O242),EOMONTH(O242,1)))),"")</f>
        <v/>
      </c>
      <c r="P243" s="4">
        <f>'Histórico de Remunerações'!E245</f>
        <v>0</v>
      </c>
    </row>
    <row r="244" spans="15:16" x14ac:dyDescent="0.25">
      <c r="O244" s="21" t="str">
        <f ca="1">IFERROR(IF(LEFT(O243,2)="13",DATE(RIGHT(O243,4),12,31),IF(EOMONTH(O243,1)&gt;PREMISSAS!$C$3,"",IF(MONTH(O243)=11,"13º "&amp;YEAR(O243),EOMONTH(O243,1)))),"")</f>
        <v/>
      </c>
      <c r="P244" s="4">
        <f>'Histórico de Remunerações'!E246</f>
        <v>0</v>
      </c>
    </row>
    <row r="245" spans="15:16" x14ac:dyDescent="0.25">
      <c r="O245" s="21" t="str">
        <f ca="1">IFERROR(IF(LEFT(O244,2)="13",DATE(RIGHT(O244,4),12,31),IF(EOMONTH(O244,1)&gt;PREMISSAS!$C$3,"",IF(MONTH(O244)=11,"13º "&amp;YEAR(O244),EOMONTH(O244,1)))),"")</f>
        <v/>
      </c>
      <c r="P245" s="4">
        <f>'Histórico de Remunerações'!E247</f>
        <v>0</v>
      </c>
    </row>
    <row r="246" spans="15:16" x14ac:dyDescent="0.25">
      <c r="O246" s="21" t="str">
        <f ca="1">IFERROR(IF(LEFT(O245,2)="13",DATE(RIGHT(O245,4),12,31),IF(EOMONTH(O245,1)&gt;PREMISSAS!$C$3,"",IF(MONTH(O245)=11,"13º "&amp;YEAR(O245),EOMONTH(O245,1)))),"")</f>
        <v/>
      </c>
      <c r="P246" s="4">
        <f>'Histórico de Remunerações'!E248</f>
        <v>0</v>
      </c>
    </row>
    <row r="247" spans="15:16" x14ac:dyDescent="0.25">
      <c r="O247" s="21" t="str">
        <f ca="1">IFERROR(IF(LEFT(O246,2)="13",DATE(RIGHT(O246,4),12,31),IF(EOMONTH(O246,1)&gt;PREMISSAS!$C$3,"",IF(MONTH(O246)=11,"13º "&amp;YEAR(O246),EOMONTH(O246,1)))),"")</f>
        <v/>
      </c>
      <c r="P247" s="4">
        <f>'Histórico de Remunerações'!E249</f>
        <v>0</v>
      </c>
    </row>
    <row r="248" spans="15:16" x14ac:dyDescent="0.25">
      <c r="O248" s="21" t="str">
        <f ca="1">IFERROR(IF(LEFT(O247,2)="13",DATE(RIGHT(O247,4),12,31),IF(EOMONTH(O247,1)&gt;PREMISSAS!$C$3,"",IF(MONTH(O247)=11,"13º "&amp;YEAR(O247),EOMONTH(O247,1)))),"")</f>
        <v/>
      </c>
      <c r="P248" s="4">
        <f>'Histórico de Remunerações'!E250</f>
        <v>0</v>
      </c>
    </row>
    <row r="249" spans="15:16" x14ac:dyDescent="0.25">
      <c r="O249" s="21" t="str">
        <f ca="1">IFERROR(IF(LEFT(O248,2)="13",DATE(RIGHT(O248,4),12,31),IF(EOMONTH(O248,1)&gt;PREMISSAS!$C$3,"",IF(MONTH(O248)=11,"13º "&amp;YEAR(O248),EOMONTH(O248,1)))),"")</f>
        <v/>
      </c>
      <c r="P249" s="4">
        <f>'Histórico de Remunerações'!E251</f>
        <v>0</v>
      </c>
    </row>
    <row r="250" spans="15:16" x14ac:dyDescent="0.25">
      <c r="O250" s="21" t="str">
        <f ca="1">IFERROR(IF(LEFT(O249,2)="13",DATE(RIGHT(O249,4),12,31),IF(EOMONTH(O249,1)&gt;PREMISSAS!$C$3,"",IF(MONTH(O249)=11,"13º "&amp;YEAR(O249),EOMONTH(O249,1)))),"")</f>
        <v/>
      </c>
      <c r="P250" s="4">
        <f>'Histórico de Remunerações'!E252</f>
        <v>0</v>
      </c>
    </row>
    <row r="251" spans="15:16" x14ac:dyDescent="0.25">
      <c r="O251" s="21" t="str">
        <f ca="1">IFERROR(IF(LEFT(O250,2)="13",DATE(RIGHT(O250,4),12,31),IF(EOMONTH(O250,1)&gt;PREMISSAS!$C$3,"",IF(MONTH(O250)=11,"13º "&amp;YEAR(O250),EOMONTH(O250,1)))),"")</f>
        <v/>
      </c>
      <c r="P251" s="4">
        <f>'Histórico de Remunerações'!E253</f>
        <v>0</v>
      </c>
    </row>
    <row r="252" spans="15:16" x14ac:dyDescent="0.25">
      <c r="O252" s="21" t="str">
        <f ca="1">IFERROR(IF(LEFT(O251,2)="13",DATE(RIGHT(O251,4),12,31),IF(EOMONTH(O251,1)&gt;PREMISSAS!$C$3,"",IF(MONTH(O251)=11,"13º "&amp;YEAR(O251),EOMONTH(O251,1)))),"")</f>
        <v/>
      </c>
      <c r="P252" s="4">
        <f>'Histórico de Remunerações'!E254</f>
        <v>0</v>
      </c>
    </row>
    <row r="253" spans="15:16" x14ac:dyDescent="0.25">
      <c r="O253" s="21" t="str">
        <f ca="1">IFERROR(IF(LEFT(O252,2)="13",DATE(RIGHT(O252,4),12,31),IF(EOMONTH(O252,1)&gt;PREMISSAS!$C$3,"",IF(MONTH(O252)=11,"13º "&amp;YEAR(O252),EOMONTH(O252,1)))),"")</f>
        <v/>
      </c>
      <c r="P253" s="4">
        <f>'Histórico de Remunerações'!E255</f>
        <v>0</v>
      </c>
    </row>
    <row r="254" spans="15:16" x14ac:dyDescent="0.25">
      <c r="O254" s="21" t="str">
        <f ca="1">IFERROR(IF(LEFT(O253,2)="13",DATE(RIGHT(O253,4),12,31),IF(EOMONTH(O253,1)&gt;PREMISSAS!$C$3,"",IF(MONTH(O253)=11,"13º "&amp;YEAR(O253),EOMONTH(O253,1)))),"")</f>
        <v/>
      </c>
      <c r="P254" s="4">
        <f>'Histórico de Remunerações'!E256</f>
        <v>0</v>
      </c>
    </row>
    <row r="255" spans="15:16" x14ac:dyDescent="0.25">
      <c r="O255" s="21" t="str">
        <f ca="1">IFERROR(IF(LEFT(O254,2)="13",DATE(RIGHT(O254,4),12,31),IF(EOMONTH(O254,1)&gt;PREMISSAS!$C$3,"",IF(MONTH(O254)=11,"13º "&amp;YEAR(O254),EOMONTH(O254,1)))),"")</f>
        <v/>
      </c>
      <c r="P255" s="4">
        <f>'Histórico de Remunerações'!E257</f>
        <v>0</v>
      </c>
    </row>
    <row r="256" spans="15:16" x14ac:dyDescent="0.25">
      <c r="O256" s="21" t="str">
        <f ca="1">IFERROR(IF(LEFT(O255,2)="13",DATE(RIGHT(O255,4),12,31),IF(EOMONTH(O255,1)&gt;PREMISSAS!$C$3,"",IF(MONTH(O255)=11,"13º "&amp;YEAR(O255),EOMONTH(O255,1)))),"")</f>
        <v/>
      </c>
      <c r="P256" s="4">
        <f>'Histórico de Remunerações'!E258</f>
        <v>0</v>
      </c>
    </row>
    <row r="257" spans="15:16" x14ac:dyDescent="0.25">
      <c r="O257" s="21" t="str">
        <f ca="1">IFERROR(IF(LEFT(O256,2)="13",DATE(RIGHT(O256,4),12,31),IF(EOMONTH(O256,1)&gt;PREMISSAS!$C$3,"",IF(MONTH(O256)=11,"13º "&amp;YEAR(O256),EOMONTH(O256,1)))),"")</f>
        <v/>
      </c>
      <c r="P257" s="4">
        <f>'Histórico de Remunerações'!E259</f>
        <v>0</v>
      </c>
    </row>
    <row r="258" spans="15:16" x14ac:dyDescent="0.25">
      <c r="O258" s="21" t="str">
        <f ca="1">IFERROR(IF(LEFT(O257,2)="13",DATE(RIGHT(O257,4),12,31),IF(EOMONTH(O257,1)&gt;PREMISSAS!$C$3,"",IF(MONTH(O257)=11,"13º "&amp;YEAR(O257),EOMONTH(O257,1)))),"")</f>
        <v/>
      </c>
      <c r="P258" s="4">
        <f>'Histórico de Remunerações'!E260</f>
        <v>0</v>
      </c>
    </row>
    <row r="259" spans="15:16" x14ac:dyDescent="0.25">
      <c r="O259" s="21" t="str">
        <f ca="1">IFERROR(IF(LEFT(O258,2)="13",DATE(RIGHT(O258,4),12,31),IF(EOMONTH(O258,1)&gt;PREMISSAS!$C$3,"",IF(MONTH(O258)=11,"13º "&amp;YEAR(O258),EOMONTH(O258,1)))),"")</f>
        <v/>
      </c>
      <c r="P259" s="4">
        <f>'Histórico de Remunerações'!E261</f>
        <v>0</v>
      </c>
    </row>
    <row r="260" spans="15:16" x14ac:dyDescent="0.25">
      <c r="O260" s="21" t="str">
        <f ca="1">IFERROR(IF(LEFT(O259,2)="13",DATE(RIGHT(O259,4),12,31),IF(EOMONTH(O259,1)&gt;PREMISSAS!$C$3,"",IF(MONTH(O259)=11,"13º "&amp;YEAR(O259),EOMONTH(O259,1)))),"")</f>
        <v/>
      </c>
      <c r="P260" s="4">
        <f>'Histórico de Remunerações'!E262</f>
        <v>0</v>
      </c>
    </row>
    <row r="261" spans="15:16" x14ac:dyDescent="0.25">
      <c r="O261" s="21" t="str">
        <f ca="1">IFERROR(IF(LEFT(O260,2)="13",DATE(RIGHT(O260,4),12,31),IF(EOMONTH(O260,1)&gt;PREMISSAS!$C$3,"",IF(MONTH(O260)=11,"13º "&amp;YEAR(O260),EOMONTH(O260,1)))),"")</f>
        <v/>
      </c>
      <c r="P261" s="4">
        <f>'Histórico de Remunerações'!E263</f>
        <v>0</v>
      </c>
    </row>
    <row r="262" spans="15:16" x14ac:dyDescent="0.25">
      <c r="O262" s="21" t="str">
        <f ca="1">IFERROR(IF(LEFT(O261,2)="13",DATE(RIGHT(O261,4),12,31),IF(EOMONTH(O261,1)&gt;PREMISSAS!$C$3,"",IF(MONTH(O261)=11,"13º "&amp;YEAR(O261),EOMONTH(O261,1)))),"")</f>
        <v/>
      </c>
      <c r="P262" s="4">
        <f>'Histórico de Remunerações'!E264</f>
        <v>0</v>
      </c>
    </row>
    <row r="263" spans="15:16" x14ac:dyDescent="0.25">
      <c r="O263" s="21" t="str">
        <f ca="1">IFERROR(IF(LEFT(O262,2)="13",DATE(RIGHT(O262,4),12,31),IF(EOMONTH(O262,1)&gt;PREMISSAS!$C$3,"",IF(MONTH(O262)=11,"13º "&amp;YEAR(O262),EOMONTH(O262,1)))),"")</f>
        <v/>
      </c>
      <c r="P263" s="4">
        <f>'Histórico de Remunerações'!E265</f>
        <v>0</v>
      </c>
    </row>
    <row r="264" spans="15:16" x14ac:dyDescent="0.25">
      <c r="O264" s="21" t="str">
        <f ca="1">IFERROR(IF(LEFT(O263,2)="13",DATE(RIGHT(O263,4),12,31),IF(EOMONTH(O263,1)&gt;PREMISSAS!$C$3,"",IF(MONTH(O263)=11,"13º "&amp;YEAR(O263),EOMONTH(O263,1)))),"")</f>
        <v/>
      </c>
      <c r="P264" s="4">
        <f>'Histórico de Remunerações'!E266</f>
        <v>0</v>
      </c>
    </row>
    <row r="265" spans="15:16" x14ac:dyDescent="0.25">
      <c r="O265" s="21" t="str">
        <f ca="1">IFERROR(IF(LEFT(O264,2)="13",DATE(RIGHT(O264,4),12,31),IF(EOMONTH(O264,1)&gt;PREMISSAS!$C$3,"",IF(MONTH(O264)=11,"13º "&amp;YEAR(O264),EOMONTH(O264,1)))),"")</f>
        <v/>
      </c>
      <c r="P265" s="4">
        <f>'Histórico de Remunerações'!E267</f>
        <v>0</v>
      </c>
    </row>
    <row r="266" spans="15:16" x14ac:dyDescent="0.25">
      <c r="O266" s="21" t="str">
        <f ca="1">IFERROR(IF(LEFT(O265,2)="13",DATE(RIGHT(O265,4),12,31),IF(EOMONTH(O265,1)&gt;PREMISSAS!$C$3,"",IF(MONTH(O265)=11,"13º "&amp;YEAR(O265),EOMONTH(O265,1)))),"")</f>
        <v/>
      </c>
      <c r="P266" s="4">
        <f>'Histórico de Remunerações'!E268</f>
        <v>0</v>
      </c>
    </row>
    <row r="267" spans="15:16" x14ac:dyDescent="0.25">
      <c r="O267" s="21" t="str">
        <f ca="1">IFERROR(IF(LEFT(O266,2)="13",DATE(RIGHT(O266,4),12,31),IF(EOMONTH(O266,1)&gt;PREMISSAS!$C$3,"",IF(MONTH(O266)=11,"13º "&amp;YEAR(O266),EOMONTH(O266,1)))),"")</f>
        <v/>
      </c>
      <c r="P267" s="4">
        <f>'Histórico de Remunerações'!E269</f>
        <v>0</v>
      </c>
    </row>
    <row r="268" spans="15:16" x14ac:dyDescent="0.25">
      <c r="O268" s="21" t="str">
        <f ca="1">IFERROR(IF(LEFT(O267,2)="13",DATE(RIGHT(O267,4),12,31),IF(EOMONTH(O267,1)&gt;PREMISSAS!$C$3,"",IF(MONTH(O267)=11,"13º "&amp;YEAR(O267),EOMONTH(O267,1)))),"")</f>
        <v/>
      </c>
      <c r="P268" s="4">
        <f>'Histórico de Remunerações'!E270</f>
        <v>0</v>
      </c>
    </row>
    <row r="269" spans="15:16" x14ac:dyDescent="0.25">
      <c r="O269" s="21" t="str">
        <f ca="1">IFERROR(IF(LEFT(O268,2)="13",DATE(RIGHT(O268,4),12,31),IF(EOMONTH(O268,1)&gt;PREMISSAS!$C$3,"",IF(MONTH(O268)=11,"13º "&amp;YEAR(O268),EOMONTH(O268,1)))),"")</f>
        <v/>
      </c>
      <c r="P269" s="4">
        <f>'Histórico de Remunerações'!E271</f>
        <v>0</v>
      </c>
    </row>
    <row r="270" spans="15:16" x14ac:dyDescent="0.25">
      <c r="O270" s="21" t="str">
        <f ca="1">IFERROR(IF(LEFT(O269,2)="13",DATE(RIGHT(O269,4),12,31),IF(EOMONTH(O269,1)&gt;PREMISSAS!$C$3,"",IF(MONTH(O269)=11,"13º "&amp;YEAR(O269),EOMONTH(O269,1)))),"")</f>
        <v/>
      </c>
      <c r="P270" s="4">
        <f>'Histórico de Remunerações'!E272</f>
        <v>0</v>
      </c>
    </row>
    <row r="271" spans="15:16" x14ac:dyDescent="0.25">
      <c r="O271" s="21" t="str">
        <f ca="1">IFERROR(IF(LEFT(O270,2)="13",DATE(RIGHT(O270,4),12,31),IF(EOMONTH(O270,1)&gt;PREMISSAS!$C$3,"",IF(MONTH(O270)=11,"13º "&amp;YEAR(O270),EOMONTH(O270,1)))),"")</f>
        <v/>
      </c>
      <c r="P271" s="4">
        <f>'Histórico de Remunerações'!E273</f>
        <v>0</v>
      </c>
    </row>
    <row r="272" spans="15:16" x14ac:dyDescent="0.25">
      <c r="O272" s="21" t="str">
        <f ca="1">IFERROR(IF(LEFT(O271,2)="13",DATE(RIGHT(O271,4),12,31),IF(EOMONTH(O271,1)&gt;PREMISSAS!$C$3,"",IF(MONTH(O271)=11,"13º "&amp;YEAR(O271),EOMONTH(O271,1)))),"")</f>
        <v/>
      </c>
      <c r="P272" s="4">
        <f>'Histórico de Remunerações'!E274</f>
        <v>0</v>
      </c>
    </row>
    <row r="273" spans="15:16" x14ac:dyDescent="0.25">
      <c r="O273" s="21" t="str">
        <f ca="1">IFERROR(IF(LEFT(O272,2)="13",DATE(RIGHT(O272,4),12,31),IF(EOMONTH(O272,1)&gt;PREMISSAS!$C$3,"",IF(MONTH(O272)=11,"13º "&amp;YEAR(O272),EOMONTH(O272,1)))),"")</f>
        <v/>
      </c>
      <c r="P273" s="4">
        <f>'Histórico de Remunerações'!E275</f>
        <v>0</v>
      </c>
    </row>
    <row r="274" spans="15:16" x14ac:dyDescent="0.25">
      <c r="O274" s="21" t="str">
        <f ca="1">IFERROR(IF(LEFT(O273,2)="13",DATE(RIGHT(O273,4),12,31),IF(EOMONTH(O273,1)&gt;PREMISSAS!$C$3,"",IF(MONTH(O273)=11,"13º "&amp;YEAR(O273),EOMONTH(O273,1)))),"")</f>
        <v/>
      </c>
      <c r="P274" s="4">
        <f>'Histórico de Remunerações'!E276</f>
        <v>0</v>
      </c>
    </row>
    <row r="275" spans="15:16" x14ac:dyDescent="0.25">
      <c r="O275" s="21" t="str">
        <f ca="1">IFERROR(IF(LEFT(O274,2)="13",DATE(RIGHT(O274,4),12,31),IF(EOMONTH(O274,1)&gt;PREMISSAS!$C$3,"",IF(MONTH(O274)=11,"13º "&amp;YEAR(O274),EOMONTH(O274,1)))),"")</f>
        <v/>
      </c>
      <c r="P275" s="4">
        <f>'Histórico de Remunerações'!E277</f>
        <v>0</v>
      </c>
    </row>
    <row r="276" spans="15:16" x14ac:dyDescent="0.25">
      <c r="O276" s="21" t="str">
        <f ca="1">IFERROR(IF(LEFT(O275,2)="13",DATE(RIGHT(O275,4),12,31),IF(EOMONTH(O275,1)&gt;PREMISSAS!$C$3,"",IF(MONTH(O275)=11,"13º "&amp;YEAR(O275),EOMONTH(O275,1)))),"")</f>
        <v/>
      </c>
      <c r="P276" s="4">
        <f>'Histórico de Remunerações'!E278</f>
        <v>0</v>
      </c>
    </row>
    <row r="277" spans="15:16" x14ac:dyDescent="0.25">
      <c r="O277" s="21" t="str">
        <f ca="1">IFERROR(IF(LEFT(O276,2)="13",DATE(RIGHT(O276,4),12,31),IF(EOMONTH(O276,1)&gt;PREMISSAS!$C$3,"",IF(MONTH(O276)=11,"13º "&amp;YEAR(O276),EOMONTH(O276,1)))),"")</f>
        <v/>
      </c>
      <c r="P277" s="4">
        <f>'Histórico de Remunerações'!E279</f>
        <v>0</v>
      </c>
    </row>
    <row r="278" spans="15:16" x14ac:dyDescent="0.25">
      <c r="O278" s="21" t="str">
        <f ca="1">IFERROR(IF(LEFT(O277,2)="13",DATE(RIGHT(O277,4),12,31),IF(EOMONTH(O277,1)&gt;PREMISSAS!$C$3,"",IF(MONTH(O277)=11,"13º "&amp;YEAR(O277),EOMONTH(O277,1)))),"")</f>
        <v/>
      </c>
      <c r="P278" s="4">
        <f>'Histórico de Remunerações'!E280</f>
        <v>0</v>
      </c>
    </row>
    <row r="279" spans="15:16" x14ac:dyDescent="0.25">
      <c r="O279" s="21" t="str">
        <f ca="1">IFERROR(IF(LEFT(O278,2)="13",DATE(RIGHT(O278,4),12,31),IF(EOMONTH(O278,1)&gt;PREMISSAS!$C$3,"",IF(MONTH(O278)=11,"13º "&amp;YEAR(O278),EOMONTH(O278,1)))),"")</f>
        <v/>
      </c>
      <c r="P279" s="4">
        <f>'Histórico de Remunerações'!E281</f>
        <v>0</v>
      </c>
    </row>
    <row r="280" spans="15:16" x14ac:dyDescent="0.25">
      <c r="O280" s="21" t="str">
        <f ca="1">IFERROR(IF(LEFT(O279,2)="13",DATE(RIGHT(O279,4),12,31),IF(EOMONTH(O279,1)&gt;PREMISSAS!$C$3,"",IF(MONTH(O279)=11,"13º "&amp;YEAR(O279),EOMONTH(O279,1)))),"")</f>
        <v/>
      </c>
      <c r="P280" s="4">
        <f>'Histórico de Remunerações'!E282</f>
        <v>0</v>
      </c>
    </row>
    <row r="281" spans="15:16" x14ac:dyDescent="0.25">
      <c r="O281" s="21" t="str">
        <f ca="1">IFERROR(IF(LEFT(O280,2)="13",DATE(RIGHT(O280,4),12,31),IF(EOMONTH(O280,1)&gt;PREMISSAS!$C$3,"",IF(MONTH(O280)=11,"13º "&amp;YEAR(O280),EOMONTH(O280,1)))),"")</f>
        <v/>
      </c>
      <c r="P281" s="4">
        <f>'Histórico de Remunerações'!E283</f>
        <v>0</v>
      </c>
    </row>
    <row r="282" spans="15:16" x14ac:dyDescent="0.25">
      <c r="O282" s="21" t="str">
        <f ca="1">IFERROR(IF(LEFT(O281,2)="13",DATE(RIGHT(O281,4),12,31),IF(EOMONTH(O281,1)&gt;PREMISSAS!$C$3,"",IF(MONTH(O281)=11,"13º "&amp;YEAR(O281),EOMONTH(O281,1)))),"")</f>
        <v/>
      </c>
      <c r="P282" s="4">
        <f>'Histórico de Remunerações'!E284</f>
        <v>0</v>
      </c>
    </row>
    <row r="283" spans="15:16" x14ac:dyDescent="0.25">
      <c r="O283" s="21" t="str">
        <f ca="1">IFERROR(IF(LEFT(O282,2)="13",DATE(RIGHT(O282,4),12,31),IF(EOMONTH(O282,1)&gt;PREMISSAS!$C$3,"",IF(MONTH(O282)=11,"13º "&amp;YEAR(O282),EOMONTH(O282,1)))),"")</f>
        <v/>
      </c>
      <c r="P283" s="4">
        <f>'Histórico de Remunerações'!E285</f>
        <v>0</v>
      </c>
    </row>
    <row r="284" spans="15:16" x14ac:dyDescent="0.25">
      <c r="O284" s="21" t="str">
        <f ca="1">IFERROR(IF(LEFT(O283,2)="13",DATE(RIGHT(O283,4),12,31),IF(EOMONTH(O283,1)&gt;PREMISSAS!$C$3,"",IF(MONTH(O283)=11,"13º "&amp;YEAR(O283),EOMONTH(O283,1)))),"")</f>
        <v/>
      </c>
      <c r="P284" s="4">
        <f>'Histórico de Remunerações'!E286</f>
        <v>0</v>
      </c>
    </row>
    <row r="285" spans="15:16" x14ac:dyDescent="0.25">
      <c r="O285" s="21" t="str">
        <f ca="1">IFERROR(IF(LEFT(O284,2)="13",DATE(RIGHT(O284,4),12,31),IF(EOMONTH(O284,1)&gt;PREMISSAS!$C$3,"",IF(MONTH(O284)=11,"13º "&amp;YEAR(O284),EOMONTH(O284,1)))),"")</f>
        <v/>
      </c>
      <c r="P285" s="4">
        <f>'Histórico de Remunerações'!E287</f>
        <v>0</v>
      </c>
    </row>
    <row r="286" spans="15:16" x14ac:dyDescent="0.25">
      <c r="O286" s="21" t="str">
        <f ca="1">IFERROR(IF(LEFT(O285,2)="13",DATE(RIGHT(O285,4),12,31),IF(EOMONTH(O285,1)&gt;PREMISSAS!$C$3,"",IF(MONTH(O285)=11,"13º "&amp;YEAR(O285),EOMONTH(O285,1)))),"")</f>
        <v/>
      </c>
      <c r="P286" s="4">
        <f>'Histórico de Remunerações'!E288</f>
        <v>0</v>
      </c>
    </row>
    <row r="287" spans="15:16" x14ac:dyDescent="0.25">
      <c r="O287" s="21" t="str">
        <f ca="1">IFERROR(IF(LEFT(O286,2)="13",DATE(RIGHT(O286,4),12,31),IF(EOMONTH(O286,1)&gt;PREMISSAS!$C$3,"",IF(MONTH(O286)=11,"13º "&amp;YEAR(O286),EOMONTH(O286,1)))),"")</f>
        <v/>
      </c>
      <c r="P287" s="4">
        <f>'Histórico de Remunerações'!E289</f>
        <v>0</v>
      </c>
    </row>
    <row r="288" spans="15:16" x14ac:dyDescent="0.25">
      <c r="O288" s="21" t="str">
        <f ca="1">IFERROR(IF(LEFT(O287,2)="13",DATE(RIGHT(O287,4),12,31),IF(EOMONTH(O287,1)&gt;PREMISSAS!$C$3,"",IF(MONTH(O287)=11,"13º "&amp;YEAR(O287),EOMONTH(O287,1)))),"")</f>
        <v/>
      </c>
      <c r="P288" s="4">
        <f>'Histórico de Remunerações'!E290</f>
        <v>0</v>
      </c>
    </row>
    <row r="289" spans="15:16" x14ac:dyDescent="0.25">
      <c r="O289" s="21" t="str">
        <f ca="1">IFERROR(IF(LEFT(O288,2)="13",DATE(RIGHT(O288,4),12,31),IF(EOMONTH(O288,1)&gt;PREMISSAS!$C$3,"",IF(MONTH(O288)=11,"13º "&amp;YEAR(O288),EOMONTH(O288,1)))),"")</f>
        <v/>
      </c>
      <c r="P289" s="4">
        <f>'Histórico de Remunerações'!E291</f>
        <v>0</v>
      </c>
    </row>
    <row r="290" spans="15:16" x14ac:dyDescent="0.25">
      <c r="O290" s="21" t="str">
        <f ca="1">IFERROR(IF(LEFT(O289,2)="13",DATE(RIGHT(O289,4),12,31),IF(EOMONTH(O289,1)&gt;PREMISSAS!$C$3,"",IF(MONTH(O289)=11,"13º "&amp;YEAR(O289),EOMONTH(O289,1)))),"")</f>
        <v/>
      </c>
      <c r="P290" s="4">
        <f>'Histórico de Remunerações'!E292</f>
        <v>0</v>
      </c>
    </row>
    <row r="291" spans="15:16" x14ac:dyDescent="0.25">
      <c r="O291" s="21" t="str">
        <f ca="1">IFERROR(IF(LEFT(O290,2)="13",DATE(RIGHT(O290,4),12,31),IF(EOMONTH(O290,1)&gt;PREMISSAS!$C$3,"",IF(MONTH(O290)=11,"13º "&amp;YEAR(O290),EOMONTH(O290,1)))),"")</f>
        <v/>
      </c>
      <c r="P291" s="4">
        <f>'Histórico de Remunerações'!E293</f>
        <v>0</v>
      </c>
    </row>
    <row r="292" spans="15:16" x14ac:dyDescent="0.25">
      <c r="O292" s="21" t="str">
        <f ca="1">IFERROR(IF(LEFT(O291,2)="13",DATE(RIGHT(O291,4),12,31),IF(EOMONTH(O291,1)&gt;PREMISSAS!$C$3,"",IF(MONTH(O291)=11,"13º "&amp;YEAR(O291),EOMONTH(O291,1)))),"")</f>
        <v/>
      </c>
      <c r="P292" s="4">
        <f>'Histórico de Remunerações'!E294</f>
        <v>0</v>
      </c>
    </row>
    <row r="293" spans="15:16" x14ac:dyDescent="0.25">
      <c r="O293" s="21" t="str">
        <f ca="1">IFERROR(IF(LEFT(O292,2)="13",DATE(RIGHT(O292,4),12,31),IF(EOMONTH(O292,1)&gt;PREMISSAS!$C$3,"",IF(MONTH(O292)=11,"13º "&amp;YEAR(O292),EOMONTH(O292,1)))),"")</f>
        <v/>
      </c>
      <c r="P293" s="4">
        <f>'Histórico de Remunerações'!E295</f>
        <v>0</v>
      </c>
    </row>
    <row r="294" spans="15:16" x14ac:dyDescent="0.25">
      <c r="O294" s="21" t="str">
        <f ca="1">IFERROR(IF(LEFT(O293,2)="13",DATE(RIGHT(O293,4),12,31),IF(EOMONTH(O293,1)&gt;PREMISSAS!$C$3,"",IF(MONTH(O293)=11,"13º "&amp;YEAR(O293),EOMONTH(O293,1)))),"")</f>
        <v/>
      </c>
      <c r="P294" s="4">
        <f>'Histórico de Remunerações'!E296</f>
        <v>0</v>
      </c>
    </row>
    <row r="295" spans="15:16" x14ac:dyDescent="0.25">
      <c r="O295" s="21" t="str">
        <f ca="1">IFERROR(IF(LEFT(O294,2)="13",DATE(RIGHT(O294,4),12,31),IF(EOMONTH(O294,1)&gt;PREMISSAS!$C$3,"",IF(MONTH(O294)=11,"13º "&amp;YEAR(O294),EOMONTH(O294,1)))),"")</f>
        <v/>
      </c>
      <c r="P295" s="4">
        <f>'Histórico de Remunerações'!E297</f>
        <v>0</v>
      </c>
    </row>
    <row r="296" spans="15:16" x14ac:dyDescent="0.25">
      <c r="O296" s="21" t="str">
        <f ca="1">IFERROR(IF(LEFT(O295,2)="13",DATE(RIGHT(O295,4),12,31),IF(EOMONTH(O295,1)&gt;PREMISSAS!$C$3,"",IF(MONTH(O295)=11,"13º "&amp;YEAR(O295),EOMONTH(O295,1)))),"")</f>
        <v/>
      </c>
      <c r="P296" s="4">
        <f>'Histórico de Remunerações'!E298</f>
        <v>0</v>
      </c>
    </row>
    <row r="297" spans="15:16" x14ac:dyDescent="0.25">
      <c r="O297" s="21" t="str">
        <f ca="1">IFERROR(IF(LEFT(O296,2)="13",DATE(RIGHT(O296,4),12,31),IF(EOMONTH(O296,1)&gt;PREMISSAS!$C$3,"",IF(MONTH(O296)=11,"13º "&amp;YEAR(O296),EOMONTH(O296,1)))),"")</f>
        <v/>
      </c>
      <c r="P297" s="4">
        <f>'Histórico de Remunerações'!E299</f>
        <v>0</v>
      </c>
    </row>
    <row r="298" spans="15:16" x14ac:dyDescent="0.25">
      <c r="O298" s="21" t="str">
        <f ca="1">IFERROR(IF(LEFT(O297,2)="13",DATE(RIGHT(O297,4),12,31),IF(EOMONTH(O297,1)&gt;PREMISSAS!$C$3,"",IF(MONTH(O297)=11,"13º "&amp;YEAR(O297),EOMONTH(O297,1)))),"")</f>
        <v/>
      </c>
      <c r="P298" s="4">
        <f>'Histórico de Remunerações'!E300</f>
        <v>0</v>
      </c>
    </row>
    <row r="299" spans="15:16" x14ac:dyDescent="0.25">
      <c r="O299" s="21" t="str">
        <f ca="1">IFERROR(IF(LEFT(O298,2)="13",DATE(RIGHT(O298,4),12,31),IF(EOMONTH(O298,1)&gt;PREMISSAS!$C$3,"",IF(MONTH(O298)=11,"13º "&amp;YEAR(O298),EOMONTH(O298,1)))),"")</f>
        <v/>
      </c>
      <c r="P299" s="4">
        <f>'Histórico de Remunerações'!E301</f>
        <v>0</v>
      </c>
    </row>
    <row r="300" spans="15:16" x14ac:dyDescent="0.25">
      <c r="O300" s="21" t="str">
        <f ca="1">IFERROR(IF(LEFT(O299,2)="13",DATE(RIGHT(O299,4),12,31),IF(EOMONTH(O299,1)&gt;PREMISSAS!$C$3,"",IF(MONTH(O299)=11,"13º "&amp;YEAR(O299),EOMONTH(O299,1)))),"")</f>
        <v/>
      </c>
      <c r="P300" s="4">
        <f>'Histórico de Remunerações'!E302</f>
        <v>0</v>
      </c>
    </row>
    <row r="301" spans="15:16" x14ac:dyDescent="0.25">
      <c r="O301" s="21" t="str">
        <f ca="1">IFERROR(IF(LEFT(O300,2)="13",DATE(RIGHT(O300,4),12,31),IF(EOMONTH(O300,1)&gt;PREMISSAS!$C$3,"",IF(MONTH(O300)=11,"13º "&amp;YEAR(O300),EOMONTH(O300,1)))),"")</f>
        <v/>
      </c>
      <c r="P301" s="4">
        <f>'Histórico de Remunerações'!E303</f>
        <v>0</v>
      </c>
    </row>
    <row r="302" spans="15:16" x14ac:dyDescent="0.25">
      <c r="O302" s="21" t="str">
        <f ca="1">IFERROR(IF(LEFT(O301,2)="13",DATE(RIGHT(O301,4),12,31),IF(EOMONTH(O301,1)&gt;PREMISSAS!$C$3,"",IF(MONTH(O301)=11,"13º "&amp;YEAR(O301),EOMONTH(O301,1)))),"")</f>
        <v/>
      </c>
      <c r="P302" s="4">
        <f>'Histórico de Remunerações'!E304</f>
        <v>0</v>
      </c>
    </row>
    <row r="303" spans="15:16" x14ac:dyDescent="0.25">
      <c r="O303" s="21" t="str">
        <f ca="1">IFERROR(IF(LEFT(O302,2)="13",DATE(RIGHT(O302,4),12,31),IF(EOMONTH(O302,1)&gt;PREMISSAS!$C$3,"",IF(MONTH(O302)=11,"13º "&amp;YEAR(O302),EOMONTH(O302,1)))),"")</f>
        <v/>
      </c>
      <c r="P303" s="4">
        <f>'Histórico de Remunerações'!E305</f>
        <v>0</v>
      </c>
    </row>
    <row r="304" spans="15:16" x14ac:dyDescent="0.25">
      <c r="O304" s="21" t="str">
        <f ca="1">IFERROR(IF(LEFT(O303,2)="13",DATE(RIGHT(O303,4),12,31),IF(EOMONTH(O303,1)&gt;PREMISSAS!$C$3,"",IF(MONTH(O303)=11,"13º "&amp;YEAR(O303),EOMONTH(O303,1)))),"")</f>
        <v/>
      </c>
      <c r="P304" s="4">
        <f>'Histórico de Remunerações'!E306</f>
        <v>0</v>
      </c>
    </row>
    <row r="305" spans="15:16" x14ac:dyDescent="0.25">
      <c r="O305" s="21" t="str">
        <f ca="1">IFERROR(IF(LEFT(O304,2)="13",DATE(RIGHT(O304,4),12,31),IF(EOMONTH(O304,1)&gt;PREMISSAS!$C$3,"",IF(MONTH(O304)=11,"13º "&amp;YEAR(O304),EOMONTH(O304,1)))),"")</f>
        <v/>
      </c>
      <c r="P305" s="4">
        <f>'Histórico de Remunerações'!E307</f>
        <v>0</v>
      </c>
    </row>
    <row r="306" spans="15:16" x14ac:dyDescent="0.25">
      <c r="O306" s="21" t="str">
        <f ca="1">IFERROR(IF(LEFT(O305,2)="13",DATE(RIGHT(O305,4),12,31),IF(EOMONTH(O305,1)&gt;PREMISSAS!$C$3,"",IF(MONTH(O305)=11,"13º "&amp;YEAR(O305),EOMONTH(O305,1)))),"")</f>
        <v/>
      </c>
      <c r="P306" s="4">
        <f>'Histórico de Remunerações'!E308</f>
        <v>0</v>
      </c>
    </row>
    <row r="307" spans="15:16" x14ac:dyDescent="0.25">
      <c r="O307" s="21" t="str">
        <f ca="1">IFERROR(IF(LEFT(O306,2)="13",DATE(RIGHT(O306,4),12,31),IF(EOMONTH(O306,1)&gt;PREMISSAS!$C$3,"",IF(MONTH(O306)=11,"13º "&amp;YEAR(O306),EOMONTH(O306,1)))),"")</f>
        <v/>
      </c>
      <c r="P307" s="4">
        <f>'Histórico de Remunerações'!E309</f>
        <v>0</v>
      </c>
    </row>
    <row r="308" spans="15:16" x14ac:dyDescent="0.25">
      <c r="O308" s="21" t="str">
        <f ca="1">IFERROR(IF(LEFT(O307,2)="13",DATE(RIGHT(O307,4),12,31),IF(EOMONTH(O307,1)&gt;PREMISSAS!$C$3,"",IF(MONTH(O307)=11,"13º "&amp;YEAR(O307),EOMONTH(O307,1)))),"")</f>
        <v/>
      </c>
      <c r="P308" s="4">
        <f>'Histórico de Remunerações'!E310</f>
        <v>0</v>
      </c>
    </row>
    <row r="309" spans="15:16" x14ac:dyDescent="0.25">
      <c r="O309" s="21" t="str">
        <f ca="1">IFERROR(IF(LEFT(O308,2)="13",DATE(RIGHT(O308,4),12,31),IF(EOMONTH(O308,1)&gt;PREMISSAS!$C$3,"",IF(MONTH(O308)=11,"13º "&amp;YEAR(O308),EOMONTH(O308,1)))),"")</f>
        <v/>
      </c>
      <c r="P309" s="4">
        <f>'Histórico de Remunerações'!E311</f>
        <v>0</v>
      </c>
    </row>
    <row r="310" spans="15:16" x14ac:dyDescent="0.25">
      <c r="O310" s="21" t="str">
        <f ca="1">IFERROR(IF(LEFT(O309,2)="13",DATE(RIGHT(O309,4),12,31),IF(EOMONTH(O309,1)&gt;PREMISSAS!$C$3,"",IF(MONTH(O309)=11,"13º "&amp;YEAR(O309),EOMONTH(O309,1)))),"")</f>
        <v/>
      </c>
      <c r="P310" s="4">
        <f>'Histórico de Remunerações'!E312</f>
        <v>0</v>
      </c>
    </row>
    <row r="311" spans="15:16" x14ac:dyDescent="0.25">
      <c r="O311" s="21" t="str">
        <f ca="1">IFERROR(IF(LEFT(O310,2)="13",DATE(RIGHT(O310,4),12,31),IF(EOMONTH(O310,1)&gt;PREMISSAS!$C$3,"",IF(MONTH(O310)=11,"13º "&amp;YEAR(O310),EOMONTH(O310,1)))),"")</f>
        <v/>
      </c>
      <c r="P311" s="4">
        <f>'Histórico de Remunerações'!E313</f>
        <v>0</v>
      </c>
    </row>
    <row r="312" spans="15:16" x14ac:dyDescent="0.25">
      <c r="O312" s="21" t="str">
        <f ca="1">IFERROR(IF(LEFT(O311,2)="13",DATE(RIGHT(O311,4),12,31),IF(EOMONTH(O311,1)&gt;PREMISSAS!$C$3,"",IF(MONTH(O311)=11,"13º "&amp;YEAR(O311),EOMONTH(O311,1)))),"")</f>
        <v/>
      </c>
      <c r="P312" s="4">
        <f>'Histórico de Remunerações'!E314</f>
        <v>0</v>
      </c>
    </row>
    <row r="313" spans="15:16" x14ac:dyDescent="0.25">
      <c r="O313" s="21" t="str">
        <f ca="1">IFERROR(IF(LEFT(O312,2)="13",DATE(RIGHT(O312,4),12,31),IF(EOMONTH(O312,1)&gt;PREMISSAS!$C$3,"",IF(MONTH(O312)=11,"13º "&amp;YEAR(O312),EOMONTH(O312,1)))),"")</f>
        <v/>
      </c>
      <c r="P313" s="4">
        <f>'Histórico de Remunerações'!E315</f>
        <v>0</v>
      </c>
    </row>
    <row r="314" spans="15:16" x14ac:dyDescent="0.25">
      <c r="O314" s="21" t="str">
        <f ca="1">IFERROR(IF(LEFT(O313,2)="13",DATE(RIGHT(O313,4),12,31),IF(EOMONTH(O313,1)&gt;PREMISSAS!$C$3,"",IF(MONTH(O313)=11,"13º "&amp;YEAR(O313),EOMONTH(O313,1)))),"")</f>
        <v/>
      </c>
      <c r="P314" s="4">
        <f>'Histórico de Remunerações'!E316</f>
        <v>0</v>
      </c>
    </row>
    <row r="315" spans="15:16" x14ac:dyDescent="0.25">
      <c r="O315" s="21" t="str">
        <f ca="1">IFERROR(IF(LEFT(O314,2)="13",DATE(RIGHT(O314,4),12,31),IF(EOMONTH(O314,1)&gt;PREMISSAS!$C$3,"",IF(MONTH(O314)=11,"13º "&amp;YEAR(O314),EOMONTH(O314,1)))),"")</f>
        <v/>
      </c>
      <c r="P315" s="4">
        <f>'Histórico de Remunerações'!E317</f>
        <v>0</v>
      </c>
    </row>
    <row r="316" spans="15:16" x14ac:dyDescent="0.25">
      <c r="O316" s="21" t="str">
        <f ca="1">IFERROR(IF(LEFT(O315,2)="13",DATE(RIGHT(O315,4),12,31),IF(EOMONTH(O315,1)&gt;PREMISSAS!$C$3,"",IF(MONTH(O315)=11,"13º "&amp;YEAR(O315),EOMONTH(O315,1)))),"")</f>
        <v/>
      </c>
      <c r="P316" s="4">
        <f>'Histórico de Remunerações'!E318</f>
        <v>0</v>
      </c>
    </row>
    <row r="317" spans="15:16" x14ac:dyDescent="0.25">
      <c r="O317" s="21" t="str">
        <f ca="1">IFERROR(IF(LEFT(O316,2)="13",DATE(RIGHT(O316,4),12,31),IF(EOMONTH(O316,1)&gt;PREMISSAS!$C$3,"",IF(MONTH(O316)=11,"13º "&amp;YEAR(O316),EOMONTH(O316,1)))),"")</f>
        <v/>
      </c>
      <c r="P317" s="4">
        <f>'Histórico de Remunerações'!E319</f>
        <v>0</v>
      </c>
    </row>
    <row r="318" spans="15:16" x14ac:dyDescent="0.25">
      <c r="O318" s="21" t="str">
        <f ca="1">IFERROR(IF(LEFT(O317,2)="13",DATE(RIGHT(O317,4),12,31),IF(EOMONTH(O317,1)&gt;PREMISSAS!$C$3,"",IF(MONTH(O317)=11,"13º "&amp;YEAR(O317),EOMONTH(O317,1)))),"")</f>
        <v/>
      </c>
      <c r="P318" s="4">
        <f>'Histórico de Remunerações'!E320</f>
        <v>0</v>
      </c>
    </row>
    <row r="319" spans="15:16" x14ac:dyDescent="0.25">
      <c r="O319" s="21" t="str">
        <f ca="1">IFERROR(IF(LEFT(O318,2)="13",DATE(RIGHT(O318,4),12,31),IF(EOMONTH(O318,1)&gt;PREMISSAS!$C$3,"",IF(MONTH(O318)=11,"13º "&amp;YEAR(O318),EOMONTH(O318,1)))),"")</f>
        <v/>
      </c>
      <c r="P319" s="4">
        <f>'Histórico de Remunerações'!E321</f>
        <v>0</v>
      </c>
    </row>
    <row r="320" spans="15:16" x14ac:dyDescent="0.25">
      <c r="O320" s="21" t="str">
        <f ca="1">IFERROR(IF(LEFT(O319,2)="13",DATE(RIGHT(O319,4),12,31),IF(EOMONTH(O319,1)&gt;PREMISSAS!$C$3,"",IF(MONTH(O319)=11,"13º "&amp;YEAR(O319),EOMONTH(O319,1)))),"")</f>
        <v/>
      </c>
      <c r="P320" s="4">
        <f>'Histórico de Remunerações'!E322</f>
        <v>0</v>
      </c>
    </row>
    <row r="321" spans="15:16" x14ac:dyDescent="0.25">
      <c r="O321" s="21" t="str">
        <f ca="1">IFERROR(IF(LEFT(O320,2)="13",DATE(RIGHT(O320,4),12,31),IF(EOMONTH(O320,1)&gt;PREMISSAS!$C$3,"",IF(MONTH(O320)=11,"13º "&amp;YEAR(O320),EOMONTH(O320,1)))),"")</f>
        <v/>
      </c>
      <c r="P321" s="4">
        <f>'Histórico de Remunerações'!E323</f>
        <v>0</v>
      </c>
    </row>
    <row r="322" spans="15:16" x14ac:dyDescent="0.25">
      <c r="O322" s="21" t="str">
        <f ca="1">IFERROR(IF(LEFT(O321,2)="13",DATE(RIGHT(O321,4),12,31),IF(EOMONTH(O321,1)&gt;PREMISSAS!$C$3,"",IF(MONTH(O321)=11,"13º "&amp;YEAR(O321),EOMONTH(O321,1)))),"")</f>
        <v/>
      </c>
      <c r="P322" s="4">
        <f>'Histórico de Remunerações'!E324</f>
        <v>0</v>
      </c>
    </row>
    <row r="323" spans="15:16" x14ac:dyDescent="0.25">
      <c r="O323" s="21" t="str">
        <f ca="1">IFERROR(IF(LEFT(O322,2)="13",DATE(RIGHT(O322,4),12,31),IF(EOMONTH(O322,1)&gt;PREMISSAS!$C$3,"",IF(MONTH(O322)=11,"13º "&amp;YEAR(O322),EOMONTH(O322,1)))),"")</f>
        <v/>
      </c>
      <c r="P323" s="4">
        <f>'Histórico de Remunerações'!E325</f>
        <v>0</v>
      </c>
    </row>
    <row r="324" spans="15:16" x14ac:dyDescent="0.25">
      <c r="O324" s="21" t="str">
        <f ca="1">IFERROR(IF(LEFT(O323,2)="13",DATE(RIGHT(O323,4),12,31),IF(EOMONTH(O323,1)&gt;PREMISSAS!$C$3,"",IF(MONTH(O323)=11,"13º "&amp;YEAR(O323),EOMONTH(O323,1)))),"")</f>
        <v/>
      </c>
      <c r="P324" s="4">
        <f>'Histórico de Remunerações'!E326</f>
        <v>0</v>
      </c>
    </row>
    <row r="325" spans="15:16" x14ac:dyDescent="0.25">
      <c r="O325" s="21" t="str">
        <f ca="1">IFERROR(IF(LEFT(O324,2)="13",DATE(RIGHT(O324,4),12,31),IF(EOMONTH(O324,1)&gt;PREMISSAS!$C$3,"",IF(MONTH(O324)=11,"13º "&amp;YEAR(O324),EOMONTH(O324,1)))),"")</f>
        <v/>
      </c>
      <c r="P325" s="4">
        <f>'Histórico de Remunerações'!E327</f>
        <v>0</v>
      </c>
    </row>
    <row r="326" spans="15:16" x14ac:dyDescent="0.25">
      <c r="O326" s="21" t="str">
        <f ca="1">IFERROR(IF(LEFT(O325,2)="13",DATE(RIGHT(O325,4),12,31),IF(EOMONTH(O325,1)&gt;PREMISSAS!$C$3,"",IF(MONTH(O325)=11,"13º "&amp;YEAR(O325),EOMONTH(O325,1)))),"")</f>
        <v/>
      </c>
      <c r="P326" s="4">
        <f>'Histórico de Remunerações'!E328</f>
        <v>0</v>
      </c>
    </row>
    <row r="327" spans="15:16" x14ac:dyDescent="0.25">
      <c r="O327" s="21" t="str">
        <f ca="1">IFERROR(IF(LEFT(O326,2)="13",DATE(RIGHT(O326,4),12,31),IF(EOMONTH(O326,1)&gt;PREMISSAS!$C$3,"",IF(MONTH(O326)=11,"13º "&amp;YEAR(O326),EOMONTH(O326,1)))),"")</f>
        <v/>
      </c>
      <c r="P327" s="4">
        <f>'Histórico de Remunerações'!E329</f>
        <v>0</v>
      </c>
    </row>
    <row r="328" spans="15:16" x14ac:dyDescent="0.25">
      <c r="O328" s="21" t="str">
        <f ca="1">IFERROR(IF(LEFT(O327,2)="13",DATE(RIGHT(O327,4),12,31),IF(EOMONTH(O327,1)&gt;PREMISSAS!$C$3,"",IF(MONTH(O327)=11,"13º "&amp;YEAR(O327),EOMONTH(O327,1)))),"")</f>
        <v/>
      </c>
      <c r="P328" s="4">
        <f>'Histórico de Remunerações'!E330</f>
        <v>0</v>
      </c>
    </row>
    <row r="329" spans="15:16" x14ac:dyDescent="0.25">
      <c r="O329" s="21" t="str">
        <f ca="1">IFERROR(IF(LEFT(O328,2)="13",DATE(RIGHT(O328,4),12,31),IF(EOMONTH(O328,1)&gt;PREMISSAS!$C$3,"",IF(MONTH(O328)=11,"13º "&amp;YEAR(O328),EOMONTH(O328,1)))),"")</f>
        <v/>
      </c>
      <c r="P329" s="4">
        <f>'Histórico de Remunerações'!E331</f>
        <v>0</v>
      </c>
    </row>
    <row r="330" spans="15:16" x14ac:dyDescent="0.25">
      <c r="O330" s="21" t="str">
        <f ca="1">IFERROR(IF(LEFT(O329,2)="13",DATE(RIGHT(O329,4),12,31),IF(EOMONTH(O329,1)&gt;PREMISSAS!$C$3,"",IF(MONTH(O329)=11,"13º "&amp;YEAR(O329),EOMONTH(O329,1)))),"")</f>
        <v/>
      </c>
      <c r="P330" s="4">
        <f>'Histórico de Remunerações'!E332</f>
        <v>0</v>
      </c>
    </row>
    <row r="331" spans="15:16" x14ac:dyDescent="0.25">
      <c r="O331" s="21" t="str">
        <f ca="1">IFERROR(IF(LEFT(O330,2)="13",DATE(RIGHT(O330,4),12,31),IF(EOMONTH(O330,1)&gt;PREMISSAS!$C$3,"",IF(MONTH(O330)=11,"13º "&amp;YEAR(O330),EOMONTH(O330,1)))),"")</f>
        <v/>
      </c>
      <c r="P331" s="4">
        <f>'Histórico de Remunerações'!E333</f>
        <v>0</v>
      </c>
    </row>
    <row r="332" spans="15:16" x14ac:dyDescent="0.25">
      <c r="O332" s="21" t="str">
        <f ca="1">IFERROR(IF(LEFT(O331,2)="13",DATE(RIGHT(O331,4),12,31),IF(EOMONTH(O331,1)&gt;PREMISSAS!$C$3,"",IF(MONTH(O331)=11,"13º "&amp;YEAR(O331),EOMONTH(O331,1)))),"")</f>
        <v/>
      </c>
      <c r="P332" s="4">
        <f>'Histórico de Remunerações'!E334</f>
        <v>0</v>
      </c>
    </row>
    <row r="333" spans="15:16" x14ac:dyDescent="0.25">
      <c r="O333" s="21" t="str">
        <f ca="1">IFERROR(IF(LEFT(O332,2)="13",DATE(RIGHT(O332,4),12,31),IF(EOMONTH(O332,1)&gt;PREMISSAS!$C$3,"",IF(MONTH(O332)=11,"13º "&amp;YEAR(O332),EOMONTH(O332,1)))),"")</f>
        <v/>
      </c>
      <c r="P333" s="4">
        <f>'Histórico de Remunerações'!E335</f>
        <v>0</v>
      </c>
    </row>
    <row r="334" spans="15:16" x14ac:dyDescent="0.25">
      <c r="O334" s="21" t="str">
        <f ca="1">IFERROR(IF(LEFT(O333,2)="13",DATE(RIGHT(O333,4),12,31),IF(EOMONTH(O333,1)&gt;PREMISSAS!$C$3,"",IF(MONTH(O333)=11,"13º "&amp;YEAR(O333),EOMONTH(O333,1)))),"")</f>
        <v/>
      </c>
      <c r="P334" s="4">
        <f>'Histórico de Remunerações'!E336</f>
        <v>0</v>
      </c>
    </row>
    <row r="335" spans="15:16" x14ac:dyDescent="0.25">
      <c r="O335" s="21" t="str">
        <f ca="1">IFERROR(IF(LEFT(O334,2)="13",DATE(RIGHT(O334,4),12,31),IF(EOMONTH(O334,1)&gt;PREMISSAS!$C$3,"",IF(MONTH(O334)=11,"13º "&amp;YEAR(O334),EOMONTH(O334,1)))),"")</f>
        <v/>
      </c>
      <c r="P335" s="4">
        <f>'Histórico de Remunerações'!E337</f>
        <v>0</v>
      </c>
    </row>
    <row r="336" spans="15:16" x14ac:dyDescent="0.25">
      <c r="O336" s="21" t="str">
        <f ca="1">IFERROR(IF(LEFT(O335,2)="13",DATE(RIGHT(O335,4),12,31),IF(EOMONTH(O335,1)&gt;PREMISSAS!$C$3,"",IF(MONTH(O335)=11,"13º "&amp;YEAR(O335),EOMONTH(O335,1)))),"")</f>
        <v/>
      </c>
      <c r="P336" s="4">
        <f>'Histórico de Remunerações'!E338</f>
        <v>0</v>
      </c>
    </row>
    <row r="337" spans="15:16" x14ac:dyDescent="0.25">
      <c r="O337" s="21" t="str">
        <f ca="1">IFERROR(IF(LEFT(O336,2)="13",DATE(RIGHT(O336,4),12,31),IF(EOMONTH(O336,1)&gt;PREMISSAS!$C$3,"",IF(MONTH(O336)=11,"13º "&amp;YEAR(O336),EOMONTH(O336,1)))),"")</f>
        <v/>
      </c>
      <c r="P337" s="4">
        <f>'Histórico de Remunerações'!E339</f>
        <v>0</v>
      </c>
    </row>
    <row r="338" spans="15:16" x14ac:dyDescent="0.25">
      <c r="O338" s="21" t="str">
        <f ca="1">IFERROR(IF(LEFT(O337,2)="13",DATE(RIGHT(O337,4),12,31),IF(EOMONTH(O337,1)&gt;PREMISSAS!$C$3,"",IF(MONTH(O337)=11,"13º "&amp;YEAR(O337),EOMONTH(O337,1)))),"")</f>
        <v/>
      </c>
      <c r="P338" s="4">
        <f>'Histórico de Remunerações'!E340</f>
        <v>0</v>
      </c>
    </row>
    <row r="339" spans="15:16" x14ac:dyDescent="0.25">
      <c r="O339" s="21" t="str">
        <f ca="1">IFERROR(IF(LEFT(O338,2)="13",DATE(RIGHT(O338,4),12,31),IF(EOMONTH(O338,1)&gt;PREMISSAS!$C$3,"",IF(MONTH(O338)=11,"13º "&amp;YEAR(O338),EOMONTH(O338,1)))),"")</f>
        <v/>
      </c>
      <c r="P339" s="4">
        <f>'Histórico de Remunerações'!E341</f>
        <v>0</v>
      </c>
    </row>
    <row r="340" spans="15:16" x14ac:dyDescent="0.25">
      <c r="O340" s="21" t="str">
        <f ca="1">IFERROR(IF(LEFT(O339,2)="13",DATE(RIGHT(O339,4),12,31),IF(EOMONTH(O339,1)&gt;PREMISSAS!$C$3,"",IF(MONTH(O339)=11,"13º "&amp;YEAR(O339),EOMONTH(O339,1)))),"")</f>
        <v/>
      </c>
      <c r="P340" s="4">
        <f>'Histórico de Remunerações'!E342</f>
        <v>0</v>
      </c>
    </row>
    <row r="341" spans="15:16" x14ac:dyDescent="0.25">
      <c r="O341" s="21" t="str">
        <f ca="1">IFERROR(IF(LEFT(O340,2)="13",DATE(RIGHT(O340,4),12,31),IF(EOMONTH(O340,1)&gt;PREMISSAS!$C$3,"",IF(MONTH(O340)=11,"13º "&amp;YEAR(O340),EOMONTH(O340,1)))),"")</f>
        <v/>
      </c>
      <c r="P341" s="4">
        <f>'Histórico de Remunerações'!E343</f>
        <v>0</v>
      </c>
    </row>
    <row r="342" spans="15:16" x14ac:dyDescent="0.25">
      <c r="O342" s="21" t="str">
        <f ca="1">IFERROR(IF(LEFT(O341,2)="13",DATE(RIGHT(O341,4),12,31),IF(EOMONTH(O341,1)&gt;PREMISSAS!$C$3,"",IF(MONTH(O341)=11,"13º "&amp;YEAR(O341),EOMONTH(O341,1)))),"")</f>
        <v/>
      </c>
      <c r="P342" s="4">
        <f>'Histórico de Remunerações'!E344</f>
        <v>0</v>
      </c>
    </row>
    <row r="343" spans="15:16" x14ac:dyDescent="0.25">
      <c r="O343" s="21" t="str">
        <f ca="1">IFERROR(IF(LEFT(O342,2)="13",DATE(RIGHT(O342,4),12,31),IF(EOMONTH(O342,1)&gt;PREMISSAS!$C$3,"",IF(MONTH(O342)=11,"13º "&amp;YEAR(O342),EOMONTH(O342,1)))),"")</f>
        <v/>
      </c>
      <c r="P343" s="4">
        <f>'Histórico de Remunerações'!E345</f>
        <v>0</v>
      </c>
    </row>
    <row r="344" spans="15:16" x14ac:dyDescent="0.25">
      <c r="O344" s="21" t="str">
        <f ca="1">IFERROR(IF(LEFT(O343,2)="13",DATE(RIGHT(O343,4),12,31),IF(EOMONTH(O343,1)&gt;PREMISSAS!$C$3,"",IF(MONTH(O343)=11,"13º "&amp;YEAR(O343),EOMONTH(O343,1)))),"")</f>
        <v/>
      </c>
      <c r="P344" s="4">
        <f>'Histórico de Remunerações'!E346</f>
        <v>0</v>
      </c>
    </row>
    <row r="345" spans="15:16" x14ac:dyDescent="0.25">
      <c r="O345" s="21" t="str">
        <f ca="1">IFERROR(IF(LEFT(O344,2)="13",DATE(RIGHT(O344,4),12,31),IF(EOMONTH(O344,1)&gt;PREMISSAS!$C$3,"",IF(MONTH(O344)=11,"13º "&amp;YEAR(O344),EOMONTH(O344,1)))),"")</f>
        <v/>
      </c>
      <c r="P345" s="4">
        <f>'Histórico de Remunerações'!E347</f>
        <v>0</v>
      </c>
    </row>
    <row r="346" spans="15:16" x14ac:dyDescent="0.25">
      <c r="O346" s="21" t="str">
        <f ca="1">IFERROR(IF(LEFT(O345,2)="13",DATE(RIGHT(O345,4),12,31),IF(EOMONTH(O345,1)&gt;PREMISSAS!$C$3,"",IF(MONTH(O345)=11,"13º "&amp;YEAR(O345),EOMONTH(O345,1)))),"")</f>
        <v/>
      </c>
      <c r="P346" s="4">
        <f>'Histórico de Remunerações'!E348</f>
        <v>0</v>
      </c>
    </row>
    <row r="347" spans="15:16" x14ac:dyDescent="0.25">
      <c r="O347" s="21" t="str">
        <f ca="1">IFERROR(IF(LEFT(O346,2)="13",DATE(RIGHT(O346,4),12,31),IF(EOMONTH(O346,1)&gt;PREMISSAS!$C$3,"",IF(MONTH(O346)=11,"13º "&amp;YEAR(O346),EOMONTH(O346,1)))),"")</f>
        <v/>
      </c>
      <c r="P347" s="4">
        <f>'Histórico de Remunerações'!E349</f>
        <v>0</v>
      </c>
    </row>
    <row r="348" spans="15:16" x14ac:dyDescent="0.25">
      <c r="O348" s="21" t="str">
        <f ca="1">IFERROR(IF(LEFT(O347,2)="13",DATE(RIGHT(O347,4),12,31),IF(EOMONTH(O347,1)&gt;PREMISSAS!$C$3,"",IF(MONTH(O347)=11,"13º "&amp;YEAR(O347),EOMONTH(O347,1)))),"")</f>
        <v/>
      </c>
      <c r="P348" s="4">
        <f>'Histórico de Remunerações'!E350</f>
        <v>0</v>
      </c>
    </row>
    <row r="349" spans="15:16" x14ac:dyDescent="0.25">
      <c r="O349" s="21" t="str">
        <f ca="1">IFERROR(IF(LEFT(O348,2)="13",DATE(RIGHT(O348,4),12,31),IF(EOMONTH(O348,1)&gt;PREMISSAS!$C$3,"",IF(MONTH(O348)=11,"13º "&amp;YEAR(O348),EOMONTH(O348,1)))),"")</f>
        <v/>
      </c>
      <c r="P349" s="4">
        <f>'Histórico de Remunerações'!E351</f>
        <v>0</v>
      </c>
    </row>
    <row r="350" spans="15:16" x14ac:dyDescent="0.25">
      <c r="O350" s="21" t="str">
        <f ca="1">IFERROR(IF(LEFT(O349,2)="13",DATE(RIGHT(O349,4),12,31),IF(EOMONTH(O349,1)&gt;PREMISSAS!$C$3,"",IF(MONTH(O349)=11,"13º "&amp;YEAR(O349),EOMONTH(O349,1)))),"")</f>
        <v/>
      </c>
      <c r="P350" s="4">
        <f>'Histórico de Remunerações'!E352</f>
        <v>0</v>
      </c>
    </row>
    <row r="351" spans="15:16" x14ac:dyDescent="0.25">
      <c r="O351" s="21" t="str">
        <f ca="1">IFERROR(IF(LEFT(O350,2)="13",DATE(RIGHT(O350,4),12,31),IF(EOMONTH(O350,1)&gt;PREMISSAS!$C$3,"",IF(MONTH(O350)=11,"13º "&amp;YEAR(O350),EOMONTH(O350,1)))),"")</f>
        <v/>
      </c>
      <c r="P351" s="4">
        <f>'Histórico de Remunerações'!E353</f>
        <v>0</v>
      </c>
    </row>
    <row r="352" spans="15:16" x14ac:dyDescent="0.25">
      <c r="O352" s="21" t="str">
        <f ca="1">IFERROR(IF(LEFT(O351,2)="13",DATE(RIGHT(O351,4),12,31),IF(EOMONTH(O351,1)&gt;PREMISSAS!$C$3,"",IF(MONTH(O351)=11,"13º "&amp;YEAR(O351),EOMONTH(O351,1)))),"")</f>
        <v/>
      </c>
      <c r="P352" s="4">
        <f>'Histórico de Remunerações'!E354</f>
        <v>0</v>
      </c>
    </row>
    <row r="353" spans="15:16" x14ac:dyDescent="0.25">
      <c r="O353" s="21" t="str">
        <f ca="1">IFERROR(IF(LEFT(O352,2)="13",DATE(RIGHT(O352,4),12,31),IF(EOMONTH(O352,1)&gt;PREMISSAS!$C$3,"",IF(MONTH(O352)=11,"13º "&amp;YEAR(O352),EOMONTH(O352,1)))),"")</f>
        <v/>
      </c>
      <c r="P353" s="4">
        <f>'Histórico de Remunerações'!E355</f>
        <v>0</v>
      </c>
    </row>
    <row r="354" spans="15:16" x14ac:dyDescent="0.25">
      <c r="O354" s="21" t="str">
        <f ca="1">IFERROR(IF(LEFT(O353,2)="13",DATE(RIGHT(O353,4),12,31),IF(EOMONTH(O353,1)&gt;PREMISSAS!$C$3,"",IF(MONTH(O353)=11,"13º "&amp;YEAR(O353),EOMONTH(O353,1)))),"")</f>
        <v/>
      </c>
      <c r="P354" s="4">
        <f>'Histórico de Remunerações'!E356</f>
        <v>0</v>
      </c>
    </row>
    <row r="355" spans="15:16" x14ac:dyDescent="0.25">
      <c r="O355" s="21" t="str">
        <f ca="1">IFERROR(IF(LEFT(O354,2)="13",DATE(RIGHT(O354,4),12,31),IF(EOMONTH(O354,1)&gt;PREMISSAS!$C$3,"",IF(MONTH(O354)=11,"13º "&amp;YEAR(O354),EOMONTH(O354,1)))),"")</f>
        <v/>
      </c>
      <c r="P355" s="4">
        <f>'Histórico de Remunerações'!E357</f>
        <v>0</v>
      </c>
    </row>
    <row r="356" spans="15:16" x14ac:dyDescent="0.25">
      <c r="O356" s="21" t="str">
        <f ca="1">IFERROR(IF(LEFT(O355,2)="13",DATE(RIGHT(O355,4),12,31),IF(EOMONTH(O355,1)&gt;PREMISSAS!$C$3,"",IF(MONTH(O355)=11,"13º "&amp;YEAR(O355),EOMONTH(O355,1)))),"")</f>
        <v/>
      </c>
      <c r="P356" s="4">
        <f>'Histórico de Remunerações'!E358</f>
        <v>0</v>
      </c>
    </row>
    <row r="357" spans="15:16" x14ac:dyDescent="0.25">
      <c r="O357" s="21" t="str">
        <f ca="1">IFERROR(IF(LEFT(O356,2)="13",DATE(RIGHT(O356,4),12,31),IF(EOMONTH(O356,1)&gt;PREMISSAS!$C$3,"",IF(MONTH(O356)=11,"13º "&amp;YEAR(O356),EOMONTH(O356,1)))),"")</f>
        <v/>
      </c>
      <c r="P357" s="4">
        <f>'Histórico de Remunerações'!E359</f>
        <v>0</v>
      </c>
    </row>
    <row r="358" spans="15:16" x14ac:dyDescent="0.25">
      <c r="O358" s="21" t="str">
        <f ca="1">IFERROR(IF(LEFT(O357,2)="13",DATE(RIGHT(O357,4),12,31),IF(EOMONTH(O357,1)&gt;PREMISSAS!$C$3,"",IF(MONTH(O357)=11,"13º "&amp;YEAR(O357),EOMONTH(O357,1)))),"")</f>
        <v/>
      </c>
      <c r="P358" s="4">
        <f>'Histórico de Remunerações'!E360</f>
        <v>0</v>
      </c>
    </row>
    <row r="359" spans="15:16" x14ac:dyDescent="0.25">
      <c r="O359" s="21" t="str">
        <f ca="1">IFERROR(IF(LEFT(O358,2)="13",DATE(RIGHT(O358,4),12,31),IF(EOMONTH(O358,1)&gt;PREMISSAS!$C$3,"",IF(MONTH(O358)=11,"13º "&amp;YEAR(O358),EOMONTH(O358,1)))),"")</f>
        <v/>
      </c>
      <c r="P359" s="4">
        <f>'Histórico de Remunerações'!E361</f>
        <v>0</v>
      </c>
    </row>
    <row r="360" spans="15:16" x14ac:dyDescent="0.25">
      <c r="O360" s="21" t="str">
        <f ca="1">IFERROR(IF(LEFT(O359,2)="13",DATE(RIGHT(O359,4),12,31),IF(EOMONTH(O359,1)&gt;PREMISSAS!$C$3,"",IF(MONTH(O359)=11,"13º "&amp;YEAR(O359),EOMONTH(O359,1)))),"")</f>
        <v/>
      </c>
      <c r="P360" s="4">
        <f>'Histórico de Remunerações'!E362</f>
        <v>0</v>
      </c>
    </row>
    <row r="361" spans="15:16" x14ac:dyDescent="0.25">
      <c r="O361" s="21" t="str">
        <f ca="1">IFERROR(IF(LEFT(O360,2)="13",DATE(RIGHT(O360,4),12,31),IF(EOMONTH(O360,1)&gt;PREMISSAS!$C$3,"",IF(MONTH(O360)=11,"13º "&amp;YEAR(O360),EOMONTH(O360,1)))),"")</f>
        <v/>
      </c>
      <c r="P361" s="4">
        <f>'Histórico de Remunerações'!E363</f>
        <v>0</v>
      </c>
    </row>
    <row r="362" spans="15:16" x14ac:dyDescent="0.25">
      <c r="O362" s="21" t="str">
        <f ca="1">IFERROR(IF(LEFT(O361,2)="13",DATE(RIGHT(O361,4),12,31),IF(EOMONTH(O361,1)&gt;PREMISSAS!$C$3,"",IF(MONTH(O361)=11,"13º "&amp;YEAR(O361),EOMONTH(O361,1)))),"")</f>
        <v/>
      </c>
      <c r="P362" s="4">
        <f>'Histórico de Remunerações'!E364</f>
        <v>0</v>
      </c>
    </row>
    <row r="363" spans="15:16" x14ac:dyDescent="0.25">
      <c r="O363" s="21" t="str">
        <f ca="1">IFERROR(IF(LEFT(O362,2)="13",DATE(RIGHT(O362,4),12,31),IF(EOMONTH(O362,1)&gt;PREMISSAS!$C$3,"",IF(MONTH(O362)=11,"13º "&amp;YEAR(O362),EOMONTH(O362,1)))),"")</f>
        <v/>
      </c>
      <c r="P363" s="4">
        <f>'Histórico de Remunerações'!E365</f>
        <v>0</v>
      </c>
    </row>
    <row r="364" spans="15:16" x14ac:dyDescent="0.25">
      <c r="O364" s="21" t="str">
        <f ca="1">IFERROR(IF(LEFT(O363,2)="13",DATE(RIGHT(O363,4),12,31),IF(EOMONTH(O363,1)&gt;PREMISSAS!$C$3,"",IF(MONTH(O363)=11,"13º "&amp;YEAR(O363),EOMONTH(O363,1)))),"")</f>
        <v/>
      </c>
      <c r="P364" s="4">
        <f>'Histórico de Remunerações'!E366</f>
        <v>0</v>
      </c>
    </row>
    <row r="365" spans="15:16" x14ac:dyDescent="0.25">
      <c r="O365" s="21" t="str">
        <f ca="1">IFERROR(IF(LEFT(O364,2)="13",DATE(RIGHT(O364,4),12,31),IF(EOMONTH(O364,1)&gt;PREMISSAS!$C$3,"",IF(MONTH(O364)=11,"13º "&amp;YEAR(O364),EOMONTH(O364,1)))),"")</f>
        <v/>
      </c>
      <c r="P365" s="4">
        <f>'Histórico de Remunerações'!E367</f>
        <v>0</v>
      </c>
    </row>
    <row r="366" spans="15:16" x14ac:dyDescent="0.25">
      <c r="O366" s="21" t="str">
        <f ca="1">IFERROR(IF(LEFT(O365,2)="13",DATE(RIGHT(O365,4),12,31),IF(EOMONTH(O365,1)&gt;PREMISSAS!$C$3,"",IF(MONTH(O365)=11,"13º "&amp;YEAR(O365),EOMONTH(O365,1)))),"")</f>
        <v/>
      </c>
      <c r="P366" s="4">
        <f>'Histórico de Remunerações'!E368</f>
        <v>0</v>
      </c>
    </row>
    <row r="367" spans="15:16" x14ac:dyDescent="0.25">
      <c r="O367" s="21" t="str">
        <f ca="1">IFERROR(IF(LEFT(O366,2)="13",DATE(RIGHT(O366,4),12,31),IF(EOMONTH(O366,1)&gt;PREMISSAS!$C$3,"",IF(MONTH(O366)=11,"13º "&amp;YEAR(O366),EOMONTH(O366,1)))),"")</f>
        <v/>
      </c>
      <c r="P367" s="4">
        <f>'Histórico de Remunerações'!E369</f>
        <v>0</v>
      </c>
    </row>
    <row r="368" spans="15:16" x14ac:dyDescent="0.25">
      <c r="O368" s="21" t="str">
        <f ca="1">IFERROR(IF(LEFT(O367,2)="13",DATE(RIGHT(O367,4),12,31),IF(EOMONTH(O367,1)&gt;PREMISSAS!$C$3,"",IF(MONTH(O367)=11,"13º "&amp;YEAR(O367),EOMONTH(O367,1)))),"")</f>
        <v/>
      </c>
      <c r="P368" s="4">
        <f>'Histórico de Remunerações'!E370</f>
        <v>0</v>
      </c>
    </row>
    <row r="369" spans="15:16" x14ac:dyDescent="0.25">
      <c r="O369" s="21" t="str">
        <f ca="1">IFERROR(IF(LEFT(O368,2)="13",DATE(RIGHT(O368,4),12,31),IF(EOMONTH(O368,1)&gt;PREMISSAS!$C$3,"",IF(MONTH(O368)=11,"13º "&amp;YEAR(O368),EOMONTH(O368,1)))),"")</f>
        <v/>
      </c>
      <c r="P369" s="4">
        <f>'Histórico de Remunerações'!E371</f>
        <v>0</v>
      </c>
    </row>
    <row r="370" spans="15:16" x14ac:dyDescent="0.25">
      <c r="O370" s="21" t="str">
        <f ca="1">IFERROR(IF(LEFT(O369,2)="13",DATE(RIGHT(O369,4),12,31),IF(EOMONTH(O369,1)&gt;PREMISSAS!$C$3,"",IF(MONTH(O369)=11,"13º "&amp;YEAR(O369),EOMONTH(O369,1)))),"")</f>
        <v/>
      </c>
      <c r="P370" s="4">
        <f>'Histórico de Remunerações'!E372</f>
        <v>0</v>
      </c>
    </row>
    <row r="371" spans="15:16" x14ac:dyDescent="0.25">
      <c r="O371" s="21" t="str">
        <f ca="1">IFERROR(IF(LEFT(O370,2)="13",DATE(RIGHT(O370,4),12,31),IF(EOMONTH(O370,1)&gt;PREMISSAS!$C$3,"",IF(MONTH(O370)=11,"13º "&amp;YEAR(O370),EOMONTH(O370,1)))),"")</f>
        <v/>
      </c>
      <c r="P371" s="4">
        <f>'Histórico de Remunerações'!E373</f>
        <v>0</v>
      </c>
    </row>
    <row r="372" spans="15:16" x14ac:dyDescent="0.25">
      <c r="O372" s="21" t="str">
        <f ca="1">IFERROR(IF(LEFT(O371,2)="13",DATE(RIGHT(O371,4),12,31),IF(EOMONTH(O371,1)&gt;PREMISSAS!$C$3,"",IF(MONTH(O371)=11,"13º "&amp;YEAR(O371),EOMONTH(O371,1)))),"")</f>
        <v/>
      </c>
      <c r="P372" s="4">
        <f>'Histórico de Remunerações'!E374</f>
        <v>0</v>
      </c>
    </row>
    <row r="373" spans="15:16" x14ac:dyDescent="0.25">
      <c r="O373" s="21" t="str">
        <f ca="1">IFERROR(IF(LEFT(O372,2)="13",DATE(RIGHT(O372,4),12,31),IF(EOMONTH(O372,1)&gt;PREMISSAS!$C$3,"",IF(MONTH(O372)=11,"13º "&amp;YEAR(O372),EOMONTH(O372,1)))),"")</f>
        <v/>
      </c>
      <c r="P373" s="4">
        <f>'Histórico de Remunerações'!E375</f>
        <v>0</v>
      </c>
    </row>
    <row r="374" spans="15:16" x14ac:dyDescent="0.25">
      <c r="O374" s="21" t="str">
        <f ca="1">IFERROR(IF(LEFT(O373,2)="13",DATE(RIGHT(O373,4),12,31),IF(EOMONTH(O373,1)&gt;PREMISSAS!$C$3,"",IF(MONTH(O373)=11,"13º "&amp;YEAR(O373),EOMONTH(O373,1)))),"")</f>
        <v/>
      </c>
      <c r="P374" s="4">
        <f>'Histórico de Remunerações'!E376</f>
        <v>0</v>
      </c>
    </row>
    <row r="375" spans="15:16" x14ac:dyDescent="0.25">
      <c r="O375" s="21" t="str">
        <f ca="1">IFERROR(IF(LEFT(O374,2)="13",DATE(RIGHT(O374,4),12,31),IF(EOMONTH(O374,1)&gt;PREMISSAS!$C$3,"",IF(MONTH(O374)=11,"13º "&amp;YEAR(O374),EOMONTH(O374,1)))),"")</f>
        <v/>
      </c>
      <c r="P375" s="4">
        <f>'Histórico de Remunerações'!E377</f>
        <v>0</v>
      </c>
    </row>
    <row r="376" spans="15:16" x14ac:dyDescent="0.25">
      <c r="O376" s="21" t="str">
        <f ca="1">IFERROR(IF(LEFT(O375,2)="13",DATE(RIGHT(O375,4),12,31),IF(EOMONTH(O375,1)&gt;PREMISSAS!$C$3,"",IF(MONTH(O375)=11,"13º "&amp;YEAR(O375),EOMONTH(O375,1)))),"")</f>
        <v/>
      </c>
      <c r="P376" s="4">
        <f>'Histórico de Remunerações'!E378</f>
        <v>0</v>
      </c>
    </row>
    <row r="377" spans="15:16" x14ac:dyDescent="0.25">
      <c r="O377" s="21" t="str">
        <f ca="1">IFERROR(IF(LEFT(O376,2)="13",DATE(RIGHT(O376,4),12,31),IF(EOMONTH(O376,1)&gt;PREMISSAS!$C$3,"",IF(MONTH(O376)=11,"13º "&amp;YEAR(O376),EOMONTH(O376,1)))),"")</f>
        <v/>
      </c>
      <c r="P377" s="4">
        <f>'Histórico de Remunerações'!E379</f>
        <v>0</v>
      </c>
    </row>
    <row r="378" spans="15:16" x14ac:dyDescent="0.25">
      <c r="O378" s="21" t="str">
        <f ca="1">IFERROR(IF(LEFT(O377,2)="13",DATE(RIGHT(O377,4),12,31),IF(EOMONTH(O377,1)&gt;PREMISSAS!$C$3,"",IF(MONTH(O377)=11,"13º "&amp;YEAR(O377),EOMONTH(O377,1)))),"")</f>
        <v/>
      </c>
      <c r="P378" s="4">
        <f>'Histórico de Remunerações'!E380</f>
        <v>0</v>
      </c>
    </row>
    <row r="379" spans="15:16" x14ac:dyDescent="0.25">
      <c r="O379" s="21" t="str">
        <f ca="1">IFERROR(IF(LEFT(O378,2)="13",DATE(RIGHT(O378,4),12,31),IF(EOMONTH(O378,1)&gt;PREMISSAS!$C$3,"",IF(MONTH(O378)=11,"13º "&amp;YEAR(O378),EOMONTH(O378,1)))),"")</f>
        <v/>
      </c>
      <c r="P379" s="4">
        <f>'Histórico de Remunerações'!E381</f>
        <v>0</v>
      </c>
    </row>
    <row r="380" spans="15:16" x14ac:dyDescent="0.25">
      <c r="O380" s="21" t="str">
        <f ca="1">IFERROR(IF(LEFT(O379,2)="13",DATE(RIGHT(O379,4),12,31),IF(EOMONTH(O379,1)&gt;PREMISSAS!$C$3,"",IF(MONTH(O379)=11,"13º "&amp;YEAR(O379),EOMONTH(O379,1)))),"")</f>
        <v/>
      </c>
      <c r="P380" s="4">
        <f>'Histórico de Remunerações'!E382</f>
        <v>0</v>
      </c>
    </row>
    <row r="381" spans="15:16" x14ac:dyDescent="0.25">
      <c r="O381" s="21" t="str">
        <f ca="1">IFERROR(IF(LEFT(O380,2)="13",DATE(RIGHT(O380,4),12,31),IF(EOMONTH(O380,1)&gt;PREMISSAS!$C$3,"",IF(MONTH(O380)=11,"13º "&amp;YEAR(O380),EOMONTH(O380,1)))),"")</f>
        <v/>
      </c>
      <c r="P381" s="4">
        <f>'Histórico de Remunerações'!E383</f>
        <v>0</v>
      </c>
    </row>
    <row r="382" spans="15:16" x14ac:dyDescent="0.25">
      <c r="O382" s="21" t="str">
        <f ca="1">IFERROR(IF(LEFT(O381,2)="13",DATE(RIGHT(O381,4),12,31),IF(EOMONTH(O381,1)&gt;PREMISSAS!$C$3,"",IF(MONTH(O381)=11,"13º "&amp;YEAR(O381),EOMONTH(O381,1)))),"")</f>
        <v/>
      </c>
      <c r="P382" s="4">
        <f>'Histórico de Remunerações'!E384</f>
        <v>0</v>
      </c>
    </row>
    <row r="383" spans="15:16" x14ac:dyDescent="0.25">
      <c r="O383" s="21" t="str">
        <f ca="1">IFERROR(IF(LEFT(O382,2)="13",DATE(RIGHT(O382,4),12,31),IF(EOMONTH(O382,1)&gt;PREMISSAS!$C$3,"",IF(MONTH(O382)=11,"13º "&amp;YEAR(O382),EOMONTH(O382,1)))),"")</f>
        <v/>
      </c>
      <c r="P383" s="4">
        <f>'Histórico de Remunerações'!E385</f>
        <v>0</v>
      </c>
    </row>
    <row r="384" spans="15:16" x14ac:dyDescent="0.25">
      <c r="O384" s="21" t="str">
        <f ca="1">IFERROR(IF(LEFT(O383,2)="13",DATE(RIGHT(O383,4),12,31),IF(EOMONTH(O383,1)&gt;PREMISSAS!$C$3,"",IF(MONTH(O383)=11,"13º "&amp;YEAR(O383),EOMONTH(O383,1)))),"")</f>
        <v/>
      </c>
      <c r="P384" s="4">
        <f>'Histórico de Remunerações'!E386</f>
        <v>0</v>
      </c>
    </row>
    <row r="385" spans="15:16" x14ac:dyDescent="0.25">
      <c r="O385" s="21" t="str">
        <f ca="1">IFERROR(IF(LEFT(O384,2)="13",DATE(RIGHT(O384,4),12,31),IF(EOMONTH(O384,1)&gt;PREMISSAS!$C$3,"",IF(MONTH(O384)=11,"13º "&amp;YEAR(O384),EOMONTH(O384,1)))),"")</f>
        <v/>
      </c>
      <c r="P385" s="4">
        <f>'Histórico de Remunerações'!E387</f>
        <v>0</v>
      </c>
    </row>
    <row r="386" spans="15:16" x14ac:dyDescent="0.25">
      <c r="O386" s="21" t="str">
        <f ca="1">IFERROR(IF(LEFT(O385,2)="13",DATE(RIGHT(O385,4),12,31),IF(EOMONTH(O385,1)&gt;PREMISSAS!$C$3,"",IF(MONTH(O385)=11,"13º "&amp;YEAR(O385),EOMONTH(O385,1)))),"")</f>
        <v/>
      </c>
      <c r="P386" s="4">
        <f>'Histórico de Remunerações'!E388</f>
        <v>0</v>
      </c>
    </row>
    <row r="387" spans="15:16" x14ac:dyDescent="0.25">
      <c r="O387" s="21" t="str">
        <f ca="1">IFERROR(IF(LEFT(O386,2)="13",DATE(RIGHT(O386,4),12,31),IF(EOMONTH(O386,1)&gt;PREMISSAS!$C$3,"",IF(MONTH(O386)=11,"13º "&amp;YEAR(O386),EOMONTH(O386,1)))),"")</f>
        <v/>
      </c>
      <c r="P387" s="4">
        <f>'Histórico de Remunerações'!E389</f>
        <v>0</v>
      </c>
    </row>
    <row r="388" spans="15:16" x14ac:dyDescent="0.25">
      <c r="O388" s="21" t="str">
        <f ca="1">IFERROR(IF(LEFT(O387,2)="13",DATE(RIGHT(O387,4),12,31),IF(EOMONTH(O387,1)&gt;PREMISSAS!$C$3,"",IF(MONTH(O387)=11,"13º "&amp;YEAR(O387),EOMONTH(O387,1)))),"")</f>
        <v/>
      </c>
      <c r="P388" s="4">
        <f>'Histórico de Remunerações'!E390</f>
        <v>0</v>
      </c>
    </row>
    <row r="389" spans="15:16" x14ac:dyDescent="0.25">
      <c r="O389" s="21" t="str">
        <f ca="1">IFERROR(IF(LEFT(O388,2)="13",DATE(RIGHT(O388,4),12,31),IF(EOMONTH(O388,1)&gt;PREMISSAS!$C$3,"",IF(MONTH(O388)=11,"13º "&amp;YEAR(O388),EOMONTH(O388,1)))),"")</f>
        <v/>
      </c>
      <c r="P389" s="4">
        <f>'Histórico de Remunerações'!E391</f>
        <v>0</v>
      </c>
    </row>
    <row r="390" spans="15:16" x14ac:dyDescent="0.25">
      <c r="O390" s="21" t="str">
        <f ca="1">IFERROR(IF(LEFT(O389,2)="13",DATE(RIGHT(O389,4),12,31),IF(EOMONTH(O389,1)&gt;PREMISSAS!$C$3,"",IF(MONTH(O389)=11,"13º "&amp;YEAR(O389),EOMONTH(O389,1)))),"")</f>
        <v/>
      </c>
      <c r="P390" s="4">
        <f>'Histórico de Remunerações'!E392</f>
        <v>0</v>
      </c>
    </row>
    <row r="391" spans="15:16" x14ac:dyDescent="0.25">
      <c r="O391" s="21" t="str">
        <f ca="1">IFERROR(IF(LEFT(O390,2)="13",DATE(RIGHT(O390,4),12,31),IF(EOMONTH(O390,1)&gt;PREMISSAS!$C$3,"",IF(MONTH(O390)=11,"13º "&amp;YEAR(O390),EOMONTH(O390,1)))),"")</f>
        <v/>
      </c>
      <c r="P391" s="4">
        <f>'Histórico de Remunerações'!E393</f>
        <v>0</v>
      </c>
    </row>
    <row r="392" spans="15:16" x14ac:dyDescent="0.25">
      <c r="O392" s="21" t="str">
        <f ca="1">IFERROR(IF(LEFT(O391,2)="13",DATE(RIGHT(O391,4),12,31),IF(EOMONTH(O391,1)&gt;PREMISSAS!$C$3,"",IF(MONTH(O391)=11,"13º "&amp;YEAR(O391),EOMONTH(O391,1)))),"")</f>
        <v/>
      </c>
      <c r="P392" s="4">
        <f>'Histórico de Remunerações'!E394</f>
        <v>0</v>
      </c>
    </row>
    <row r="393" spans="15:16" x14ac:dyDescent="0.25">
      <c r="O393" s="21" t="str">
        <f ca="1">IFERROR(IF(LEFT(O392,2)="13",DATE(RIGHT(O392,4),12,31),IF(EOMONTH(O392,1)&gt;PREMISSAS!$C$3,"",IF(MONTH(O392)=11,"13º "&amp;YEAR(O392),EOMONTH(O392,1)))),"")</f>
        <v/>
      </c>
      <c r="P393" s="4">
        <f>'Histórico de Remunerações'!E395</f>
        <v>0</v>
      </c>
    </row>
    <row r="394" spans="15:16" x14ac:dyDescent="0.25">
      <c r="O394" s="21" t="str">
        <f ca="1">IFERROR(IF(LEFT(O393,2)="13",DATE(RIGHT(O393,4),12,31),IF(EOMONTH(O393,1)&gt;PREMISSAS!$C$3,"",IF(MONTH(O393)=11,"13º "&amp;YEAR(O393),EOMONTH(O393,1)))),"")</f>
        <v/>
      </c>
      <c r="P394" s="4">
        <f>'Histórico de Remunerações'!E396</f>
        <v>0</v>
      </c>
    </row>
    <row r="395" spans="15:16" x14ac:dyDescent="0.25">
      <c r="O395" s="21" t="str">
        <f ca="1">IFERROR(IF(LEFT(O394,2)="13",DATE(RIGHT(O394,4),12,31),IF(EOMONTH(O394,1)&gt;PREMISSAS!$C$3,"",IF(MONTH(O394)=11,"13º "&amp;YEAR(O394),EOMONTH(O394,1)))),"")</f>
        <v/>
      </c>
      <c r="P395" s="4">
        <f>'Histórico de Remunerações'!E397</f>
        <v>0</v>
      </c>
    </row>
    <row r="396" spans="15:16" x14ac:dyDescent="0.25">
      <c r="O396" s="21" t="str">
        <f ca="1">IFERROR(IF(LEFT(O395,2)="13",DATE(RIGHT(O395,4),12,31),IF(EOMONTH(O395,1)&gt;PREMISSAS!$C$3,"",IF(MONTH(O395)=11,"13º "&amp;YEAR(O395),EOMONTH(O395,1)))),"")</f>
        <v/>
      </c>
      <c r="P396" s="4">
        <f>'Histórico de Remunerações'!E398</f>
        <v>0</v>
      </c>
    </row>
    <row r="397" spans="15:16" x14ac:dyDescent="0.25">
      <c r="O397" s="21" t="str">
        <f ca="1">IFERROR(IF(LEFT(O396,2)="13",DATE(RIGHT(O396,4),12,31),IF(EOMONTH(O396,1)&gt;PREMISSAS!$C$3,"",IF(MONTH(O396)=11,"13º "&amp;YEAR(O396),EOMONTH(O396,1)))),"")</f>
        <v/>
      </c>
      <c r="P397" s="4">
        <f>'Histórico de Remunerações'!E399</f>
        <v>0</v>
      </c>
    </row>
    <row r="398" spans="15:16" x14ac:dyDescent="0.25">
      <c r="O398" s="21" t="str">
        <f ca="1">IFERROR(IF(LEFT(O397,2)="13",DATE(RIGHT(O397,4),12,31),IF(EOMONTH(O397,1)&gt;PREMISSAS!$C$3,"",IF(MONTH(O397)=11,"13º "&amp;YEAR(O397),EOMONTH(O397,1)))),"")</f>
        <v/>
      </c>
      <c r="P398" s="4">
        <f>'Histórico de Remunerações'!E400</f>
        <v>0</v>
      </c>
    </row>
    <row r="399" spans="15:16" x14ac:dyDescent="0.25">
      <c r="O399" s="21" t="str">
        <f ca="1">IFERROR(IF(LEFT(O398,2)="13",DATE(RIGHT(O398,4),12,31),IF(EOMONTH(O398,1)&gt;PREMISSAS!$C$3,"",IF(MONTH(O398)=11,"13º "&amp;YEAR(O398),EOMONTH(O398,1)))),"")</f>
        <v/>
      </c>
      <c r="P399" s="4">
        <f>'Histórico de Remunerações'!E401</f>
        <v>0</v>
      </c>
    </row>
    <row r="400" spans="15:16" x14ac:dyDescent="0.25">
      <c r="O400" s="21" t="str">
        <f ca="1">IFERROR(IF(LEFT(O399,2)="13",DATE(RIGHT(O399,4),12,31),IF(EOMONTH(O399,1)&gt;PREMISSAS!$C$3,"",IF(MONTH(O399)=11,"13º "&amp;YEAR(O399),EOMONTH(O399,1)))),"")</f>
        <v/>
      </c>
      <c r="P400" s="4">
        <f>'Histórico de Remunerações'!E402</f>
        <v>0</v>
      </c>
    </row>
    <row r="401" spans="15:16" x14ac:dyDescent="0.25">
      <c r="O401" s="21" t="str">
        <f ca="1">IFERROR(IF(LEFT(O400,2)="13",DATE(RIGHT(O400,4),12,31),IF(EOMONTH(O400,1)&gt;PREMISSAS!$C$3,"",IF(MONTH(O400)=11,"13º "&amp;YEAR(O400),EOMONTH(O400,1)))),"")</f>
        <v/>
      </c>
      <c r="P401" s="4">
        <f>'Histórico de Remunerações'!E403</f>
        <v>0</v>
      </c>
    </row>
    <row r="402" spans="15:16" x14ac:dyDescent="0.25">
      <c r="O402" s="21" t="str">
        <f ca="1">IFERROR(IF(LEFT(O401,2)="13",DATE(RIGHT(O401,4),12,31),IF(EOMONTH(O401,1)&gt;PREMISSAS!$C$3,"",IF(MONTH(O401)=11,"13º "&amp;YEAR(O401),EOMONTH(O401,1)))),"")</f>
        <v/>
      </c>
      <c r="P402" s="4">
        <f>'Histórico de Remunerações'!E404</f>
        <v>0</v>
      </c>
    </row>
    <row r="403" spans="15:16" x14ac:dyDescent="0.25">
      <c r="O403" s="21" t="str">
        <f ca="1">IFERROR(IF(LEFT(O402,2)="13",DATE(RIGHT(O402,4),12,31),IF(EOMONTH(O402,1)&gt;PREMISSAS!$C$3,"",IF(MONTH(O402)=11,"13º "&amp;YEAR(O402),EOMONTH(O402,1)))),"")</f>
        <v/>
      </c>
      <c r="P403" s="4">
        <f>'Histórico de Remunerações'!E405</f>
        <v>0</v>
      </c>
    </row>
    <row r="404" spans="15:16" x14ac:dyDescent="0.25">
      <c r="O404" s="21" t="str">
        <f ca="1">IFERROR(IF(LEFT(O403,2)="13",DATE(RIGHT(O403,4),12,31),IF(EOMONTH(O403,1)&gt;PREMISSAS!$C$3,"",IF(MONTH(O403)=11,"13º "&amp;YEAR(O403),EOMONTH(O403,1)))),"")</f>
        <v/>
      </c>
      <c r="P404" s="4">
        <f>'Histórico de Remunerações'!E406</f>
        <v>0</v>
      </c>
    </row>
    <row r="405" spans="15:16" x14ac:dyDescent="0.25">
      <c r="O405" s="21" t="str">
        <f ca="1">IFERROR(IF(LEFT(O404,2)="13",DATE(RIGHT(O404,4),12,31),IF(EOMONTH(O404,1)&gt;PREMISSAS!$C$3,"",IF(MONTH(O404)=11,"13º "&amp;YEAR(O404),EOMONTH(O404,1)))),"")</f>
        <v/>
      </c>
      <c r="P405" s="4">
        <f>'Histórico de Remunerações'!E407</f>
        <v>0</v>
      </c>
    </row>
    <row r="406" spans="15:16" x14ac:dyDescent="0.25">
      <c r="O406" s="21" t="str">
        <f ca="1">IFERROR(IF(LEFT(O405,2)="13",DATE(RIGHT(O405,4),12,31),IF(EOMONTH(O405,1)&gt;PREMISSAS!$C$3,"",IF(MONTH(O405)=11,"13º "&amp;YEAR(O405),EOMONTH(O405,1)))),"")</f>
        <v/>
      </c>
      <c r="P406" s="4">
        <f>'Histórico de Remunerações'!E408</f>
        <v>0</v>
      </c>
    </row>
    <row r="407" spans="15:16" x14ac:dyDescent="0.25">
      <c r="O407" s="21" t="str">
        <f ca="1">IFERROR(IF(LEFT(O406,2)="13",DATE(RIGHT(O406,4),12,31),IF(EOMONTH(O406,1)&gt;PREMISSAS!$C$3,"",IF(MONTH(O406)=11,"13º "&amp;YEAR(O406),EOMONTH(O406,1)))),"")</f>
        <v/>
      </c>
      <c r="P407" s="4">
        <f>'Histórico de Remunerações'!E409</f>
        <v>0</v>
      </c>
    </row>
    <row r="408" spans="15:16" x14ac:dyDescent="0.25">
      <c r="O408" s="21" t="str">
        <f ca="1">IFERROR(IF(LEFT(O407,2)="13",DATE(RIGHT(O407,4),12,31),IF(EOMONTH(O407,1)&gt;PREMISSAS!$C$3,"",IF(MONTH(O407)=11,"13º "&amp;YEAR(O407),EOMONTH(O407,1)))),"")</f>
        <v/>
      </c>
      <c r="P408" s="4">
        <f>'Histórico de Remunerações'!E410</f>
        <v>0</v>
      </c>
    </row>
    <row r="409" spans="15:16" x14ac:dyDescent="0.25">
      <c r="O409" s="21" t="str">
        <f ca="1">IFERROR(IF(LEFT(O408,2)="13",DATE(RIGHT(O408,4),12,31),IF(EOMONTH(O408,1)&gt;PREMISSAS!$C$3,"",IF(MONTH(O408)=11,"13º "&amp;YEAR(O408),EOMONTH(O408,1)))),"")</f>
        <v/>
      </c>
      <c r="P409" s="4">
        <f>'Histórico de Remunerações'!E411</f>
        <v>0</v>
      </c>
    </row>
    <row r="410" spans="15:16" x14ac:dyDescent="0.25">
      <c r="O410" s="21" t="str">
        <f ca="1">IFERROR(IF(LEFT(O409,2)="13",DATE(RIGHT(O409,4),12,31),IF(EOMONTH(O409,1)&gt;PREMISSAS!$C$3,"",IF(MONTH(O409)=11,"13º "&amp;YEAR(O409),EOMONTH(O409,1)))),"")</f>
        <v/>
      </c>
      <c r="P410" s="4">
        <f>'Histórico de Remunerações'!E412</f>
        <v>0</v>
      </c>
    </row>
    <row r="411" spans="15:16" x14ac:dyDescent="0.25">
      <c r="O411" s="21" t="str">
        <f ca="1">IFERROR(IF(LEFT(O410,2)="13",DATE(RIGHT(O410,4),12,31),IF(EOMONTH(O410,1)&gt;PREMISSAS!$C$3,"",IF(MONTH(O410)=11,"13º "&amp;YEAR(O410),EOMONTH(O410,1)))),"")</f>
        <v/>
      </c>
      <c r="P411" s="4">
        <f>'Histórico de Remunerações'!E413</f>
        <v>0</v>
      </c>
    </row>
    <row r="412" spans="15:16" x14ac:dyDescent="0.25">
      <c r="O412" s="21" t="str">
        <f ca="1">IFERROR(IF(LEFT(O411,2)="13",DATE(RIGHT(O411,4),12,31),IF(EOMONTH(O411,1)&gt;PREMISSAS!$C$3,"",IF(MONTH(O411)=11,"13º "&amp;YEAR(O411),EOMONTH(O411,1)))),"")</f>
        <v/>
      </c>
      <c r="P412" s="4">
        <f>'Histórico de Remunerações'!E414</f>
        <v>0</v>
      </c>
    </row>
    <row r="413" spans="15:16" x14ac:dyDescent="0.25">
      <c r="O413" s="21" t="str">
        <f ca="1">IFERROR(IF(LEFT(O412,2)="13",DATE(RIGHT(O412,4),12,31),IF(EOMONTH(O412,1)&gt;PREMISSAS!$C$3,"",IF(MONTH(O412)=11,"13º "&amp;YEAR(O412),EOMONTH(O412,1)))),"")</f>
        <v/>
      </c>
      <c r="P413" s="4">
        <f>'Histórico de Remunerações'!E415</f>
        <v>0</v>
      </c>
    </row>
    <row r="414" spans="15:16" x14ac:dyDescent="0.25">
      <c r="O414" s="21" t="str">
        <f ca="1">IFERROR(IF(LEFT(O413,2)="13",DATE(RIGHT(O413,4),12,31),IF(EOMONTH(O413,1)&gt;PREMISSAS!$C$3,"",IF(MONTH(O413)=11,"13º "&amp;YEAR(O413),EOMONTH(O413,1)))),"")</f>
        <v/>
      </c>
      <c r="P414" s="4">
        <f>'Histórico de Remunerações'!E416</f>
        <v>0</v>
      </c>
    </row>
    <row r="415" spans="15:16" x14ac:dyDescent="0.25">
      <c r="O415" s="21" t="str">
        <f ca="1">IFERROR(IF(LEFT(O414,2)="13",DATE(RIGHT(O414,4),12,31),IF(EOMONTH(O414,1)&gt;PREMISSAS!$C$3,"",IF(MONTH(O414)=11,"13º "&amp;YEAR(O414),EOMONTH(O414,1)))),"")</f>
        <v/>
      </c>
      <c r="P415" s="4">
        <f>'Histórico de Remunerações'!E417</f>
        <v>0</v>
      </c>
    </row>
    <row r="416" spans="15:16" x14ac:dyDescent="0.25">
      <c r="O416" s="21" t="str">
        <f ca="1">IFERROR(IF(LEFT(O415,2)="13",DATE(RIGHT(O415,4),12,31),IF(EOMONTH(O415,1)&gt;PREMISSAS!$C$3,"",IF(MONTH(O415)=11,"13º "&amp;YEAR(O415),EOMONTH(O415,1)))),"")</f>
        <v/>
      </c>
      <c r="P416" s="4">
        <f>'Histórico de Remunerações'!E418</f>
        <v>0</v>
      </c>
    </row>
    <row r="417" spans="15:16" x14ac:dyDescent="0.25">
      <c r="O417" s="21" t="str">
        <f ca="1">IFERROR(IF(LEFT(O416,2)="13",DATE(RIGHT(O416,4),12,31),IF(EOMONTH(O416,1)&gt;PREMISSAS!$C$3,"",IF(MONTH(O416)=11,"13º "&amp;YEAR(O416),EOMONTH(O416,1)))),"")</f>
        <v/>
      </c>
      <c r="P417" s="4">
        <f>'Histórico de Remunerações'!E419</f>
        <v>0</v>
      </c>
    </row>
    <row r="418" spans="15:16" x14ac:dyDescent="0.25">
      <c r="O418" s="21" t="str">
        <f ca="1">IFERROR(IF(LEFT(O417,2)="13",DATE(RIGHT(O417,4),12,31),IF(EOMONTH(O417,1)&gt;PREMISSAS!$C$3,"",IF(MONTH(O417)=11,"13º "&amp;YEAR(O417),EOMONTH(O417,1)))),"")</f>
        <v/>
      </c>
      <c r="P418" s="4">
        <f>'Histórico de Remunerações'!E420</f>
        <v>0</v>
      </c>
    </row>
    <row r="419" spans="15:16" x14ac:dyDescent="0.25">
      <c r="O419" s="21" t="str">
        <f ca="1">IFERROR(IF(LEFT(O418,2)="13",DATE(RIGHT(O418,4),12,31),IF(EOMONTH(O418,1)&gt;PREMISSAS!$C$3,"",IF(MONTH(O418)=11,"13º "&amp;YEAR(O418),EOMONTH(O418,1)))),"")</f>
        <v/>
      </c>
      <c r="P419" s="4">
        <f>'Histórico de Remunerações'!E421</f>
        <v>0</v>
      </c>
    </row>
    <row r="420" spans="15:16" x14ac:dyDescent="0.25">
      <c r="O420" s="21" t="str">
        <f ca="1">IFERROR(IF(LEFT(O419,2)="13",DATE(RIGHT(O419,4),12,31),IF(EOMONTH(O419,1)&gt;PREMISSAS!$C$3,"",IF(MONTH(O419)=11,"13º "&amp;YEAR(O419),EOMONTH(O419,1)))),"")</f>
        <v/>
      </c>
      <c r="P420" s="4">
        <f>'Histórico de Remunerações'!E422</f>
        <v>0</v>
      </c>
    </row>
    <row r="421" spans="15:16" x14ac:dyDescent="0.25">
      <c r="O421" s="21" t="str">
        <f ca="1">IFERROR(IF(LEFT(O420,2)="13",DATE(RIGHT(O420,4),12,31),IF(EOMONTH(O420,1)&gt;PREMISSAS!$C$3,"",IF(MONTH(O420)=11,"13º "&amp;YEAR(O420),EOMONTH(O420,1)))),"")</f>
        <v/>
      </c>
      <c r="P421" s="4">
        <f>'Histórico de Remunerações'!E423</f>
        <v>0</v>
      </c>
    </row>
    <row r="422" spans="15:16" x14ac:dyDescent="0.25">
      <c r="O422" s="21" t="str">
        <f ca="1">IFERROR(IF(LEFT(O421,2)="13",DATE(RIGHT(O421,4),12,31),IF(EOMONTH(O421,1)&gt;PREMISSAS!$C$3,"",IF(MONTH(O421)=11,"13º "&amp;YEAR(O421),EOMONTH(O421,1)))),"")</f>
        <v/>
      </c>
      <c r="P422" s="4">
        <f>'Histórico de Remunerações'!E424</f>
        <v>0</v>
      </c>
    </row>
    <row r="423" spans="15:16" x14ac:dyDescent="0.25">
      <c r="O423" s="21" t="str">
        <f ca="1">IFERROR(IF(LEFT(O422,2)="13",DATE(RIGHT(O422,4),12,31),IF(EOMONTH(O422,1)&gt;PREMISSAS!$C$3,"",IF(MONTH(O422)=11,"13º "&amp;YEAR(O422),EOMONTH(O422,1)))),"")</f>
        <v/>
      </c>
      <c r="P423" s="4">
        <f>'Histórico de Remunerações'!E425</f>
        <v>0</v>
      </c>
    </row>
    <row r="424" spans="15:16" x14ac:dyDescent="0.25">
      <c r="O424" s="21" t="str">
        <f ca="1">IFERROR(IF(LEFT(O423,2)="13",DATE(RIGHT(O423,4),12,31),IF(EOMONTH(O423,1)&gt;PREMISSAS!$C$3,"",IF(MONTH(O423)=11,"13º "&amp;YEAR(O423),EOMONTH(O423,1)))),"")</f>
        <v/>
      </c>
      <c r="P424" s="4">
        <f>'Histórico de Remunerações'!E426</f>
        <v>0</v>
      </c>
    </row>
    <row r="425" spans="15:16" x14ac:dyDescent="0.25">
      <c r="O425" s="21" t="str">
        <f ca="1">IFERROR(IF(LEFT(O424,2)="13",DATE(RIGHT(O424,4),12,31),IF(EOMONTH(O424,1)&gt;PREMISSAS!$C$3,"",IF(MONTH(O424)=11,"13º "&amp;YEAR(O424),EOMONTH(O424,1)))),"")</f>
        <v/>
      </c>
      <c r="P425" s="4">
        <f>'Histórico de Remunerações'!E427</f>
        <v>0</v>
      </c>
    </row>
    <row r="426" spans="15:16" x14ac:dyDescent="0.25">
      <c r="O426" s="21" t="str">
        <f ca="1">IFERROR(IF(LEFT(O425,2)="13",DATE(RIGHT(O425,4),12,31),IF(EOMONTH(O425,1)&gt;PREMISSAS!$C$3,"",IF(MONTH(O425)=11,"13º "&amp;YEAR(O425),EOMONTH(O425,1)))),"")</f>
        <v/>
      </c>
      <c r="P426" s="4">
        <f>'Histórico de Remunerações'!E428</f>
        <v>0</v>
      </c>
    </row>
    <row r="427" spans="15:16" x14ac:dyDescent="0.25">
      <c r="O427" s="21" t="str">
        <f ca="1">IFERROR(IF(LEFT(O426,2)="13",DATE(RIGHT(O426,4),12,31),IF(EOMONTH(O426,1)&gt;PREMISSAS!$C$3,"",IF(MONTH(O426)=11,"13º "&amp;YEAR(O426),EOMONTH(O426,1)))),"")</f>
        <v/>
      </c>
      <c r="P427" s="4">
        <f>'Histórico de Remunerações'!E429</f>
        <v>0</v>
      </c>
    </row>
    <row r="428" spans="15:16" x14ac:dyDescent="0.25">
      <c r="O428" s="21" t="str">
        <f ca="1">IFERROR(IF(LEFT(O427,2)="13",DATE(RIGHT(O427,4),12,31),IF(EOMONTH(O427,1)&gt;PREMISSAS!$C$3,"",IF(MONTH(O427)=11,"13º "&amp;YEAR(O427),EOMONTH(O427,1)))),"")</f>
        <v/>
      </c>
      <c r="P428" s="4">
        <f>'Histórico de Remunerações'!E430</f>
        <v>0</v>
      </c>
    </row>
    <row r="429" spans="15:16" x14ac:dyDescent="0.25">
      <c r="O429" s="21" t="str">
        <f ca="1">IFERROR(IF(LEFT(O428,2)="13",DATE(RIGHT(O428,4),12,31),IF(EOMONTH(O428,1)&gt;PREMISSAS!$C$3,"",IF(MONTH(O428)=11,"13º "&amp;YEAR(O428),EOMONTH(O428,1)))),"")</f>
        <v/>
      </c>
      <c r="P429" s="4">
        <f>'Histórico de Remunerações'!E431</f>
        <v>0</v>
      </c>
    </row>
    <row r="430" spans="15:16" x14ac:dyDescent="0.25">
      <c r="O430" s="21" t="str">
        <f ca="1">IFERROR(IF(LEFT(O429,2)="13",DATE(RIGHT(O429,4),12,31),IF(EOMONTH(O429,1)&gt;PREMISSAS!$C$3,"",IF(MONTH(O429)=11,"13º "&amp;YEAR(O429),EOMONTH(O429,1)))),"")</f>
        <v/>
      </c>
      <c r="P430" s="4">
        <f>'Histórico de Remunerações'!E432</f>
        <v>0</v>
      </c>
    </row>
    <row r="431" spans="15:16" x14ac:dyDescent="0.25">
      <c r="O431" s="21" t="str">
        <f ca="1">IFERROR(IF(LEFT(O430,2)="13",DATE(RIGHT(O430,4),12,31),IF(EOMONTH(O430,1)&gt;PREMISSAS!$C$3,"",IF(MONTH(O430)=11,"13º "&amp;YEAR(O430),EOMONTH(O430,1)))),"")</f>
        <v/>
      </c>
      <c r="P431" s="4">
        <f>'Histórico de Remunerações'!E433</f>
        <v>0</v>
      </c>
    </row>
    <row r="432" spans="15:16" x14ac:dyDescent="0.25">
      <c r="O432" s="21" t="str">
        <f ca="1">IFERROR(IF(LEFT(O431,2)="13",DATE(RIGHT(O431,4),12,31),IF(EOMONTH(O431,1)&gt;PREMISSAS!$C$3,"",IF(MONTH(O431)=11,"13º "&amp;YEAR(O431),EOMONTH(O431,1)))),"")</f>
        <v/>
      </c>
      <c r="P432" s="4">
        <f>'Histórico de Remunerações'!E434</f>
        <v>0</v>
      </c>
    </row>
    <row r="433" spans="15:16" x14ac:dyDescent="0.25">
      <c r="O433" s="21" t="str">
        <f ca="1">IFERROR(IF(LEFT(O432,2)="13",DATE(RIGHT(O432,4),12,31),IF(EOMONTH(O432,1)&gt;PREMISSAS!$C$3,"",IF(MONTH(O432)=11,"13º "&amp;YEAR(O432),EOMONTH(O432,1)))),"")</f>
        <v/>
      </c>
      <c r="P433" s="4">
        <f>'Histórico de Remunerações'!E435</f>
        <v>0</v>
      </c>
    </row>
    <row r="434" spans="15:16" x14ac:dyDescent="0.25">
      <c r="O434" s="21" t="str">
        <f ca="1">IFERROR(IF(LEFT(O433,2)="13",DATE(RIGHT(O433,4),12,31),IF(EOMONTH(O433,1)&gt;PREMISSAS!$C$3,"",IF(MONTH(O433)=11,"13º "&amp;YEAR(O433),EOMONTH(O433,1)))),"")</f>
        <v/>
      </c>
      <c r="P434" s="4">
        <f>'Histórico de Remunerações'!E436</f>
        <v>0</v>
      </c>
    </row>
    <row r="435" spans="15:16" x14ac:dyDescent="0.25">
      <c r="O435" s="21" t="str">
        <f ca="1">IFERROR(IF(LEFT(O434,2)="13",DATE(RIGHT(O434,4),12,31),IF(EOMONTH(O434,1)&gt;PREMISSAS!$C$3,"",IF(MONTH(O434)=11,"13º "&amp;YEAR(O434),EOMONTH(O434,1)))),"")</f>
        <v/>
      </c>
      <c r="P435" s="4">
        <f>'Histórico de Remunerações'!E437</f>
        <v>0</v>
      </c>
    </row>
    <row r="436" spans="15:16" x14ac:dyDescent="0.25">
      <c r="O436" s="21" t="str">
        <f ca="1">IFERROR(IF(LEFT(O435,2)="13",DATE(RIGHT(O435,4),12,31),IF(EOMONTH(O435,1)&gt;PREMISSAS!$C$3,"",IF(MONTH(O435)=11,"13º "&amp;YEAR(O435),EOMONTH(O435,1)))),"")</f>
        <v/>
      </c>
      <c r="P436" s="4">
        <f>'Histórico de Remunerações'!E438</f>
        <v>0</v>
      </c>
    </row>
    <row r="437" spans="15:16" x14ac:dyDescent="0.25">
      <c r="O437" s="21" t="str">
        <f ca="1">IFERROR(IF(LEFT(O436,2)="13",DATE(RIGHT(O436,4),12,31),IF(EOMONTH(O436,1)&gt;PREMISSAS!$C$3,"",IF(MONTH(O436)=11,"13º "&amp;YEAR(O436),EOMONTH(O436,1)))),"")</f>
        <v/>
      </c>
      <c r="P437" s="4">
        <f>'Histórico de Remunerações'!E439</f>
        <v>0</v>
      </c>
    </row>
    <row r="438" spans="15:16" x14ac:dyDescent="0.25">
      <c r="O438" s="21" t="str">
        <f ca="1">IFERROR(IF(LEFT(O437,2)="13",DATE(RIGHT(O437,4),12,31),IF(EOMONTH(O437,1)&gt;PREMISSAS!$C$3,"",IF(MONTH(O437)=11,"13º "&amp;YEAR(O437),EOMONTH(O437,1)))),"")</f>
        <v/>
      </c>
      <c r="P438" s="4">
        <f>'Histórico de Remunerações'!E440</f>
        <v>0</v>
      </c>
    </row>
    <row r="439" spans="15:16" x14ac:dyDescent="0.25">
      <c r="O439" s="21" t="str">
        <f ca="1">IFERROR(IF(LEFT(O438,2)="13",DATE(RIGHT(O438,4),12,31),IF(EOMONTH(O438,1)&gt;PREMISSAS!$C$3,"",IF(MONTH(O438)=11,"13º "&amp;YEAR(O438),EOMONTH(O438,1)))),"")</f>
        <v/>
      </c>
      <c r="P439" s="4">
        <f>'Histórico de Remunerações'!E441</f>
        <v>0</v>
      </c>
    </row>
    <row r="440" spans="15:16" x14ac:dyDescent="0.25">
      <c r="O440" s="21" t="str">
        <f ca="1">IFERROR(IF(LEFT(O439,2)="13",DATE(RIGHT(O439,4),12,31),IF(EOMONTH(O439,1)&gt;PREMISSAS!$C$3,"",IF(MONTH(O439)=11,"13º "&amp;YEAR(O439),EOMONTH(O439,1)))),"")</f>
        <v/>
      </c>
      <c r="P440" s="4">
        <f>'Histórico de Remunerações'!E442</f>
        <v>0</v>
      </c>
    </row>
    <row r="441" spans="15:16" x14ac:dyDescent="0.25">
      <c r="O441" s="21" t="str">
        <f ca="1">IFERROR(IF(LEFT(O440,2)="13",DATE(RIGHT(O440,4),12,31),IF(EOMONTH(O440,1)&gt;PREMISSAS!$C$3,"",IF(MONTH(O440)=11,"13º "&amp;YEAR(O440),EOMONTH(O440,1)))),"")</f>
        <v/>
      </c>
      <c r="P441" s="4">
        <f>'Histórico de Remunerações'!E443</f>
        <v>0</v>
      </c>
    </row>
    <row r="442" spans="15:16" x14ac:dyDescent="0.25">
      <c r="O442" s="21" t="str">
        <f ca="1">IFERROR(IF(LEFT(O441,2)="13",DATE(RIGHT(O441,4),12,31),IF(EOMONTH(O441,1)&gt;PREMISSAS!$C$3,"",IF(MONTH(O441)=11,"13º "&amp;YEAR(O441),EOMONTH(O441,1)))),"")</f>
        <v/>
      </c>
      <c r="P442" s="4">
        <f>'Histórico de Remunerações'!E444</f>
        <v>0</v>
      </c>
    </row>
    <row r="443" spans="15:16" x14ac:dyDescent="0.25">
      <c r="O443" s="21" t="str">
        <f ca="1">IFERROR(IF(LEFT(O442,2)="13",DATE(RIGHT(O442,4),12,31),IF(EOMONTH(O442,1)&gt;PREMISSAS!$C$3,"",IF(MONTH(O442)=11,"13º "&amp;YEAR(O442),EOMONTH(O442,1)))),"")</f>
        <v/>
      </c>
      <c r="P443" s="4">
        <f>'Histórico de Remunerações'!E445</f>
        <v>0</v>
      </c>
    </row>
    <row r="444" spans="15:16" x14ac:dyDescent="0.25">
      <c r="O444" s="21" t="str">
        <f ca="1">IFERROR(IF(LEFT(O443,2)="13",DATE(RIGHT(O443,4),12,31),IF(EOMONTH(O443,1)&gt;PREMISSAS!$C$3,"",IF(MONTH(O443)=11,"13º "&amp;YEAR(O443),EOMONTH(O443,1)))),"")</f>
        <v/>
      </c>
      <c r="P444" s="4">
        <f>'Histórico de Remunerações'!E446</f>
        <v>0</v>
      </c>
    </row>
    <row r="445" spans="15:16" x14ac:dyDescent="0.25">
      <c r="O445" s="21" t="str">
        <f ca="1">IFERROR(IF(LEFT(O444,2)="13",DATE(RIGHT(O444,4),12,31),IF(EOMONTH(O444,1)&gt;PREMISSAS!$C$3,"",IF(MONTH(O444)=11,"13º "&amp;YEAR(O444),EOMONTH(O444,1)))),"")</f>
        <v/>
      </c>
      <c r="P445" s="4">
        <f>'Histórico de Remunerações'!E447</f>
        <v>0</v>
      </c>
    </row>
    <row r="446" spans="15:16" x14ac:dyDescent="0.25">
      <c r="O446" s="21" t="str">
        <f ca="1">IFERROR(IF(LEFT(O445,2)="13",DATE(RIGHT(O445,4),12,31),IF(EOMONTH(O445,1)&gt;PREMISSAS!$C$3,"",IF(MONTH(O445)=11,"13º "&amp;YEAR(O445),EOMONTH(O445,1)))),"")</f>
        <v/>
      </c>
      <c r="P446" s="4">
        <f>'Histórico de Remunerações'!E448</f>
        <v>0</v>
      </c>
    </row>
    <row r="447" spans="15:16" x14ac:dyDescent="0.25">
      <c r="O447" s="21" t="str">
        <f ca="1">IFERROR(IF(LEFT(O446,2)="13",DATE(RIGHT(O446,4),12,31),IF(EOMONTH(O446,1)&gt;PREMISSAS!$C$3,"",IF(MONTH(O446)=11,"13º "&amp;YEAR(O446),EOMONTH(O446,1)))),"")</f>
        <v/>
      </c>
      <c r="P447" s="4">
        <f>'Histórico de Remunerações'!E449</f>
        <v>0</v>
      </c>
    </row>
    <row r="448" spans="15:16" x14ac:dyDescent="0.25">
      <c r="O448" s="21" t="str">
        <f ca="1">IFERROR(IF(LEFT(O447,2)="13",DATE(RIGHT(O447,4),12,31),IF(EOMONTH(O447,1)&gt;PREMISSAS!$C$3,"",IF(MONTH(O447)=11,"13º "&amp;YEAR(O447),EOMONTH(O447,1)))),"")</f>
        <v/>
      </c>
      <c r="P448" s="4">
        <f>'Histórico de Remunerações'!E450</f>
        <v>0</v>
      </c>
    </row>
    <row r="449" spans="15:16" x14ac:dyDescent="0.25">
      <c r="O449" s="21" t="str">
        <f ca="1">IFERROR(IF(LEFT(O448,2)="13",DATE(RIGHT(O448,4),12,31),IF(EOMONTH(O448,1)&gt;PREMISSAS!$C$3,"",IF(MONTH(O448)=11,"13º "&amp;YEAR(O448),EOMONTH(O448,1)))),"")</f>
        <v/>
      </c>
      <c r="P449" s="4">
        <f>'Histórico de Remunerações'!E451</f>
        <v>0</v>
      </c>
    </row>
    <row r="450" spans="15:16" x14ac:dyDescent="0.25">
      <c r="O450" s="21" t="str">
        <f ca="1">IFERROR(IF(LEFT(O449,2)="13",DATE(RIGHT(O449,4),12,31),IF(EOMONTH(O449,1)&gt;PREMISSAS!$C$3,"",IF(MONTH(O449)=11,"13º "&amp;YEAR(O449),EOMONTH(O449,1)))),"")</f>
        <v/>
      </c>
      <c r="P450" s="4">
        <f>'Histórico de Remunerações'!E452</f>
        <v>0</v>
      </c>
    </row>
    <row r="451" spans="15:16" x14ac:dyDescent="0.25">
      <c r="O451" s="21" t="str">
        <f ca="1">IFERROR(IF(LEFT(O450,2)="13",DATE(RIGHT(O450,4),12,31),IF(EOMONTH(O450,1)&gt;PREMISSAS!$C$3,"",IF(MONTH(O450)=11,"13º "&amp;YEAR(O450),EOMONTH(O450,1)))),"")</f>
        <v/>
      </c>
      <c r="P451" s="4">
        <f>'Histórico de Remunerações'!E453</f>
        <v>0</v>
      </c>
    </row>
    <row r="452" spans="15:16" x14ac:dyDescent="0.25">
      <c r="O452" s="21" t="str">
        <f ca="1">IFERROR(IF(LEFT(O451,2)="13",DATE(RIGHT(O451,4),12,31),IF(EOMONTH(O451,1)&gt;PREMISSAS!$C$3,"",IF(MONTH(O451)=11,"13º "&amp;YEAR(O451),EOMONTH(O451,1)))),"")</f>
        <v/>
      </c>
      <c r="P452" s="4">
        <f>'Histórico de Remunerações'!E454</f>
        <v>0</v>
      </c>
    </row>
    <row r="453" spans="15:16" x14ac:dyDescent="0.25">
      <c r="O453" s="21" t="str">
        <f ca="1">IFERROR(IF(LEFT(O452,2)="13",DATE(RIGHT(O452,4),12,31),IF(EOMONTH(O452,1)&gt;PREMISSAS!$C$3,"",IF(MONTH(O452)=11,"13º "&amp;YEAR(O452),EOMONTH(O452,1)))),"")</f>
        <v/>
      </c>
      <c r="P453" s="4">
        <f>'Histórico de Remunerações'!E455</f>
        <v>0</v>
      </c>
    </row>
    <row r="454" spans="15:16" x14ac:dyDescent="0.25">
      <c r="O454" s="21" t="str">
        <f ca="1">IFERROR(IF(LEFT(O453,2)="13",DATE(RIGHT(O453,4),12,31),IF(EOMONTH(O453,1)&gt;PREMISSAS!$C$3,"",IF(MONTH(O453)=11,"13º "&amp;YEAR(O453),EOMONTH(O453,1)))),"")</f>
        <v/>
      </c>
      <c r="P454" s="4">
        <f>'Histórico de Remunerações'!E456</f>
        <v>0</v>
      </c>
    </row>
    <row r="455" spans="15:16" x14ac:dyDescent="0.25">
      <c r="O455" s="21" t="str">
        <f ca="1">IFERROR(IF(LEFT(O454,2)="13",DATE(RIGHT(O454,4),12,31),IF(EOMONTH(O454,1)&gt;PREMISSAS!$C$3,"",IF(MONTH(O454)=11,"13º "&amp;YEAR(O454),EOMONTH(O454,1)))),"")</f>
        <v/>
      </c>
      <c r="P455" s="4">
        <f>'Histórico de Remunerações'!E457</f>
        <v>0</v>
      </c>
    </row>
    <row r="456" spans="15:16" x14ac:dyDescent="0.25">
      <c r="O456" s="21" t="str">
        <f ca="1">IFERROR(IF(LEFT(O455,2)="13",DATE(RIGHT(O455,4),12,31),IF(EOMONTH(O455,1)&gt;PREMISSAS!$C$3,"",IF(MONTH(O455)=11,"13º "&amp;YEAR(O455),EOMONTH(O455,1)))),"")</f>
        <v/>
      </c>
      <c r="P456" s="4">
        <f>'Histórico de Remunerações'!E458</f>
        <v>0</v>
      </c>
    </row>
    <row r="457" spans="15:16" x14ac:dyDescent="0.25">
      <c r="O457" s="21" t="str">
        <f ca="1">IFERROR(IF(LEFT(O456,2)="13",DATE(RIGHT(O456,4),12,31),IF(EOMONTH(O456,1)&gt;PREMISSAS!$C$3,"",IF(MONTH(O456)=11,"13º "&amp;YEAR(O456),EOMONTH(O456,1)))),"")</f>
        <v/>
      </c>
      <c r="P457" s="4">
        <f>'Histórico de Remunerações'!E459</f>
        <v>0</v>
      </c>
    </row>
    <row r="458" spans="15:16" x14ac:dyDescent="0.25">
      <c r="O458" s="21" t="str">
        <f ca="1">IFERROR(IF(LEFT(O457,2)="13",DATE(RIGHT(O457,4),12,31),IF(EOMONTH(O457,1)&gt;PREMISSAS!$C$3,"",IF(MONTH(O457)=11,"13º "&amp;YEAR(O457),EOMONTH(O457,1)))),"")</f>
        <v/>
      </c>
      <c r="P458" s="4">
        <f>'Histórico de Remunerações'!E460</f>
        <v>0</v>
      </c>
    </row>
    <row r="459" spans="15:16" x14ac:dyDescent="0.25">
      <c r="O459" s="21" t="str">
        <f ca="1">IFERROR(IF(LEFT(O458,2)="13",DATE(RIGHT(O458,4),12,31),IF(EOMONTH(O458,1)&gt;PREMISSAS!$C$3,"",IF(MONTH(O458)=11,"13º "&amp;YEAR(O458),EOMONTH(O458,1)))),"")</f>
        <v/>
      </c>
      <c r="P459" s="4">
        <f>'Histórico de Remunerações'!E461</f>
        <v>0</v>
      </c>
    </row>
    <row r="460" spans="15:16" x14ac:dyDescent="0.25">
      <c r="O460" s="21" t="str">
        <f ca="1">IFERROR(IF(LEFT(O459,2)="13",DATE(RIGHT(O459,4),12,31),IF(EOMONTH(O459,1)&gt;PREMISSAS!$C$3,"",IF(MONTH(O459)=11,"13º "&amp;YEAR(O459),EOMONTH(O459,1)))),"")</f>
        <v/>
      </c>
      <c r="P460" s="4">
        <f>'Histórico de Remunerações'!E462</f>
        <v>0</v>
      </c>
    </row>
    <row r="461" spans="15:16" x14ac:dyDescent="0.25">
      <c r="O461" s="21" t="str">
        <f ca="1">IFERROR(IF(LEFT(O460,2)="13",DATE(RIGHT(O460,4),12,31),IF(EOMONTH(O460,1)&gt;PREMISSAS!$C$3,"",IF(MONTH(O460)=11,"13º "&amp;YEAR(O460),EOMONTH(O460,1)))),"")</f>
        <v/>
      </c>
      <c r="P461" s="4">
        <f>'Histórico de Remunerações'!E463</f>
        <v>0</v>
      </c>
    </row>
    <row r="462" spans="15:16" x14ac:dyDescent="0.25">
      <c r="O462" s="21" t="str">
        <f ca="1">IFERROR(IF(LEFT(O461,2)="13",DATE(RIGHT(O461,4),12,31),IF(EOMONTH(O461,1)&gt;PREMISSAS!$C$3,"",IF(MONTH(O461)=11,"13º "&amp;YEAR(O461),EOMONTH(O461,1)))),"")</f>
        <v/>
      </c>
      <c r="P462" s="4">
        <f>'Histórico de Remunerações'!E464</f>
        <v>0</v>
      </c>
    </row>
    <row r="463" spans="15:16" x14ac:dyDescent="0.25">
      <c r="O463" s="21" t="str">
        <f ca="1">IFERROR(IF(LEFT(O462,2)="13",DATE(RIGHT(O462,4),12,31),IF(EOMONTH(O462,1)&gt;PREMISSAS!$C$3,"",IF(MONTH(O462)=11,"13º "&amp;YEAR(O462),EOMONTH(O462,1)))),"")</f>
        <v/>
      </c>
      <c r="P463" s="4">
        <f>'Histórico de Remunerações'!E465</f>
        <v>0</v>
      </c>
    </row>
    <row r="464" spans="15:16" x14ac:dyDescent="0.25">
      <c r="O464" s="21" t="str">
        <f ca="1">IFERROR(IF(LEFT(O463,2)="13",DATE(RIGHT(O463,4),12,31),IF(EOMONTH(O463,1)&gt;PREMISSAS!$C$3,"",IF(MONTH(O463)=11,"13º "&amp;YEAR(O463),EOMONTH(O463,1)))),"")</f>
        <v/>
      </c>
      <c r="P464" s="4">
        <f>'Histórico de Remunerações'!E466</f>
        <v>0</v>
      </c>
    </row>
    <row r="465" spans="15:16" x14ac:dyDescent="0.25">
      <c r="O465" s="21" t="str">
        <f ca="1">IFERROR(IF(LEFT(O464,2)="13",DATE(RIGHT(O464,4),12,31),IF(EOMONTH(O464,1)&gt;PREMISSAS!$C$3,"",IF(MONTH(O464)=11,"13º "&amp;YEAR(O464),EOMONTH(O464,1)))),"")</f>
        <v/>
      </c>
      <c r="P465" s="4">
        <f>'Histórico de Remunerações'!E467</f>
        <v>0</v>
      </c>
    </row>
    <row r="466" spans="15:16" x14ac:dyDescent="0.25">
      <c r="O466" s="21" t="str">
        <f ca="1">IFERROR(IF(LEFT(O465,2)="13",DATE(RIGHT(O465,4),12,31),IF(EOMONTH(O465,1)&gt;PREMISSAS!$C$3,"",IF(MONTH(O465)=11,"13º "&amp;YEAR(O465),EOMONTH(O465,1)))),"")</f>
        <v/>
      </c>
      <c r="P466" s="4">
        <f>'Histórico de Remunerações'!E468</f>
        <v>0</v>
      </c>
    </row>
    <row r="467" spans="15:16" x14ac:dyDescent="0.25">
      <c r="O467" s="21" t="str">
        <f ca="1">IFERROR(IF(LEFT(O466,2)="13",DATE(RIGHT(O466,4),12,31),IF(EOMONTH(O466,1)&gt;PREMISSAS!$C$3,"",IF(MONTH(O466)=11,"13º "&amp;YEAR(O466),EOMONTH(O466,1)))),"")</f>
        <v/>
      </c>
      <c r="P467" s="4">
        <f>'Histórico de Remunerações'!E469</f>
        <v>0</v>
      </c>
    </row>
    <row r="468" spans="15:16" x14ac:dyDescent="0.25">
      <c r="O468" s="21" t="str">
        <f ca="1">IFERROR(IF(LEFT(O467,2)="13",DATE(RIGHT(O467,4),12,31),IF(EOMONTH(O467,1)&gt;PREMISSAS!$C$3,"",IF(MONTH(O467)=11,"13º "&amp;YEAR(O467),EOMONTH(O467,1)))),"")</f>
        <v/>
      </c>
      <c r="P468" s="4">
        <f>'Histórico de Remunerações'!E470</f>
        <v>0</v>
      </c>
    </row>
    <row r="469" spans="15:16" x14ac:dyDescent="0.25">
      <c r="O469" s="21" t="str">
        <f ca="1">IFERROR(IF(LEFT(O468,2)="13",DATE(RIGHT(O468,4),12,31),IF(EOMONTH(O468,1)&gt;PREMISSAS!$C$3,"",IF(MONTH(O468)=11,"13º "&amp;YEAR(O468),EOMONTH(O468,1)))),"")</f>
        <v/>
      </c>
      <c r="P469" s="4">
        <f>'Histórico de Remunerações'!E471</f>
        <v>0</v>
      </c>
    </row>
    <row r="470" spans="15:16" x14ac:dyDescent="0.25">
      <c r="O470" s="21" t="str">
        <f ca="1">IFERROR(IF(LEFT(O469,2)="13",DATE(RIGHT(O469,4),12,31),IF(EOMONTH(O469,1)&gt;PREMISSAS!$C$3,"",IF(MONTH(O469)=11,"13º "&amp;YEAR(O469),EOMONTH(O469,1)))),"")</f>
        <v/>
      </c>
      <c r="P470" s="4">
        <f>'Histórico de Remunerações'!E472</f>
        <v>0</v>
      </c>
    </row>
    <row r="471" spans="15:16" x14ac:dyDescent="0.25">
      <c r="O471" s="21" t="str">
        <f ca="1">IFERROR(IF(LEFT(O470,2)="13",DATE(RIGHT(O470,4),12,31),IF(EOMONTH(O470,1)&gt;PREMISSAS!$C$3,"",IF(MONTH(O470)=11,"13º "&amp;YEAR(O470),EOMONTH(O470,1)))),"")</f>
        <v/>
      </c>
      <c r="P471" s="4">
        <f>'Histórico de Remunerações'!E473</f>
        <v>0</v>
      </c>
    </row>
    <row r="472" spans="15:16" x14ac:dyDescent="0.25">
      <c r="O472" s="21" t="str">
        <f ca="1">IFERROR(IF(LEFT(O471,2)="13",DATE(RIGHT(O471,4),12,31),IF(EOMONTH(O471,1)&gt;PREMISSAS!$C$3,"",IF(MONTH(O471)=11,"13º "&amp;YEAR(O471),EOMONTH(O471,1)))),"")</f>
        <v/>
      </c>
      <c r="P472" s="4">
        <f>'Histórico de Remunerações'!E474</f>
        <v>0</v>
      </c>
    </row>
    <row r="473" spans="15:16" x14ac:dyDescent="0.25">
      <c r="O473" s="21" t="str">
        <f ca="1">IFERROR(IF(LEFT(O472,2)="13",DATE(RIGHT(O472,4),12,31),IF(EOMONTH(O472,1)&gt;PREMISSAS!$C$3,"",IF(MONTH(O472)=11,"13º "&amp;YEAR(O472),EOMONTH(O472,1)))),"")</f>
        <v/>
      </c>
      <c r="P473" s="4">
        <f>'Histórico de Remunerações'!E475</f>
        <v>0</v>
      </c>
    </row>
    <row r="474" spans="15:16" x14ac:dyDescent="0.25">
      <c r="O474" s="21" t="str">
        <f ca="1">IFERROR(IF(LEFT(O473,2)="13",DATE(RIGHT(O473,4),12,31),IF(EOMONTH(O473,1)&gt;PREMISSAS!$C$3,"",IF(MONTH(O473)=11,"13º "&amp;YEAR(O473),EOMONTH(O473,1)))),"")</f>
        <v/>
      </c>
      <c r="P474" s="4">
        <f>'Histórico de Remunerações'!E476</f>
        <v>0</v>
      </c>
    </row>
    <row r="475" spans="15:16" x14ac:dyDescent="0.25">
      <c r="O475" s="21" t="str">
        <f ca="1">IFERROR(IF(LEFT(O474,2)="13",DATE(RIGHT(O474,4),12,31),IF(EOMONTH(O474,1)&gt;PREMISSAS!$C$3,"",IF(MONTH(O474)=11,"13º "&amp;YEAR(O474),EOMONTH(O474,1)))),"")</f>
        <v/>
      </c>
      <c r="P475" s="4">
        <f>'Histórico de Remunerações'!E477</f>
        <v>0</v>
      </c>
    </row>
    <row r="476" spans="15:16" x14ac:dyDescent="0.25">
      <c r="O476" s="21" t="str">
        <f ca="1">IFERROR(IF(LEFT(O475,2)="13",DATE(RIGHT(O475,4),12,31),IF(EOMONTH(O475,1)&gt;PREMISSAS!$C$3,"",IF(MONTH(O475)=11,"13º "&amp;YEAR(O475),EOMONTH(O475,1)))),"")</f>
        <v/>
      </c>
      <c r="P476" s="4">
        <f>'Histórico de Remunerações'!E478</f>
        <v>0</v>
      </c>
    </row>
    <row r="477" spans="15:16" x14ac:dyDescent="0.25">
      <c r="O477" s="21" t="str">
        <f ca="1">IFERROR(IF(LEFT(O476,2)="13",DATE(RIGHT(O476,4),12,31),IF(EOMONTH(O476,1)&gt;PREMISSAS!$C$3,"",IF(MONTH(O476)=11,"13º "&amp;YEAR(O476),EOMONTH(O476,1)))),"")</f>
        <v/>
      </c>
      <c r="P477" s="4">
        <f>'Histórico de Remunerações'!E479</f>
        <v>0</v>
      </c>
    </row>
    <row r="478" spans="15:16" x14ac:dyDescent="0.25">
      <c r="O478" s="21" t="str">
        <f ca="1">IFERROR(IF(LEFT(O477,2)="13",DATE(RIGHT(O477,4),12,31),IF(EOMONTH(O477,1)&gt;PREMISSAS!$C$3,"",IF(MONTH(O477)=11,"13º "&amp;YEAR(O477),EOMONTH(O477,1)))),"")</f>
        <v/>
      </c>
      <c r="P478" s="4">
        <f>'Histórico de Remunerações'!E480</f>
        <v>0</v>
      </c>
    </row>
    <row r="479" spans="15:16" x14ac:dyDescent="0.25">
      <c r="O479" s="21" t="str">
        <f ca="1">IFERROR(IF(LEFT(O478,2)="13",DATE(RIGHT(O478,4),12,31),IF(EOMONTH(O478,1)&gt;PREMISSAS!$C$3,"",IF(MONTH(O478)=11,"13º "&amp;YEAR(O478),EOMONTH(O478,1)))),"")</f>
        <v/>
      </c>
      <c r="P479" s="4">
        <f>'Histórico de Remunerações'!E481</f>
        <v>0</v>
      </c>
    </row>
    <row r="480" spans="15:16" x14ac:dyDescent="0.25">
      <c r="O480" s="21" t="str">
        <f ca="1">IFERROR(IF(LEFT(O479,2)="13",DATE(RIGHT(O479,4),12,31),IF(EOMONTH(O479,1)&gt;PREMISSAS!$C$3,"",IF(MONTH(O479)=11,"13º "&amp;YEAR(O479),EOMONTH(O479,1)))),"")</f>
        <v/>
      </c>
      <c r="P480" s="4">
        <f>'Histórico de Remunerações'!E482</f>
        <v>0</v>
      </c>
    </row>
    <row r="481" spans="15:16" x14ac:dyDescent="0.25">
      <c r="O481" s="21" t="str">
        <f ca="1">IFERROR(IF(LEFT(O480,2)="13",DATE(RIGHT(O480,4),12,31),IF(EOMONTH(O480,1)&gt;PREMISSAS!$C$3,"",IF(MONTH(O480)=11,"13º "&amp;YEAR(O480),EOMONTH(O480,1)))),"")</f>
        <v/>
      </c>
      <c r="P481" s="4">
        <f>'Histórico de Remunerações'!E483</f>
        <v>0</v>
      </c>
    </row>
    <row r="482" spans="15:16" x14ac:dyDescent="0.25">
      <c r="O482" s="21" t="str">
        <f ca="1">IFERROR(IF(LEFT(O481,2)="13",DATE(RIGHT(O481,4),12,31),IF(EOMONTH(O481,1)&gt;PREMISSAS!$C$3,"",IF(MONTH(O481)=11,"13º "&amp;YEAR(O481),EOMONTH(O481,1)))),"")</f>
        <v/>
      </c>
      <c r="P482" s="4">
        <f>'Histórico de Remunerações'!E484</f>
        <v>0</v>
      </c>
    </row>
    <row r="483" spans="15:16" x14ac:dyDescent="0.25">
      <c r="O483" s="21" t="str">
        <f ca="1">IFERROR(IF(LEFT(O482,2)="13",DATE(RIGHT(O482,4),12,31),IF(EOMONTH(O482,1)&gt;PREMISSAS!$C$3,"",IF(MONTH(O482)=11,"13º "&amp;YEAR(O482),EOMONTH(O482,1)))),"")</f>
        <v/>
      </c>
      <c r="P483" s="4">
        <f>'Histórico de Remunerações'!E485</f>
        <v>0</v>
      </c>
    </row>
    <row r="484" spans="15:16" x14ac:dyDescent="0.25">
      <c r="O484" s="21" t="str">
        <f ca="1">IFERROR(IF(LEFT(O483,2)="13",DATE(RIGHT(O483,4),12,31),IF(EOMONTH(O483,1)&gt;PREMISSAS!$C$3,"",IF(MONTH(O483)=11,"13º "&amp;YEAR(O483),EOMONTH(O483,1)))),"")</f>
        <v/>
      </c>
      <c r="P484" s="4">
        <f>'Histórico de Remunerações'!E486</f>
        <v>0</v>
      </c>
    </row>
    <row r="485" spans="15:16" x14ac:dyDescent="0.25">
      <c r="O485" s="21" t="str">
        <f ca="1">IFERROR(IF(LEFT(O484,2)="13",DATE(RIGHT(O484,4),12,31),IF(EOMONTH(O484,1)&gt;PREMISSAS!$C$3,"",IF(MONTH(O484)=11,"13º "&amp;YEAR(O484),EOMONTH(O484,1)))),"")</f>
        <v/>
      </c>
      <c r="P485" s="4">
        <f>'Histórico de Remunerações'!E487</f>
        <v>0</v>
      </c>
    </row>
    <row r="486" spans="15:16" x14ac:dyDescent="0.25">
      <c r="O486" s="21" t="str">
        <f ca="1">IFERROR(IF(LEFT(O485,2)="13",DATE(RIGHT(O485,4),12,31),IF(EOMONTH(O485,1)&gt;PREMISSAS!$C$3,"",IF(MONTH(O485)=11,"13º "&amp;YEAR(O485),EOMONTH(O485,1)))),"")</f>
        <v/>
      </c>
      <c r="P486" s="4">
        <f>'Histórico de Remunerações'!E488</f>
        <v>0</v>
      </c>
    </row>
    <row r="487" spans="15:16" x14ac:dyDescent="0.25">
      <c r="O487" s="21" t="str">
        <f ca="1">IFERROR(IF(LEFT(O486,2)="13",DATE(RIGHT(O486,4),12,31),IF(EOMONTH(O486,1)&gt;PREMISSAS!$C$3,"",IF(MONTH(O486)=11,"13º "&amp;YEAR(O486),EOMONTH(O486,1)))),"")</f>
        <v/>
      </c>
      <c r="P487" s="4">
        <f>'Histórico de Remunerações'!E489</f>
        <v>0</v>
      </c>
    </row>
    <row r="488" spans="15:16" x14ac:dyDescent="0.25">
      <c r="O488" s="21" t="str">
        <f ca="1">IFERROR(IF(LEFT(O487,2)="13",DATE(RIGHT(O487,4),12,31),IF(EOMONTH(O487,1)&gt;PREMISSAS!$C$3,"",IF(MONTH(O487)=11,"13º "&amp;YEAR(O487),EOMONTH(O487,1)))),"")</f>
        <v/>
      </c>
      <c r="P488" s="4">
        <f>'Histórico de Remunerações'!E490</f>
        <v>0</v>
      </c>
    </row>
    <row r="489" spans="15:16" x14ac:dyDescent="0.25">
      <c r="O489" s="21" t="str">
        <f ca="1">IFERROR(IF(LEFT(O488,2)="13",DATE(RIGHT(O488,4),12,31),IF(EOMONTH(O488,1)&gt;PREMISSAS!$C$3,"",IF(MONTH(O488)=11,"13º "&amp;YEAR(O488),EOMONTH(O488,1)))),"")</f>
        <v/>
      </c>
      <c r="P489" s="4">
        <f>'Histórico de Remunerações'!E491</f>
        <v>0</v>
      </c>
    </row>
    <row r="490" spans="15:16" x14ac:dyDescent="0.25">
      <c r="O490" s="21" t="str">
        <f ca="1">IFERROR(IF(LEFT(O489,2)="13",DATE(RIGHT(O489,4),12,31),IF(EOMONTH(O489,1)&gt;PREMISSAS!$C$3,"",IF(MONTH(O489)=11,"13º "&amp;YEAR(O489),EOMONTH(O489,1)))),"")</f>
        <v/>
      </c>
      <c r="P490" s="4">
        <f>'Histórico de Remunerações'!E492</f>
        <v>0</v>
      </c>
    </row>
    <row r="491" spans="15:16" x14ac:dyDescent="0.25">
      <c r="O491" s="21" t="str">
        <f ca="1">IFERROR(IF(LEFT(O490,2)="13",DATE(RIGHT(O490,4),12,31),IF(EOMONTH(O490,1)&gt;PREMISSAS!$C$3,"",IF(MONTH(O490)=11,"13º "&amp;YEAR(O490),EOMONTH(O490,1)))),"")</f>
        <v/>
      </c>
      <c r="P491" s="4">
        <f>'Histórico de Remunerações'!E493</f>
        <v>0</v>
      </c>
    </row>
    <row r="492" spans="15:16" x14ac:dyDescent="0.25">
      <c r="O492" s="21" t="str">
        <f ca="1">IFERROR(IF(LEFT(O491,2)="13",DATE(RIGHT(O491,4),12,31),IF(EOMONTH(O491,1)&gt;PREMISSAS!$C$3,"",IF(MONTH(O491)=11,"13º "&amp;YEAR(O491),EOMONTH(O491,1)))),"")</f>
        <v/>
      </c>
      <c r="P492" s="4">
        <f>'Histórico de Remunerações'!E494</f>
        <v>0</v>
      </c>
    </row>
    <row r="493" spans="15:16" x14ac:dyDescent="0.25">
      <c r="O493" s="21" t="str">
        <f ca="1">IFERROR(IF(LEFT(O492,2)="13",DATE(RIGHT(O492,4),12,31),IF(EOMONTH(O492,1)&gt;PREMISSAS!$C$3,"",IF(MONTH(O492)=11,"13º "&amp;YEAR(O492),EOMONTH(O492,1)))),"")</f>
        <v/>
      </c>
      <c r="P493" s="4">
        <f>'Histórico de Remunerações'!E495</f>
        <v>0</v>
      </c>
    </row>
    <row r="494" spans="15:16" x14ac:dyDescent="0.25">
      <c r="O494" s="21" t="str">
        <f ca="1">IFERROR(IF(LEFT(O493,2)="13",DATE(RIGHT(O493,4),12,31),IF(EOMONTH(O493,1)&gt;PREMISSAS!$C$3,"",IF(MONTH(O493)=11,"13º "&amp;YEAR(O493),EOMONTH(O493,1)))),"")</f>
        <v/>
      </c>
      <c r="P494" s="4">
        <f>'Histórico de Remunerações'!E496</f>
        <v>0</v>
      </c>
    </row>
    <row r="495" spans="15:16" x14ac:dyDescent="0.25">
      <c r="O495" s="21" t="str">
        <f ca="1">IFERROR(IF(LEFT(O494,2)="13",DATE(RIGHT(O494,4),12,31),IF(EOMONTH(O494,1)&gt;PREMISSAS!$C$3,"",IF(MONTH(O494)=11,"13º "&amp;YEAR(O494),EOMONTH(O494,1)))),"")</f>
        <v/>
      </c>
      <c r="P495" s="4">
        <f>'Histórico de Remunerações'!E497</f>
        <v>0</v>
      </c>
    </row>
    <row r="496" spans="15:16" x14ac:dyDescent="0.25">
      <c r="O496" s="21" t="str">
        <f ca="1">IFERROR(IF(LEFT(O495,2)="13",DATE(RIGHT(O495,4),12,31),IF(EOMONTH(O495,1)&gt;PREMISSAS!$C$3,"",IF(MONTH(O495)=11,"13º "&amp;YEAR(O495),EOMONTH(O495,1)))),"")</f>
        <v/>
      </c>
      <c r="P496" s="4">
        <f>'Histórico de Remunerações'!E498</f>
        <v>0</v>
      </c>
    </row>
    <row r="497" spans="15:16" x14ac:dyDescent="0.25">
      <c r="O497" s="21" t="str">
        <f ca="1">IFERROR(IF(LEFT(O496,2)="13",DATE(RIGHT(O496,4),12,31),IF(EOMONTH(O496,1)&gt;PREMISSAS!$C$3,"",IF(MONTH(O496)=11,"13º "&amp;YEAR(O496),EOMONTH(O496,1)))),"")</f>
        <v/>
      </c>
      <c r="P497" s="4">
        <f>'Histórico de Remunerações'!E499</f>
        <v>0</v>
      </c>
    </row>
    <row r="498" spans="15:16" x14ac:dyDescent="0.25">
      <c r="O498" s="21" t="str">
        <f ca="1">IFERROR(IF(LEFT(O497,2)="13",DATE(RIGHT(O497,4),12,31),IF(EOMONTH(O497,1)&gt;PREMISSAS!$C$3,"",IF(MONTH(O497)=11,"13º "&amp;YEAR(O497),EOMONTH(O497,1)))),"")</f>
        <v/>
      </c>
      <c r="P498" s="4">
        <f>'Histórico de Remunerações'!E500</f>
        <v>0</v>
      </c>
    </row>
    <row r="499" spans="15:16" x14ac:dyDescent="0.25">
      <c r="O499" s="21" t="str">
        <f ca="1">IFERROR(IF(LEFT(O498,2)="13",DATE(RIGHT(O498,4),12,31),IF(EOMONTH(O498,1)&gt;PREMISSAS!$C$3,"",IF(MONTH(O498)=11,"13º "&amp;YEAR(O498),EOMONTH(O498,1)))),"")</f>
        <v/>
      </c>
      <c r="P499" s="4">
        <f>'Histórico de Remunerações'!E501</f>
        <v>0</v>
      </c>
    </row>
    <row r="500" spans="15:16" x14ac:dyDescent="0.25">
      <c r="O500" s="21" t="str">
        <f ca="1">IFERROR(IF(LEFT(O499,2)="13",DATE(RIGHT(O499,4),12,31),IF(EOMONTH(O499,1)&gt;PREMISSAS!$C$3,"",IF(MONTH(O499)=11,"13º "&amp;YEAR(O499),EOMONTH(O499,1)))),"")</f>
        <v/>
      </c>
      <c r="P500" s="4">
        <f>'Histórico de Remunerações'!E502</f>
        <v>0</v>
      </c>
    </row>
    <row r="501" spans="15:16" x14ac:dyDescent="0.25">
      <c r="O501" s="21" t="str">
        <f ca="1">IFERROR(IF(LEFT(O500,2)="13",DATE(RIGHT(O500,4),12,31),IF(EOMONTH(O500,1)&gt;PREMISSAS!$C$3,"",IF(MONTH(O500)=11,"13º "&amp;YEAR(O500),EOMONTH(O500,1)))),"")</f>
        <v/>
      </c>
      <c r="P501" s="4">
        <f>'Histórico de Remunerações'!E503</f>
        <v>0</v>
      </c>
    </row>
    <row r="502" spans="15:16" x14ac:dyDescent="0.25">
      <c r="O502" s="21" t="str">
        <f ca="1">IFERROR(IF(LEFT(O501,2)="13",DATE(RIGHT(O501,4),12,31),IF(EOMONTH(O501,1)&gt;PREMISSAS!$C$3,"",IF(MONTH(O501)=11,"13º "&amp;YEAR(O501),EOMONTH(O501,1)))),"")</f>
        <v/>
      </c>
      <c r="P502" s="4">
        <f>'Histórico de Remunerações'!E504</f>
        <v>0</v>
      </c>
    </row>
    <row r="503" spans="15:16" x14ac:dyDescent="0.25">
      <c r="O503" s="21" t="str">
        <f ca="1">IFERROR(IF(LEFT(O502,2)="13",DATE(RIGHT(O502,4),12,31),IF(EOMONTH(O502,1)&gt;PREMISSAS!$C$3,"",IF(MONTH(O502)=11,"13º "&amp;YEAR(O502),EOMONTH(O502,1)))),"")</f>
        <v/>
      </c>
      <c r="P503" s="4">
        <f>'Histórico de Remunerações'!E505</f>
        <v>0</v>
      </c>
    </row>
    <row r="504" spans="15:16" x14ac:dyDescent="0.25">
      <c r="O504" s="21" t="str">
        <f ca="1">IFERROR(IF(LEFT(O503,2)="13",DATE(RIGHT(O503,4),12,31),IF(EOMONTH(O503,1)&gt;PREMISSAS!$C$3,"",IF(MONTH(O503)=11,"13º "&amp;YEAR(O503),EOMONTH(O503,1)))),"")</f>
        <v/>
      </c>
      <c r="P504" s="4">
        <f>'Histórico de Remunerações'!E506</f>
        <v>0</v>
      </c>
    </row>
    <row r="505" spans="15:16" x14ac:dyDescent="0.25">
      <c r="O505" s="21" t="str">
        <f ca="1">IFERROR(IF(LEFT(O504,2)="13",DATE(RIGHT(O504,4),12,31),IF(EOMONTH(O504,1)&gt;PREMISSAS!$C$3,"",IF(MONTH(O504)=11,"13º "&amp;YEAR(O504),EOMONTH(O504,1)))),"")</f>
        <v/>
      </c>
      <c r="P505" s="4">
        <f>'Histórico de Remunerações'!E507</f>
        <v>0</v>
      </c>
    </row>
    <row r="506" spans="15:16" x14ac:dyDescent="0.25">
      <c r="O506" s="21" t="str">
        <f ca="1">IFERROR(IF(LEFT(O505,2)="13",DATE(RIGHT(O505,4),12,31),IF(EOMONTH(O505,1)&gt;PREMISSAS!$C$3,"",IF(MONTH(O505)=11,"13º "&amp;YEAR(O505),EOMONTH(O505,1)))),"")</f>
        <v/>
      </c>
      <c r="P506" s="4">
        <f>'Histórico de Remunerações'!E508</f>
        <v>0</v>
      </c>
    </row>
    <row r="507" spans="15:16" x14ac:dyDescent="0.25">
      <c r="O507" s="21" t="str">
        <f ca="1">IFERROR(IF(LEFT(O506,2)="13",DATE(RIGHT(O506,4),12,31),IF(EOMONTH(O506,1)&gt;PREMISSAS!$C$3,"",IF(MONTH(O506)=11,"13º "&amp;YEAR(O506),EOMONTH(O506,1)))),"")</f>
        <v/>
      </c>
      <c r="P507" s="4">
        <f>'Histórico de Remunerações'!E509</f>
        <v>0</v>
      </c>
    </row>
    <row r="508" spans="15:16" x14ac:dyDescent="0.25">
      <c r="O508" s="21" t="str">
        <f ca="1">IFERROR(IF(LEFT(O507,2)="13",DATE(RIGHT(O507,4),12,31),IF(EOMONTH(O507,1)&gt;PREMISSAS!$C$3,"",IF(MONTH(O507)=11,"13º "&amp;YEAR(O507),EOMONTH(O507,1)))),"")</f>
        <v/>
      </c>
      <c r="P508" s="4">
        <f>'Histórico de Remunerações'!E510</f>
        <v>0</v>
      </c>
    </row>
    <row r="509" spans="15:16" x14ac:dyDescent="0.25">
      <c r="O509" s="21" t="str">
        <f ca="1">IFERROR(IF(LEFT(O508,2)="13",DATE(RIGHT(O508,4),12,31),IF(EOMONTH(O508,1)&gt;PREMISSAS!$C$3,"",IF(MONTH(O508)=11,"13º "&amp;YEAR(O508),EOMONTH(O508,1)))),"")</f>
        <v/>
      </c>
      <c r="P509" s="4">
        <f>'Histórico de Remunerações'!E511</f>
        <v>0</v>
      </c>
    </row>
    <row r="510" spans="15:16" x14ac:dyDescent="0.25">
      <c r="O510" s="21" t="str">
        <f ca="1">IFERROR(IF(LEFT(O509,2)="13",DATE(RIGHT(O509,4),12,31),IF(EOMONTH(O509,1)&gt;PREMISSAS!$C$3,"",IF(MONTH(O509)=11,"13º "&amp;YEAR(O509),EOMONTH(O509,1)))),"")</f>
        <v/>
      </c>
      <c r="P510" s="4">
        <f>'Histórico de Remunerações'!E512</f>
        <v>0</v>
      </c>
    </row>
    <row r="511" spans="15:16" x14ac:dyDescent="0.25">
      <c r="O511" s="21" t="str">
        <f ca="1">IFERROR(IF(LEFT(O510,2)="13",DATE(RIGHT(O510,4),12,31),IF(EOMONTH(O510,1)&gt;PREMISSAS!$C$3,"",IF(MONTH(O510)=11,"13º "&amp;YEAR(O510),EOMONTH(O510,1)))),"")</f>
        <v/>
      </c>
      <c r="P511" s="4">
        <f>'Histórico de Remunerações'!E513</f>
        <v>0</v>
      </c>
    </row>
    <row r="512" spans="15:16" x14ac:dyDescent="0.25">
      <c r="O512" s="21" t="str">
        <f ca="1">IFERROR(IF(LEFT(O511,2)="13",DATE(RIGHT(O511,4),12,31),IF(EOMONTH(O511,1)&gt;PREMISSAS!$C$3,"",IF(MONTH(O511)=11,"13º "&amp;YEAR(O511),EOMONTH(O511,1)))),"")</f>
        <v/>
      </c>
      <c r="P512" s="4">
        <f>'Histórico de Remunerações'!E514</f>
        <v>0</v>
      </c>
    </row>
    <row r="513" spans="15:16" x14ac:dyDescent="0.25">
      <c r="O513" s="21" t="str">
        <f ca="1">IFERROR(IF(LEFT(O512,2)="13",DATE(RIGHT(O512,4),12,31),IF(EOMONTH(O512,1)&gt;PREMISSAS!$C$3,"",IF(MONTH(O512)=11,"13º "&amp;YEAR(O512),EOMONTH(O512,1)))),"")</f>
        <v/>
      </c>
      <c r="P513" s="4">
        <f>'Histórico de Remunerações'!E515</f>
        <v>0</v>
      </c>
    </row>
    <row r="514" spans="15:16" x14ac:dyDescent="0.25">
      <c r="O514" s="21" t="str">
        <f ca="1">IFERROR(IF(LEFT(O513,2)="13",DATE(RIGHT(O513,4),12,31),IF(EOMONTH(O513,1)&gt;PREMISSAS!$C$3,"",IF(MONTH(O513)=11,"13º "&amp;YEAR(O513),EOMONTH(O513,1)))),"")</f>
        <v/>
      </c>
      <c r="P514" s="4">
        <f>'Histórico de Remunerações'!E516</f>
        <v>0</v>
      </c>
    </row>
    <row r="515" spans="15:16" x14ac:dyDescent="0.25">
      <c r="O515" s="21" t="str">
        <f ca="1">IFERROR(IF(LEFT(O514,2)="13",DATE(RIGHT(O514,4),12,31),IF(EOMONTH(O514,1)&gt;PREMISSAS!$C$3,"",IF(MONTH(O514)=11,"13º "&amp;YEAR(O514),EOMONTH(O514,1)))),"")</f>
        <v/>
      </c>
      <c r="P515" s="4">
        <f>'Histórico de Remunerações'!E517</f>
        <v>0</v>
      </c>
    </row>
    <row r="516" spans="15:16" x14ac:dyDescent="0.25">
      <c r="O516" s="21" t="str">
        <f ca="1">IFERROR(IF(LEFT(O515,2)="13",DATE(RIGHT(O515,4),12,31),IF(EOMONTH(O515,1)&gt;PREMISSAS!$C$3,"",IF(MONTH(O515)=11,"13º "&amp;YEAR(O515),EOMONTH(O515,1)))),"")</f>
        <v/>
      </c>
      <c r="P516" s="4">
        <f>'Histórico de Remunerações'!E518</f>
        <v>0</v>
      </c>
    </row>
    <row r="517" spans="15:16" x14ac:dyDescent="0.25">
      <c r="O517" s="21" t="str">
        <f ca="1">IFERROR(IF(LEFT(O516,2)="13",DATE(RIGHT(O516,4),12,31),IF(EOMONTH(O516,1)&gt;PREMISSAS!$C$3,"",IF(MONTH(O516)=11,"13º "&amp;YEAR(O516),EOMONTH(O516,1)))),"")</f>
        <v/>
      </c>
      <c r="P517" s="4">
        <f>'Histórico de Remunerações'!E519</f>
        <v>0</v>
      </c>
    </row>
    <row r="518" spans="15:16" x14ac:dyDescent="0.25">
      <c r="O518" s="21" t="str">
        <f ca="1">IFERROR(IF(LEFT(O517,2)="13",DATE(RIGHT(O517,4),12,31),IF(EOMONTH(O517,1)&gt;PREMISSAS!$C$3,"",IF(MONTH(O517)=11,"13º "&amp;YEAR(O517),EOMONTH(O517,1)))),"")</f>
        <v/>
      </c>
      <c r="P518" s="4">
        <f>'Histórico de Remunerações'!E520</f>
        <v>0</v>
      </c>
    </row>
    <row r="519" spans="15:16" x14ac:dyDescent="0.25">
      <c r="O519" s="21" t="str">
        <f ca="1">IFERROR(IF(LEFT(O518,2)="13",DATE(RIGHT(O518,4),12,31),IF(EOMONTH(O518,1)&gt;PREMISSAS!$C$3,"",IF(MONTH(O518)=11,"13º "&amp;YEAR(O518),EOMONTH(O518,1)))),"")</f>
        <v/>
      </c>
      <c r="P519" s="4">
        <f>'Histórico de Remunerações'!E521</f>
        <v>0</v>
      </c>
    </row>
    <row r="520" spans="15:16" x14ac:dyDescent="0.25">
      <c r="O520" s="21" t="str">
        <f ca="1">IFERROR(IF(LEFT(O519,2)="13",DATE(RIGHT(O519,4),12,31),IF(EOMONTH(O519,1)&gt;PREMISSAS!$C$3,"",IF(MONTH(O519)=11,"13º "&amp;YEAR(O519),EOMONTH(O519,1)))),"")</f>
        <v/>
      </c>
      <c r="P520" s="4">
        <f>'Histórico de Remunerações'!E522</f>
        <v>0</v>
      </c>
    </row>
    <row r="521" spans="15:16" x14ac:dyDescent="0.25">
      <c r="O521" s="21" t="str">
        <f ca="1">IFERROR(IF(LEFT(O520,2)="13",DATE(RIGHT(O520,4),12,31),IF(EOMONTH(O520,1)&gt;PREMISSAS!$C$3,"",IF(MONTH(O520)=11,"13º "&amp;YEAR(O520),EOMONTH(O520,1)))),"")</f>
        <v/>
      </c>
      <c r="P521" s="4">
        <f>'Histórico de Remunerações'!E523</f>
        <v>0</v>
      </c>
    </row>
    <row r="522" spans="15:16" x14ac:dyDescent="0.25">
      <c r="O522" s="21" t="str">
        <f ca="1">IFERROR(IF(LEFT(O521,2)="13",DATE(RIGHT(O521,4),12,31),IF(EOMONTH(O521,1)&gt;PREMISSAS!$C$3,"",IF(MONTH(O521)=11,"13º "&amp;YEAR(O521),EOMONTH(O521,1)))),"")</f>
        <v/>
      </c>
      <c r="P522" s="4">
        <f>'Histórico de Remunerações'!E524</f>
        <v>0</v>
      </c>
    </row>
    <row r="523" spans="15:16" x14ac:dyDescent="0.25">
      <c r="O523" s="21" t="str">
        <f ca="1">IFERROR(IF(LEFT(O522,2)="13",DATE(RIGHT(O522,4),12,31),IF(EOMONTH(O522,1)&gt;PREMISSAS!$C$3,"",IF(MONTH(O522)=11,"13º "&amp;YEAR(O522),EOMONTH(O522,1)))),"")</f>
        <v/>
      </c>
      <c r="P523" s="4">
        <f>'Histórico de Remunerações'!E525</f>
        <v>0</v>
      </c>
    </row>
    <row r="524" spans="15:16" x14ac:dyDescent="0.25">
      <c r="O524" s="21" t="str">
        <f ca="1">IFERROR(IF(LEFT(O523,2)="13",DATE(RIGHT(O523,4),12,31),IF(EOMONTH(O523,1)&gt;PREMISSAS!$C$3,"",IF(MONTH(O523)=11,"13º "&amp;YEAR(O523),EOMONTH(O523,1)))),"")</f>
        <v/>
      </c>
      <c r="P524" s="4">
        <f>'Histórico de Remunerações'!E526</f>
        <v>0</v>
      </c>
    </row>
    <row r="525" spans="15:16" x14ac:dyDescent="0.25">
      <c r="O525" s="21" t="str">
        <f ca="1">IFERROR(IF(LEFT(O524,2)="13",DATE(RIGHT(O524,4),12,31),IF(EOMONTH(O524,1)&gt;PREMISSAS!$C$3,"",IF(MONTH(O524)=11,"13º "&amp;YEAR(O524),EOMONTH(O524,1)))),"")</f>
        <v/>
      </c>
      <c r="P525" s="4">
        <f>'Histórico de Remunerações'!E527</f>
        <v>0</v>
      </c>
    </row>
    <row r="526" spans="15:16" x14ac:dyDescent="0.25">
      <c r="O526" s="21" t="str">
        <f ca="1">IFERROR(IF(LEFT(O525,2)="13",DATE(RIGHT(O525,4),12,31),IF(EOMONTH(O525,1)&gt;PREMISSAS!$C$3,"",IF(MONTH(O525)=11,"13º "&amp;YEAR(O525),EOMONTH(O525,1)))),"")</f>
        <v/>
      </c>
      <c r="P526" s="4">
        <f>'Histórico de Remunerações'!E528</f>
        <v>0</v>
      </c>
    </row>
    <row r="527" spans="15:16" x14ac:dyDescent="0.25">
      <c r="O527" s="21" t="str">
        <f ca="1">IFERROR(IF(LEFT(O526,2)="13",DATE(RIGHT(O526,4),12,31),IF(EOMONTH(O526,1)&gt;PREMISSAS!$C$3,"",IF(MONTH(O526)=11,"13º "&amp;YEAR(O526),EOMONTH(O526,1)))),"")</f>
        <v/>
      </c>
      <c r="P527" s="4">
        <f>'Histórico de Remunerações'!E529</f>
        <v>0</v>
      </c>
    </row>
    <row r="528" spans="15:16" x14ac:dyDescent="0.25">
      <c r="O528" s="21" t="str">
        <f ca="1">IFERROR(IF(LEFT(O527,2)="13",DATE(RIGHT(O527,4),12,31),IF(EOMONTH(O527,1)&gt;PREMISSAS!$C$3,"",IF(MONTH(O527)=11,"13º "&amp;YEAR(O527),EOMONTH(O527,1)))),"")</f>
        <v/>
      </c>
      <c r="P528" s="4">
        <f>'Histórico de Remunerações'!E530</f>
        <v>0</v>
      </c>
    </row>
    <row r="529" spans="15:16" x14ac:dyDescent="0.25">
      <c r="O529" s="21" t="str">
        <f ca="1">IFERROR(IF(LEFT(O528,2)="13",DATE(RIGHT(O528,4),12,31),IF(EOMONTH(O528,1)&gt;PREMISSAS!$C$3,"",IF(MONTH(O528)=11,"13º "&amp;YEAR(O528),EOMONTH(O528,1)))),"")</f>
        <v/>
      </c>
      <c r="P529" s="4">
        <f>'Histórico de Remunerações'!E531</f>
        <v>0</v>
      </c>
    </row>
    <row r="530" spans="15:16" x14ac:dyDescent="0.25">
      <c r="O530" s="21" t="str">
        <f ca="1">IFERROR(IF(LEFT(O529,2)="13",DATE(RIGHT(O529,4),12,31),IF(EOMONTH(O529,1)&gt;PREMISSAS!$C$3,"",IF(MONTH(O529)=11,"13º "&amp;YEAR(O529),EOMONTH(O529,1)))),"")</f>
        <v/>
      </c>
      <c r="P530" s="4">
        <f>'Histórico de Remunerações'!E532</f>
        <v>0</v>
      </c>
    </row>
    <row r="531" spans="15:16" x14ac:dyDescent="0.25">
      <c r="O531" s="21" t="str">
        <f ca="1">IFERROR(IF(LEFT(O530,2)="13",DATE(RIGHT(O530,4),12,31),IF(EOMONTH(O530,1)&gt;PREMISSAS!$C$3,"",IF(MONTH(O530)=11,"13º "&amp;YEAR(O530),EOMONTH(O530,1)))),"")</f>
        <v/>
      </c>
      <c r="P531" s="4">
        <f>'Histórico de Remunerações'!E533</f>
        <v>0</v>
      </c>
    </row>
    <row r="532" spans="15:16" x14ac:dyDescent="0.25">
      <c r="O532" s="21" t="str">
        <f ca="1">IFERROR(IF(LEFT(O531,2)="13",DATE(RIGHT(O531,4),12,31),IF(EOMONTH(O531,1)&gt;PREMISSAS!$C$3,"",IF(MONTH(O531)=11,"13º "&amp;YEAR(O531),EOMONTH(O531,1)))),"")</f>
        <v/>
      </c>
      <c r="P532" s="4">
        <f>'Histórico de Remunerações'!E534</f>
        <v>0</v>
      </c>
    </row>
    <row r="533" spans="15:16" x14ac:dyDescent="0.25">
      <c r="O533" s="21" t="str">
        <f ca="1">IFERROR(IF(LEFT(O532,2)="13",DATE(RIGHT(O532,4),12,31),IF(EOMONTH(O532,1)&gt;PREMISSAS!$C$3,"",IF(MONTH(O532)=11,"13º "&amp;YEAR(O532),EOMONTH(O532,1)))),"")</f>
        <v/>
      </c>
      <c r="P533" s="4">
        <f>'Histórico de Remunerações'!E535</f>
        <v>0</v>
      </c>
    </row>
    <row r="534" spans="15:16" x14ac:dyDescent="0.25">
      <c r="O534" s="21" t="str">
        <f ca="1">IFERROR(IF(LEFT(O533,2)="13",DATE(RIGHT(O533,4),12,31),IF(EOMONTH(O533,1)&gt;PREMISSAS!$C$3,"",IF(MONTH(O533)=11,"13º "&amp;YEAR(O533),EOMONTH(O533,1)))),"")</f>
        <v/>
      </c>
      <c r="P534" s="4">
        <f>'Histórico de Remunerações'!E536</f>
        <v>0</v>
      </c>
    </row>
    <row r="535" spans="15:16" x14ac:dyDescent="0.25">
      <c r="O535" s="21" t="str">
        <f ca="1">IFERROR(IF(LEFT(O534,2)="13",DATE(RIGHT(O534,4),12,31),IF(EOMONTH(O534,1)&gt;PREMISSAS!$C$3,"",IF(MONTH(O534)=11,"13º "&amp;YEAR(O534),EOMONTH(O534,1)))),"")</f>
        <v/>
      </c>
      <c r="P535" s="4">
        <f>'Histórico de Remunerações'!E537</f>
        <v>0</v>
      </c>
    </row>
    <row r="536" spans="15:16" x14ac:dyDescent="0.25">
      <c r="O536" s="21" t="str">
        <f ca="1">IFERROR(IF(LEFT(O535,2)="13",DATE(RIGHT(O535,4),12,31),IF(EOMONTH(O535,1)&gt;PREMISSAS!$C$3,"",IF(MONTH(O535)=11,"13º "&amp;YEAR(O535),EOMONTH(O535,1)))),"")</f>
        <v/>
      </c>
      <c r="P536" s="4">
        <f>'Histórico de Remunerações'!E538</f>
        <v>0</v>
      </c>
    </row>
    <row r="537" spans="15:16" x14ac:dyDescent="0.25">
      <c r="O537" s="21" t="str">
        <f ca="1">IFERROR(IF(LEFT(O536,2)="13",DATE(RIGHT(O536,4),12,31),IF(EOMONTH(O536,1)&gt;PREMISSAS!$C$3,"",IF(MONTH(O536)=11,"13º "&amp;YEAR(O536),EOMONTH(O536,1)))),"")</f>
        <v/>
      </c>
      <c r="P537" s="4">
        <f>'Histórico de Remunerações'!E539</f>
        <v>0</v>
      </c>
    </row>
    <row r="538" spans="15:16" x14ac:dyDescent="0.25">
      <c r="O538" s="21" t="str">
        <f ca="1">IFERROR(IF(LEFT(O537,2)="13",DATE(RIGHT(O537,4),12,31),IF(EOMONTH(O537,1)&gt;PREMISSAS!$C$3,"",IF(MONTH(O537)=11,"13º "&amp;YEAR(O537),EOMONTH(O537,1)))),"")</f>
        <v/>
      </c>
      <c r="P538" s="4">
        <f>'Histórico de Remunerações'!E540</f>
        <v>0</v>
      </c>
    </row>
    <row r="539" spans="15:16" x14ac:dyDescent="0.25">
      <c r="O539" s="21" t="str">
        <f ca="1">IFERROR(IF(LEFT(O538,2)="13",DATE(RIGHT(O538,4),12,31),IF(EOMONTH(O538,1)&gt;PREMISSAS!$C$3,"",IF(MONTH(O538)=11,"13º "&amp;YEAR(O538),EOMONTH(O538,1)))),"")</f>
        <v/>
      </c>
      <c r="P539" s="4">
        <f>'Histórico de Remunerações'!E541</f>
        <v>0</v>
      </c>
    </row>
    <row r="540" spans="15:16" x14ac:dyDescent="0.25">
      <c r="O540" s="21" t="str">
        <f ca="1">IFERROR(IF(LEFT(O539,2)="13",DATE(RIGHT(O539,4),12,31),IF(EOMONTH(O539,1)&gt;PREMISSAS!$C$3,"",IF(MONTH(O539)=11,"13º "&amp;YEAR(O539),EOMONTH(O539,1)))),"")</f>
        <v/>
      </c>
      <c r="P540" s="4">
        <f>'Histórico de Remunerações'!E542</f>
        <v>0</v>
      </c>
    </row>
    <row r="541" spans="15:16" x14ac:dyDescent="0.25">
      <c r="O541" s="21" t="str">
        <f ca="1">IFERROR(IF(LEFT(O540,2)="13",DATE(RIGHT(O540,4),12,31),IF(EOMONTH(O540,1)&gt;PREMISSAS!$C$3,"",IF(MONTH(O540)=11,"13º "&amp;YEAR(O540),EOMONTH(O540,1)))),"")</f>
        <v/>
      </c>
      <c r="P541" s="4">
        <f>'Histórico de Remunerações'!E543</f>
        <v>0</v>
      </c>
    </row>
    <row r="542" spans="15:16" x14ac:dyDescent="0.25">
      <c r="O542" s="21" t="str">
        <f ca="1">IFERROR(IF(LEFT(O541,2)="13",DATE(RIGHT(O541,4),12,31),IF(EOMONTH(O541,1)&gt;PREMISSAS!$C$3,"",IF(MONTH(O541)=11,"13º "&amp;YEAR(O541),EOMONTH(O541,1)))),"")</f>
        <v/>
      </c>
      <c r="P542" s="4">
        <f>'Histórico de Remunerações'!E544</f>
        <v>0</v>
      </c>
    </row>
    <row r="543" spans="15:16" x14ac:dyDescent="0.25">
      <c r="O543" s="21" t="str">
        <f ca="1">IFERROR(IF(LEFT(O542,2)="13",DATE(RIGHT(O542,4),12,31),IF(EOMONTH(O542,1)&gt;PREMISSAS!$C$3,"",IF(MONTH(O542)=11,"13º "&amp;YEAR(O542),EOMONTH(O542,1)))),"")</f>
        <v/>
      </c>
      <c r="P543" s="4">
        <f>'Histórico de Remunerações'!E545</f>
        <v>0</v>
      </c>
    </row>
    <row r="544" spans="15:16" x14ac:dyDescent="0.25">
      <c r="O544" s="21" t="str">
        <f ca="1">IFERROR(IF(LEFT(O543,2)="13",DATE(RIGHT(O543,4),12,31),IF(EOMONTH(O543,1)&gt;PREMISSAS!$C$3,"",IF(MONTH(O543)=11,"13º "&amp;YEAR(O543),EOMONTH(O543,1)))),"")</f>
        <v/>
      </c>
      <c r="P544" s="4">
        <f>'Histórico de Remunerações'!E546</f>
        <v>0</v>
      </c>
    </row>
    <row r="545" spans="15:16" x14ac:dyDescent="0.25">
      <c r="O545" s="21" t="str">
        <f ca="1">IFERROR(IF(LEFT(O544,2)="13",DATE(RIGHT(O544,4),12,31),IF(EOMONTH(O544,1)&gt;PREMISSAS!$C$3,"",IF(MONTH(O544)=11,"13º "&amp;YEAR(O544),EOMONTH(O544,1)))),"")</f>
        <v/>
      </c>
      <c r="P545" s="4">
        <f>'Histórico de Remunerações'!E547</f>
        <v>0</v>
      </c>
    </row>
    <row r="546" spans="15:16" x14ac:dyDescent="0.25">
      <c r="O546" s="21" t="str">
        <f ca="1">IFERROR(IF(LEFT(O545,2)="13",DATE(RIGHT(O545,4),12,31),IF(EOMONTH(O545,1)&gt;PREMISSAS!$C$3,"",IF(MONTH(O545)=11,"13º "&amp;YEAR(O545),EOMONTH(O545,1)))),"")</f>
        <v/>
      </c>
      <c r="P546" s="4">
        <f>'Histórico de Remunerações'!E548</f>
        <v>0</v>
      </c>
    </row>
    <row r="547" spans="15:16" x14ac:dyDescent="0.25">
      <c r="O547" s="21" t="str">
        <f ca="1">IFERROR(IF(LEFT(O546,2)="13",DATE(RIGHT(O546,4),12,31),IF(EOMONTH(O546,1)&gt;PREMISSAS!$C$3,"",IF(MONTH(O546)=11,"13º "&amp;YEAR(O546),EOMONTH(O546,1)))),"")</f>
        <v/>
      </c>
      <c r="P547" s="4">
        <f>'Histórico de Remunerações'!E549</f>
        <v>0</v>
      </c>
    </row>
    <row r="548" spans="15:16" x14ac:dyDescent="0.25">
      <c r="O548" s="21" t="str">
        <f ca="1">IFERROR(IF(LEFT(O547,2)="13",DATE(RIGHT(O547,4),12,31),IF(EOMONTH(O547,1)&gt;PREMISSAS!$C$3,"",IF(MONTH(O547)=11,"13º "&amp;YEAR(O547),EOMONTH(O547,1)))),"")</f>
        <v/>
      </c>
      <c r="P548" s="4">
        <f>'Histórico de Remunerações'!E550</f>
        <v>0</v>
      </c>
    </row>
    <row r="549" spans="15:16" x14ac:dyDescent="0.25">
      <c r="O549" s="21" t="str">
        <f ca="1">IFERROR(IF(LEFT(O548,2)="13",DATE(RIGHT(O548,4),12,31),IF(EOMONTH(O548,1)&gt;PREMISSAS!$C$3,"",IF(MONTH(O548)=11,"13º "&amp;YEAR(O548),EOMONTH(O548,1)))),"")</f>
        <v/>
      </c>
      <c r="P549" s="4">
        <f>'Histórico de Remunerações'!E551</f>
        <v>0</v>
      </c>
    </row>
    <row r="550" spans="15:16" x14ac:dyDescent="0.25">
      <c r="O550" s="21" t="str">
        <f ca="1">IFERROR(IF(LEFT(O549,2)="13",DATE(RIGHT(O549,4),12,31),IF(EOMONTH(O549,1)&gt;PREMISSAS!$C$3,"",IF(MONTH(O549)=11,"13º "&amp;YEAR(O549),EOMONTH(O549,1)))),"")</f>
        <v/>
      </c>
      <c r="P550" s="4">
        <f>'Histórico de Remunerações'!E552</f>
        <v>0</v>
      </c>
    </row>
    <row r="551" spans="15:16" x14ac:dyDescent="0.25">
      <c r="O551" s="21" t="str">
        <f ca="1">IFERROR(IF(LEFT(O550,2)="13",DATE(RIGHT(O550,4),12,31),IF(EOMONTH(O550,1)&gt;PREMISSAS!$C$3,"",IF(MONTH(O550)=11,"13º "&amp;YEAR(O550),EOMONTH(O550,1)))),"")</f>
        <v/>
      </c>
      <c r="P551" s="4">
        <f>'Histórico de Remunerações'!E553</f>
        <v>0</v>
      </c>
    </row>
    <row r="552" spans="15:16" x14ac:dyDescent="0.25">
      <c r="O552" s="21" t="str">
        <f ca="1">IFERROR(IF(LEFT(O551,2)="13",DATE(RIGHT(O551,4),12,31),IF(EOMONTH(O551,1)&gt;PREMISSAS!$C$3,"",IF(MONTH(O551)=11,"13º "&amp;YEAR(O551),EOMONTH(O551,1)))),"")</f>
        <v/>
      </c>
      <c r="P552" s="4">
        <f>'Histórico de Remunerações'!E554</f>
        <v>0</v>
      </c>
    </row>
    <row r="553" spans="15:16" x14ac:dyDescent="0.25">
      <c r="O553" s="21" t="str">
        <f ca="1">IFERROR(IF(LEFT(O552,2)="13",DATE(RIGHT(O552,4),12,31),IF(EOMONTH(O552,1)&gt;PREMISSAS!$C$3,"",IF(MONTH(O552)=11,"13º "&amp;YEAR(O552),EOMONTH(O552,1)))),"")</f>
        <v/>
      </c>
      <c r="P553" s="4">
        <f>'Histórico de Remunerações'!E555</f>
        <v>0</v>
      </c>
    </row>
    <row r="554" spans="15:16" x14ac:dyDescent="0.25">
      <c r="O554" s="21" t="str">
        <f ca="1">IFERROR(IF(LEFT(O553,2)="13",DATE(RIGHT(O553,4),12,31),IF(EOMONTH(O553,1)&gt;PREMISSAS!$C$3,"",IF(MONTH(O553)=11,"13º "&amp;YEAR(O553),EOMONTH(O553,1)))),"")</f>
        <v/>
      </c>
      <c r="P554" s="4">
        <f>'Histórico de Remunerações'!E556</f>
        <v>0</v>
      </c>
    </row>
    <row r="555" spans="15:16" x14ac:dyDescent="0.25">
      <c r="O555" s="21" t="str">
        <f ca="1">IFERROR(IF(LEFT(O554,2)="13",DATE(RIGHT(O554,4),12,31),IF(EOMONTH(O554,1)&gt;PREMISSAS!$C$3,"",IF(MONTH(O554)=11,"13º "&amp;YEAR(O554),EOMONTH(O554,1)))),"")</f>
        <v/>
      </c>
      <c r="P555" s="4">
        <f>'Histórico de Remunerações'!E557</f>
        <v>0</v>
      </c>
    </row>
    <row r="556" spans="15:16" x14ac:dyDescent="0.25">
      <c r="O556" s="21" t="str">
        <f ca="1">IFERROR(IF(LEFT(O555,2)="13",DATE(RIGHT(O555,4),12,31),IF(EOMONTH(O555,1)&gt;PREMISSAS!$C$3,"",IF(MONTH(O555)=11,"13º "&amp;YEAR(O555),EOMONTH(O555,1)))),"")</f>
        <v/>
      </c>
      <c r="P556" s="4">
        <f>'Histórico de Remunerações'!E558</f>
        <v>0</v>
      </c>
    </row>
    <row r="557" spans="15:16" x14ac:dyDescent="0.25">
      <c r="O557" s="21" t="str">
        <f ca="1">IFERROR(IF(LEFT(O556,2)="13",DATE(RIGHT(O556,4),12,31),IF(EOMONTH(O556,1)&gt;PREMISSAS!$C$3,"",IF(MONTH(O556)=11,"13º "&amp;YEAR(O556),EOMONTH(O556,1)))),"")</f>
        <v/>
      </c>
      <c r="P557" s="4">
        <f>'Histórico de Remunerações'!E559</f>
        <v>0</v>
      </c>
    </row>
    <row r="558" spans="15:16" x14ac:dyDescent="0.25">
      <c r="O558" s="21" t="str">
        <f ca="1">IFERROR(IF(LEFT(O557,2)="13",DATE(RIGHT(O557,4),12,31),IF(EOMONTH(O557,1)&gt;PREMISSAS!$C$3,"",IF(MONTH(O557)=11,"13º "&amp;YEAR(O557),EOMONTH(O557,1)))),"")</f>
        <v/>
      </c>
      <c r="P558" s="4">
        <f>'Histórico de Remunerações'!E560</f>
        <v>0</v>
      </c>
    </row>
    <row r="559" spans="15:16" x14ac:dyDescent="0.25">
      <c r="O559" s="21" t="str">
        <f ca="1">IFERROR(IF(LEFT(O558,2)="13",DATE(RIGHT(O558,4),12,31),IF(EOMONTH(O558,1)&gt;PREMISSAS!$C$3,"",IF(MONTH(O558)=11,"13º "&amp;YEAR(O558),EOMONTH(O558,1)))),"")</f>
        <v/>
      </c>
      <c r="P559" s="4">
        <f>'Histórico de Remunerações'!E561</f>
        <v>0</v>
      </c>
    </row>
    <row r="560" spans="15:16" x14ac:dyDescent="0.25">
      <c r="O560" s="21" t="str">
        <f ca="1">IFERROR(IF(LEFT(O559,2)="13",DATE(RIGHT(O559,4),12,31),IF(EOMONTH(O559,1)&gt;PREMISSAS!$C$3,"",IF(MONTH(O559)=11,"13º "&amp;YEAR(O559),EOMONTH(O559,1)))),"")</f>
        <v/>
      </c>
      <c r="P560" s="4">
        <f>'Histórico de Remunerações'!E562</f>
        <v>0</v>
      </c>
    </row>
    <row r="561" spans="15:16" x14ac:dyDescent="0.25">
      <c r="O561" s="21" t="str">
        <f ca="1">IFERROR(IF(LEFT(O560,2)="13",DATE(RIGHT(O560,4),12,31),IF(EOMONTH(O560,1)&gt;PREMISSAS!$C$3,"",IF(MONTH(O560)=11,"13º "&amp;YEAR(O560),EOMONTH(O560,1)))),"")</f>
        <v/>
      </c>
      <c r="P561" s="4">
        <f>'Histórico de Remunerações'!E563</f>
        <v>0</v>
      </c>
    </row>
    <row r="562" spans="15:16" x14ac:dyDescent="0.25">
      <c r="O562" s="21" t="str">
        <f ca="1">IFERROR(IF(LEFT(O561,2)="13",DATE(RIGHT(O561,4),12,31),IF(EOMONTH(O561,1)&gt;PREMISSAS!$C$3,"",IF(MONTH(O561)=11,"13º "&amp;YEAR(O561),EOMONTH(O561,1)))),"")</f>
        <v/>
      </c>
      <c r="P562" s="4">
        <f>'Histórico de Remunerações'!E564</f>
        <v>0</v>
      </c>
    </row>
    <row r="563" spans="15:16" x14ac:dyDescent="0.25">
      <c r="O563" s="21" t="str">
        <f ca="1">IFERROR(IF(LEFT(O562,2)="13",DATE(RIGHT(O562,4),12,31),IF(EOMONTH(O562,1)&gt;PREMISSAS!$C$3,"",IF(MONTH(O562)=11,"13º "&amp;YEAR(O562),EOMONTH(O562,1)))),"")</f>
        <v/>
      </c>
      <c r="P563" s="4">
        <f>'Histórico de Remunerações'!E565</f>
        <v>0</v>
      </c>
    </row>
    <row r="564" spans="15:16" x14ac:dyDescent="0.25">
      <c r="O564" s="21" t="str">
        <f ca="1">IFERROR(IF(LEFT(O563,2)="13",DATE(RIGHT(O563,4),12,31),IF(EOMONTH(O563,1)&gt;PREMISSAS!$C$3,"",IF(MONTH(O563)=11,"13º "&amp;YEAR(O563),EOMONTH(O563,1)))),"")</f>
        <v/>
      </c>
      <c r="P564" s="4">
        <f>'Histórico de Remunerações'!E566</f>
        <v>0</v>
      </c>
    </row>
    <row r="565" spans="15:16" x14ac:dyDescent="0.25">
      <c r="O565" s="21" t="str">
        <f ca="1">IFERROR(IF(LEFT(O564,2)="13",DATE(RIGHT(O564,4),12,31),IF(EOMONTH(O564,1)&gt;PREMISSAS!$C$3,"",IF(MONTH(O564)=11,"13º "&amp;YEAR(O564),EOMONTH(O564,1)))),"")</f>
        <v/>
      </c>
      <c r="P565" s="4">
        <f>'Histórico de Remunerações'!E567</f>
        <v>0</v>
      </c>
    </row>
    <row r="566" spans="15:16" x14ac:dyDescent="0.25">
      <c r="O566" s="21" t="str">
        <f ca="1">IFERROR(IF(LEFT(O565,2)="13",DATE(RIGHT(O565,4),12,31),IF(EOMONTH(O565,1)&gt;PREMISSAS!$C$3,"",IF(MONTH(O565)=11,"13º "&amp;YEAR(O565),EOMONTH(O565,1)))),"")</f>
        <v/>
      </c>
      <c r="P566" s="4">
        <f>'Histórico de Remunerações'!E568</f>
        <v>0</v>
      </c>
    </row>
    <row r="567" spans="15:16" x14ac:dyDescent="0.25">
      <c r="O567" s="21" t="str">
        <f ca="1">IFERROR(IF(LEFT(O566,2)="13",DATE(RIGHT(O566,4),12,31),IF(EOMONTH(O566,1)&gt;PREMISSAS!$C$3,"",IF(MONTH(O566)=11,"13º "&amp;YEAR(O566),EOMONTH(O566,1)))),"")</f>
        <v/>
      </c>
      <c r="P567" s="4">
        <f>'Histórico de Remunerações'!E569</f>
        <v>0</v>
      </c>
    </row>
    <row r="568" spans="15:16" x14ac:dyDescent="0.25">
      <c r="O568" s="21" t="str">
        <f ca="1">IFERROR(IF(LEFT(O567,2)="13",DATE(RIGHT(O567,4),12,31),IF(EOMONTH(O567,1)&gt;PREMISSAS!$C$3,"",IF(MONTH(O567)=11,"13º "&amp;YEAR(O567),EOMONTH(O567,1)))),"")</f>
        <v/>
      </c>
      <c r="P568" s="4">
        <f>'Histórico de Remunerações'!E570</f>
        <v>0</v>
      </c>
    </row>
    <row r="569" spans="15:16" x14ac:dyDescent="0.25">
      <c r="O569" s="21" t="str">
        <f ca="1">IFERROR(IF(LEFT(O568,2)="13",DATE(RIGHT(O568,4),12,31),IF(EOMONTH(O568,1)&gt;PREMISSAS!$C$3,"",IF(MONTH(O568)=11,"13º "&amp;YEAR(O568),EOMONTH(O568,1)))),"")</f>
        <v/>
      </c>
      <c r="P569" s="4">
        <f>'Histórico de Remunerações'!E571</f>
        <v>0</v>
      </c>
    </row>
    <row r="570" spans="15:16" x14ac:dyDescent="0.25">
      <c r="O570" s="21" t="str">
        <f ca="1">IFERROR(IF(LEFT(O569,2)="13",DATE(RIGHT(O569,4),12,31),IF(EOMONTH(O569,1)&gt;PREMISSAS!$C$3,"",IF(MONTH(O569)=11,"13º "&amp;YEAR(O569),EOMONTH(O569,1)))),"")</f>
        <v/>
      </c>
      <c r="P570" s="4">
        <f>'Histórico de Remunerações'!E572</f>
        <v>0</v>
      </c>
    </row>
    <row r="571" spans="15:16" x14ac:dyDescent="0.25">
      <c r="O571" s="21" t="str">
        <f ca="1">IFERROR(IF(LEFT(O570,2)="13",DATE(RIGHT(O570,4),12,31),IF(EOMONTH(O570,1)&gt;PREMISSAS!$C$3,"",IF(MONTH(O570)=11,"13º "&amp;YEAR(O570),EOMONTH(O570,1)))),"")</f>
        <v/>
      </c>
      <c r="P571" s="4">
        <f>'Histórico de Remunerações'!E573</f>
        <v>0</v>
      </c>
    </row>
    <row r="572" spans="15:16" x14ac:dyDescent="0.25">
      <c r="O572" s="21" t="str">
        <f ca="1">IFERROR(IF(LEFT(O571,2)="13",DATE(RIGHT(O571,4),12,31),IF(EOMONTH(O571,1)&gt;PREMISSAS!$C$3,"",IF(MONTH(O571)=11,"13º "&amp;YEAR(O571),EOMONTH(O571,1)))),"")</f>
        <v/>
      </c>
      <c r="P572" s="4">
        <f>'Histórico de Remunerações'!E574</f>
        <v>0</v>
      </c>
    </row>
    <row r="573" spans="15:16" x14ac:dyDescent="0.25">
      <c r="O573" s="21" t="str">
        <f ca="1">IFERROR(IF(LEFT(O572,2)="13",DATE(RIGHT(O572,4),12,31),IF(EOMONTH(O572,1)&gt;PREMISSAS!$C$3,"",IF(MONTH(O572)=11,"13º "&amp;YEAR(O572),EOMONTH(O572,1)))),"")</f>
        <v/>
      </c>
      <c r="P573" s="4">
        <f>'Histórico de Remunerações'!E575</f>
        <v>0</v>
      </c>
    </row>
    <row r="574" spans="15:16" x14ac:dyDescent="0.25">
      <c r="O574" s="21" t="str">
        <f ca="1">IFERROR(IF(LEFT(O573,2)="13",DATE(RIGHT(O573,4),12,31),IF(EOMONTH(O573,1)&gt;PREMISSAS!$C$3,"",IF(MONTH(O573)=11,"13º "&amp;YEAR(O573),EOMONTH(O573,1)))),"")</f>
        <v/>
      </c>
      <c r="P574" s="4">
        <f>'Histórico de Remunerações'!E576</f>
        <v>0</v>
      </c>
    </row>
    <row r="575" spans="15:16" x14ac:dyDescent="0.25">
      <c r="O575" s="21" t="str">
        <f ca="1">IFERROR(IF(LEFT(O574,2)="13",DATE(RIGHT(O574,4),12,31),IF(EOMONTH(O574,1)&gt;PREMISSAS!$C$3,"",IF(MONTH(O574)=11,"13º "&amp;YEAR(O574),EOMONTH(O574,1)))),"")</f>
        <v/>
      </c>
      <c r="P575" s="4">
        <f>'Histórico de Remunerações'!E577</f>
        <v>0</v>
      </c>
    </row>
    <row r="576" spans="15:16" x14ac:dyDescent="0.25">
      <c r="O576" s="21" t="str">
        <f ca="1">IFERROR(IF(LEFT(O575,2)="13",DATE(RIGHT(O575,4),12,31),IF(EOMONTH(O575,1)&gt;PREMISSAS!$C$3,"",IF(MONTH(O575)=11,"13º "&amp;YEAR(O575),EOMONTH(O575,1)))),"")</f>
        <v/>
      </c>
      <c r="P576" s="4">
        <f>'Histórico de Remunerações'!E578</f>
        <v>0</v>
      </c>
    </row>
    <row r="577" spans="15:16" x14ac:dyDescent="0.25">
      <c r="O577" s="21" t="str">
        <f ca="1">IFERROR(IF(LEFT(O576,2)="13",DATE(RIGHT(O576,4),12,31),IF(EOMONTH(O576,1)&gt;PREMISSAS!$C$3,"",IF(MONTH(O576)=11,"13º "&amp;YEAR(O576),EOMONTH(O576,1)))),"")</f>
        <v/>
      </c>
      <c r="P577" s="4">
        <f>'Histórico de Remunerações'!E579</f>
        <v>0</v>
      </c>
    </row>
    <row r="578" spans="15:16" x14ac:dyDescent="0.25">
      <c r="O578" s="21" t="str">
        <f ca="1">IFERROR(IF(LEFT(O577,2)="13",DATE(RIGHT(O577,4),12,31),IF(EOMONTH(O577,1)&gt;PREMISSAS!$C$3,"",IF(MONTH(O577)=11,"13º "&amp;YEAR(O577),EOMONTH(O577,1)))),"")</f>
        <v/>
      </c>
      <c r="P578" s="4">
        <f>'Histórico de Remunerações'!E580</f>
        <v>0</v>
      </c>
    </row>
    <row r="579" spans="15:16" x14ac:dyDescent="0.25">
      <c r="O579" s="21" t="str">
        <f ca="1">IFERROR(IF(LEFT(O578,2)="13",DATE(RIGHT(O578,4),12,31),IF(EOMONTH(O578,1)&gt;PREMISSAS!$C$3,"",IF(MONTH(O578)=11,"13º "&amp;YEAR(O578),EOMONTH(O578,1)))),"")</f>
        <v/>
      </c>
      <c r="P579" s="4">
        <f>'Histórico de Remunerações'!E581</f>
        <v>0</v>
      </c>
    </row>
    <row r="580" spans="15:16" x14ac:dyDescent="0.25">
      <c r="O580" s="21" t="str">
        <f ca="1">IFERROR(IF(LEFT(O579,2)="13",DATE(RIGHT(O579,4),12,31),IF(EOMONTH(O579,1)&gt;PREMISSAS!$C$3,"",IF(MONTH(O579)=11,"13º "&amp;YEAR(O579),EOMONTH(O579,1)))),"")</f>
        <v/>
      </c>
      <c r="P580" s="4">
        <f>'Histórico de Remunerações'!E582</f>
        <v>0</v>
      </c>
    </row>
    <row r="581" spans="15:16" x14ac:dyDescent="0.25">
      <c r="O581" s="21" t="str">
        <f ca="1">IFERROR(IF(LEFT(O580,2)="13",DATE(RIGHT(O580,4),12,31),IF(EOMONTH(O580,1)&gt;PREMISSAS!$C$3,"",IF(MONTH(O580)=11,"13º "&amp;YEAR(O580),EOMONTH(O580,1)))),"")</f>
        <v/>
      </c>
      <c r="P581" s="4">
        <f>'Histórico de Remunerações'!E583</f>
        <v>0</v>
      </c>
    </row>
    <row r="582" spans="15:16" x14ac:dyDescent="0.25">
      <c r="O582" s="21" t="str">
        <f ca="1">IFERROR(IF(LEFT(O581,2)="13",DATE(RIGHT(O581,4),12,31),IF(EOMONTH(O581,1)&gt;PREMISSAS!$C$3,"",IF(MONTH(O581)=11,"13º "&amp;YEAR(O581),EOMONTH(O581,1)))),"")</f>
        <v/>
      </c>
      <c r="P582" s="4">
        <f>'Histórico de Remunerações'!E584</f>
        <v>0</v>
      </c>
    </row>
    <row r="583" spans="15:16" x14ac:dyDescent="0.25">
      <c r="O583" s="21" t="str">
        <f ca="1">IFERROR(IF(LEFT(O582,2)="13",DATE(RIGHT(O582,4),12,31),IF(EOMONTH(O582,1)&gt;PREMISSAS!$C$3,"",IF(MONTH(O582)=11,"13º "&amp;YEAR(O582),EOMONTH(O582,1)))),"")</f>
        <v/>
      </c>
      <c r="P583" s="4">
        <f>'Histórico de Remunerações'!E585</f>
        <v>0</v>
      </c>
    </row>
    <row r="584" spans="15:16" x14ac:dyDescent="0.25">
      <c r="O584" s="21" t="str">
        <f ca="1">IFERROR(IF(LEFT(O583,2)="13",DATE(RIGHT(O583,4),12,31),IF(EOMONTH(O583,1)&gt;PREMISSAS!$C$3,"",IF(MONTH(O583)=11,"13º "&amp;YEAR(O583),EOMONTH(O583,1)))),"")</f>
        <v/>
      </c>
      <c r="P584" s="4">
        <f>'Histórico de Remunerações'!E586</f>
        <v>0</v>
      </c>
    </row>
    <row r="585" spans="15:16" x14ac:dyDescent="0.25">
      <c r="O585" s="21" t="str">
        <f ca="1">IFERROR(IF(LEFT(O584,2)="13",DATE(RIGHT(O584,4),12,31),IF(EOMONTH(O584,1)&gt;PREMISSAS!$C$3,"",IF(MONTH(O584)=11,"13º "&amp;YEAR(O584),EOMONTH(O584,1)))),"")</f>
        <v/>
      </c>
      <c r="P585" s="4">
        <f>'Histórico de Remunerações'!E587</f>
        <v>0</v>
      </c>
    </row>
    <row r="586" spans="15:16" x14ac:dyDescent="0.25">
      <c r="O586" s="21" t="str">
        <f ca="1">IFERROR(IF(LEFT(O585,2)="13",DATE(RIGHT(O585,4),12,31),IF(EOMONTH(O585,1)&gt;PREMISSAS!$C$3,"",IF(MONTH(O585)=11,"13º "&amp;YEAR(O585),EOMONTH(O585,1)))),"")</f>
        <v/>
      </c>
      <c r="P586" s="4">
        <f>'Histórico de Remunerações'!E588</f>
        <v>0</v>
      </c>
    </row>
    <row r="587" spans="15:16" x14ac:dyDescent="0.25">
      <c r="O587" s="21" t="str">
        <f ca="1">IFERROR(IF(LEFT(O586,2)="13",DATE(RIGHT(O586,4),12,31),IF(EOMONTH(O586,1)&gt;PREMISSAS!$C$3,"",IF(MONTH(O586)=11,"13º "&amp;YEAR(O586),EOMONTH(O586,1)))),"")</f>
        <v/>
      </c>
      <c r="P587" s="4">
        <f>'Histórico de Remunerações'!E589</f>
        <v>0</v>
      </c>
    </row>
    <row r="588" spans="15:16" x14ac:dyDescent="0.25">
      <c r="O588" s="21" t="str">
        <f ca="1">IFERROR(IF(LEFT(O587,2)="13",DATE(RIGHT(O587,4),12,31),IF(EOMONTH(O587,1)&gt;PREMISSAS!$C$3,"",IF(MONTH(O587)=11,"13º "&amp;YEAR(O587),EOMONTH(O587,1)))),"")</f>
        <v/>
      </c>
      <c r="P588" s="4">
        <f>'Histórico de Remunerações'!E590</f>
        <v>0</v>
      </c>
    </row>
    <row r="589" spans="15:16" x14ac:dyDescent="0.25">
      <c r="O589" s="21" t="str">
        <f ca="1">IFERROR(IF(LEFT(O588,2)="13",DATE(RIGHT(O588,4),12,31),IF(EOMONTH(O588,1)&gt;PREMISSAS!$C$3,"",IF(MONTH(O588)=11,"13º "&amp;YEAR(O588),EOMONTH(O588,1)))),"")</f>
        <v/>
      </c>
      <c r="P589" s="4">
        <f>'Histórico de Remunerações'!E591</f>
        <v>0</v>
      </c>
    </row>
    <row r="590" spans="15:16" x14ac:dyDescent="0.25">
      <c r="O590" s="21" t="str">
        <f ca="1">IFERROR(IF(LEFT(O589,2)="13",DATE(RIGHT(O589,4),12,31),IF(EOMONTH(O589,1)&gt;PREMISSAS!$C$3,"",IF(MONTH(O589)=11,"13º "&amp;YEAR(O589),EOMONTH(O589,1)))),"")</f>
        <v/>
      </c>
      <c r="P590" s="4">
        <f>'Histórico de Remunerações'!E592</f>
        <v>0</v>
      </c>
    </row>
    <row r="591" spans="15:16" x14ac:dyDescent="0.25">
      <c r="O591" s="21" t="str">
        <f ca="1">IFERROR(IF(LEFT(O590,2)="13",DATE(RIGHT(O590,4),12,31),IF(EOMONTH(O590,1)&gt;PREMISSAS!$C$3,"",IF(MONTH(O590)=11,"13º "&amp;YEAR(O590),EOMONTH(O590,1)))),"")</f>
        <v/>
      </c>
      <c r="P591" s="4">
        <f>'Histórico de Remunerações'!E593</f>
        <v>0</v>
      </c>
    </row>
    <row r="592" spans="15:16" x14ac:dyDescent="0.25">
      <c r="O592" s="21" t="str">
        <f ca="1">IFERROR(IF(LEFT(O591,2)="13",DATE(RIGHT(O591,4),12,31),IF(EOMONTH(O591,1)&gt;PREMISSAS!$C$3,"",IF(MONTH(O591)=11,"13º "&amp;YEAR(O591),EOMONTH(O591,1)))),"")</f>
        <v/>
      </c>
      <c r="P592" s="4">
        <f>'Histórico de Remunerações'!E594</f>
        <v>0</v>
      </c>
    </row>
    <row r="593" spans="15:16" x14ac:dyDescent="0.25">
      <c r="O593" s="21" t="str">
        <f ca="1">IFERROR(IF(LEFT(O592,2)="13",DATE(RIGHT(O592,4),12,31),IF(EOMONTH(O592,1)&gt;PREMISSAS!$C$3,"",IF(MONTH(O592)=11,"13º "&amp;YEAR(O592),EOMONTH(O592,1)))),"")</f>
        <v/>
      </c>
      <c r="P593" s="4">
        <f>'Histórico de Remunerações'!E595</f>
        <v>0</v>
      </c>
    </row>
    <row r="594" spans="15:16" x14ac:dyDescent="0.25">
      <c r="O594" s="21" t="str">
        <f ca="1">IFERROR(IF(LEFT(O593,2)="13",DATE(RIGHT(O593,4),12,31),IF(EOMONTH(O593,1)&gt;PREMISSAS!$C$3,"",IF(MONTH(O593)=11,"13º "&amp;YEAR(O593),EOMONTH(O593,1)))),"")</f>
        <v/>
      </c>
      <c r="P594" s="4">
        <f>'Histórico de Remunerações'!E596</f>
        <v>0</v>
      </c>
    </row>
    <row r="595" spans="15:16" x14ac:dyDescent="0.25">
      <c r="O595" s="21" t="str">
        <f ca="1">IFERROR(IF(LEFT(O594,2)="13",DATE(RIGHT(O594,4),12,31),IF(EOMONTH(O594,1)&gt;PREMISSAS!$C$3,"",IF(MONTH(O594)=11,"13º "&amp;YEAR(O594),EOMONTH(O594,1)))),"")</f>
        <v/>
      </c>
      <c r="P595" s="4">
        <f>'Histórico de Remunerações'!E597</f>
        <v>0</v>
      </c>
    </row>
    <row r="596" spans="15:16" x14ac:dyDescent="0.25">
      <c r="O596" s="21" t="str">
        <f ca="1">IFERROR(IF(LEFT(O595,2)="13",DATE(RIGHT(O595,4),12,31),IF(EOMONTH(O595,1)&gt;PREMISSAS!$C$3,"",IF(MONTH(O595)=11,"13º "&amp;YEAR(O595),EOMONTH(O595,1)))),"")</f>
        <v/>
      </c>
      <c r="P596" s="4">
        <f>'Histórico de Remunerações'!E598</f>
        <v>0</v>
      </c>
    </row>
    <row r="597" spans="15:16" x14ac:dyDescent="0.25">
      <c r="O597" s="21" t="str">
        <f ca="1">IFERROR(IF(LEFT(O596,2)="13",DATE(RIGHT(O596,4),12,31),IF(EOMONTH(O596,1)&gt;PREMISSAS!$C$3,"",IF(MONTH(O596)=11,"13º "&amp;YEAR(O596),EOMONTH(O596,1)))),"")</f>
        <v/>
      </c>
      <c r="P597" s="4">
        <f>'Histórico de Remunerações'!E599</f>
        <v>0</v>
      </c>
    </row>
    <row r="598" spans="15:16" x14ac:dyDescent="0.25">
      <c r="O598" s="21" t="str">
        <f ca="1">IFERROR(IF(LEFT(O597,2)="13",DATE(RIGHT(O597,4),12,31),IF(EOMONTH(O597,1)&gt;PREMISSAS!$C$3,"",IF(MONTH(O597)=11,"13º "&amp;YEAR(O597),EOMONTH(O597,1)))),"")</f>
        <v/>
      </c>
      <c r="P598" s="4">
        <f>'Histórico de Remunerações'!E600</f>
        <v>0</v>
      </c>
    </row>
    <row r="599" spans="15:16" x14ac:dyDescent="0.25">
      <c r="O599" s="21" t="str">
        <f ca="1">IFERROR(IF(LEFT(O598,2)="13",DATE(RIGHT(O598,4),12,31),IF(EOMONTH(O598,1)&gt;PREMISSAS!$C$3,"",IF(MONTH(O598)=11,"13º "&amp;YEAR(O598),EOMONTH(O598,1)))),"")</f>
        <v/>
      </c>
      <c r="P599" s="4">
        <f>'Histórico de Remunerações'!E601</f>
        <v>0</v>
      </c>
    </row>
    <row r="600" spans="15:16" x14ac:dyDescent="0.25">
      <c r="O600" s="21" t="str">
        <f ca="1">IFERROR(IF(LEFT(O599,2)="13",DATE(RIGHT(O599,4),12,31),IF(EOMONTH(O599,1)&gt;PREMISSAS!$C$3,"",IF(MONTH(O599)=11,"13º "&amp;YEAR(O599),EOMONTH(O599,1)))),"")</f>
        <v/>
      </c>
      <c r="P600" s="4">
        <f>'Histórico de Remunerações'!E602</f>
        <v>0</v>
      </c>
    </row>
    <row r="601" spans="15:16" x14ac:dyDescent="0.25">
      <c r="O601" s="21" t="str">
        <f ca="1">IFERROR(IF(LEFT(O600,2)="13",DATE(RIGHT(O600,4),12,31),IF(EOMONTH(O600,1)&gt;PREMISSAS!$C$3,"",IF(MONTH(O600)=11,"13º "&amp;YEAR(O600),EOMONTH(O600,1)))),"")</f>
        <v/>
      </c>
      <c r="P601" s="4">
        <f>'Histórico de Remunerações'!E603</f>
        <v>0</v>
      </c>
    </row>
    <row r="602" spans="15:16" x14ac:dyDescent="0.25">
      <c r="O602" s="21" t="str">
        <f ca="1">IFERROR(IF(LEFT(O601,2)="13",DATE(RIGHT(O601,4),12,31),IF(EOMONTH(O601,1)&gt;PREMISSAS!$C$3,"",IF(MONTH(O601)=11,"13º "&amp;YEAR(O601),EOMONTH(O601,1)))),"")</f>
        <v/>
      </c>
      <c r="P602" s="4">
        <f>'Histórico de Remunerações'!E604</f>
        <v>0</v>
      </c>
    </row>
    <row r="603" spans="15:16" x14ac:dyDescent="0.25">
      <c r="O603" s="21" t="str">
        <f ca="1">IFERROR(IF(LEFT(O602,2)="13",DATE(RIGHT(O602,4),12,31),IF(EOMONTH(O602,1)&gt;PREMISSAS!$C$3,"",IF(MONTH(O602)=11,"13º "&amp;YEAR(O602),EOMONTH(O602,1)))),"")</f>
        <v/>
      </c>
      <c r="P603" s="4">
        <f>'Histórico de Remunerações'!E605</f>
        <v>0</v>
      </c>
    </row>
    <row r="604" spans="15:16" x14ac:dyDescent="0.25">
      <c r="O604" s="21" t="str">
        <f ca="1">IFERROR(IF(LEFT(O603,2)="13",DATE(RIGHT(O603,4),12,31),IF(EOMONTH(O603,1)&gt;PREMISSAS!$C$3,"",IF(MONTH(O603)=11,"13º "&amp;YEAR(O603),EOMONTH(O603,1)))),"")</f>
        <v/>
      </c>
      <c r="P604" s="4">
        <f>'Histórico de Remunerações'!E606</f>
        <v>0</v>
      </c>
    </row>
    <row r="605" spans="15:16" x14ac:dyDescent="0.25">
      <c r="O605" s="21" t="str">
        <f ca="1">IFERROR(IF(LEFT(O604,2)="13",DATE(RIGHT(O604,4),12,31),IF(EOMONTH(O604,1)&gt;PREMISSAS!$C$3,"",IF(MONTH(O604)=11,"13º "&amp;YEAR(O604),EOMONTH(O604,1)))),"")</f>
        <v/>
      </c>
      <c r="P605" s="4">
        <f>'Histórico de Remunerações'!E607</f>
        <v>0</v>
      </c>
    </row>
    <row r="606" spans="15:16" x14ac:dyDescent="0.25">
      <c r="O606" s="21" t="str">
        <f ca="1">IFERROR(IF(LEFT(O605,2)="13",DATE(RIGHT(O605,4),12,31),IF(EOMONTH(O605,1)&gt;PREMISSAS!$C$3,"",IF(MONTH(O605)=11,"13º "&amp;YEAR(O605),EOMONTH(O605,1)))),"")</f>
        <v/>
      </c>
      <c r="P606" s="4">
        <f>'Histórico de Remunerações'!E608</f>
        <v>0</v>
      </c>
    </row>
    <row r="607" spans="15:16" x14ac:dyDescent="0.25">
      <c r="O607" s="21" t="str">
        <f ca="1">IFERROR(IF(LEFT(O606,2)="13",DATE(RIGHT(O606,4),12,31),IF(EOMONTH(O606,1)&gt;PREMISSAS!$C$3,"",IF(MONTH(O606)=11,"13º "&amp;YEAR(O606),EOMONTH(O606,1)))),"")</f>
        <v/>
      </c>
      <c r="P607" s="4">
        <f>'Histórico de Remunerações'!E609</f>
        <v>0</v>
      </c>
    </row>
    <row r="608" spans="15:16" x14ac:dyDescent="0.25">
      <c r="O608" s="21" t="str">
        <f ca="1">IFERROR(IF(LEFT(O607,2)="13",DATE(RIGHT(O607,4),12,31),IF(EOMONTH(O607,1)&gt;PREMISSAS!$C$3,"",IF(MONTH(O607)=11,"13º "&amp;YEAR(O607),EOMONTH(O607,1)))),"")</f>
        <v/>
      </c>
      <c r="P608" s="4">
        <f>'Histórico de Remunerações'!E610</f>
        <v>0</v>
      </c>
    </row>
    <row r="609" spans="15:16" x14ac:dyDescent="0.25">
      <c r="O609" s="21" t="str">
        <f ca="1">IFERROR(IF(LEFT(O608,2)="13",DATE(RIGHT(O608,4),12,31),IF(EOMONTH(O608,1)&gt;PREMISSAS!$C$3,"",IF(MONTH(O608)=11,"13º "&amp;YEAR(O608),EOMONTH(O608,1)))),"")</f>
        <v/>
      </c>
      <c r="P609" s="4">
        <f>'Histórico de Remunerações'!E611</f>
        <v>0</v>
      </c>
    </row>
    <row r="610" spans="15:16" x14ac:dyDescent="0.25">
      <c r="O610" s="21" t="str">
        <f ca="1">IFERROR(IF(LEFT(O609,2)="13",DATE(RIGHT(O609,4),12,31),IF(EOMONTH(O609,1)&gt;PREMISSAS!$C$3,"",IF(MONTH(O609)=11,"13º "&amp;YEAR(O609),EOMONTH(O609,1)))),"")</f>
        <v/>
      </c>
      <c r="P610" s="4">
        <f>'Histórico de Remunerações'!E612</f>
        <v>0</v>
      </c>
    </row>
    <row r="611" spans="15:16" x14ac:dyDescent="0.25">
      <c r="O611" s="21" t="str">
        <f ca="1">IFERROR(IF(LEFT(O610,2)="13",DATE(RIGHT(O610,4),12,31),IF(EOMONTH(O610,1)&gt;PREMISSAS!$C$3,"",IF(MONTH(O610)=11,"13º "&amp;YEAR(O610),EOMONTH(O610,1)))),"")</f>
        <v/>
      </c>
      <c r="P611" s="4">
        <f>'Histórico de Remunerações'!E613</f>
        <v>0</v>
      </c>
    </row>
    <row r="612" spans="15:16" x14ac:dyDescent="0.25">
      <c r="O612" s="21" t="str">
        <f ca="1">IFERROR(IF(LEFT(O611,2)="13",DATE(RIGHT(O611,4),12,31),IF(EOMONTH(O611,1)&gt;PREMISSAS!$C$3,"",IF(MONTH(O611)=11,"13º "&amp;YEAR(O611),EOMONTH(O611,1)))),"")</f>
        <v/>
      </c>
      <c r="P612" s="4">
        <f>'Histórico de Remunerações'!E614</f>
        <v>0</v>
      </c>
    </row>
    <row r="613" spans="15:16" x14ac:dyDescent="0.25">
      <c r="O613" s="21" t="str">
        <f ca="1">IFERROR(IF(LEFT(O612,2)="13",DATE(RIGHT(O612,4),12,31),IF(EOMONTH(O612,1)&gt;PREMISSAS!$C$3,"",IF(MONTH(O612)=11,"13º "&amp;YEAR(O612),EOMONTH(O612,1)))),"")</f>
        <v/>
      </c>
      <c r="P613" s="4">
        <f>'Histórico de Remunerações'!E615</f>
        <v>0</v>
      </c>
    </row>
    <row r="614" spans="15:16" x14ac:dyDescent="0.25">
      <c r="O614" s="21" t="str">
        <f ca="1">IFERROR(IF(LEFT(O613,2)="13",DATE(RIGHT(O613,4),12,31),IF(EOMONTH(O613,1)&gt;PREMISSAS!$C$3,"",IF(MONTH(O613)=11,"13º "&amp;YEAR(O613),EOMONTH(O613,1)))),"")</f>
        <v/>
      </c>
      <c r="P614" s="4">
        <f>'Histórico de Remunerações'!E616</f>
        <v>0</v>
      </c>
    </row>
    <row r="615" spans="15:16" x14ac:dyDescent="0.25">
      <c r="O615" s="21" t="str">
        <f ca="1">IFERROR(IF(LEFT(O614,2)="13",DATE(RIGHT(O614,4),12,31),IF(EOMONTH(O614,1)&gt;PREMISSAS!$C$3,"",IF(MONTH(O614)=11,"13º "&amp;YEAR(O614),EOMONTH(O614,1)))),"")</f>
        <v/>
      </c>
      <c r="P615" s="4">
        <f>'Histórico de Remunerações'!E617</f>
        <v>0</v>
      </c>
    </row>
    <row r="616" spans="15:16" x14ac:dyDescent="0.25">
      <c r="O616" s="21" t="str">
        <f ca="1">IFERROR(IF(LEFT(O615,2)="13",DATE(RIGHT(O615,4),12,31),IF(EOMONTH(O615,1)&gt;PREMISSAS!$C$3,"",IF(MONTH(O615)=11,"13º "&amp;YEAR(O615),EOMONTH(O615,1)))),"")</f>
        <v/>
      </c>
      <c r="P616" s="4">
        <f>'Histórico de Remunerações'!E618</f>
        <v>0</v>
      </c>
    </row>
    <row r="617" spans="15:16" x14ac:dyDescent="0.25">
      <c r="O617" s="21" t="str">
        <f ca="1">IFERROR(IF(LEFT(O616,2)="13",DATE(RIGHT(O616,4),12,31),IF(EOMONTH(O616,1)&gt;PREMISSAS!$C$3,"",IF(MONTH(O616)=11,"13º "&amp;YEAR(O616),EOMONTH(O616,1)))),"")</f>
        <v/>
      </c>
      <c r="P617" s="4">
        <f>'Histórico de Remunerações'!E619</f>
        <v>0</v>
      </c>
    </row>
    <row r="618" spans="15:16" x14ac:dyDescent="0.25">
      <c r="O618" s="21" t="str">
        <f ca="1">IFERROR(IF(LEFT(O617,2)="13",DATE(RIGHT(O617,4),12,31),IF(EOMONTH(O617,1)&gt;PREMISSAS!$C$3,"",IF(MONTH(O617)=11,"13º "&amp;YEAR(O617),EOMONTH(O617,1)))),"")</f>
        <v/>
      </c>
      <c r="P618" s="4">
        <f>'Histórico de Remunerações'!E620</f>
        <v>0</v>
      </c>
    </row>
    <row r="619" spans="15:16" x14ac:dyDescent="0.25">
      <c r="O619" s="21" t="str">
        <f ca="1">IFERROR(IF(LEFT(O618,2)="13",DATE(RIGHT(O618,4),12,31),IF(EOMONTH(O618,1)&gt;PREMISSAS!$C$3,"",IF(MONTH(O618)=11,"13º "&amp;YEAR(O618),EOMONTH(O618,1)))),"")</f>
        <v/>
      </c>
      <c r="P619" s="4">
        <f>'Histórico de Remunerações'!E621</f>
        <v>0</v>
      </c>
    </row>
    <row r="620" spans="15:16" x14ac:dyDescent="0.25">
      <c r="O620" s="21" t="str">
        <f ca="1">IFERROR(IF(LEFT(O619,2)="13",DATE(RIGHT(O619,4),12,31),IF(EOMONTH(O619,1)&gt;PREMISSAS!$C$3,"",IF(MONTH(O619)=11,"13º "&amp;YEAR(O619),EOMONTH(O619,1)))),"")</f>
        <v/>
      </c>
      <c r="P620" s="4">
        <f>'Histórico de Remunerações'!E622</f>
        <v>0</v>
      </c>
    </row>
    <row r="621" spans="15:16" x14ac:dyDescent="0.25">
      <c r="O621" s="21" t="str">
        <f ca="1">IFERROR(IF(LEFT(O620,2)="13",DATE(RIGHT(O620,4),12,31),IF(EOMONTH(O620,1)&gt;PREMISSAS!$C$3,"",IF(MONTH(O620)=11,"13º "&amp;YEAR(O620),EOMONTH(O620,1)))),"")</f>
        <v/>
      </c>
      <c r="P621" s="4">
        <f>'Histórico de Remunerações'!E623</f>
        <v>0</v>
      </c>
    </row>
    <row r="622" spans="15:16" x14ac:dyDescent="0.25">
      <c r="O622" s="21" t="str">
        <f ca="1">IFERROR(IF(LEFT(O621,2)="13",DATE(RIGHT(O621,4),12,31),IF(EOMONTH(O621,1)&gt;PREMISSAS!$C$3,"",IF(MONTH(O621)=11,"13º "&amp;YEAR(O621),EOMONTH(O621,1)))),"")</f>
        <v/>
      </c>
      <c r="P622" s="4">
        <f>'Histórico de Remunerações'!E624</f>
        <v>0</v>
      </c>
    </row>
    <row r="623" spans="15:16" x14ac:dyDescent="0.25">
      <c r="O623" s="21" t="str">
        <f ca="1">IFERROR(IF(LEFT(O622,2)="13",DATE(RIGHT(O622,4),12,31),IF(EOMONTH(O622,1)&gt;PREMISSAS!$C$3,"",IF(MONTH(O622)=11,"13º "&amp;YEAR(O622),EOMONTH(O622,1)))),"")</f>
        <v/>
      </c>
      <c r="P623" s="4">
        <f>'Histórico de Remunerações'!E625</f>
        <v>0</v>
      </c>
    </row>
    <row r="624" spans="15:16" x14ac:dyDescent="0.25">
      <c r="O624" s="21" t="str">
        <f ca="1">IFERROR(IF(LEFT(O623,2)="13",DATE(RIGHT(O623,4),12,31),IF(EOMONTH(O623,1)&gt;PREMISSAS!$C$3,"",IF(MONTH(O623)=11,"13º "&amp;YEAR(O623),EOMONTH(O623,1)))),"")</f>
        <v/>
      </c>
      <c r="P624" s="4">
        <f>'Histórico de Remunerações'!E626</f>
        <v>0</v>
      </c>
    </row>
    <row r="625" spans="15:16" x14ac:dyDescent="0.25">
      <c r="O625" s="21" t="str">
        <f ca="1">IFERROR(IF(LEFT(O624,2)="13",DATE(RIGHT(O624,4),12,31),IF(EOMONTH(O624,1)&gt;PREMISSAS!$C$3,"",IF(MONTH(O624)=11,"13º "&amp;YEAR(O624),EOMONTH(O624,1)))),"")</f>
        <v/>
      </c>
      <c r="P625" s="4">
        <f>'Histórico de Remunerações'!E627</f>
        <v>0</v>
      </c>
    </row>
    <row r="626" spans="15:16" x14ac:dyDescent="0.25">
      <c r="O626" s="21" t="str">
        <f ca="1">IFERROR(IF(LEFT(O625,2)="13",DATE(RIGHT(O625,4),12,31),IF(EOMONTH(O625,1)&gt;PREMISSAS!$C$3,"",IF(MONTH(O625)=11,"13º "&amp;YEAR(O625),EOMONTH(O625,1)))),"")</f>
        <v/>
      </c>
      <c r="P626" s="4">
        <f>'Histórico de Remunerações'!E628</f>
        <v>0</v>
      </c>
    </row>
    <row r="627" spans="15:16" x14ac:dyDescent="0.25">
      <c r="O627" s="21" t="str">
        <f ca="1">IFERROR(IF(LEFT(O626,2)="13",DATE(RIGHT(O626,4),12,31),IF(EOMONTH(O626,1)&gt;PREMISSAS!$C$3,"",IF(MONTH(O626)=11,"13º "&amp;YEAR(O626),EOMONTH(O626,1)))),"")</f>
        <v/>
      </c>
      <c r="P627" s="4">
        <f>'Histórico de Remunerações'!E629</f>
        <v>0</v>
      </c>
    </row>
    <row r="628" spans="15:16" x14ac:dyDescent="0.25">
      <c r="O628" s="21" t="str">
        <f ca="1">IFERROR(IF(LEFT(O627,2)="13",DATE(RIGHT(O627,4),12,31),IF(EOMONTH(O627,1)&gt;PREMISSAS!$C$3,"",IF(MONTH(O627)=11,"13º "&amp;YEAR(O627),EOMONTH(O627,1)))),"")</f>
        <v/>
      </c>
      <c r="P628" s="4">
        <f>'Histórico de Remunerações'!E630</f>
        <v>0</v>
      </c>
    </row>
    <row r="629" spans="15:16" x14ac:dyDescent="0.25">
      <c r="O629" s="21" t="str">
        <f ca="1">IFERROR(IF(LEFT(O628,2)="13",DATE(RIGHT(O628,4),12,31),IF(EOMONTH(O628,1)&gt;PREMISSAS!$C$3,"",IF(MONTH(O628)=11,"13º "&amp;YEAR(O628),EOMONTH(O628,1)))),"")</f>
        <v/>
      </c>
      <c r="P629" s="4">
        <f>'Histórico de Remunerações'!E631</f>
        <v>0</v>
      </c>
    </row>
    <row r="630" spans="15:16" x14ac:dyDescent="0.25">
      <c r="O630" s="21" t="str">
        <f ca="1">IFERROR(IF(LEFT(O629,2)="13",DATE(RIGHT(O629,4),12,31),IF(EOMONTH(O629,1)&gt;PREMISSAS!$C$3,"",IF(MONTH(O629)=11,"13º "&amp;YEAR(O629),EOMONTH(O629,1)))),"")</f>
        <v/>
      </c>
      <c r="P630" s="4">
        <f>'Histórico de Remunerações'!E632</f>
        <v>0</v>
      </c>
    </row>
    <row r="631" spans="15:16" x14ac:dyDescent="0.25">
      <c r="O631" s="21" t="str">
        <f ca="1">IFERROR(IF(LEFT(O630,2)="13",DATE(RIGHT(O630,4),12,31),IF(EOMONTH(O630,1)&gt;PREMISSAS!$C$3,"",IF(MONTH(O630)=11,"13º "&amp;YEAR(O630),EOMONTH(O630,1)))),"")</f>
        <v/>
      </c>
      <c r="P631" s="4">
        <f>'Histórico de Remunerações'!E633</f>
        <v>0</v>
      </c>
    </row>
    <row r="632" spans="15:16" x14ac:dyDescent="0.25">
      <c r="O632" s="21" t="str">
        <f ca="1">IFERROR(IF(LEFT(O631,2)="13",DATE(RIGHT(O631,4),12,31),IF(EOMONTH(O631,1)&gt;PREMISSAS!$C$3,"",IF(MONTH(O631)=11,"13º "&amp;YEAR(O631),EOMONTH(O631,1)))),"")</f>
        <v/>
      </c>
      <c r="P632" s="4">
        <f>'Histórico de Remunerações'!E634</f>
        <v>0</v>
      </c>
    </row>
    <row r="633" spans="15:16" x14ac:dyDescent="0.25">
      <c r="O633" s="21" t="str">
        <f ca="1">IFERROR(IF(LEFT(O632,2)="13",DATE(RIGHT(O632,4),12,31),IF(EOMONTH(O632,1)&gt;PREMISSAS!$C$3,"",IF(MONTH(O632)=11,"13º "&amp;YEAR(O632),EOMONTH(O632,1)))),"")</f>
        <v/>
      </c>
      <c r="P633" s="4">
        <f>'Histórico de Remunerações'!E635</f>
        <v>0</v>
      </c>
    </row>
    <row r="634" spans="15:16" x14ac:dyDescent="0.25">
      <c r="O634" s="21" t="str">
        <f ca="1">IFERROR(IF(LEFT(O633,2)="13",DATE(RIGHT(O633,4),12,31),IF(EOMONTH(O633,1)&gt;PREMISSAS!$C$3,"",IF(MONTH(O633)=11,"13º "&amp;YEAR(O633),EOMONTH(O633,1)))),"")</f>
        <v/>
      </c>
      <c r="P634" s="4">
        <f>'Histórico de Remunerações'!E636</f>
        <v>0</v>
      </c>
    </row>
    <row r="635" spans="15:16" x14ac:dyDescent="0.25">
      <c r="O635" s="21" t="str">
        <f ca="1">IFERROR(IF(LEFT(O634,2)="13",DATE(RIGHT(O634,4),12,31),IF(EOMONTH(O634,1)&gt;PREMISSAS!$C$3,"",IF(MONTH(O634)=11,"13º "&amp;YEAR(O634),EOMONTH(O634,1)))),"")</f>
        <v/>
      </c>
      <c r="P635" s="4">
        <f>'Histórico de Remunerações'!E637</f>
        <v>0</v>
      </c>
    </row>
    <row r="636" spans="15:16" x14ac:dyDescent="0.25">
      <c r="O636" s="21" t="str">
        <f ca="1">IFERROR(IF(LEFT(O635,2)="13",DATE(RIGHT(O635,4),12,31),IF(EOMONTH(O635,1)&gt;PREMISSAS!$C$3,"",IF(MONTH(O635)=11,"13º "&amp;YEAR(O635),EOMONTH(O635,1)))),"")</f>
        <v/>
      </c>
      <c r="P636" s="4">
        <f>'Histórico de Remunerações'!E638</f>
        <v>0</v>
      </c>
    </row>
    <row r="637" spans="15:16" x14ac:dyDescent="0.25">
      <c r="O637" s="21" t="str">
        <f ca="1">IFERROR(IF(LEFT(O636,2)="13",DATE(RIGHT(O636,4),12,31),IF(EOMONTH(O636,1)&gt;PREMISSAS!$C$3,"",IF(MONTH(O636)=11,"13º "&amp;YEAR(O636),EOMONTH(O636,1)))),"")</f>
        <v/>
      </c>
      <c r="P637" s="4">
        <f>'Histórico de Remunerações'!E639</f>
        <v>0</v>
      </c>
    </row>
    <row r="638" spans="15:16" x14ac:dyDescent="0.25">
      <c r="O638" s="21" t="str">
        <f ca="1">IFERROR(IF(LEFT(O637,2)="13",DATE(RIGHT(O637,4),12,31),IF(EOMONTH(O637,1)&gt;PREMISSAS!$C$3,"",IF(MONTH(O637)=11,"13º "&amp;YEAR(O637),EOMONTH(O637,1)))),"")</f>
        <v/>
      </c>
      <c r="P638" s="4">
        <f>'Histórico de Remunerações'!E640</f>
        <v>0</v>
      </c>
    </row>
    <row r="639" spans="15:16" x14ac:dyDescent="0.25">
      <c r="O639" s="21" t="str">
        <f ca="1">IFERROR(IF(LEFT(O638,2)="13",DATE(RIGHT(O638,4),12,31),IF(EOMONTH(O638,1)&gt;PREMISSAS!$C$3,"",IF(MONTH(O638)=11,"13º "&amp;YEAR(O638),EOMONTH(O638,1)))),"")</f>
        <v/>
      </c>
      <c r="P639" s="4">
        <f>'Histórico de Remunerações'!E641</f>
        <v>0</v>
      </c>
    </row>
    <row r="640" spans="15:16" x14ac:dyDescent="0.25">
      <c r="O640" s="21" t="str">
        <f ca="1">IFERROR(IF(LEFT(O639,2)="13",DATE(RIGHT(O639,4),12,31),IF(EOMONTH(O639,1)&gt;PREMISSAS!$C$3,"",IF(MONTH(O639)=11,"13º "&amp;YEAR(O639),EOMONTH(O639,1)))),"")</f>
        <v/>
      </c>
      <c r="P640" s="4">
        <f>'Histórico de Remunerações'!E642</f>
        <v>0</v>
      </c>
    </row>
    <row r="641" spans="15:16" x14ac:dyDescent="0.25">
      <c r="O641" s="21" t="str">
        <f ca="1">IFERROR(IF(LEFT(O640,2)="13",DATE(RIGHT(O640,4),12,31),IF(EOMONTH(O640,1)&gt;PREMISSAS!$C$3,"",IF(MONTH(O640)=11,"13º "&amp;YEAR(O640),EOMONTH(O640,1)))),"")</f>
        <v/>
      </c>
      <c r="P641" s="4">
        <f>'Histórico de Remunerações'!E643</f>
        <v>0</v>
      </c>
    </row>
    <row r="642" spans="15:16" x14ac:dyDescent="0.25">
      <c r="O642" s="21" t="str">
        <f ca="1">IFERROR(IF(LEFT(O641,2)="13",DATE(RIGHT(O641,4),12,31),IF(EOMONTH(O641,1)&gt;PREMISSAS!$C$3,"",IF(MONTH(O641)=11,"13º "&amp;YEAR(O641),EOMONTH(O641,1)))),"")</f>
        <v/>
      </c>
      <c r="P642" s="4">
        <f>'Histórico de Remunerações'!E644</f>
        <v>0</v>
      </c>
    </row>
    <row r="643" spans="15:16" x14ac:dyDescent="0.25">
      <c r="O643" s="21" t="str">
        <f ca="1">IFERROR(IF(LEFT(O642,2)="13",DATE(RIGHT(O642,4),12,31),IF(EOMONTH(O642,1)&gt;PREMISSAS!$C$3,"",IF(MONTH(O642)=11,"13º "&amp;YEAR(O642),EOMONTH(O642,1)))),"")</f>
        <v/>
      </c>
      <c r="P643" s="4">
        <f>'Histórico de Remunerações'!E645</f>
        <v>0</v>
      </c>
    </row>
    <row r="644" spans="15:16" x14ac:dyDescent="0.25">
      <c r="O644" s="21" t="str">
        <f ca="1">IFERROR(IF(LEFT(O643,2)="13",DATE(RIGHT(O643,4),12,31),IF(EOMONTH(O643,1)&gt;PREMISSAS!$C$3,"",IF(MONTH(O643)=11,"13º "&amp;YEAR(O643),EOMONTH(O643,1)))),"")</f>
        <v/>
      </c>
      <c r="P644" s="4">
        <f>'Histórico de Remunerações'!E646</f>
        <v>0</v>
      </c>
    </row>
    <row r="645" spans="15:16" x14ac:dyDescent="0.25">
      <c r="O645" s="21" t="str">
        <f ca="1">IFERROR(IF(LEFT(O644,2)="13",DATE(RIGHT(O644,4),12,31),IF(EOMONTH(O644,1)&gt;PREMISSAS!$C$3,"",IF(MONTH(O644)=11,"13º "&amp;YEAR(O644),EOMONTH(O644,1)))),"")</f>
        <v/>
      </c>
      <c r="P645" s="4">
        <f>'Histórico de Remunerações'!E647</f>
        <v>0</v>
      </c>
    </row>
    <row r="646" spans="15:16" x14ac:dyDescent="0.25">
      <c r="O646" s="21" t="str">
        <f ca="1">IFERROR(IF(LEFT(O645,2)="13",DATE(RIGHT(O645,4),12,31),IF(EOMONTH(O645,1)&gt;PREMISSAS!$C$3,"",IF(MONTH(O645)=11,"13º "&amp;YEAR(O645),EOMONTH(O645,1)))),"")</f>
        <v/>
      </c>
      <c r="P646" s="4">
        <f>'Histórico de Remunerações'!E648</f>
        <v>0</v>
      </c>
    </row>
    <row r="647" spans="15:16" x14ac:dyDescent="0.25">
      <c r="O647" s="21" t="str">
        <f ca="1">IFERROR(IF(LEFT(O646,2)="13",DATE(RIGHT(O646,4),12,31),IF(EOMONTH(O646,1)&gt;PREMISSAS!$C$3,"",IF(MONTH(O646)=11,"13º "&amp;YEAR(O646),EOMONTH(O646,1)))),"")</f>
        <v/>
      </c>
      <c r="P647" s="4">
        <f>'Histórico de Remunerações'!E649</f>
        <v>0</v>
      </c>
    </row>
    <row r="648" spans="15:16" x14ac:dyDescent="0.25">
      <c r="O648" s="21" t="str">
        <f ca="1">IFERROR(IF(LEFT(O647,2)="13",DATE(RIGHT(O647,4),12,31),IF(EOMONTH(O647,1)&gt;PREMISSAS!$C$3,"",IF(MONTH(O647)=11,"13º "&amp;YEAR(O647),EOMONTH(O647,1)))),"")</f>
        <v/>
      </c>
      <c r="P648" s="4">
        <f>'Histórico de Remunerações'!E650</f>
        <v>0</v>
      </c>
    </row>
    <row r="649" spans="15:16" x14ac:dyDescent="0.25">
      <c r="O649" s="21" t="str">
        <f ca="1">IFERROR(IF(LEFT(O648,2)="13",DATE(RIGHT(O648,4),12,31),IF(EOMONTH(O648,1)&gt;PREMISSAS!$C$3,"",IF(MONTH(O648)=11,"13º "&amp;YEAR(O648),EOMONTH(O648,1)))),"")</f>
        <v/>
      </c>
      <c r="P649" s="4">
        <f>'Histórico de Remunerações'!E651</f>
        <v>0</v>
      </c>
    </row>
    <row r="650" spans="15:16" x14ac:dyDescent="0.25">
      <c r="O650" s="21" t="str">
        <f ca="1">IFERROR(IF(LEFT(O649,2)="13",DATE(RIGHT(O649,4),12,31),IF(EOMONTH(O649,1)&gt;PREMISSAS!$C$3,"",IF(MONTH(O649)=11,"13º "&amp;YEAR(O649),EOMONTH(O649,1)))),"")</f>
        <v/>
      </c>
      <c r="P650" s="4">
        <f>'Histórico de Remunerações'!E652</f>
        <v>0</v>
      </c>
    </row>
    <row r="651" spans="15:16" x14ac:dyDescent="0.25">
      <c r="O651" s="21" t="str">
        <f ca="1">IFERROR(IF(LEFT(O650,2)="13",DATE(RIGHT(O650,4),12,31),IF(EOMONTH(O650,1)&gt;PREMISSAS!$C$3,"",IF(MONTH(O650)=11,"13º "&amp;YEAR(O650),EOMONTH(O650,1)))),"")</f>
        <v/>
      </c>
      <c r="P651" s="4">
        <f>'Histórico de Remunerações'!E653</f>
        <v>0</v>
      </c>
    </row>
    <row r="652" spans="15:16" x14ac:dyDescent="0.25">
      <c r="O652" s="21" t="str">
        <f ca="1">IFERROR(IF(LEFT(O651,2)="13",DATE(RIGHT(O651,4),12,31),IF(EOMONTH(O651,1)&gt;PREMISSAS!$C$3,"",IF(MONTH(O651)=11,"13º "&amp;YEAR(O651),EOMONTH(O651,1)))),"")</f>
        <v/>
      </c>
      <c r="P652" s="4">
        <f>'Histórico de Remunerações'!E654</f>
        <v>0</v>
      </c>
    </row>
    <row r="653" spans="15:16" x14ac:dyDescent="0.25">
      <c r="O653" s="21" t="str">
        <f ca="1">IFERROR(IF(LEFT(O652,2)="13",DATE(RIGHT(O652,4),12,31),IF(EOMONTH(O652,1)&gt;PREMISSAS!$C$3,"",IF(MONTH(O652)=11,"13º "&amp;YEAR(O652),EOMONTH(O652,1)))),"")</f>
        <v/>
      </c>
      <c r="P653" s="4">
        <f>'Histórico de Remunerações'!E655</f>
        <v>0</v>
      </c>
    </row>
    <row r="654" spans="15:16" x14ac:dyDescent="0.25">
      <c r="O654" s="21" t="str">
        <f ca="1">IFERROR(IF(LEFT(O653,2)="13",DATE(RIGHT(O653,4),12,31),IF(EOMONTH(O653,1)&gt;PREMISSAS!$C$3,"",IF(MONTH(O653)=11,"13º "&amp;YEAR(O653),EOMONTH(O653,1)))),"")</f>
        <v/>
      </c>
      <c r="P654" s="4">
        <f>'Histórico de Remunerações'!E656</f>
        <v>0</v>
      </c>
    </row>
  </sheetData>
  <dataConsolidate/>
  <mergeCells count="16">
    <mergeCell ref="E55:F55"/>
    <mergeCell ref="B55:C55"/>
    <mergeCell ref="O2:P3"/>
    <mergeCell ref="B24:C24"/>
    <mergeCell ref="L39:L40"/>
    <mergeCell ref="L45:L46"/>
    <mergeCell ref="E29:M29"/>
    <mergeCell ref="B2:C2"/>
    <mergeCell ref="B22:M22"/>
    <mergeCell ref="B29:C29"/>
    <mergeCell ref="B31:C31"/>
    <mergeCell ref="E31:F31"/>
    <mergeCell ref="H31:I31"/>
    <mergeCell ref="M39:M40"/>
    <mergeCell ref="M45:M46"/>
    <mergeCell ref="K24:L24"/>
  </mergeCells>
  <conditionalFormatting sqref="B14:B15">
    <cfRule type="expression" dxfId="50" priority="8">
      <formula>$C$13="NÃO"</formula>
    </cfRule>
  </conditionalFormatting>
  <conditionalFormatting sqref="B14:C15">
    <cfRule type="expression" dxfId="49" priority="11">
      <formula>$B$13="NÃO"</formula>
    </cfRule>
  </conditionalFormatting>
  <conditionalFormatting sqref="C14">
    <cfRule type="expression" dxfId="48" priority="10">
      <formula>$C$13="NÃO"</formula>
    </cfRule>
  </conditionalFormatting>
  <conditionalFormatting sqref="C15">
    <cfRule type="expression" dxfId="47" priority="9">
      <formula>$C$13="NÃO"</formula>
    </cfRule>
  </conditionalFormatting>
  <conditionalFormatting sqref="P5:P654">
    <cfRule type="expression" dxfId="46" priority="7">
      <formula>O5&lt;&gt;""</formula>
    </cfRule>
  </conditionalFormatting>
  <conditionalFormatting sqref="B19:C19">
    <cfRule type="expression" dxfId="45" priority="4">
      <formula>$C$18=0</formula>
    </cfRule>
  </conditionalFormatting>
  <conditionalFormatting sqref="K16:L16">
    <cfRule type="expression" dxfId="44" priority="1">
      <formula>$L$15="NÃO"</formula>
    </cfRule>
  </conditionalFormatting>
  <dataValidations count="1">
    <dataValidation type="whole" operator="greaterThanOrEqual" allowBlank="1" showInputMessage="1" showErrorMessage="1" error="Insira um valor igual ou superior a cinco" promptTitle="Prazo do Benefício Suplementar" prompt="O prazo mínimo de recebimentodo benefício suplementar é de 5 (cinco) anos." sqref="C19">
      <formula1>5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stopIfTrue="1" operator="containsText" id="{B85F7F0C-1E73-4080-BFB4-4DEADBAB5515}">
            <xm:f>NOT(ISERROR(SEARCH(PREMISSAS!$U$12,C17)))</xm:f>
            <xm:f>PREMISSAS!$U$12</xm:f>
            <x14:dxf/>
          </x14:cfRule>
          <x14:cfRule type="expression" priority="6" id="{380FDBB2-9E4D-4E69-8614-F119102F5B12}">
            <xm:f>$C$7&gt;=PREMISSAS!$C$13</xm:f>
            <x14:dxf>
              <fill>
                <patternFill>
                  <bgColor rgb="FFFF0000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type="expression" priority="3" id="{2628A15C-9FDB-400E-AE5E-EB1B07D253B6}">
            <xm:f>$C$7&gt;PREMISSAS!$C$13</xm:f>
            <x14:dxf>
              <fill>
                <patternFill>
                  <bgColor theme="1"/>
                </patternFill>
              </fill>
            </x14:dxf>
          </x14:cfRule>
          <xm:sqref>E17:F17</xm:sqref>
        </x14:conditionalFormatting>
        <x14:conditionalFormatting xmlns:xm="http://schemas.microsoft.com/office/excel/2006/main">
          <x14:cfRule type="expression" priority="2" id="{DA705AE3-F9C7-42CC-9FF3-FD0AE04A86F7}">
            <xm:f>$C$7&gt;PREMISSAS!$C$13</xm:f>
            <x14:dxf>
              <fill>
                <patternFill>
                  <bgColor theme="1"/>
                </patternFill>
              </fill>
            </x14:dxf>
          </x14:cfRule>
          <xm:sqref>D17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PREMISSAS!$U$5:$U$6</xm:f>
          </x14:formula1>
          <xm:sqref>C12:C13 L15</xm:sqref>
        </x14:dataValidation>
        <x14:dataValidation type="list" allowBlank="1" showInputMessage="1" showErrorMessage="1">
          <x14:formula1>
            <xm:f>PREMISSAS!$U$8:$U$10</xm:f>
          </x14:formula1>
          <xm:sqref>C16</xm:sqref>
        </x14:dataValidation>
        <x14:dataValidation type="list" allowBlank="1" showInputMessage="1" showErrorMessage="1">
          <x14:formula1>
            <xm:f>PREMISSAS!$U$2:$U$3</xm:f>
          </x14:formula1>
          <xm:sqref>C6</xm:sqref>
        </x14:dataValidation>
        <x14:dataValidation type="list" allowBlank="1" showInputMessage="1" showErrorMessage="1">
          <x14:formula1>
            <xm:f>PREMISSAS!$U$12:$U$13</xm:f>
          </x14:formula1>
          <xm:sqref>C17</xm:sqref>
        </x14:dataValidation>
        <x14:dataValidation type="date" operator="lessThan" allowBlank="1" showInputMessage="1" showErrorMessage="1" errorTitle="Data de ingresso" error="Ingressos após 04/02/2013 já estão enquadrados no regime de previdência complementar._x000a__x000a_Insira uma data anterior.">
          <x14:formula1>
            <xm:f>PREMISSAS!D10</xm:f>
          </x14:formula1>
          <xm:sqref>C9:C11</xm:sqref>
        </x14:dataValidation>
        <x14:dataValidation type="date" operator="lessThan" allowBlank="1" showInputMessage="1" showErrorMessage="1" errorTitle="Data de ingresso" error="Ingressos após 04/02/2013 já estão enquadrados no regime de previdência complementar._x000a__x000a_Insira uma data anterior.">
          <x14:formula1>
            <xm:f>PREMISSAS!D10</xm:f>
          </x14:formula1>
          <xm:sqref>C8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2:O700"/>
  <sheetViews>
    <sheetView workbookViewId="0">
      <selection activeCell="C61" sqref="C61:C62"/>
    </sheetView>
  </sheetViews>
  <sheetFormatPr defaultRowHeight="15" x14ac:dyDescent="0.25"/>
  <cols>
    <col min="1" max="1" width="17.5703125" customWidth="1"/>
    <col min="2" max="2" width="11.140625" customWidth="1"/>
    <col min="3" max="3" width="12.5703125" customWidth="1"/>
    <col min="4" max="4" width="12.85546875" customWidth="1"/>
    <col min="5" max="5" width="11.28515625" customWidth="1"/>
    <col min="6" max="6" width="9.5703125" bestFit="1" customWidth="1"/>
    <col min="7" max="7" width="13.42578125" customWidth="1"/>
    <col min="9" max="9" width="14.85546875" customWidth="1"/>
    <col min="10" max="10" width="15.5703125" customWidth="1"/>
    <col min="11" max="11" width="16" customWidth="1"/>
    <col min="12" max="12" width="17.7109375" customWidth="1"/>
    <col min="14" max="14" width="10.7109375" bestFit="1" customWidth="1"/>
    <col min="15" max="15" width="13.28515625" bestFit="1" customWidth="1"/>
  </cols>
  <sheetData>
    <row r="2" spans="1:15" x14ac:dyDescent="0.25">
      <c r="B2" t="str">
        <f>Painel!I67</f>
        <v>NÃO</v>
      </c>
      <c r="I2" s="277" t="s">
        <v>258</v>
      </c>
      <c r="J2" s="277"/>
      <c r="K2" s="277"/>
      <c r="L2" s="277"/>
      <c r="N2" s="278" t="s">
        <v>259</v>
      </c>
      <c r="O2" s="278"/>
    </row>
    <row r="4" spans="1:15" ht="45" x14ac:dyDescent="0.25">
      <c r="B4" s="169" t="s">
        <v>276</v>
      </c>
      <c r="C4" s="169" t="s">
        <v>286</v>
      </c>
      <c r="D4" s="169" t="s">
        <v>277</v>
      </c>
      <c r="E4" s="169" t="s">
        <v>288</v>
      </c>
      <c r="F4" s="169" t="s">
        <v>292</v>
      </c>
      <c r="G4" s="169" t="s">
        <v>293</v>
      </c>
      <c r="I4" s="165" t="s">
        <v>24</v>
      </c>
      <c r="J4" s="173" t="s">
        <v>249</v>
      </c>
      <c r="K4" s="173" t="s">
        <v>248</v>
      </c>
      <c r="L4" s="173" t="s">
        <v>247</v>
      </c>
      <c r="N4" s="165" t="s">
        <v>24</v>
      </c>
      <c r="O4" s="166" t="s">
        <v>260</v>
      </c>
    </row>
    <row r="5" spans="1:15" x14ac:dyDescent="0.25">
      <c r="A5" s="139" t="s">
        <v>209</v>
      </c>
      <c r="B5" s="140">
        <f>IF(B2="Não",0,RESULTADOS!L27)</f>
        <v>0</v>
      </c>
      <c r="C5" s="140">
        <v>0</v>
      </c>
      <c r="D5" s="140">
        <v>0</v>
      </c>
      <c r="E5" s="140">
        <v>0</v>
      </c>
      <c r="F5" s="140">
        <v>0</v>
      </c>
      <c r="G5" s="140">
        <v>0</v>
      </c>
      <c r="I5" s="164">
        <f ca="1">'CÁLCULO FUNPRESP'!P5</f>
        <v>43555</v>
      </c>
      <c r="J5" s="140" t="str">
        <f>IF($B$2="Não","",'CÁLCULO FUNPRESP'!Q5)</f>
        <v/>
      </c>
      <c r="K5" s="140" t="str">
        <f>IF($B$2="Não","",'CÁLCULO FUNPRESP'!R5)</f>
        <v/>
      </c>
      <c r="L5" s="140" t="str">
        <f>IF($B$2="Não","",'CÁLCULO FUNPRESP'!S5)</f>
        <v/>
      </c>
      <c r="N5" s="164">
        <f ca="1">'CÁLCULO FUNPRESP'!U5</f>
        <v>50252</v>
      </c>
      <c r="O5" s="140" t="str">
        <f>IF($B$2="Não","",'CÁLCULO FUNPRESP'!Y5)</f>
        <v/>
      </c>
    </row>
    <row r="6" spans="1:15" x14ac:dyDescent="0.25">
      <c r="A6" s="139" t="s">
        <v>274</v>
      </c>
      <c r="B6" s="140">
        <v>0</v>
      </c>
      <c r="C6" s="140">
        <f>IF(B2="Não",0,RESULTADOS!C37)</f>
        <v>0</v>
      </c>
      <c r="D6" s="140">
        <v>0</v>
      </c>
      <c r="E6" s="140">
        <v>0</v>
      </c>
      <c r="F6" s="140">
        <v>0</v>
      </c>
      <c r="G6" s="140">
        <v>0</v>
      </c>
      <c r="I6" s="164">
        <f ca="1">'CÁLCULO FUNPRESP'!P6</f>
        <v>43585</v>
      </c>
      <c r="J6" s="140" t="str">
        <f>IF($B$2="Não","",'CÁLCULO FUNPRESP'!Q6)</f>
        <v/>
      </c>
      <c r="K6" s="140" t="str">
        <f>IF($B$2="Não","",'CÁLCULO FUNPRESP'!R6)</f>
        <v/>
      </c>
      <c r="L6" s="140" t="str">
        <f>IF($B$2="Não","",'CÁLCULO FUNPRESP'!S6)</f>
        <v/>
      </c>
      <c r="N6" s="164" t="str">
        <f ca="1">'CÁLCULO FUNPRESP'!U6</f>
        <v/>
      </c>
      <c r="O6" s="140" t="str">
        <f>IF($B$2="Não","",'CÁLCULO FUNPRESP'!Y6)</f>
        <v/>
      </c>
    </row>
    <row r="7" spans="1:15" x14ac:dyDescent="0.25">
      <c r="A7" s="139" t="s">
        <v>275</v>
      </c>
      <c r="B7" s="140">
        <v>0</v>
      </c>
      <c r="C7" s="140">
        <v>0</v>
      </c>
      <c r="D7" s="140">
        <f>IF(B2="Não",0,ROUND(RESULTADOS!F41,2))</f>
        <v>0</v>
      </c>
      <c r="E7" s="140">
        <f>IF(B2="Não",0,ROUND(RESULTADOS!I41,2))</f>
        <v>0</v>
      </c>
      <c r="F7" s="140">
        <f>IF(B2="Não",0,ROUND(RESULTADOS!L56,2))</f>
        <v>0</v>
      </c>
      <c r="G7" s="140">
        <f>IF(B2="Não",0,ROUND(RESULTADOS!L55,2))</f>
        <v>0</v>
      </c>
      <c r="I7" s="164">
        <f ca="1">'CÁLCULO FUNPRESP'!P7</f>
        <v>43616</v>
      </c>
      <c r="J7" s="140" t="str">
        <f>IF($B$2="Não","",'CÁLCULO FUNPRESP'!Q7)</f>
        <v/>
      </c>
      <c r="K7" s="140" t="str">
        <f>IF($B$2="Não","",'CÁLCULO FUNPRESP'!R7)</f>
        <v/>
      </c>
      <c r="L7" s="140" t="str">
        <f>IF($B$2="Não","",'CÁLCULO FUNPRESP'!S7)</f>
        <v/>
      </c>
      <c r="N7" s="164" t="str">
        <f ca="1">'CÁLCULO FUNPRESP'!U7</f>
        <v/>
      </c>
      <c r="O7" s="140" t="str">
        <f>IF($B$2="Não","",'CÁLCULO FUNPRESP'!Y7)</f>
        <v/>
      </c>
    </row>
    <row r="8" spans="1:15" x14ac:dyDescent="0.25">
      <c r="I8" s="164">
        <f ca="1">'CÁLCULO FUNPRESP'!P8</f>
        <v>43646</v>
      </c>
      <c r="J8" s="140" t="str">
        <f>IF($B$2="Não","",'CÁLCULO FUNPRESP'!Q8)</f>
        <v/>
      </c>
      <c r="K8" s="140" t="str">
        <f>IF($B$2="Não","",'CÁLCULO FUNPRESP'!R8)</f>
        <v/>
      </c>
      <c r="L8" s="140" t="str">
        <f>IF($B$2="Não","",'CÁLCULO FUNPRESP'!S8)</f>
        <v/>
      </c>
      <c r="N8" s="164" t="str">
        <f ca="1">'CÁLCULO FUNPRESP'!U8</f>
        <v/>
      </c>
      <c r="O8" s="140" t="str">
        <f>IF($B$2="Não","",'CÁLCULO FUNPRESP'!Y8)</f>
        <v/>
      </c>
    </row>
    <row r="9" spans="1:15" x14ac:dyDescent="0.25">
      <c r="I9" s="164">
        <f ca="1">'CÁLCULO FUNPRESP'!P9</f>
        <v>43677</v>
      </c>
      <c r="J9" s="140" t="str">
        <f>IF($B$2="Não","",'CÁLCULO FUNPRESP'!Q9)</f>
        <v/>
      </c>
      <c r="K9" s="140" t="str">
        <f>IF($B$2="Não","",'CÁLCULO FUNPRESP'!R9)</f>
        <v/>
      </c>
      <c r="L9" s="140" t="str">
        <f>IF($B$2="Não","",'CÁLCULO FUNPRESP'!S9)</f>
        <v/>
      </c>
      <c r="N9" s="164" t="str">
        <f ca="1">'CÁLCULO FUNPRESP'!U9</f>
        <v/>
      </c>
      <c r="O9" s="140" t="str">
        <f>IF($B$2="Não","",'CÁLCULO FUNPRESP'!Y9)</f>
        <v/>
      </c>
    </row>
    <row r="10" spans="1:15" x14ac:dyDescent="0.25">
      <c r="B10" t="s">
        <v>269</v>
      </c>
      <c r="D10" s="163">
        <f ca="1">EDATE(TODAY(),-18*12)</f>
        <v>36976</v>
      </c>
      <c r="I10" s="164">
        <f ca="1">'CÁLCULO FUNPRESP'!P10</f>
        <v>43708</v>
      </c>
      <c r="J10" s="140" t="str">
        <f>IF($B$2="Não","",'CÁLCULO FUNPRESP'!Q10)</f>
        <v/>
      </c>
      <c r="K10" s="140" t="str">
        <f>IF($B$2="Não","",'CÁLCULO FUNPRESP'!R10)</f>
        <v/>
      </c>
      <c r="L10" s="140" t="str">
        <f>IF($B$2="Não","",'CÁLCULO FUNPRESP'!S10)</f>
        <v/>
      </c>
      <c r="N10" s="164" t="str">
        <f ca="1">'CÁLCULO FUNPRESP'!U10</f>
        <v/>
      </c>
      <c r="O10" s="140" t="str">
        <f>IF($B$2="Não","",'CÁLCULO FUNPRESP'!Y10)</f>
        <v/>
      </c>
    </row>
    <row r="11" spans="1:15" x14ac:dyDescent="0.25">
      <c r="I11" s="164">
        <f ca="1">'CÁLCULO FUNPRESP'!P11</f>
        <v>43738</v>
      </c>
      <c r="J11" s="140" t="str">
        <f>IF($B$2="Não","",'CÁLCULO FUNPRESP'!Q11)</f>
        <v/>
      </c>
      <c r="K11" s="140" t="str">
        <f>IF($B$2="Não","",'CÁLCULO FUNPRESP'!R11)</f>
        <v/>
      </c>
      <c r="L11" s="140" t="str">
        <f>IF($B$2="Não","",'CÁLCULO FUNPRESP'!S11)</f>
        <v/>
      </c>
      <c r="N11" s="164" t="str">
        <f ca="1">'CÁLCULO FUNPRESP'!U11</f>
        <v/>
      </c>
      <c r="O11" s="140" t="str">
        <f>IF($B$2="Não","",'CÁLCULO FUNPRESP'!Y11)</f>
        <v/>
      </c>
    </row>
    <row r="12" spans="1:15" x14ac:dyDescent="0.25">
      <c r="B12" t="s">
        <v>270</v>
      </c>
      <c r="D12" s="163">
        <f>EDATE(Painel!I9,18*12)</f>
        <v>33989</v>
      </c>
      <c r="I12" s="164">
        <f ca="1">'CÁLCULO FUNPRESP'!P12</f>
        <v>43769</v>
      </c>
      <c r="J12" s="140" t="str">
        <f>IF($B$2="Não","",'CÁLCULO FUNPRESP'!Q12)</f>
        <v/>
      </c>
      <c r="K12" s="140" t="str">
        <f>IF($B$2="Não","",'CÁLCULO FUNPRESP'!R12)</f>
        <v/>
      </c>
      <c r="L12" s="140" t="str">
        <f>IF($B$2="Não","",'CÁLCULO FUNPRESP'!S12)</f>
        <v/>
      </c>
      <c r="N12" s="164" t="str">
        <f ca="1">'CÁLCULO FUNPRESP'!U12</f>
        <v/>
      </c>
      <c r="O12" s="140" t="str">
        <f>IF($B$2="Não","",'CÁLCULO FUNPRESP'!Y12)</f>
        <v/>
      </c>
    </row>
    <row r="13" spans="1:15" x14ac:dyDescent="0.25">
      <c r="I13" s="164">
        <f ca="1">'CÁLCULO FUNPRESP'!P13</f>
        <v>43799</v>
      </c>
      <c r="J13" s="140" t="str">
        <f>IF($B$2="Não","",'CÁLCULO FUNPRESP'!Q13)</f>
        <v/>
      </c>
      <c r="K13" s="140" t="str">
        <f>IF($B$2="Não","",'CÁLCULO FUNPRESP'!R13)</f>
        <v/>
      </c>
      <c r="L13" s="140" t="str">
        <f>IF($B$2="Não","",'CÁLCULO FUNPRESP'!S13)</f>
        <v/>
      </c>
      <c r="N13" s="164" t="str">
        <f ca="1">'CÁLCULO FUNPRESP'!U13</f>
        <v/>
      </c>
      <c r="O13" s="140" t="str">
        <f>IF($B$2="Não","",'CÁLCULO FUNPRESP'!Y13)</f>
        <v/>
      </c>
    </row>
    <row r="14" spans="1:15" x14ac:dyDescent="0.25">
      <c r="I14" s="164">
        <f ca="1">'CÁLCULO FUNPRESP'!P14</f>
        <v>43830</v>
      </c>
      <c r="J14" s="140" t="str">
        <f>IF($B$2="Não","",'CÁLCULO FUNPRESP'!Q14)</f>
        <v/>
      </c>
      <c r="K14" s="140" t="str">
        <f>IF($B$2="Não","",'CÁLCULO FUNPRESP'!R14)</f>
        <v/>
      </c>
      <c r="L14" s="140" t="str">
        <f>IF($B$2="Não","",'CÁLCULO FUNPRESP'!S14)</f>
        <v/>
      </c>
      <c r="N14" s="164" t="str">
        <f ca="1">'CÁLCULO FUNPRESP'!U14</f>
        <v/>
      </c>
      <c r="O14" s="140" t="str">
        <f>IF($B$2="Não","",'CÁLCULO FUNPRESP'!Y14)</f>
        <v/>
      </c>
    </row>
    <row r="15" spans="1:15" x14ac:dyDescent="0.25">
      <c r="I15" s="164">
        <f ca="1">'CÁLCULO FUNPRESP'!P15</f>
        <v>43861</v>
      </c>
      <c r="J15" s="140" t="str">
        <f>IF($B$2="Não","",'CÁLCULO FUNPRESP'!Q15)</f>
        <v/>
      </c>
      <c r="K15" s="140" t="str">
        <f>IF($B$2="Não","",'CÁLCULO FUNPRESP'!R15)</f>
        <v/>
      </c>
      <c r="L15" s="140" t="str">
        <f>IF($B$2="Não","",'CÁLCULO FUNPRESP'!S15)</f>
        <v/>
      </c>
      <c r="N15" s="164" t="str">
        <f ca="1">'CÁLCULO FUNPRESP'!U15</f>
        <v/>
      </c>
      <c r="O15" s="140" t="str">
        <f>IF($B$2="Não","",'CÁLCULO FUNPRESP'!Y15)</f>
        <v/>
      </c>
    </row>
    <row r="16" spans="1:15" x14ac:dyDescent="0.25">
      <c r="I16" s="164">
        <f ca="1">'CÁLCULO FUNPRESP'!P16</f>
        <v>43890</v>
      </c>
      <c r="J16" s="140" t="str">
        <f>IF($B$2="Não","",'CÁLCULO FUNPRESP'!Q16)</f>
        <v/>
      </c>
      <c r="K16" s="140" t="str">
        <f>IF($B$2="Não","",'CÁLCULO FUNPRESP'!R16)</f>
        <v/>
      </c>
      <c r="L16" s="140" t="str">
        <f>IF($B$2="Não","",'CÁLCULO FUNPRESP'!S16)</f>
        <v/>
      </c>
      <c r="N16" s="164" t="str">
        <f ca="1">'CÁLCULO FUNPRESP'!U16</f>
        <v/>
      </c>
      <c r="O16" s="140" t="str">
        <f>IF($B$2="Não","",'CÁLCULO FUNPRESP'!Y16)</f>
        <v/>
      </c>
    </row>
    <row r="17" spans="9:15" x14ac:dyDescent="0.25">
      <c r="I17" s="164">
        <f ca="1">'CÁLCULO FUNPRESP'!P17</f>
        <v>43921</v>
      </c>
      <c r="J17" s="140" t="str">
        <f>IF($B$2="Não","",'CÁLCULO FUNPRESP'!Q17)</f>
        <v/>
      </c>
      <c r="K17" s="140" t="str">
        <f>IF($B$2="Não","",'CÁLCULO FUNPRESP'!R17)</f>
        <v/>
      </c>
      <c r="L17" s="140" t="str">
        <f>IF($B$2="Não","",'CÁLCULO FUNPRESP'!S17)</f>
        <v/>
      </c>
      <c r="N17" s="164" t="str">
        <f ca="1">'CÁLCULO FUNPRESP'!U17</f>
        <v/>
      </c>
      <c r="O17" s="140" t="str">
        <f>IF($B$2="Não","",'CÁLCULO FUNPRESP'!Y17)</f>
        <v/>
      </c>
    </row>
    <row r="18" spans="9:15" x14ac:dyDescent="0.25">
      <c r="I18" s="164">
        <f ca="1">'CÁLCULO FUNPRESP'!P18</f>
        <v>43951</v>
      </c>
      <c r="J18" s="140" t="str">
        <f>IF($B$2="Não","",'CÁLCULO FUNPRESP'!Q18)</f>
        <v/>
      </c>
      <c r="K18" s="140" t="str">
        <f>IF($B$2="Não","",'CÁLCULO FUNPRESP'!R18)</f>
        <v/>
      </c>
      <c r="L18" s="140" t="str">
        <f>IF($B$2="Não","",'CÁLCULO FUNPRESP'!S18)</f>
        <v/>
      </c>
      <c r="N18" s="164" t="str">
        <f ca="1">'CÁLCULO FUNPRESP'!U18</f>
        <v/>
      </c>
      <c r="O18" s="140" t="str">
        <f>IF($B$2="Não","",'CÁLCULO FUNPRESP'!Y18)</f>
        <v/>
      </c>
    </row>
    <row r="19" spans="9:15" x14ac:dyDescent="0.25">
      <c r="I19" s="164">
        <f ca="1">'CÁLCULO FUNPRESP'!P19</f>
        <v>43982</v>
      </c>
      <c r="J19" s="140" t="str">
        <f>IF($B$2="Não","",'CÁLCULO FUNPRESP'!Q19)</f>
        <v/>
      </c>
      <c r="K19" s="140" t="str">
        <f>IF($B$2="Não","",'CÁLCULO FUNPRESP'!R19)</f>
        <v/>
      </c>
      <c r="L19" s="140" t="str">
        <f>IF($B$2="Não","",'CÁLCULO FUNPRESP'!S19)</f>
        <v/>
      </c>
      <c r="N19" s="164" t="str">
        <f ca="1">'CÁLCULO FUNPRESP'!U19</f>
        <v/>
      </c>
      <c r="O19" s="140" t="str">
        <f>IF($B$2="Não","",'CÁLCULO FUNPRESP'!Y19)</f>
        <v/>
      </c>
    </row>
    <row r="20" spans="9:15" x14ac:dyDescent="0.25">
      <c r="I20" s="164">
        <f ca="1">'CÁLCULO FUNPRESP'!P20</f>
        <v>44012</v>
      </c>
      <c r="J20" s="140" t="str">
        <f>IF($B$2="Não","",'CÁLCULO FUNPRESP'!Q20)</f>
        <v/>
      </c>
      <c r="K20" s="140" t="str">
        <f>IF($B$2="Não","",'CÁLCULO FUNPRESP'!R20)</f>
        <v/>
      </c>
      <c r="L20" s="140" t="str">
        <f>IF($B$2="Não","",'CÁLCULO FUNPRESP'!S20)</f>
        <v/>
      </c>
      <c r="N20" s="164" t="str">
        <f ca="1">'CÁLCULO FUNPRESP'!U20</f>
        <v/>
      </c>
      <c r="O20" s="140" t="str">
        <f>IF($B$2="Não","",'CÁLCULO FUNPRESP'!Y20)</f>
        <v/>
      </c>
    </row>
    <row r="21" spans="9:15" x14ac:dyDescent="0.25">
      <c r="I21" s="164">
        <f ca="1">'CÁLCULO FUNPRESP'!P21</f>
        <v>44043</v>
      </c>
      <c r="J21" s="140" t="str">
        <f>IF($B$2="Não","",'CÁLCULO FUNPRESP'!Q21)</f>
        <v/>
      </c>
      <c r="K21" s="140" t="str">
        <f>IF($B$2="Não","",'CÁLCULO FUNPRESP'!R21)</f>
        <v/>
      </c>
      <c r="L21" s="140" t="str">
        <f>IF($B$2="Não","",'CÁLCULO FUNPRESP'!S21)</f>
        <v/>
      </c>
      <c r="N21" s="164" t="str">
        <f ca="1">'CÁLCULO FUNPRESP'!U21</f>
        <v/>
      </c>
      <c r="O21" s="140" t="str">
        <f>IF($B$2="Não","",'CÁLCULO FUNPRESP'!Y21)</f>
        <v/>
      </c>
    </row>
    <row r="22" spans="9:15" x14ac:dyDescent="0.25">
      <c r="I22" s="164">
        <f ca="1">'CÁLCULO FUNPRESP'!P22</f>
        <v>44074</v>
      </c>
      <c r="J22" s="140" t="str">
        <f>IF($B$2="Não","",'CÁLCULO FUNPRESP'!Q22)</f>
        <v/>
      </c>
      <c r="K22" s="140" t="str">
        <f>IF($B$2="Não","",'CÁLCULO FUNPRESP'!R22)</f>
        <v/>
      </c>
      <c r="L22" s="140" t="str">
        <f>IF($B$2="Não","",'CÁLCULO FUNPRESP'!S22)</f>
        <v/>
      </c>
      <c r="N22" s="164" t="str">
        <f ca="1">'CÁLCULO FUNPRESP'!U22</f>
        <v/>
      </c>
      <c r="O22" s="140" t="str">
        <f>IF($B$2="Não","",'CÁLCULO FUNPRESP'!Y22)</f>
        <v/>
      </c>
    </row>
    <row r="23" spans="9:15" x14ac:dyDescent="0.25">
      <c r="I23" s="164">
        <f ca="1">'CÁLCULO FUNPRESP'!P23</f>
        <v>44104</v>
      </c>
      <c r="J23" s="140" t="str">
        <f>IF($B$2="Não","",'CÁLCULO FUNPRESP'!Q23)</f>
        <v/>
      </c>
      <c r="K23" s="140" t="str">
        <f>IF($B$2="Não","",'CÁLCULO FUNPRESP'!R23)</f>
        <v/>
      </c>
      <c r="L23" s="140" t="str">
        <f>IF($B$2="Não","",'CÁLCULO FUNPRESP'!S23)</f>
        <v/>
      </c>
      <c r="N23" s="164" t="str">
        <f ca="1">'CÁLCULO FUNPRESP'!U23</f>
        <v/>
      </c>
      <c r="O23" s="140" t="str">
        <f>IF($B$2="Não","",'CÁLCULO FUNPRESP'!Y23)</f>
        <v/>
      </c>
    </row>
    <row r="24" spans="9:15" x14ac:dyDescent="0.25">
      <c r="I24" s="164">
        <f ca="1">'CÁLCULO FUNPRESP'!P24</f>
        <v>44135</v>
      </c>
      <c r="J24" s="140" t="str">
        <f>IF($B$2="Não","",'CÁLCULO FUNPRESP'!Q24)</f>
        <v/>
      </c>
      <c r="K24" s="140" t="str">
        <f>IF($B$2="Não","",'CÁLCULO FUNPRESP'!R24)</f>
        <v/>
      </c>
      <c r="L24" s="140" t="str">
        <f>IF($B$2="Não","",'CÁLCULO FUNPRESP'!S24)</f>
        <v/>
      </c>
      <c r="N24" s="164" t="str">
        <f ca="1">'CÁLCULO FUNPRESP'!U24</f>
        <v/>
      </c>
      <c r="O24" s="140" t="str">
        <f>IF($B$2="Não","",'CÁLCULO FUNPRESP'!Y24)</f>
        <v/>
      </c>
    </row>
    <row r="25" spans="9:15" x14ac:dyDescent="0.25">
      <c r="I25" s="164">
        <f ca="1">'CÁLCULO FUNPRESP'!P25</f>
        <v>44165</v>
      </c>
      <c r="J25" s="140" t="str">
        <f>IF($B$2="Não","",'CÁLCULO FUNPRESP'!Q25)</f>
        <v/>
      </c>
      <c r="K25" s="140" t="str">
        <f>IF($B$2="Não","",'CÁLCULO FUNPRESP'!R25)</f>
        <v/>
      </c>
      <c r="L25" s="140" t="str">
        <f>IF($B$2="Não","",'CÁLCULO FUNPRESP'!S25)</f>
        <v/>
      </c>
      <c r="N25" s="164" t="str">
        <f ca="1">'CÁLCULO FUNPRESP'!U25</f>
        <v/>
      </c>
      <c r="O25" s="140" t="str">
        <f>IF($B$2="Não","",'CÁLCULO FUNPRESP'!Y25)</f>
        <v/>
      </c>
    </row>
    <row r="26" spans="9:15" x14ac:dyDescent="0.25">
      <c r="I26" s="164">
        <f ca="1">'CÁLCULO FUNPRESP'!P26</f>
        <v>44196</v>
      </c>
      <c r="J26" s="140" t="str">
        <f>IF($B$2="Não","",'CÁLCULO FUNPRESP'!Q26)</f>
        <v/>
      </c>
      <c r="K26" s="140" t="str">
        <f>IF($B$2="Não","",'CÁLCULO FUNPRESP'!R26)</f>
        <v/>
      </c>
      <c r="L26" s="140" t="str">
        <f>IF($B$2="Não","",'CÁLCULO FUNPRESP'!S26)</f>
        <v/>
      </c>
      <c r="N26" s="164" t="str">
        <f ca="1">'CÁLCULO FUNPRESP'!U26</f>
        <v/>
      </c>
      <c r="O26" s="140" t="str">
        <f>IF($B$2="Não","",'CÁLCULO FUNPRESP'!Y26)</f>
        <v/>
      </c>
    </row>
    <row r="27" spans="9:15" x14ac:dyDescent="0.25">
      <c r="I27" s="164">
        <f ca="1">'CÁLCULO FUNPRESP'!P27</f>
        <v>44227</v>
      </c>
      <c r="J27" s="140" t="str">
        <f>IF($B$2="Não","",'CÁLCULO FUNPRESP'!Q27)</f>
        <v/>
      </c>
      <c r="K27" s="140" t="str">
        <f>IF($B$2="Não","",'CÁLCULO FUNPRESP'!R27)</f>
        <v/>
      </c>
      <c r="L27" s="140" t="str">
        <f>IF($B$2="Não","",'CÁLCULO FUNPRESP'!S27)</f>
        <v/>
      </c>
      <c r="N27" s="164" t="str">
        <f ca="1">'CÁLCULO FUNPRESP'!U27</f>
        <v/>
      </c>
      <c r="O27" s="140" t="str">
        <f>IF($B$2="Não","",'CÁLCULO FUNPRESP'!Y27)</f>
        <v/>
      </c>
    </row>
    <row r="28" spans="9:15" x14ac:dyDescent="0.25">
      <c r="I28" s="164">
        <f ca="1">'CÁLCULO FUNPRESP'!P28</f>
        <v>44255</v>
      </c>
      <c r="J28" s="140" t="str">
        <f>IF($B$2="Não","",'CÁLCULO FUNPRESP'!Q28)</f>
        <v/>
      </c>
      <c r="K28" s="140" t="str">
        <f>IF($B$2="Não","",'CÁLCULO FUNPRESP'!R28)</f>
        <v/>
      </c>
      <c r="L28" s="140" t="str">
        <f>IF($B$2="Não","",'CÁLCULO FUNPRESP'!S28)</f>
        <v/>
      </c>
      <c r="N28" s="164" t="str">
        <f ca="1">'CÁLCULO FUNPRESP'!U28</f>
        <v/>
      </c>
      <c r="O28" s="140" t="str">
        <f>IF($B$2="Não","",'CÁLCULO FUNPRESP'!Y28)</f>
        <v/>
      </c>
    </row>
    <row r="29" spans="9:15" x14ac:dyDescent="0.25">
      <c r="I29" s="164">
        <f ca="1">'CÁLCULO FUNPRESP'!P29</f>
        <v>44286</v>
      </c>
      <c r="J29" s="140" t="str">
        <f>IF($B$2="Não","",'CÁLCULO FUNPRESP'!Q29)</f>
        <v/>
      </c>
      <c r="K29" s="140" t="str">
        <f>IF($B$2="Não","",'CÁLCULO FUNPRESP'!R29)</f>
        <v/>
      </c>
      <c r="L29" s="140" t="str">
        <f>IF($B$2="Não","",'CÁLCULO FUNPRESP'!S29)</f>
        <v/>
      </c>
      <c r="N29" s="164" t="str">
        <f ca="1">'CÁLCULO FUNPRESP'!U29</f>
        <v/>
      </c>
      <c r="O29" s="140" t="str">
        <f>IF($B$2="Não","",'CÁLCULO FUNPRESP'!Y29)</f>
        <v/>
      </c>
    </row>
    <row r="30" spans="9:15" x14ac:dyDescent="0.25">
      <c r="I30" s="164">
        <f ca="1">'CÁLCULO FUNPRESP'!P30</f>
        <v>44316</v>
      </c>
      <c r="J30" s="140" t="str">
        <f>IF($B$2="Não","",'CÁLCULO FUNPRESP'!Q30)</f>
        <v/>
      </c>
      <c r="K30" s="140" t="str">
        <f>IF($B$2="Não","",'CÁLCULO FUNPRESP'!R30)</f>
        <v/>
      </c>
      <c r="L30" s="140" t="str">
        <f>IF($B$2="Não","",'CÁLCULO FUNPRESP'!S30)</f>
        <v/>
      </c>
      <c r="N30" s="164" t="str">
        <f ca="1">'CÁLCULO FUNPRESP'!U30</f>
        <v/>
      </c>
      <c r="O30" s="140" t="str">
        <f>IF($B$2="Não","",'CÁLCULO FUNPRESP'!Y30)</f>
        <v/>
      </c>
    </row>
    <row r="31" spans="9:15" x14ac:dyDescent="0.25">
      <c r="I31" s="164">
        <f ca="1">'CÁLCULO FUNPRESP'!P31</f>
        <v>44347</v>
      </c>
      <c r="J31" s="140" t="str">
        <f>IF($B$2="Não","",'CÁLCULO FUNPRESP'!Q31)</f>
        <v/>
      </c>
      <c r="K31" s="140" t="str">
        <f>IF($B$2="Não","",'CÁLCULO FUNPRESP'!R31)</f>
        <v/>
      </c>
      <c r="L31" s="140" t="str">
        <f>IF($B$2="Não","",'CÁLCULO FUNPRESP'!S31)</f>
        <v/>
      </c>
      <c r="N31" s="164" t="str">
        <f ca="1">'CÁLCULO FUNPRESP'!U31</f>
        <v/>
      </c>
      <c r="O31" s="140" t="str">
        <f>IF($B$2="Não","",'CÁLCULO FUNPRESP'!Y31)</f>
        <v/>
      </c>
    </row>
    <row r="32" spans="9:15" x14ac:dyDescent="0.25">
      <c r="I32" s="164">
        <f ca="1">'CÁLCULO FUNPRESP'!P32</f>
        <v>44377</v>
      </c>
      <c r="J32" s="140" t="str">
        <f>IF($B$2="Não","",'CÁLCULO FUNPRESP'!Q32)</f>
        <v/>
      </c>
      <c r="K32" s="140" t="str">
        <f>IF($B$2="Não","",'CÁLCULO FUNPRESP'!R32)</f>
        <v/>
      </c>
      <c r="L32" s="140" t="str">
        <f>IF($B$2="Não","",'CÁLCULO FUNPRESP'!S32)</f>
        <v/>
      </c>
      <c r="N32" s="164" t="str">
        <f ca="1">'CÁLCULO FUNPRESP'!U32</f>
        <v/>
      </c>
      <c r="O32" s="140" t="str">
        <f>IF($B$2="Não","",'CÁLCULO FUNPRESP'!Y32)</f>
        <v/>
      </c>
    </row>
    <row r="33" spans="9:15" x14ac:dyDescent="0.25">
      <c r="I33" s="164">
        <f ca="1">'CÁLCULO FUNPRESP'!P33</f>
        <v>44408</v>
      </c>
      <c r="J33" s="140" t="str">
        <f>IF($B$2="Não","",'CÁLCULO FUNPRESP'!Q33)</f>
        <v/>
      </c>
      <c r="K33" s="140" t="str">
        <f>IF($B$2="Não","",'CÁLCULO FUNPRESP'!R33)</f>
        <v/>
      </c>
      <c r="L33" s="140" t="str">
        <f>IF($B$2="Não","",'CÁLCULO FUNPRESP'!S33)</f>
        <v/>
      </c>
      <c r="N33" s="164" t="str">
        <f ca="1">'CÁLCULO FUNPRESP'!U33</f>
        <v/>
      </c>
      <c r="O33" s="140" t="str">
        <f>IF($B$2="Não","",'CÁLCULO FUNPRESP'!Y33)</f>
        <v/>
      </c>
    </row>
    <row r="34" spans="9:15" x14ac:dyDescent="0.25">
      <c r="I34" s="164">
        <f ca="1">'CÁLCULO FUNPRESP'!P34</f>
        <v>44439</v>
      </c>
      <c r="J34" s="140" t="str">
        <f>IF($B$2="Não","",'CÁLCULO FUNPRESP'!Q34)</f>
        <v/>
      </c>
      <c r="K34" s="140" t="str">
        <f>IF($B$2="Não","",'CÁLCULO FUNPRESP'!R34)</f>
        <v/>
      </c>
      <c r="L34" s="140" t="str">
        <f>IF($B$2="Não","",'CÁLCULO FUNPRESP'!S34)</f>
        <v/>
      </c>
      <c r="N34" s="164" t="str">
        <f ca="1">'CÁLCULO FUNPRESP'!U34</f>
        <v/>
      </c>
      <c r="O34" s="140" t="str">
        <f>IF($B$2="Não","",'CÁLCULO FUNPRESP'!Y34)</f>
        <v/>
      </c>
    </row>
    <row r="35" spans="9:15" x14ac:dyDescent="0.25">
      <c r="I35" s="164">
        <f ca="1">'CÁLCULO FUNPRESP'!P35</f>
        <v>44469</v>
      </c>
      <c r="J35" s="140" t="str">
        <f>IF($B$2="Não","",'CÁLCULO FUNPRESP'!Q35)</f>
        <v/>
      </c>
      <c r="K35" s="140" t="str">
        <f>IF($B$2="Não","",'CÁLCULO FUNPRESP'!R35)</f>
        <v/>
      </c>
      <c r="L35" s="140" t="str">
        <f>IF($B$2="Não","",'CÁLCULO FUNPRESP'!S35)</f>
        <v/>
      </c>
      <c r="N35" s="164" t="str">
        <f ca="1">'CÁLCULO FUNPRESP'!U35</f>
        <v/>
      </c>
      <c r="O35" s="140" t="str">
        <f>IF($B$2="Não","",'CÁLCULO FUNPRESP'!Y35)</f>
        <v/>
      </c>
    </row>
    <row r="36" spans="9:15" x14ac:dyDescent="0.25">
      <c r="I36" s="164">
        <f ca="1">'CÁLCULO FUNPRESP'!P36</f>
        <v>44500</v>
      </c>
      <c r="J36" s="140" t="str">
        <f>IF($B$2="Não","",'CÁLCULO FUNPRESP'!Q36)</f>
        <v/>
      </c>
      <c r="K36" s="140" t="str">
        <f>IF($B$2="Não","",'CÁLCULO FUNPRESP'!R36)</f>
        <v/>
      </c>
      <c r="L36" s="140" t="str">
        <f>IF($B$2="Não","",'CÁLCULO FUNPRESP'!S36)</f>
        <v/>
      </c>
      <c r="N36" s="164" t="str">
        <f ca="1">'CÁLCULO FUNPRESP'!U36</f>
        <v/>
      </c>
      <c r="O36" s="140" t="str">
        <f>IF($B$2="Não","",'CÁLCULO FUNPRESP'!Y36)</f>
        <v/>
      </c>
    </row>
    <row r="37" spans="9:15" x14ac:dyDescent="0.25">
      <c r="I37" s="164">
        <f ca="1">'CÁLCULO FUNPRESP'!P37</f>
        <v>44530</v>
      </c>
      <c r="J37" s="140" t="str">
        <f>IF($B$2="Não","",'CÁLCULO FUNPRESP'!Q37)</f>
        <v/>
      </c>
      <c r="K37" s="140" t="str">
        <f>IF($B$2="Não","",'CÁLCULO FUNPRESP'!R37)</f>
        <v/>
      </c>
      <c r="L37" s="140" t="str">
        <f>IF($B$2="Não","",'CÁLCULO FUNPRESP'!S37)</f>
        <v/>
      </c>
      <c r="N37" s="164" t="str">
        <f ca="1">'CÁLCULO FUNPRESP'!U37</f>
        <v/>
      </c>
      <c r="O37" s="140" t="str">
        <f>IF($B$2="Não","",'CÁLCULO FUNPRESP'!Y37)</f>
        <v/>
      </c>
    </row>
    <row r="38" spans="9:15" x14ac:dyDescent="0.25">
      <c r="I38" s="164">
        <f ca="1">'CÁLCULO FUNPRESP'!P38</f>
        <v>44561</v>
      </c>
      <c r="J38" s="140" t="str">
        <f>IF($B$2="Não","",'CÁLCULO FUNPRESP'!Q38)</f>
        <v/>
      </c>
      <c r="K38" s="140" t="str">
        <f>IF($B$2="Não","",'CÁLCULO FUNPRESP'!R38)</f>
        <v/>
      </c>
      <c r="L38" s="140" t="str">
        <f>IF($B$2="Não","",'CÁLCULO FUNPRESP'!S38)</f>
        <v/>
      </c>
      <c r="N38" s="164" t="str">
        <f ca="1">'CÁLCULO FUNPRESP'!U38</f>
        <v/>
      </c>
      <c r="O38" s="140" t="str">
        <f>IF($B$2="Não","",'CÁLCULO FUNPRESP'!Y38)</f>
        <v/>
      </c>
    </row>
    <row r="39" spans="9:15" x14ac:dyDescent="0.25">
      <c r="I39" s="164">
        <f ca="1">'CÁLCULO FUNPRESP'!P39</f>
        <v>44592</v>
      </c>
      <c r="J39" s="140" t="str">
        <f>IF($B$2="Não","",'CÁLCULO FUNPRESP'!Q39)</f>
        <v/>
      </c>
      <c r="K39" s="140" t="str">
        <f>IF($B$2="Não","",'CÁLCULO FUNPRESP'!R39)</f>
        <v/>
      </c>
      <c r="L39" s="140" t="str">
        <f>IF($B$2="Não","",'CÁLCULO FUNPRESP'!S39)</f>
        <v/>
      </c>
      <c r="N39" s="164" t="str">
        <f ca="1">'CÁLCULO FUNPRESP'!U39</f>
        <v/>
      </c>
      <c r="O39" s="140" t="str">
        <f>IF($B$2="Não","",'CÁLCULO FUNPRESP'!Y39)</f>
        <v/>
      </c>
    </row>
    <row r="40" spans="9:15" x14ac:dyDescent="0.25">
      <c r="I40" s="164">
        <f ca="1">'CÁLCULO FUNPRESP'!P40</f>
        <v>44620</v>
      </c>
      <c r="J40" s="140" t="str">
        <f>IF($B$2="Não","",'CÁLCULO FUNPRESP'!Q40)</f>
        <v/>
      </c>
      <c r="K40" s="140" t="str">
        <f>IF($B$2="Não","",'CÁLCULO FUNPRESP'!R40)</f>
        <v/>
      </c>
      <c r="L40" s="140" t="str">
        <f>IF($B$2="Não","",'CÁLCULO FUNPRESP'!S40)</f>
        <v/>
      </c>
      <c r="N40" s="164" t="str">
        <f ca="1">'CÁLCULO FUNPRESP'!U40</f>
        <v/>
      </c>
      <c r="O40" s="140" t="str">
        <f>IF($B$2="Não","",'CÁLCULO FUNPRESP'!Y40)</f>
        <v/>
      </c>
    </row>
    <row r="41" spans="9:15" x14ac:dyDescent="0.25">
      <c r="I41" s="164">
        <f ca="1">'CÁLCULO FUNPRESP'!P41</f>
        <v>44651</v>
      </c>
      <c r="J41" s="140" t="str">
        <f>IF($B$2="Não","",'CÁLCULO FUNPRESP'!Q41)</f>
        <v/>
      </c>
      <c r="K41" s="140" t="str">
        <f>IF($B$2="Não","",'CÁLCULO FUNPRESP'!R41)</f>
        <v/>
      </c>
      <c r="L41" s="140" t="str">
        <f>IF($B$2="Não","",'CÁLCULO FUNPRESP'!S41)</f>
        <v/>
      </c>
      <c r="N41" s="164" t="str">
        <f ca="1">'CÁLCULO FUNPRESP'!U41</f>
        <v/>
      </c>
      <c r="O41" s="140" t="str">
        <f>IF($B$2="Não","",'CÁLCULO FUNPRESP'!Y41)</f>
        <v/>
      </c>
    </row>
    <row r="42" spans="9:15" x14ac:dyDescent="0.25">
      <c r="I42" s="164">
        <f ca="1">'CÁLCULO FUNPRESP'!P42</f>
        <v>44681</v>
      </c>
      <c r="J42" s="140" t="str">
        <f>IF($B$2="Não","",'CÁLCULO FUNPRESP'!Q42)</f>
        <v/>
      </c>
      <c r="K42" s="140" t="str">
        <f>IF($B$2="Não","",'CÁLCULO FUNPRESP'!R42)</f>
        <v/>
      </c>
      <c r="L42" s="140" t="str">
        <f>IF($B$2="Não","",'CÁLCULO FUNPRESP'!S42)</f>
        <v/>
      </c>
      <c r="N42" s="164" t="str">
        <f ca="1">'CÁLCULO FUNPRESP'!U42</f>
        <v/>
      </c>
      <c r="O42" s="140" t="str">
        <f>IF($B$2="Não","",'CÁLCULO FUNPRESP'!Y42)</f>
        <v/>
      </c>
    </row>
    <row r="43" spans="9:15" x14ac:dyDescent="0.25">
      <c r="I43" s="164">
        <f ca="1">'CÁLCULO FUNPRESP'!P43</f>
        <v>44712</v>
      </c>
      <c r="J43" s="140" t="str">
        <f>IF($B$2="Não","",'CÁLCULO FUNPRESP'!Q43)</f>
        <v/>
      </c>
      <c r="K43" s="140" t="str">
        <f>IF($B$2="Não","",'CÁLCULO FUNPRESP'!R43)</f>
        <v/>
      </c>
      <c r="L43" s="140" t="str">
        <f>IF($B$2="Não","",'CÁLCULO FUNPRESP'!S43)</f>
        <v/>
      </c>
      <c r="N43" s="164" t="str">
        <f ca="1">'CÁLCULO FUNPRESP'!U43</f>
        <v/>
      </c>
      <c r="O43" s="140" t="str">
        <f>IF($B$2="Não","",'CÁLCULO FUNPRESP'!Y43)</f>
        <v/>
      </c>
    </row>
    <row r="44" spans="9:15" x14ac:dyDescent="0.25">
      <c r="I44" s="164">
        <f ca="1">'CÁLCULO FUNPRESP'!P44</f>
        <v>44742</v>
      </c>
      <c r="J44" s="140" t="str">
        <f>IF($B$2="Não","",'CÁLCULO FUNPRESP'!Q44)</f>
        <v/>
      </c>
      <c r="K44" s="140" t="str">
        <f>IF($B$2="Não","",'CÁLCULO FUNPRESP'!R44)</f>
        <v/>
      </c>
      <c r="L44" s="140" t="str">
        <f>IF($B$2="Não","",'CÁLCULO FUNPRESP'!S44)</f>
        <v/>
      </c>
      <c r="N44" s="164" t="str">
        <f ca="1">'CÁLCULO FUNPRESP'!U44</f>
        <v/>
      </c>
      <c r="O44" s="140" t="str">
        <f>IF($B$2="Não","",'CÁLCULO FUNPRESP'!Y44)</f>
        <v/>
      </c>
    </row>
    <row r="45" spans="9:15" x14ac:dyDescent="0.25">
      <c r="I45" s="164">
        <f ca="1">'CÁLCULO FUNPRESP'!P45</f>
        <v>44773</v>
      </c>
      <c r="J45" s="140" t="str">
        <f>IF($B$2="Não","",'CÁLCULO FUNPRESP'!Q45)</f>
        <v/>
      </c>
      <c r="K45" s="140" t="str">
        <f>IF($B$2="Não","",'CÁLCULO FUNPRESP'!R45)</f>
        <v/>
      </c>
      <c r="L45" s="140" t="str">
        <f>IF($B$2="Não","",'CÁLCULO FUNPRESP'!S45)</f>
        <v/>
      </c>
      <c r="N45" s="164" t="str">
        <f ca="1">'CÁLCULO FUNPRESP'!U45</f>
        <v/>
      </c>
      <c r="O45" s="140" t="str">
        <f>IF($B$2="Não","",'CÁLCULO FUNPRESP'!Y45)</f>
        <v/>
      </c>
    </row>
    <row r="46" spans="9:15" x14ac:dyDescent="0.25">
      <c r="I46" s="164">
        <f ca="1">'CÁLCULO FUNPRESP'!P46</f>
        <v>44804</v>
      </c>
      <c r="J46" s="140" t="str">
        <f>IF($B$2="Não","",'CÁLCULO FUNPRESP'!Q46)</f>
        <v/>
      </c>
      <c r="K46" s="140" t="str">
        <f>IF($B$2="Não","",'CÁLCULO FUNPRESP'!R46)</f>
        <v/>
      </c>
      <c r="L46" s="140" t="str">
        <f>IF($B$2="Não","",'CÁLCULO FUNPRESP'!S46)</f>
        <v/>
      </c>
      <c r="N46" s="164" t="str">
        <f ca="1">'CÁLCULO FUNPRESP'!U46</f>
        <v/>
      </c>
      <c r="O46" s="140" t="str">
        <f>IF($B$2="Não","",'CÁLCULO FUNPRESP'!Y46)</f>
        <v/>
      </c>
    </row>
    <row r="47" spans="9:15" x14ac:dyDescent="0.25">
      <c r="I47" s="164">
        <f ca="1">'CÁLCULO FUNPRESP'!P47</f>
        <v>44834</v>
      </c>
      <c r="J47" s="140" t="str">
        <f>IF($B$2="Não","",'CÁLCULO FUNPRESP'!Q47)</f>
        <v/>
      </c>
      <c r="K47" s="140" t="str">
        <f>IF($B$2="Não","",'CÁLCULO FUNPRESP'!R47)</f>
        <v/>
      </c>
      <c r="L47" s="140" t="str">
        <f>IF($B$2="Não","",'CÁLCULO FUNPRESP'!S47)</f>
        <v/>
      </c>
      <c r="N47" s="164" t="str">
        <f ca="1">'CÁLCULO FUNPRESP'!U47</f>
        <v/>
      </c>
      <c r="O47" s="140" t="str">
        <f>IF($B$2="Não","",'CÁLCULO FUNPRESP'!Y47)</f>
        <v/>
      </c>
    </row>
    <row r="48" spans="9:15" x14ac:dyDescent="0.25">
      <c r="I48" s="164">
        <f ca="1">'CÁLCULO FUNPRESP'!P48</f>
        <v>44865</v>
      </c>
      <c r="J48" s="140" t="str">
        <f>IF($B$2="Não","",'CÁLCULO FUNPRESP'!Q48)</f>
        <v/>
      </c>
      <c r="K48" s="140" t="str">
        <f>IF($B$2="Não","",'CÁLCULO FUNPRESP'!R48)</f>
        <v/>
      </c>
      <c r="L48" s="140" t="str">
        <f>IF($B$2="Não","",'CÁLCULO FUNPRESP'!S48)</f>
        <v/>
      </c>
      <c r="N48" s="164" t="str">
        <f ca="1">'CÁLCULO FUNPRESP'!U48</f>
        <v/>
      </c>
      <c r="O48" s="140" t="str">
        <f>IF($B$2="Não","",'CÁLCULO FUNPRESP'!Y48)</f>
        <v/>
      </c>
    </row>
    <row r="49" spans="9:15" x14ac:dyDescent="0.25">
      <c r="I49" s="164">
        <f ca="1">'CÁLCULO FUNPRESP'!P49</f>
        <v>44895</v>
      </c>
      <c r="J49" s="140" t="str">
        <f>IF($B$2="Não","",'CÁLCULO FUNPRESP'!Q49)</f>
        <v/>
      </c>
      <c r="K49" s="140" t="str">
        <f>IF($B$2="Não","",'CÁLCULO FUNPRESP'!R49)</f>
        <v/>
      </c>
      <c r="L49" s="140" t="str">
        <f>IF($B$2="Não","",'CÁLCULO FUNPRESP'!S49)</f>
        <v/>
      </c>
      <c r="N49" s="164" t="str">
        <f ca="1">'CÁLCULO FUNPRESP'!U49</f>
        <v/>
      </c>
      <c r="O49" s="140" t="str">
        <f>IF($B$2="Não","",'CÁLCULO FUNPRESP'!Y49)</f>
        <v/>
      </c>
    </row>
    <row r="50" spans="9:15" x14ac:dyDescent="0.25">
      <c r="I50" s="164">
        <f ca="1">'CÁLCULO FUNPRESP'!P50</f>
        <v>44926</v>
      </c>
      <c r="J50" s="140" t="str">
        <f>IF($B$2="Não","",'CÁLCULO FUNPRESP'!Q50)</f>
        <v/>
      </c>
      <c r="K50" s="140" t="str">
        <f>IF($B$2="Não","",'CÁLCULO FUNPRESP'!R50)</f>
        <v/>
      </c>
      <c r="L50" s="140" t="str">
        <f>IF($B$2="Não","",'CÁLCULO FUNPRESP'!S50)</f>
        <v/>
      </c>
      <c r="N50" s="164" t="str">
        <f ca="1">'CÁLCULO FUNPRESP'!U50</f>
        <v/>
      </c>
      <c r="O50" s="140" t="str">
        <f>IF($B$2="Não","",'CÁLCULO FUNPRESP'!Y50)</f>
        <v/>
      </c>
    </row>
    <row r="51" spans="9:15" x14ac:dyDescent="0.25">
      <c r="I51" s="164">
        <f ca="1">'CÁLCULO FUNPRESP'!P51</f>
        <v>44957</v>
      </c>
      <c r="J51" s="140" t="str">
        <f>IF($B$2="Não","",'CÁLCULO FUNPRESP'!Q51)</f>
        <v/>
      </c>
      <c r="K51" s="140" t="str">
        <f>IF($B$2="Não","",'CÁLCULO FUNPRESP'!R51)</f>
        <v/>
      </c>
      <c r="L51" s="140" t="str">
        <f>IF($B$2="Não","",'CÁLCULO FUNPRESP'!S51)</f>
        <v/>
      </c>
      <c r="N51" s="164" t="str">
        <f ca="1">'CÁLCULO FUNPRESP'!U51</f>
        <v/>
      </c>
      <c r="O51" s="140" t="str">
        <f>IF($B$2="Não","",'CÁLCULO FUNPRESP'!Y51)</f>
        <v/>
      </c>
    </row>
    <row r="52" spans="9:15" x14ac:dyDescent="0.25">
      <c r="I52" s="164">
        <f ca="1">'CÁLCULO FUNPRESP'!P52</f>
        <v>44985</v>
      </c>
      <c r="J52" s="140" t="str">
        <f>IF($B$2="Não","",'CÁLCULO FUNPRESP'!Q52)</f>
        <v/>
      </c>
      <c r="K52" s="140" t="str">
        <f>IF($B$2="Não","",'CÁLCULO FUNPRESP'!R52)</f>
        <v/>
      </c>
      <c r="L52" s="140" t="str">
        <f>IF($B$2="Não","",'CÁLCULO FUNPRESP'!S52)</f>
        <v/>
      </c>
      <c r="N52" s="164" t="str">
        <f ca="1">'CÁLCULO FUNPRESP'!U52</f>
        <v/>
      </c>
      <c r="O52" s="140" t="str">
        <f>IF($B$2="Não","",'CÁLCULO FUNPRESP'!Y52)</f>
        <v/>
      </c>
    </row>
    <row r="53" spans="9:15" x14ac:dyDescent="0.25">
      <c r="I53" s="164">
        <f ca="1">'CÁLCULO FUNPRESP'!P53</f>
        <v>45016</v>
      </c>
      <c r="J53" s="140" t="str">
        <f>IF($B$2="Não","",'CÁLCULO FUNPRESP'!Q53)</f>
        <v/>
      </c>
      <c r="K53" s="140" t="str">
        <f>IF($B$2="Não","",'CÁLCULO FUNPRESP'!R53)</f>
        <v/>
      </c>
      <c r="L53" s="140" t="str">
        <f>IF($B$2="Não","",'CÁLCULO FUNPRESP'!S53)</f>
        <v/>
      </c>
      <c r="N53" s="164" t="str">
        <f ca="1">'CÁLCULO FUNPRESP'!U53</f>
        <v/>
      </c>
      <c r="O53" s="140" t="str">
        <f>IF($B$2="Não","",'CÁLCULO FUNPRESP'!Y53)</f>
        <v/>
      </c>
    </row>
    <row r="54" spans="9:15" x14ac:dyDescent="0.25">
      <c r="I54" s="164">
        <f ca="1">'CÁLCULO FUNPRESP'!P54</f>
        <v>45046</v>
      </c>
      <c r="J54" s="140" t="str">
        <f>IF($B$2="Não","",'CÁLCULO FUNPRESP'!Q54)</f>
        <v/>
      </c>
      <c r="K54" s="140" t="str">
        <f>IF($B$2="Não","",'CÁLCULO FUNPRESP'!R54)</f>
        <v/>
      </c>
      <c r="L54" s="140" t="str">
        <f>IF($B$2="Não","",'CÁLCULO FUNPRESP'!S54)</f>
        <v/>
      </c>
      <c r="N54" s="164" t="str">
        <f ca="1">'CÁLCULO FUNPRESP'!U54</f>
        <v/>
      </c>
      <c r="O54" s="140" t="str">
        <f>IF($B$2="Não","",'CÁLCULO FUNPRESP'!Y54)</f>
        <v/>
      </c>
    </row>
    <row r="55" spans="9:15" x14ac:dyDescent="0.25">
      <c r="I55" s="164">
        <f ca="1">'CÁLCULO FUNPRESP'!P55</f>
        <v>45077</v>
      </c>
      <c r="J55" s="140" t="str">
        <f>IF($B$2="Não","",'CÁLCULO FUNPRESP'!Q55)</f>
        <v/>
      </c>
      <c r="K55" s="140" t="str">
        <f>IF($B$2="Não","",'CÁLCULO FUNPRESP'!R55)</f>
        <v/>
      </c>
      <c r="L55" s="140" t="str">
        <f>IF($B$2="Não","",'CÁLCULO FUNPRESP'!S55)</f>
        <v/>
      </c>
      <c r="N55" s="164" t="str">
        <f ca="1">'CÁLCULO FUNPRESP'!U55</f>
        <v/>
      </c>
      <c r="O55" s="140" t="str">
        <f>IF($B$2="Não","",'CÁLCULO FUNPRESP'!Y55)</f>
        <v/>
      </c>
    </row>
    <row r="56" spans="9:15" x14ac:dyDescent="0.25">
      <c r="I56" s="164">
        <f ca="1">'CÁLCULO FUNPRESP'!P56</f>
        <v>45107</v>
      </c>
      <c r="J56" s="140" t="str">
        <f>IF($B$2="Não","",'CÁLCULO FUNPRESP'!Q56)</f>
        <v/>
      </c>
      <c r="K56" s="140" t="str">
        <f>IF($B$2="Não","",'CÁLCULO FUNPRESP'!R56)</f>
        <v/>
      </c>
      <c r="L56" s="140" t="str">
        <f>IF($B$2="Não","",'CÁLCULO FUNPRESP'!S56)</f>
        <v/>
      </c>
      <c r="N56" s="164" t="str">
        <f ca="1">'CÁLCULO FUNPRESP'!U56</f>
        <v/>
      </c>
      <c r="O56" s="140" t="str">
        <f>IF($B$2="Não","",'CÁLCULO FUNPRESP'!Y56)</f>
        <v/>
      </c>
    </row>
    <row r="57" spans="9:15" x14ac:dyDescent="0.25">
      <c r="I57" s="164">
        <f ca="1">'CÁLCULO FUNPRESP'!P57</f>
        <v>45138</v>
      </c>
      <c r="J57" s="140" t="str">
        <f>IF($B$2="Não","",'CÁLCULO FUNPRESP'!Q57)</f>
        <v/>
      </c>
      <c r="K57" s="140" t="str">
        <f>IF($B$2="Não","",'CÁLCULO FUNPRESP'!R57)</f>
        <v/>
      </c>
      <c r="L57" s="140" t="str">
        <f>IF($B$2="Não","",'CÁLCULO FUNPRESP'!S57)</f>
        <v/>
      </c>
      <c r="N57" s="164" t="str">
        <f ca="1">'CÁLCULO FUNPRESP'!U57</f>
        <v/>
      </c>
      <c r="O57" s="140" t="str">
        <f>IF($B$2="Não","",'CÁLCULO FUNPRESP'!Y57)</f>
        <v/>
      </c>
    </row>
    <row r="58" spans="9:15" x14ac:dyDescent="0.25">
      <c r="I58" s="164">
        <f ca="1">'CÁLCULO FUNPRESP'!P58</f>
        <v>45169</v>
      </c>
      <c r="J58" s="140" t="str">
        <f>IF($B$2="Não","",'CÁLCULO FUNPRESP'!Q58)</f>
        <v/>
      </c>
      <c r="K58" s="140" t="str">
        <f>IF($B$2="Não","",'CÁLCULO FUNPRESP'!R58)</f>
        <v/>
      </c>
      <c r="L58" s="140" t="str">
        <f>IF($B$2="Não","",'CÁLCULO FUNPRESP'!S58)</f>
        <v/>
      </c>
      <c r="N58" s="164" t="str">
        <f ca="1">'CÁLCULO FUNPRESP'!U58</f>
        <v/>
      </c>
      <c r="O58" s="140" t="str">
        <f>IF($B$2="Não","",'CÁLCULO FUNPRESP'!Y58)</f>
        <v/>
      </c>
    </row>
    <row r="59" spans="9:15" x14ac:dyDescent="0.25">
      <c r="I59" s="164">
        <f ca="1">'CÁLCULO FUNPRESP'!P59</f>
        <v>45199</v>
      </c>
      <c r="J59" s="140" t="str">
        <f>IF($B$2="Não","",'CÁLCULO FUNPRESP'!Q59)</f>
        <v/>
      </c>
      <c r="K59" s="140" t="str">
        <f>IF($B$2="Não","",'CÁLCULO FUNPRESP'!R59)</f>
        <v/>
      </c>
      <c r="L59" s="140" t="str">
        <f>IF($B$2="Não","",'CÁLCULO FUNPRESP'!S59)</f>
        <v/>
      </c>
      <c r="N59" s="164" t="str">
        <f ca="1">'CÁLCULO FUNPRESP'!U59</f>
        <v/>
      </c>
      <c r="O59" s="140" t="str">
        <f>IF($B$2="Não","",'CÁLCULO FUNPRESP'!Y59)</f>
        <v/>
      </c>
    </row>
    <row r="60" spans="9:15" x14ac:dyDescent="0.25">
      <c r="I60" s="164">
        <f ca="1">'CÁLCULO FUNPRESP'!P60</f>
        <v>45230</v>
      </c>
      <c r="J60" s="140" t="str">
        <f>IF($B$2="Não","",'CÁLCULO FUNPRESP'!Q60)</f>
        <v/>
      </c>
      <c r="K60" s="140" t="str">
        <f>IF($B$2="Não","",'CÁLCULO FUNPRESP'!R60)</f>
        <v/>
      </c>
      <c r="L60" s="140" t="str">
        <f>IF($B$2="Não","",'CÁLCULO FUNPRESP'!S60)</f>
        <v/>
      </c>
      <c r="N60" s="164" t="str">
        <f ca="1">'CÁLCULO FUNPRESP'!U60</f>
        <v/>
      </c>
      <c r="O60" s="140" t="str">
        <f>IF($B$2="Não","",'CÁLCULO FUNPRESP'!Y60)</f>
        <v/>
      </c>
    </row>
    <row r="61" spans="9:15" x14ac:dyDescent="0.25">
      <c r="I61" s="164">
        <f ca="1">'CÁLCULO FUNPRESP'!P61</f>
        <v>45260</v>
      </c>
      <c r="J61" s="140" t="str">
        <f>IF($B$2="Não","",'CÁLCULO FUNPRESP'!Q61)</f>
        <v/>
      </c>
      <c r="K61" s="140" t="str">
        <f>IF($B$2="Não","",'CÁLCULO FUNPRESP'!R61)</f>
        <v/>
      </c>
      <c r="L61" s="140" t="str">
        <f>IF($B$2="Não","",'CÁLCULO FUNPRESP'!S61)</f>
        <v/>
      </c>
      <c r="N61" s="164" t="str">
        <f ca="1">'CÁLCULO FUNPRESP'!U61</f>
        <v/>
      </c>
      <c r="O61" s="140" t="str">
        <f>IF($B$2="Não","",'CÁLCULO FUNPRESP'!Y61)</f>
        <v/>
      </c>
    </row>
    <row r="62" spans="9:15" x14ac:dyDescent="0.25">
      <c r="I62" s="164">
        <f ca="1">'CÁLCULO FUNPRESP'!P62</f>
        <v>45291</v>
      </c>
      <c r="J62" s="140" t="str">
        <f>IF($B$2="Não","",'CÁLCULO FUNPRESP'!Q62)</f>
        <v/>
      </c>
      <c r="K62" s="140" t="str">
        <f>IF($B$2="Não","",'CÁLCULO FUNPRESP'!R62)</f>
        <v/>
      </c>
      <c r="L62" s="140" t="str">
        <f>IF($B$2="Não","",'CÁLCULO FUNPRESP'!S62)</f>
        <v/>
      </c>
      <c r="N62" s="164" t="str">
        <f ca="1">'CÁLCULO FUNPRESP'!U62</f>
        <v/>
      </c>
      <c r="O62" s="140" t="str">
        <f>IF($B$2="Não","",'CÁLCULO FUNPRESP'!Y62)</f>
        <v/>
      </c>
    </row>
    <row r="63" spans="9:15" x14ac:dyDescent="0.25">
      <c r="I63" s="164">
        <f ca="1">'CÁLCULO FUNPRESP'!P63</f>
        <v>45322</v>
      </c>
      <c r="J63" s="140" t="str">
        <f>IF($B$2="Não","",'CÁLCULO FUNPRESP'!Q63)</f>
        <v/>
      </c>
      <c r="K63" s="140" t="str">
        <f>IF($B$2="Não","",'CÁLCULO FUNPRESP'!R63)</f>
        <v/>
      </c>
      <c r="L63" s="140" t="str">
        <f>IF($B$2="Não","",'CÁLCULO FUNPRESP'!S63)</f>
        <v/>
      </c>
      <c r="N63" s="164" t="str">
        <f ca="1">'CÁLCULO FUNPRESP'!U63</f>
        <v/>
      </c>
      <c r="O63" s="140" t="str">
        <f>IF($B$2="Não","",'CÁLCULO FUNPRESP'!Y63)</f>
        <v/>
      </c>
    </row>
    <row r="64" spans="9:15" x14ac:dyDescent="0.25">
      <c r="I64" s="164">
        <f ca="1">'CÁLCULO FUNPRESP'!P64</f>
        <v>45351</v>
      </c>
      <c r="J64" s="140" t="str">
        <f>IF($B$2="Não","",'CÁLCULO FUNPRESP'!Q64)</f>
        <v/>
      </c>
      <c r="K64" s="140" t="str">
        <f>IF($B$2="Não","",'CÁLCULO FUNPRESP'!R64)</f>
        <v/>
      </c>
      <c r="L64" s="140" t="str">
        <f>IF($B$2="Não","",'CÁLCULO FUNPRESP'!S64)</f>
        <v/>
      </c>
      <c r="N64" s="164" t="str">
        <f ca="1">'CÁLCULO FUNPRESP'!U64</f>
        <v/>
      </c>
      <c r="O64" s="140" t="str">
        <f>IF($B$2="Não","",'CÁLCULO FUNPRESP'!Y64)</f>
        <v/>
      </c>
    </row>
    <row r="65" spans="9:15" x14ac:dyDescent="0.25">
      <c r="I65" s="164">
        <f ca="1">'CÁLCULO FUNPRESP'!P65</f>
        <v>45382</v>
      </c>
      <c r="J65" s="140" t="str">
        <f>IF($B$2="Não","",'CÁLCULO FUNPRESP'!Q65)</f>
        <v/>
      </c>
      <c r="K65" s="140" t="str">
        <f>IF($B$2="Não","",'CÁLCULO FUNPRESP'!R65)</f>
        <v/>
      </c>
      <c r="L65" s="140" t="str">
        <f>IF($B$2="Não","",'CÁLCULO FUNPRESP'!S65)</f>
        <v/>
      </c>
      <c r="N65" s="164" t="str">
        <f ca="1">'CÁLCULO FUNPRESP'!U65</f>
        <v/>
      </c>
      <c r="O65" s="140" t="str">
        <f>IF($B$2="Não","",'CÁLCULO FUNPRESP'!Y65)</f>
        <v/>
      </c>
    </row>
    <row r="66" spans="9:15" x14ac:dyDescent="0.25">
      <c r="I66" s="164">
        <f ca="1">'CÁLCULO FUNPRESP'!P66</f>
        <v>45412</v>
      </c>
      <c r="J66" s="140" t="str">
        <f>IF($B$2="Não","",'CÁLCULO FUNPRESP'!Q66)</f>
        <v/>
      </c>
      <c r="K66" s="140" t="str">
        <f>IF($B$2="Não","",'CÁLCULO FUNPRESP'!R66)</f>
        <v/>
      </c>
      <c r="L66" s="140" t="str">
        <f>IF($B$2="Não","",'CÁLCULO FUNPRESP'!S66)</f>
        <v/>
      </c>
      <c r="N66" s="164" t="str">
        <f ca="1">'CÁLCULO FUNPRESP'!U66</f>
        <v/>
      </c>
      <c r="O66" s="140" t="str">
        <f>IF($B$2="Não","",'CÁLCULO FUNPRESP'!Y66)</f>
        <v/>
      </c>
    </row>
    <row r="67" spans="9:15" x14ac:dyDescent="0.25">
      <c r="I67" s="164">
        <f ca="1">'CÁLCULO FUNPRESP'!P67</f>
        <v>45443</v>
      </c>
      <c r="J67" s="140" t="str">
        <f>IF($B$2="Não","",'CÁLCULO FUNPRESP'!Q67)</f>
        <v/>
      </c>
      <c r="K67" s="140" t="str">
        <f>IF($B$2="Não","",'CÁLCULO FUNPRESP'!R67)</f>
        <v/>
      </c>
      <c r="L67" s="140" t="str">
        <f>IF($B$2="Não","",'CÁLCULO FUNPRESP'!S67)</f>
        <v/>
      </c>
      <c r="N67" s="164" t="str">
        <f ca="1">'CÁLCULO FUNPRESP'!U67</f>
        <v/>
      </c>
      <c r="O67" s="140" t="str">
        <f>IF($B$2="Não","",'CÁLCULO FUNPRESP'!Y67)</f>
        <v/>
      </c>
    </row>
    <row r="68" spans="9:15" x14ac:dyDescent="0.25">
      <c r="I68" s="164">
        <f ca="1">'CÁLCULO FUNPRESP'!P68</f>
        <v>45473</v>
      </c>
      <c r="J68" s="140" t="str">
        <f>IF($B$2="Não","",'CÁLCULO FUNPRESP'!Q68)</f>
        <v/>
      </c>
      <c r="K68" s="140" t="str">
        <f>IF($B$2="Não","",'CÁLCULO FUNPRESP'!R68)</f>
        <v/>
      </c>
      <c r="L68" s="140" t="str">
        <f>IF($B$2="Não","",'CÁLCULO FUNPRESP'!S68)</f>
        <v/>
      </c>
      <c r="N68" s="164" t="str">
        <f ca="1">'CÁLCULO FUNPRESP'!U68</f>
        <v/>
      </c>
      <c r="O68" s="140" t="str">
        <f>IF($B$2="Não","",'CÁLCULO FUNPRESP'!Y68)</f>
        <v/>
      </c>
    </row>
    <row r="69" spans="9:15" x14ac:dyDescent="0.25">
      <c r="I69" s="164">
        <f ca="1">'CÁLCULO FUNPRESP'!P69</f>
        <v>45504</v>
      </c>
      <c r="J69" s="140" t="str">
        <f>IF($B$2="Não","",'CÁLCULO FUNPRESP'!Q69)</f>
        <v/>
      </c>
      <c r="K69" s="140" t="str">
        <f>IF($B$2="Não","",'CÁLCULO FUNPRESP'!R69)</f>
        <v/>
      </c>
      <c r="L69" s="140" t="str">
        <f>IF($B$2="Não","",'CÁLCULO FUNPRESP'!S69)</f>
        <v/>
      </c>
      <c r="N69" s="164" t="str">
        <f ca="1">'CÁLCULO FUNPRESP'!U69</f>
        <v/>
      </c>
      <c r="O69" s="140" t="str">
        <f>IF($B$2="Não","",'CÁLCULO FUNPRESP'!Y69)</f>
        <v/>
      </c>
    </row>
    <row r="70" spans="9:15" x14ac:dyDescent="0.25">
      <c r="I70" s="164">
        <f ca="1">'CÁLCULO FUNPRESP'!P70</f>
        <v>45535</v>
      </c>
      <c r="J70" s="140" t="str">
        <f>IF($B$2="Não","",'CÁLCULO FUNPRESP'!Q70)</f>
        <v/>
      </c>
      <c r="K70" s="140" t="str">
        <f>IF($B$2="Não","",'CÁLCULO FUNPRESP'!R70)</f>
        <v/>
      </c>
      <c r="L70" s="140" t="str">
        <f>IF($B$2="Não","",'CÁLCULO FUNPRESP'!S70)</f>
        <v/>
      </c>
      <c r="N70" s="164" t="str">
        <f ca="1">'CÁLCULO FUNPRESP'!U70</f>
        <v/>
      </c>
      <c r="O70" s="140" t="str">
        <f>IF($B$2="Não","",'CÁLCULO FUNPRESP'!Y70)</f>
        <v/>
      </c>
    </row>
    <row r="71" spans="9:15" x14ac:dyDescent="0.25">
      <c r="I71" s="164">
        <f ca="1">'CÁLCULO FUNPRESP'!P71</f>
        <v>45565</v>
      </c>
      <c r="J71" s="140" t="str">
        <f>IF($B$2="Não","",'CÁLCULO FUNPRESP'!Q71)</f>
        <v/>
      </c>
      <c r="K71" s="140" t="str">
        <f>IF($B$2="Não","",'CÁLCULO FUNPRESP'!R71)</f>
        <v/>
      </c>
      <c r="L71" s="140" t="str">
        <f>IF($B$2="Não","",'CÁLCULO FUNPRESP'!S71)</f>
        <v/>
      </c>
      <c r="N71" s="164" t="str">
        <f ca="1">'CÁLCULO FUNPRESP'!U71</f>
        <v/>
      </c>
      <c r="O71" s="140" t="str">
        <f>IF($B$2="Não","",'CÁLCULO FUNPRESP'!Y71)</f>
        <v/>
      </c>
    </row>
    <row r="72" spans="9:15" x14ac:dyDescent="0.25">
      <c r="I72" s="164">
        <f ca="1">'CÁLCULO FUNPRESP'!P72</f>
        <v>45596</v>
      </c>
      <c r="J72" s="140" t="str">
        <f>IF($B$2="Não","",'CÁLCULO FUNPRESP'!Q72)</f>
        <v/>
      </c>
      <c r="K72" s="140" t="str">
        <f>IF($B$2="Não","",'CÁLCULO FUNPRESP'!R72)</f>
        <v/>
      </c>
      <c r="L72" s="140" t="str">
        <f>IF($B$2="Não","",'CÁLCULO FUNPRESP'!S72)</f>
        <v/>
      </c>
      <c r="N72" s="164" t="str">
        <f ca="1">'CÁLCULO FUNPRESP'!U72</f>
        <v/>
      </c>
      <c r="O72" s="140" t="str">
        <f>IF($B$2="Não","",'CÁLCULO FUNPRESP'!Y72)</f>
        <v/>
      </c>
    </row>
    <row r="73" spans="9:15" x14ac:dyDescent="0.25">
      <c r="I73" s="164">
        <f ca="1">'CÁLCULO FUNPRESP'!P73</f>
        <v>45626</v>
      </c>
      <c r="J73" s="140" t="str">
        <f>IF($B$2="Não","",'CÁLCULO FUNPRESP'!Q73)</f>
        <v/>
      </c>
      <c r="K73" s="140" t="str">
        <f>IF($B$2="Não","",'CÁLCULO FUNPRESP'!R73)</f>
        <v/>
      </c>
      <c r="L73" s="140" t="str">
        <f>IF($B$2="Não","",'CÁLCULO FUNPRESP'!S73)</f>
        <v/>
      </c>
      <c r="N73" s="164" t="str">
        <f ca="1">'CÁLCULO FUNPRESP'!U73</f>
        <v/>
      </c>
      <c r="O73" s="140" t="str">
        <f>IF($B$2="Não","",'CÁLCULO FUNPRESP'!Y73)</f>
        <v/>
      </c>
    </row>
    <row r="74" spans="9:15" x14ac:dyDescent="0.25">
      <c r="I74" s="164">
        <f ca="1">'CÁLCULO FUNPRESP'!P74</f>
        <v>45657</v>
      </c>
      <c r="J74" s="140" t="str">
        <f>IF($B$2="Não","",'CÁLCULO FUNPRESP'!Q74)</f>
        <v/>
      </c>
      <c r="K74" s="140" t="str">
        <f>IF($B$2="Não","",'CÁLCULO FUNPRESP'!R74)</f>
        <v/>
      </c>
      <c r="L74" s="140" t="str">
        <f>IF($B$2="Não","",'CÁLCULO FUNPRESP'!S74)</f>
        <v/>
      </c>
      <c r="N74" s="164" t="str">
        <f ca="1">'CÁLCULO FUNPRESP'!U74</f>
        <v/>
      </c>
      <c r="O74" s="140" t="str">
        <f>IF($B$2="Não","",'CÁLCULO FUNPRESP'!Y74)</f>
        <v/>
      </c>
    </row>
    <row r="75" spans="9:15" x14ac:dyDescent="0.25">
      <c r="I75" s="164">
        <f ca="1">'CÁLCULO FUNPRESP'!P75</f>
        <v>45688</v>
      </c>
      <c r="J75" s="140" t="str">
        <f>IF($B$2="Não","",'CÁLCULO FUNPRESP'!Q75)</f>
        <v/>
      </c>
      <c r="K75" s="140" t="str">
        <f>IF($B$2="Não","",'CÁLCULO FUNPRESP'!R75)</f>
        <v/>
      </c>
      <c r="L75" s="140" t="str">
        <f>IF($B$2="Não","",'CÁLCULO FUNPRESP'!S75)</f>
        <v/>
      </c>
      <c r="N75" s="164" t="str">
        <f ca="1">'CÁLCULO FUNPRESP'!U75</f>
        <v/>
      </c>
      <c r="O75" s="140" t="str">
        <f>IF($B$2="Não","",'CÁLCULO FUNPRESP'!Y75)</f>
        <v/>
      </c>
    </row>
    <row r="76" spans="9:15" x14ac:dyDescent="0.25">
      <c r="I76" s="164">
        <f ca="1">'CÁLCULO FUNPRESP'!P76</f>
        <v>45716</v>
      </c>
      <c r="J76" s="140" t="str">
        <f>IF($B$2="Não","",'CÁLCULO FUNPRESP'!Q76)</f>
        <v/>
      </c>
      <c r="K76" s="140" t="str">
        <f>IF($B$2="Não","",'CÁLCULO FUNPRESP'!R76)</f>
        <v/>
      </c>
      <c r="L76" s="140" t="str">
        <f>IF($B$2="Não","",'CÁLCULO FUNPRESP'!S76)</f>
        <v/>
      </c>
      <c r="N76" s="164" t="str">
        <f ca="1">'CÁLCULO FUNPRESP'!U76</f>
        <v/>
      </c>
      <c r="O76" s="140" t="str">
        <f>IF($B$2="Não","",'CÁLCULO FUNPRESP'!Y76)</f>
        <v/>
      </c>
    </row>
    <row r="77" spans="9:15" x14ac:dyDescent="0.25">
      <c r="I77" s="164">
        <f ca="1">'CÁLCULO FUNPRESP'!P77</f>
        <v>45747</v>
      </c>
      <c r="J77" s="140" t="str">
        <f>IF($B$2="Não","",'CÁLCULO FUNPRESP'!Q77)</f>
        <v/>
      </c>
      <c r="K77" s="140" t="str">
        <f>IF($B$2="Não","",'CÁLCULO FUNPRESP'!R77)</f>
        <v/>
      </c>
      <c r="L77" s="140" t="str">
        <f>IF($B$2="Não","",'CÁLCULO FUNPRESP'!S77)</f>
        <v/>
      </c>
      <c r="N77" s="164" t="str">
        <f ca="1">'CÁLCULO FUNPRESP'!U77</f>
        <v/>
      </c>
      <c r="O77" s="140" t="str">
        <f>IF($B$2="Não","",'CÁLCULO FUNPRESP'!Y77)</f>
        <v/>
      </c>
    </row>
    <row r="78" spans="9:15" x14ac:dyDescent="0.25">
      <c r="I78" s="164">
        <f ca="1">'CÁLCULO FUNPRESP'!P78</f>
        <v>45777</v>
      </c>
      <c r="J78" s="140" t="str">
        <f>IF($B$2="Não","",'CÁLCULO FUNPRESP'!Q78)</f>
        <v/>
      </c>
      <c r="K78" s="140" t="str">
        <f>IF($B$2="Não","",'CÁLCULO FUNPRESP'!R78)</f>
        <v/>
      </c>
      <c r="L78" s="140" t="str">
        <f>IF($B$2="Não","",'CÁLCULO FUNPRESP'!S78)</f>
        <v/>
      </c>
      <c r="N78" s="164" t="str">
        <f ca="1">'CÁLCULO FUNPRESP'!U78</f>
        <v/>
      </c>
      <c r="O78" s="140" t="str">
        <f>IF($B$2="Não","",'CÁLCULO FUNPRESP'!Y78)</f>
        <v/>
      </c>
    </row>
    <row r="79" spans="9:15" x14ac:dyDescent="0.25">
      <c r="I79" s="164">
        <f ca="1">'CÁLCULO FUNPRESP'!P79</f>
        <v>45808</v>
      </c>
      <c r="J79" s="140" t="str">
        <f>IF($B$2="Não","",'CÁLCULO FUNPRESP'!Q79)</f>
        <v/>
      </c>
      <c r="K79" s="140" t="str">
        <f>IF($B$2="Não","",'CÁLCULO FUNPRESP'!R79)</f>
        <v/>
      </c>
      <c r="L79" s="140" t="str">
        <f>IF($B$2="Não","",'CÁLCULO FUNPRESP'!S79)</f>
        <v/>
      </c>
      <c r="N79" s="164" t="str">
        <f ca="1">'CÁLCULO FUNPRESP'!U79</f>
        <v/>
      </c>
      <c r="O79" s="140" t="str">
        <f>IF($B$2="Não","",'CÁLCULO FUNPRESP'!Y79)</f>
        <v/>
      </c>
    </row>
    <row r="80" spans="9:15" x14ac:dyDescent="0.25">
      <c r="I80" s="164">
        <f ca="1">'CÁLCULO FUNPRESP'!P80</f>
        <v>45838</v>
      </c>
      <c r="J80" s="140" t="str">
        <f>IF($B$2="Não","",'CÁLCULO FUNPRESP'!Q80)</f>
        <v/>
      </c>
      <c r="K80" s="140" t="str">
        <f>IF($B$2="Não","",'CÁLCULO FUNPRESP'!R80)</f>
        <v/>
      </c>
      <c r="L80" s="140" t="str">
        <f>IF($B$2="Não","",'CÁLCULO FUNPRESP'!S80)</f>
        <v/>
      </c>
      <c r="N80" s="164" t="str">
        <f ca="1">'CÁLCULO FUNPRESP'!U80</f>
        <v/>
      </c>
      <c r="O80" s="140" t="str">
        <f>IF($B$2="Não","",'CÁLCULO FUNPRESP'!Y80)</f>
        <v/>
      </c>
    </row>
    <row r="81" spans="9:15" x14ac:dyDescent="0.25">
      <c r="I81" s="164">
        <f ca="1">'CÁLCULO FUNPRESP'!P81</f>
        <v>45869</v>
      </c>
      <c r="J81" s="140" t="str">
        <f>IF($B$2="Não","",'CÁLCULO FUNPRESP'!Q81)</f>
        <v/>
      </c>
      <c r="K81" s="140" t="str">
        <f>IF($B$2="Não","",'CÁLCULO FUNPRESP'!R81)</f>
        <v/>
      </c>
      <c r="L81" s="140" t="str">
        <f>IF($B$2="Não","",'CÁLCULO FUNPRESP'!S81)</f>
        <v/>
      </c>
      <c r="N81" s="164" t="str">
        <f ca="1">'CÁLCULO FUNPRESP'!U81</f>
        <v/>
      </c>
      <c r="O81" s="140" t="str">
        <f>IF($B$2="Não","",'CÁLCULO FUNPRESP'!Y81)</f>
        <v/>
      </c>
    </row>
    <row r="82" spans="9:15" x14ac:dyDescent="0.25">
      <c r="I82" s="164">
        <f ca="1">'CÁLCULO FUNPRESP'!P82</f>
        <v>45900</v>
      </c>
      <c r="J82" s="140" t="str">
        <f>IF($B$2="Não","",'CÁLCULO FUNPRESP'!Q82)</f>
        <v/>
      </c>
      <c r="K82" s="140" t="str">
        <f>IF($B$2="Não","",'CÁLCULO FUNPRESP'!R82)</f>
        <v/>
      </c>
      <c r="L82" s="140" t="str">
        <f>IF($B$2="Não","",'CÁLCULO FUNPRESP'!S82)</f>
        <v/>
      </c>
      <c r="N82" s="164" t="str">
        <f ca="1">'CÁLCULO FUNPRESP'!U82</f>
        <v/>
      </c>
      <c r="O82" s="140" t="str">
        <f>IF($B$2="Não","",'CÁLCULO FUNPRESP'!Y82)</f>
        <v/>
      </c>
    </row>
    <row r="83" spans="9:15" x14ac:dyDescent="0.25">
      <c r="I83" s="164">
        <f ca="1">'CÁLCULO FUNPRESP'!P83</f>
        <v>45930</v>
      </c>
      <c r="J83" s="140" t="str">
        <f>IF($B$2="Não","",'CÁLCULO FUNPRESP'!Q83)</f>
        <v/>
      </c>
      <c r="K83" s="140" t="str">
        <f>IF($B$2="Não","",'CÁLCULO FUNPRESP'!R83)</f>
        <v/>
      </c>
      <c r="L83" s="140" t="str">
        <f>IF($B$2="Não","",'CÁLCULO FUNPRESP'!S83)</f>
        <v/>
      </c>
      <c r="N83" s="164" t="str">
        <f ca="1">'CÁLCULO FUNPRESP'!U83</f>
        <v/>
      </c>
      <c r="O83" s="140" t="str">
        <f>IF($B$2="Não","",'CÁLCULO FUNPRESP'!Y83)</f>
        <v/>
      </c>
    </row>
    <row r="84" spans="9:15" x14ac:dyDescent="0.25">
      <c r="I84" s="164">
        <f ca="1">'CÁLCULO FUNPRESP'!P84</f>
        <v>45961</v>
      </c>
      <c r="J84" s="140" t="str">
        <f>IF($B$2="Não","",'CÁLCULO FUNPRESP'!Q84)</f>
        <v/>
      </c>
      <c r="K84" s="140" t="str">
        <f>IF($B$2="Não","",'CÁLCULO FUNPRESP'!R84)</f>
        <v/>
      </c>
      <c r="L84" s="140" t="str">
        <f>IF($B$2="Não","",'CÁLCULO FUNPRESP'!S84)</f>
        <v/>
      </c>
      <c r="N84" s="164" t="str">
        <f ca="1">'CÁLCULO FUNPRESP'!U84</f>
        <v/>
      </c>
      <c r="O84" s="140" t="str">
        <f>IF($B$2="Não","",'CÁLCULO FUNPRESP'!Y84)</f>
        <v/>
      </c>
    </row>
    <row r="85" spans="9:15" x14ac:dyDescent="0.25">
      <c r="I85" s="164">
        <f ca="1">'CÁLCULO FUNPRESP'!P85</f>
        <v>45991</v>
      </c>
      <c r="J85" s="140" t="str">
        <f>IF($B$2="Não","",'CÁLCULO FUNPRESP'!Q85)</f>
        <v/>
      </c>
      <c r="K85" s="140" t="str">
        <f>IF($B$2="Não","",'CÁLCULO FUNPRESP'!R85)</f>
        <v/>
      </c>
      <c r="L85" s="140" t="str">
        <f>IF($B$2="Não","",'CÁLCULO FUNPRESP'!S85)</f>
        <v/>
      </c>
      <c r="N85" s="164" t="str">
        <f ca="1">'CÁLCULO FUNPRESP'!U85</f>
        <v/>
      </c>
      <c r="O85" s="140" t="str">
        <f>IF($B$2="Não","",'CÁLCULO FUNPRESP'!Y85)</f>
        <v/>
      </c>
    </row>
    <row r="86" spans="9:15" x14ac:dyDescent="0.25">
      <c r="I86" s="164">
        <f ca="1">'CÁLCULO FUNPRESP'!P86</f>
        <v>46022</v>
      </c>
      <c r="J86" s="140" t="str">
        <f>IF($B$2="Não","",'CÁLCULO FUNPRESP'!Q86)</f>
        <v/>
      </c>
      <c r="K86" s="140" t="str">
        <f>IF($B$2="Não","",'CÁLCULO FUNPRESP'!R86)</f>
        <v/>
      </c>
      <c r="L86" s="140" t="str">
        <f>IF($B$2="Não","",'CÁLCULO FUNPRESP'!S86)</f>
        <v/>
      </c>
      <c r="N86" s="164" t="str">
        <f ca="1">'CÁLCULO FUNPRESP'!U86</f>
        <v/>
      </c>
      <c r="O86" s="140" t="str">
        <f>IF($B$2="Não","",'CÁLCULO FUNPRESP'!Y86)</f>
        <v/>
      </c>
    </row>
    <row r="87" spans="9:15" x14ac:dyDescent="0.25">
      <c r="I87" s="164">
        <f ca="1">'CÁLCULO FUNPRESP'!P87</f>
        <v>46053</v>
      </c>
      <c r="J87" s="140" t="str">
        <f>IF($B$2="Não","",'CÁLCULO FUNPRESP'!Q87)</f>
        <v/>
      </c>
      <c r="K87" s="140" t="str">
        <f>IF($B$2="Não","",'CÁLCULO FUNPRESP'!R87)</f>
        <v/>
      </c>
      <c r="L87" s="140" t="str">
        <f>IF($B$2="Não","",'CÁLCULO FUNPRESP'!S87)</f>
        <v/>
      </c>
      <c r="N87" s="164" t="str">
        <f ca="1">'CÁLCULO FUNPRESP'!U87</f>
        <v/>
      </c>
      <c r="O87" s="140" t="str">
        <f>IF($B$2="Não","",'CÁLCULO FUNPRESP'!Y87)</f>
        <v/>
      </c>
    </row>
    <row r="88" spans="9:15" x14ac:dyDescent="0.25">
      <c r="I88" s="164">
        <f ca="1">'CÁLCULO FUNPRESP'!P88</f>
        <v>46081</v>
      </c>
      <c r="J88" s="140" t="str">
        <f>IF($B$2="Não","",'CÁLCULO FUNPRESP'!Q88)</f>
        <v/>
      </c>
      <c r="K88" s="140" t="str">
        <f>IF($B$2="Não","",'CÁLCULO FUNPRESP'!R88)</f>
        <v/>
      </c>
      <c r="L88" s="140" t="str">
        <f>IF($B$2="Não","",'CÁLCULO FUNPRESP'!S88)</f>
        <v/>
      </c>
      <c r="N88" s="164" t="str">
        <f ca="1">'CÁLCULO FUNPRESP'!U88</f>
        <v/>
      </c>
      <c r="O88" s="140" t="str">
        <f>IF($B$2="Não","",'CÁLCULO FUNPRESP'!Y88)</f>
        <v/>
      </c>
    </row>
    <row r="89" spans="9:15" x14ac:dyDescent="0.25">
      <c r="I89" s="164">
        <f ca="1">'CÁLCULO FUNPRESP'!P89</f>
        <v>46112</v>
      </c>
      <c r="J89" s="140" t="str">
        <f>IF($B$2="Não","",'CÁLCULO FUNPRESP'!Q89)</f>
        <v/>
      </c>
      <c r="K89" s="140" t="str">
        <f>IF($B$2="Não","",'CÁLCULO FUNPRESP'!R89)</f>
        <v/>
      </c>
      <c r="L89" s="140" t="str">
        <f>IF($B$2="Não","",'CÁLCULO FUNPRESP'!S89)</f>
        <v/>
      </c>
      <c r="N89" s="164" t="str">
        <f ca="1">'CÁLCULO FUNPRESP'!U89</f>
        <v/>
      </c>
      <c r="O89" s="140" t="str">
        <f>IF($B$2="Não","",'CÁLCULO FUNPRESP'!Y89)</f>
        <v/>
      </c>
    </row>
    <row r="90" spans="9:15" x14ac:dyDescent="0.25">
      <c r="I90" s="164">
        <f ca="1">'CÁLCULO FUNPRESP'!P90</f>
        <v>46142</v>
      </c>
      <c r="J90" s="140" t="str">
        <f>IF($B$2="Não","",'CÁLCULO FUNPRESP'!Q90)</f>
        <v/>
      </c>
      <c r="K90" s="140" t="str">
        <f>IF($B$2="Não","",'CÁLCULO FUNPRESP'!R90)</f>
        <v/>
      </c>
      <c r="L90" s="140" t="str">
        <f>IF($B$2="Não","",'CÁLCULO FUNPRESP'!S90)</f>
        <v/>
      </c>
      <c r="N90" s="164" t="str">
        <f ca="1">'CÁLCULO FUNPRESP'!U90</f>
        <v/>
      </c>
      <c r="O90" s="140" t="str">
        <f>IF($B$2="Não","",'CÁLCULO FUNPRESP'!Y90)</f>
        <v/>
      </c>
    </row>
    <row r="91" spans="9:15" x14ac:dyDescent="0.25">
      <c r="I91" s="164">
        <f ca="1">'CÁLCULO FUNPRESP'!P91</f>
        <v>46173</v>
      </c>
      <c r="J91" s="140" t="str">
        <f>IF($B$2="Não","",'CÁLCULO FUNPRESP'!Q91)</f>
        <v/>
      </c>
      <c r="K91" s="140" t="str">
        <f>IF($B$2="Não","",'CÁLCULO FUNPRESP'!R91)</f>
        <v/>
      </c>
      <c r="L91" s="140" t="str">
        <f>IF($B$2="Não","",'CÁLCULO FUNPRESP'!S91)</f>
        <v/>
      </c>
      <c r="N91" s="164" t="str">
        <f ca="1">'CÁLCULO FUNPRESP'!U91</f>
        <v/>
      </c>
      <c r="O91" s="140" t="str">
        <f>IF($B$2="Não","",'CÁLCULO FUNPRESP'!Y91)</f>
        <v/>
      </c>
    </row>
    <row r="92" spans="9:15" x14ac:dyDescent="0.25">
      <c r="I92" s="164">
        <f ca="1">'CÁLCULO FUNPRESP'!P92</f>
        <v>46203</v>
      </c>
      <c r="J92" s="140" t="str">
        <f>IF($B$2="Não","",'CÁLCULO FUNPRESP'!Q92)</f>
        <v/>
      </c>
      <c r="K92" s="140" t="str">
        <f>IF($B$2="Não","",'CÁLCULO FUNPRESP'!R92)</f>
        <v/>
      </c>
      <c r="L92" s="140" t="str">
        <f>IF($B$2="Não","",'CÁLCULO FUNPRESP'!S92)</f>
        <v/>
      </c>
      <c r="N92" s="164" t="str">
        <f ca="1">'CÁLCULO FUNPRESP'!U92</f>
        <v/>
      </c>
      <c r="O92" s="140" t="str">
        <f>IF($B$2="Não","",'CÁLCULO FUNPRESP'!Y92)</f>
        <v/>
      </c>
    </row>
    <row r="93" spans="9:15" x14ac:dyDescent="0.25">
      <c r="I93" s="164">
        <f ca="1">'CÁLCULO FUNPRESP'!P93</f>
        <v>46234</v>
      </c>
      <c r="J93" s="140" t="str">
        <f>IF($B$2="Não","",'CÁLCULO FUNPRESP'!Q93)</f>
        <v/>
      </c>
      <c r="K93" s="140" t="str">
        <f>IF($B$2="Não","",'CÁLCULO FUNPRESP'!R93)</f>
        <v/>
      </c>
      <c r="L93" s="140" t="str">
        <f>IF($B$2="Não","",'CÁLCULO FUNPRESP'!S93)</f>
        <v/>
      </c>
      <c r="N93" s="164" t="str">
        <f ca="1">'CÁLCULO FUNPRESP'!U93</f>
        <v/>
      </c>
      <c r="O93" s="140" t="str">
        <f>IF($B$2="Não","",'CÁLCULO FUNPRESP'!Y93)</f>
        <v/>
      </c>
    </row>
    <row r="94" spans="9:15" x14ac:dyDescent="0.25">
      <c r="I94" s="164">
        <f ca="1">'CÁLCULO FUNPRESP'!P94</f>
        <v>46265</v>
      </c>
      <c r="J94" s="140" t="str">
        <f>IF($B$2="Não","",'CÁLCULO FUNPRESP'!Q94)</f>
        <v/>
      </c>
      <c r="K94" s="140" t="str">
        <f>IF($B$2="Não","",'CÁLCULO FUNPRESP'!R94)</f>
        <v/>
      </c>
      <c r="L94" s="140" t="str">
        <f>IF($B$2="Não","",'CÁLCULO FUNPRESP'!S94)</f>
        <v/>
      </c>
      <c r="N94" s="164" t="str">
        <f ca="1">'CÁLCULO FUNPRESP'!U94</f>
        <v/>
      </c>
      <c r="O94" s="140" t="str">
        <f>IF($B$2="Não","",'CÁLCULO FUNPRESP'!Y94)</f>
        <v/>
      </c>
    </row>
    <row r="95" spans="9:15" x14ac:dyDescent="0.25">
      <c r="I95" s="164">
        <f ca="1">'CÁLCULO FUNPRESP'!P95</f>
        <v>46295</v>
      </c>
      <c r="J95" s="140" t="str">
        <f>IF($B$2="Não","",'CÁLCULO FUNPRESP'!Q95)</f>
        <v/>
      </c>
      <c r="K95" s="140" t="str">
        <f>IF($B$2="Não","",'CÁLCULO FUNPRESP'!R95)</f>
        <v/>
      </c>
      <c r="L95" s="140" t="str">
        <f>IF($B$2="Não","",'CÁLCULO FUNPRESP'!S95)</f>
        <v/>
      </c>
      <c r="N95" s="164" t="str">
        <f ca="1">'CÁLCULO FUNPRESP'!U95</f>
        <v/>
      </c>
      <c r="O95" s="140" t="str">
        <f>IF($B$2="Não","",'CÁLCULO FUNPRESP'!Y95)</f>
        <v/>
      </c>
    </row>
    <row r="96" spans="9:15" x14ac:dyDescent="0.25">
      <c r="I96" s="164">
        <f ca="1">'CÁLCULO FUNPRESP'!P96</f>
        <v>46326</v>
      </c>
      <c r="J96" s="140" t="str">
        <f>IF($B$2="Não","",'CÁLCULO FUNPRESP'!Q96)</f>
        <v/>
      </c>
      <c r="K96" s="140" t="str">
        <f>IF($B$2="Não","",'CÁLCULO FUNPRESP'!R96)</f>
        <v/>
      </c>
      <c r="L96" s="140" t="str">
        <f>IF($B$2="Não","",'CÁLCULO FUNPRESP'!S96)</f>
        <v/>
      </c>
      <c r="N96" s="164" t="str">
        <f ca="1">'CÁLCULO FUNPRESP'!U96</f>
        <v/>
      </c>
      <c r="O96" s="140" t="str">
        <f>IF($B$2="Não","",'CÁLCULO FUNPRESP'!Y96)</f>
        <v/>
      </c>
    </row>
    <row r="97" spans="9:15" x14ac:dyDescent="0.25">
      <c r="I97" s="164">
        <f ca="1">'CÁLCULO FUNPRESP'!P97</f>
        <v>46356</v>
      </c>
      <c r="J97" s="140" t="str">
        <f>IF($B$2="Não","",'CÁLCULO FUNPRESP'!Q97)</f>
        <v/>
      </c>
      <c r="K97" s="140" t="str">
        <f>IF($B$2="Não","",'CÁLCULO FUNPRESP'!R97)</f>
        <v/>
      </c>
      <c r="L97" s="140" t="str">
        <f>IF($B$2="Não","",'CÁLCULO FUNPRESP'!S97)</f>
        <v/>
      </c>
      <c r="N97" s="164" t="str">
        <f ca="1">'CÁLCULO FUNPRESP'!U97</f>
        <v/>
      </c>
      <c r="O97" s="140" t="str">
        <f>IF($B$2="Não","",'CÁLCULO FUNPRESP'!Y97)</f>
        <v/>
      </c>
    </row>
    <row r="98" spans="9:15" x14ac:dyDescent="0.25">
      <c r="I98" s="164">
        <f ca="1">'CÁLCULO FUNPRESP'!P98</f>
        <v>46387</v>
      </c>
      <c r="J98" s="140" t="str">
        <f>IF($B$2="Não","",'CÁLCULO FUNPRESP'!Q98)</f>
        <v/>
      </c>
      <c r="K98" s="140" t="str">
        <f>IF($B$2="Não","",'CÁLCULO FUNPRESP'!R98)</f>
        <v/>
      </c>
      <c r="L98" s="140" t="str">
        <f>IF($B$2="Não","",'CÁLCULO FUNPRESP'!S98)</f>
        <v/>
      </c>
      <c r="N98" s="164" t="str">
        <f ca="1">'CÁLCULO FUNPRESP'!U98</f>
        <v/>
      </c>
      <c r="O98" s="140" t="str">
        <f>IF($B$2="Não","",'CÁLCULO FUNPRESP'!Y98)</f>
        <v/>
      </c>
    </row>
    <row r="99" spans="9:15" x14ac:dyDescent="0.25">
      <c r="I99" s="164">
        <f ca="1">'CÁLCULO FUNPRESP'!P99</f>
        <v>46418</v>
      </c>
      <c r="J99" s="140" t="str">
        <f>IF($B$2="Não","",'CÁLCULO FUNPRESP'!Q99)</f>
        <v/>
      </c>
      <c r="K99" s="140" t="str">
        <f>IF($B$2="Não","",'CÁLCULO FUNPRESP'!R99)</f>
        <v/>
      </c>
      <c r="L99" s="140" t="str">
        <f>IF($B$2="Não","",'CÁLCULO FUNPRESP'!S99)</f>
        <v/>
      </c>
      <c r="N99" s="164" t="str">
        <f ca="1">'CÁLCULO FUNPRESP'!U99</f>
        <v/>
      </c>
      <c r="O99" s="140" t="str">
        <f>IF($B$2="Não","",'CÁLCULO FUNPRESP'!Y99)</f>
        <v/>
      </c>
    </row>
    <row r="100" spans="9:15" x14ac:dyDescent="0.25">
      <c r="I100" s="164">
        <f ca="1">'CÁLCULO FUNPRESP'!P100</f>
        <v>46446</v>
      </c>
      <c r="J100" s="140" t="str">
        <f>IF($B$2="Não","",'CÁLCULO FUNPRESP'!Q100)</f>
        <v/>
      </c>
      <c r="K100" s="140" t="str">
        <f>IF($B$2="Não","",'CÁLCULO FUNPRESP'!R100)</f>
        <v/>
      </c>
      <c r="L100" s="140" t="str">
        <f>IF($B$2="Não","",'CÁLCULO FUNPRESP'!S100)</f>
        <v/>
      </c>
      <c r="N100" s="164" t="str">
        <f ca="1">'CÁLCULO FUNPRESP'!U100</f>
        <v/>
      </c>
      <c r="O100" s="140" t="str">
        <f>IF($B$2="Não","",'CÁLCULO FUNPRESP'!Y100)</f>
        <v/>
      </c>
    </row>
    <row r="101" spans="9:15" x14ac:dyDescent="0.25">
      <c r="I101" s="164">
        <f ca="1">'CÁLCULO FUNPRESP'!P101</f>
        <v>46477</v>
      </c>
      <c r="J101" s="140" t="str">
        <f>IF($B$2="Não","",'CÁLCULO FUNPRESP'!Q101)</f>
        <v/>
      </c>
      <c r="K101" s="140" t="str">
        <f>IF($B$2="Não","",'CÁLCULO FUNPRESP'!R101)</f>
        <v/>
      </c>
      <c r="L101" s="140" t="str">
        <f>IF($B$2="Não","",'CÁLCULO FUNPRESP'!S101)</f>
        <v/>
      </c>
      <c r="N101" s="164" t="str">
        <f ca="1">'CÁLCULO FUNPRESP'!U101</f>
        <v/>
      </c>
      <c r="O101" s="140" t="str">
        <f>IF($B$2="Não","",'CÁLCULO FUNPRESP'!Y101)</f>
        <v/>
      </c>
    </row>
    <row r="102" spans="9:15" x14ac:dyDescent="0.25">
      <c r="I102" s="164">
        <f ca="1">'CÁLCULO FUNPRESP'!P102</f>
        <v>46507</v>
      </c>
      <c r="J102" s="140" t="str">
        <f>IF($B$2="Não","",'CÁLCULO FUNPRESP'!Q102)</f>
        <v/>
      </c>
      <c r="K102" s="140" t="str">
        <f>IF($B$2="Não","",'CÁLCULO FUNPRESP'!R102)</f>
        <v/>
      </c>
      <c r="L102" s="140" t="str">
        <f>IF($B$2="Não","",'CÁLCULO FUNPRESP'!S102)</f>
        <v/>
      </c>
      <c r="N102" s="164" t="str">
        <f ca="1">'CÁLCULO FUNPRESP'!U102</f>
        <v/>
      </c>
      <c r="O102" s="140" t="str">
        <f>IF($B$2="Não","",'CÁLCULO FUNPRESP'!Y102)</f>
        <v/>
      </c>
    </row>
    <row r="103" spans="9:15" x14ac:dyDescent="0.25">
      <c r="I103" s="164">
        <f ca="1">'CÁLCULO FUNPRESP'!P103</f>
        <v>46538</v>
      </c>
      <c r="J103" s="140" t="str">
        <f>IF($B$2="Não","",'CÁLCULO FUNPRESP'!Q103)</f>
        <v/>
      </c>
      <c r="K103" s="140" t="str">
        <f>IF($B$2="Não","",'CÁLCULO FUNPRESP'!R103)</f>
        <v/>
      </c>
      <c r="L103" s="140" t="str">
        <f>IF($B$2="Não","",'CÁLCULO FUNPRESP'!S103)</f>
        <v/>
      </c>
      <c r="N103" s="164" t="str">
        <f ca="1">'CÁLCULO FUNPRESP'!U103</f>
        <v/>
      </c>
      <c r="O103" s="140" t="str">
        <f>IF($B$2="Não","",'CÁLCULO FUNPRESP'!Y103)</f>
        <v/>
      </c>
    </row>
    <row r="104" spans="9:15" x14ac:dyDescent="0.25">
      <c r="I104" s="164">
        <f ca="1">'CÁLCULO FUNPRESP'!P104</f>
        <v>46568</v>
      </c>
      <c r="J104" s="140" t="str">
        <f>IF($B$2="Não","",'CÁLCULO FUNPRESP'!Q104)</f>
        <v/>
      </c>
      <c r="K104" s="140" t="str">
        <f>IF($B$2="Não","",'CÁLCULO FUNPRESP'!R104)</f>
        <v/>
      </c>
      <c r="L104" s="140" t="str">
        <f>IF($B$2="Não","",'CÁLCULO FUNPRESP'!S104)</f>
        <v/>
      </c>
      <c r="N104" s="164" t="str">
        <f ca="1">'CÁLCULO FUNPRESP'!U104</f>
        <v/>
      </c>
      <c r="O104" s="140" t="str">
        <f>IF($B$2="Não","",'CÁLCULO FUNPRESP'!Y104)</f>
        <v/>
      </c>
    </row>
    <row r="105" spans="9:15" x14ac:dyDescent="0.25">
      <c r="I105" s="164">
        <f ca="1">'CÁLCULO FUNPRESP'!P105</f>
        <v>46599</v>
      </c>
      <c r="J105" s="140" t="str">
        <f>IF($B$2="Não","",'CÁLCULO FUNPRESP'!Q105)</f>
        <v/>
      </c>
      <c r="K105" s="140" t="str">
        <f>IF($B$2="Não","",'CÁLCULO FUNPRESP'!R105)</f>
        <v/>
      </c>
      <c r="L105" s="140" t="str">
        <f>IF($B$2="Não","",'CÁLCULO FUNPRESP'!S105)</f>
        <v/>
      </c>
      <c r="N105" s="164" t="str">
        <f ca="1">'CÁLCULO FUNPRESP'!U105</f>
        <v/>
      </c>
      <c r="O105" s="140" t="str">
        <f>IF($B$2="Não","",'CÁLCULO FUNPRESP'!Y105)</f>
        <v/>
      </c>
    </row>
    <row r="106" spans="9:15" x14ac:dyDescent="0.25">
      <c r="I106" s="164">
        <f ca="1">'CÁLCULO FUNPRESP'!P106</f>
        <v>46630</v>
      </c>
      <c r="J106" s="140" t="str">
        <f>IF($B$2="Não","",'CÁLCULO FUNPRESP'!Q106)</f>
        <v/>
      </c>
      <c r="K106" s="140" t="str">
        <f>IF($B$2="Não","",'CÁLCULO FUNPRESP'!R106)</f>
        <v/>
      </c>
      <c r="L106" s="140" t="str">
        <f>IF($B$2="Não","",'CÁLCULO FUNPRESP'!S106)</f>
        <v/>
      </c>
      <c r="N106" s="164" t="str">
        <f ca="1">'CÁLCULO FUNPRESP'!U106</f>
        <v/>
      </c>
      <c r="O106" s="140" t="str">
        <f>IF($B$2="Não","",'CÁLCULO FUNPRESP'!Y106)</f>
        <v/>
      </c>
    </row>
    <row r="107" spans="9:15" x14ac:dyDescent="0.25">
      <c r="I107" s="164">
        <f ca="1">'CÁLCULO FUNPRESP'!P107</f>
        <v>46660</v>
      </c>
      <c r="J107" s="140" t="str">
        <f>IF($B$2="Não","",'CÁLCULO FUNPRESP'!Q107)</f>
        <v/>
      </c>
      <c r="K107" s="140" t="str">
        <f>IF($B$2="Não","",'CÁLCULO FUNPRESP'!R107)</f>
        <v/>
      </c>
      <c r="L107" s="140" t="str">
        <f>IF($B$2="Não","",'CÁLCULO FUNPRESP'!S107)</f>
        <v/>
      </c>
      <c r="N107" s="164" t="str">
        <f ca="1">'CÁLCULO FUNPRESP'!U107</f>
        <v/>
      </c>
      <c r="O107" s="140" t="str">
        <f>IF($B$2="Não","",'CÁLCULO FUNPRESP'!Y107)</f>
        <v/>
      </c>
    </row>
    <row r="108" spans="9:15" x14ac:dyDescent="0.25">
      <c r="I108" s="164">
        <f ca="1">'CÁLCULO FUNPRESP'!P108</f>
        <v>46691</v>
      </c>
      <c r="J108" s="140" t="str">
        <f>IF($B$2="Não","",'CÁLCULO FUNPRESP'!Q108)</f>
        <v/>
      </c>
      <c r="K108" s="140" t="str">
        <f>IF($B$2="Não","",'CÁLCULO FUNPRESP'!R108)</f>
        <v/>
      </c>
      <c r="L108" s="140" t="str">
        <f>IF($B$2="Não","",'CÁLCULO FUNPRESP'!S108)</f>
        <v/>
      </c>
      <c r="N108" s="164" t="str">
        <f ca="1">'CÁLCULO FUNPRESP'!U108</f>
        <v/>
      </c>
      <c r="O108" s="140" t="str">
        <f>IF($B$2="Não","",'CÁLCULO FUNPRESP'!Y108)</f>
        <v/>
      </c>
    </row>
    <row r="109" spans="9:15" x14ac:dyDescent="0.25">
      <c r="I109" s="164">
        <f ca="1">'CÁLCULO FUNPRESP'!P109</f>
        <v>46721</v>
      </c>
      <c r="J109" s="140" t="str">
        <f>IF($B$2="Não","",'CÁLCULO FUNPRESP'!Q109)</f>
        <v/>
      </c>
      <c r="K109" s="140" t="str">
        <f>IF($B$2="Não","",'CÁLCULO FUNPRESP'!R109)</f>
        <v/>
      </c>
      <c r="L109" s="140" t="str">
        <f>IF($B$2="Não","",'CÁLCULO FUNPRESP'!S109)</f>
        <v/>
      </c>
      <c r="N109" s="164" t="str">
        <f ca="1">'CÁLCULO FUNPRESP'!U109</f>
        <v/>
      </c>
      <c r="O109" s="140" t="str">
        <f>IF($B$2="Não","",'CÁLCULO FUNPRESP'!Y109)</f>
        <v/>
      </c>
    </row>
    <row r="110" spans="9:15" x14ac:dyDescent="0.25">
      <c r="I110" s="164">
        <f ca="1">'CÁLCULO FUNPRESP'!P110</f>
        <v>46752</v>
      </c>
      <c r="J110" s="140" t="str">
        <f>IF($B$2="Não","",'CÁLCULO FUNPRESP'!Q110)</f>
        <v/>
      </c>
      <c r="K110" s="140" t="str">
        <f>IF($B$2="Não","",'CÁLCULO FUNPRESP'!R110)</f>
        <v/>
      </c>
      <c r="L110" s="140" t="str">
        <f>IF($B$2="Não","",'CÁLCULO FUNPRESP'!S110)</f>
        <v/>
      </c>
      <c r="N110" s="164" t="str">
        <f ca="1">'CÁLCULO FUNPRESP'!U110</f>
        <v/>
      </c>
      <c r="O110" s="140" t="str">
        <f>IF($B$2="Não","",'CÁLCULO FUNPRESP'!Y110)</f>
        <v/>
      </c>
    </row>
    <row r="111" spans="9:15" x14ac:dyDescent="0.25">
      <c r="I111" s="164">
        <f ca="1">'CÁLCULO FUNPRESP'!P111</f>
        <v>46783</v>
      </c>
      <c r="J111" s="140" t="str">
        <f>IF($B$2="Não","",'CÁLCULO FUNPRESP'!Q111)</f>
        <v/>
      </c>
      <c r="K111" s="140" t="str">
        <f>IF($B$2="Não","",'CÁLCULO FUNPRESP'!R111)</f>
        <v/>
      </c>
      <c r="L111" s="140" t="str">
        <f>IF($B$2="Não","",'CÁLCULO FUNPRESP'!S111)</f>
        <v/>
      </c>
      <c r="N111" s="164" t="str">
        <f ca="1">'CÁLCULO FUNPRESP'!U111</f>
        <v/>
      </c>
      <c r="O111" s="140" t="str">
        <f>IF($B$2="Não","",'CÁLCULO FUNPRESP'!Y111)</f>
        <v/>
      </c>
    </row>
    <row r="112" spans="9:15" x14ac:dyDescent="0.25">
      <c r="I112" s="164">
        <f ca="1">'CÁLCULO FUNPRESP'!P112</f>
        <v>46812</v>
      </c>
      <c r="J112" s="140" t="str">
        <f>IF($B$2="Não","",'CÁLCULO FUNPRESP'!Q112)</f>
        <v/>
      </c>
      <c r="K112" s="140" t="str">
        <f>IF($B$2="Não","",'CÁLCULO FUNPRESP'!R112)</f>
        <v/>
      </c>
      <c r="L112" s="140" t="str">
        <f>IF($B$2="Não","",'CÁLCULO FUNPRESP'!S112)</f>
        <v/>
      </c>
      <c r="N112" s="164" t="str">
        <f ca="1">'CÁLCULO FUNPRESP'!U112</f>
        <v/>
      </c>
      <c r="O112" s="140" t="str">
        <f>IF($B$2="Não","",'CÁLCULO FUNPRESP'!Y112)</f>
        <v/>
      </c>
    </row>
    <row r="113" spans="9:15" x14ac:dyDescent="0.25">
      <c r="I113" s="164">
        <f ca="1">'CÁLCULO FUNPRESP'!P113</f>
        <v>46843</v>
      </c>
      <c r="J113" s="140" t="str">
        <f>IF($B$2="Não","",'CÁLCULO FUNPRESP'!Q113)</f>
        <v/>
      </c>
      <c r="K113" s="140" t="str">
        <f>IF($B$2="Não","",'CÁLCULO FUNPRESP'!R113)</f>
        <v/>
      </c>
      <c r="L113" s="140" t="str">
        <f>IF($B$2="Não","",'CÁLCULO FUNPRESP'!S113)</f>
        <v/>
      </c>
      <c r="N113" s="164" t="str">
        <f ca="1">'CÁLCULO FUNPRESP'!U113</f>
        <v/>
      </c>
      <c r="O113" s="140" t="str">
        <f>IF($B$2="Não","",'CÁLCULO FUNPRESP'!Y113)</f>
        <v/>
      </c>
    </row>
    <row r="114" spans="9:15" x14ac:dyDescent="0.25">
      <c r="I114" s="164">
        <f ca="1">'CÁLCULO FUNPRESP'!P114</f>
        <v>46873</v>
      </c>
      <c r="J114" s="140" t="str">
        <f>IF($B$2="Não","",'CÁLCULO FUNPRESP'!Q114)</f>
        <v/>
      </c>
      <c r="K114" s="140" t="str">
        <f>IF($B$2="Não","",'CÁLCULO FUNPRESP'!R114)</f>
        <v/>
      </c>
      <c r="L114" s="140" t="str">
        <f>IF($B$2="Não","",'CÁLCULO FUNPRESP'!S114)</f>
        <v/>
      </c>
      <c r="N114" s="164" t="str">
        <f ca="1">'CÁLCULO FUNPRESP'!U114</f>
        <v/>
      </c>
      <c r="O114" s="140" t="str">
        <f>IF($B$2="Não","",'CÁLCULO FUNPRESP'!Y114)</f>
        <v/>
      </c>
    </row>
    <row r="115" spans="9:15" x14ac:dyDescent="0.25">
      <c r="I115" s="164">
        <f ca="1">'CÁLCULO FUNPRESP'!P115</f>
        <v>46904</v>
      </c>
      <c r="J115" s="140" t="str">
        <f>IF($B$2="Não","",'CÁLCULO FUNPRESP'!Q115)</f>
        <v/>
      </c>
      <c r="K115" s="140" t="str">
        <f>IF($B$2="Não","",'CÁLCULO FUNPRESP'!R115)</f>
        <v/>
      </c>
      <c r="L115" s="140" t="str">
        <f>IF($B$2="Não","",'CÁLCULO FUNPRESP'!S115)</f>
        <v/>
      </c>
      <c r="N115" s="164" t="str">
        <f ca="1">'CÁLCULO FUNPRESP'!U115</f>
        <v/>
      </c>
      <c r="O115" s="140" t="str">
        <f>IF($B$2="Não","",'CÁLCULO FUNPRESP'!Y115)</f>
        <v/>
      </c>
    </row>
    <row r="116" spans="9:15" x14ac:dyDescent="0.25">
      <c r="I116" s="164">
        <f ca="1">'CÁLCULO FUNPRESP'!P116</f>
        <v>46934</v>
      </c>
      <c r="J116" s="140" t="str">
        <f>IF($B$2="Não","",'CÁLCULO FUNPRESP'!Q116)</f>
        <v/>
      </c>
      <c r="K116" s="140" t="str">
        <f>IF($B$2="Não","",'CÁLCULO FUNPRESP'!R116)</f>
        <v/>
      </c>
      <c r="L116" s="140" t="str">
        <f>IF($B$2="Não","",'CÁLCULO FUNPRESP'!S116)</f>
        <v/>
      </c>
      <c r="N116" s="164" t="str">
        <f ca="1">'CÁLCULO FUNPRESP'!U116</f>
        <v/>
      </c>
      <c r="O116" s="140" t="str">
        <f>IF($B$2="Não","",'CÁLCULO FUNPRESP'!Y116)</f>
        <v/>
      </c>
    </row>
    <row r="117" spans="9:15" x14ac:dyDescent="0.25">
      <c r="I117" s="164">
        <f ca="1">'CÁLCULO FUNPRESP'!P117</f>
        <v>46965</v>
      </c>
      <c r="J117" s="140" t="str">
        <f>IF($B$2="Não","",'CÁLCULO FUNPRESP'!Q117)</f>
        <v/>
      </c>
      <c r="K117" s="140" t="str">
        <f>IF($B$2="Não","",'CÁLCULO FUNPRESP'!R117)</f>
        <v/>
      </c>
      <c r="L117" s="140" t="str">
        <f>IF($B$2="Não","",'CÁLCULO FUNPRESP'!S117)</f>
        <v/>
      </c>
      <c r="N117" s="164" t="str">
        <f ca="1">'CÁLCULO FUNPRESP'!U117</f>
        <v/>
      </c>
      <c r="O117" s="140" t="str">
        <f>IF($B$2="Não","",'CÁLCULO FUNPRESP'!Y117)</f>
        <v/>
      </c>
    </row>
    <row r="118" spans="9:15" x14ac:dyDescent="0.25">
      <c r="I118" s="164">
        <f ca="1">'CÁLCULO FUNPRESP'!P118</f>
        <v>46996</v>
      </c>
      <c r="J118" s="140" t="str">
        <f>IF($B$2="Não","",'CÁLCULO FUNPRESP'!Q118)</f>
        <v/>
      </c>
      <c r="K118" s="140" t="str">
        <f>IF($B$2="Não","",'CÁLCULO FUNPRESP'!R118)</f>
        <v/>
      </c>
      <c r="L118" s="140" t="str">
        <f>IF($B$2="Não","",'CÁLCULO FUNPRESP'!S118)</f>
        <v/>
      </c>
      <c r="N118" s="164" t="str">
        <f ca="1">'CÁLCULO FUNPRESP'!U118</f>
        <v/>
      </c>
      <c r="O118" s="140" t="str">
        <f>IF($B$2="Não","",'CÁLCULO FUNPRESP'!Y118)</f>
        <v/>
      </c>
    </row>
    <row r="119" spans="9:15" x14ac:dyDescent="0.25">
      <c r="I119" s="164">
        <f ca="1">'CÁLCULO FUNPRESP'!P119</f>
        <v>47026</v>
      </c>
      <c r="J119" s="140" t="str">
        <f>IF($B$2="Não","",'CÁLCULO FUNPRESP'!Q119)</f>
        <v/>
      </c>
      <c r="K119" s="140" t="str">
        <f>IF($B$2="Não","",'CÁLCULO FUNPRESP'!R119)</f>
        <v/>
      </c>
      <c r="L119" s="140" t="str">
        <f>IF($B$2="Não","",'CÁLCULO FUNPRESP'!S119)</f>
        <v/>
      </c>
      <c r="N119" s="164" t="str">
        <f ca="1">'CÁLCULO FUNPRESP'!U119</f>
        <v/>
      </c>
      <c r="O119" s="140" t="str">
        <f>IF($B$2="Não","",'CÁLCULO FUNPRESP'!Y119)</f>
        <v/>
      </c>
    </row>
    <row r="120" spans="9:15" x14ac:dyDescent="0.25">
      <c r="I120" s="164">
        <f ca="1">'CÁLCULO FUNPRESP'!P120</f>
        <v>47057</v>
      </c>
      <c r="J120" s="140" t="str">
        <f>IF($B$2="Não","",'CÁLCULO FUNPRESP'!Q120)</f>
        <v/>
      </c>
      <c r="K120" s="140" t="str">
        <f>IF($B$2="Não","",'CÁLCULO FUNPRESP'!R120)</f>
        <v/>
      </c>
      <c r="L120" s="140" t="str">
        <f>IF($B$2="Não","",'CÁLCULO FUNPRESP'!S120)</f>
        <v/>
      </c>
      <c r="N120" s="164" t="str">
        <f ca="1">'CÁLCULO FUNPRESP'!U120</f>
        <v/>
      </c>
      <c r="O120" s="140" t="str">
        <f>IF($B$2="Não","",'CÁLCULO FUNPRESP'!Y120)</f>
        <v/>
      </c>
    </row>
    <row r="121" spans="9:15" x14ac:dyDescent="0.25">
      <c r="I121" s="164">
        <f ca="1">'CÁLCULO FUNPRESP'!P121</f>
        <v>47087</v>
      </c>
      <c r="J121" s="140" t="str">
        <f>IF($B$2="Não","",'CÁLCULO FUNPRESP'!Q121)</f>
        <v/>
      </c>
      <c r="K121" s="140" t="str">
        <f>IF($B$2="Não","",'CÁLCULO FUNPRESP'!R121)</f>
        <v/>
      </c>
      <c r="L121" s="140" t="str">
        <f>IF($B$2="Não","",'CÁLCULO FUNPRESP'!S121)</f>
        <v/>
      </c>
      <c r="N121" s="164" t="str">
        <f ca="1">'CÁLCULO FUNPRESP'!U121</f>
        <v/>
      </c>
      <c r="O121" s="140" t="str">
        <f>IF($B$2="Não","",'CÁLCULO FUNPRESP'!Y121)</f>
        <v/>
      </c>
    </row>
    <row r="122" spans="9:15" x14ac:dyDescent="0.25">
      <c r="I122" s="164">
        <f ca="1">'CÁLCULO FUNPRESP'!P122</f>
        <v>47118</v>
      </c>
      <c r="J122" s="140" t="str">
        <f>IF($B$2="Não","",'CÁLCULO FUNPRESP'!Q122)</f>
        <v/>
      </c>
      <c r="K122" s="140" t="str">
        <f>IF($B$2="Não","",'CÁLCULO FUNPRESP'!R122)</f>
        <v/>
      </c>
      <c r="L122" s="140" t="str">
        <f>IF($B$2="Não","",'CÁLCULO FUNPRESP'!S122)</f>
        <v/>
      </c>
      <c r="N122" s="164" t="str">
        <f ca="1">'CÁLCULO FUNPRESP'!U122</f>
        <v/>
      </c>
      <c r="O122" s="140" t="str">
        <f>IF($B$2="Não","",'CÁLCULO FUNPRESP'!Y122)</f>
        <v/>
      </c>
    </row>
    <row r="123" spans="9:15" x14ac:dyDescent="0.25">
      <c r="I123" s="164">
        <f ca="1">'CÁLCULO FUNPRESP'!P123</f>
        <v>47149</v>
      </c>
      <c r="J123" s="140" t="str">
        <f>IF($B$2="Não","",'CÁLCULO FUNPRESP'!Q123)</f>
        <v/>
      </c>
      <c r="K123" s="140" t="str">
        <f>IF($B$2="Não","",'CÁLCULO FUNPRESP'!R123)</f>
        <v/>
      </c>
      <c r="L123" s="140" t="str">
        <f>IF($B$2="Não","",'CÁLCULO FUNPRESP'!S123)</f>
        <v/>
      </c>
      <c r="N123" s="164" t="str">
        <f ca="1">'CÁLCULO FUNPRESP'!U123</f>
        <v/>
      </c>
      <c r="O123" s="140" t="str">
        <f>IF($B$2="Não","",'CÁLCULO FUNPRESP'!Y123)</f>
        <v/>
      </c>
    </row>
    <row r="124" spans="9:15" x14ac:dyDescent="0.25">
      <c r="I124" s="164">
        <f ca="1">'CÁLCULO FUNPRESP'!P124</f>
        <v>47177</v>
      </c>
      <c r="J124" s="140" t="str">
        <f>IF($B$2="Não","",'CÁLCULO FUNPRESP'!Q124)</f>
        <v/>
      </c>
      <c r="K124" s="140" t="str">
        <f>IF($B$2="Não","",'CÁLCULO FUNPRESP'!R124)</f>
        <v/>
      </c>
      <c r="L124" s="140" t="str">
        <f>IF($B$2="Não","",'CÁLCULO FUNPRESP'!S124)</f>
        <v/>
      </c>
      <c r="N124" s="164" t="str">
        <f ca="1">'CÁLCULO FUNPRESP'!U124</f>
        <v/>
      </c>
      <c r="O124" s="140" t="str">
        <f>IF($B$2="Não","",'CÁLCULO FUNPRESP'!Y124)</f>
        <v/>
      </c>
    </row>
    <row r="125" spans="9:15" x14ac:dyDescent="0.25">
      <c r="I125" s="164">
        <f ca="1">'CÁLCULO FUNPRESP'!P125</f>
        <v>47208</v>
      </c>
      <c r="J125" s="140" t="str">
        <f>IF($B$2="Não","",'CÁLCULO FUNPRESP'!Q125)</f>
        <v/>
      </c>
      <c r="K125" s="140" t="str">
        <f>IF($B$2="Não","",'CÁLCULO FUNPRESP'!R125)</f>
        <v/>
      </c>
      <c r="L125" s="140" t="str">
        <f>IF($B$2="Não","",'CÁLCULO FUNPRESP'!S125)</f>
        <v/>
      </c>
      <c r="N125" s="164" t="str">
        <f ca="1">'CÁLCULO FUNPRESP'!U125</f>
        <v/>
      </c>
      <c r="O125" s="140" t="str">
        <f>IF($B$2="Não","",'CÁLCULO FUNPRESP'!Y125)</f>
        <v/>
      </c>
    </row>
    <row r="126" spans="9:15" x14ac:dyDescent="0.25">
      <c r="I126" s="164">
        <f ca="1">'CÁLCULO FUNPRESP'!P126</f>
        <v>47238</v>
      </c>
      <c r="J126" s="140" t="str">
        <f>IF($B$2="Não","",'CÁLCULO FUNPRESP'!Q126)</f>
        <v/>
      </c>
      <c r="K126" s="140" t="str">
        <f>IF($B$2="Não","",'CÁLCULO FUNPRESP'!R126)</f>
        <v/>
      </c>
      <c r="L126" s="140" t="str">
        <f>IF($B$2="Não","",'CÁLCULO FUNPRESP'!S126)</f>
        <v/>
      </c>
      <c r="N126" s="164" t="str">
        <f ca="1">'CÁLCULO FUNPRESP'!U126</f>
        <v/>
      </c>
      <c r="O126" s="140" t="str">
        <f>IF($B$2="Não","",'CÁLCULO FUNPRESP'!Y126)</f>
        <v/>
      </c>
    </row>
    <row r="127" spans="9:15" x14ac:dyDescent="0.25">
      <c r="I127" s="164">
        <f ca="1">'CÁLCULO FUNPRESP'!P127</f>
        <v>47269</v>
      </c>
      <c r="J127" s="140" t="str">
        <f>IF($B$2="Não","",'CÁLCULO FUNPRESP'!Q127)</f>
        <v/>
      </c>
      <c r="K127" s="140" t="str">
        <f>IF($B$2="Não","",'CÁLCULO FUNPRESP'!R127)</f>
        <v/>
      </c>
      <c r="L127" s="140" t="str">
        <f>IF($B$2="Não","",'CÁLCULO FUNPRESP'!S127)</f>
        <v/>
      </c>
      <c r="N127" s="164" t="str">
        <f ca="1">'CÁLCULO FUNPRESP'!U127</f>
        <v/>
      </c>
      <c r="O127" s="140" t="str">
        <f>IF($B$2="Não","",'CÁLCULO FUNPRESP'!Y127)</f>
        <v/>
      </c>
    </row>
    <row r="128" spans="9:15" x14ac:dyDescent="0.25">
      <c r="I128" s="164">
        <f ca="1">'CÁLCULO FUNPRESP'!P128</f>
        <v>47299</v>
      </c>
      <c r="J128" s="140" t="str">
        <f>IF($B$2="Não","",'CÁLCULO FUNPRESP'!Q128)</f>
        <v/>
      </c>
      <c r="K128" s="140" t="str">
        <f>IF($B$2="Não","",'CÁLCULO FUNPRESP'!R128)</f>
        <v/>
      </c>
      <c r="L128" s="140" t="str">
        <f>IF($B$2="Não","",'CÁLCULO FUNPRESP'!S128)</f>
        <v/>
      </c>
      <c r="N128" s="164" t="str">
        <f ca="1">'CÁLCULO FUNPRESP'!U128</f>
        <v/>
      </c>
      <c r="O128" s="140" t="str">
        <f>IF($B$2="Não","",'CÁLCULO FUNPRESP'!Y128)</f>
        <v/>
      </c>
    </row>
    <row r="129" spans="9:15" x14ac:dyDescent="0.25">
      <c r="I129" s="164">
        <f ca="1">'CÁLCULO FUNPRESP'!P129</f>
        <v>47330</v>
      </c>
      <c r="J129" s="140" t="str">
        <f>IF($B$2="Não","",'CÁLCULO FUNPRESP'!Q129)</f>
        <v/>
      </c>
      <c r="K129" s="140" t="str">
        <f>IF($B$2="Não","",'CÁLCULO FUNPRESP'!R129)</f>
        <v/>
      </c>
      <c r="L129" s="140" t="str">
        <f>IF($B$2="Não","",'CÁLCULO FUNPRESP'!S129)</f>
        <v/>
      </c>
      <c r="N129" s="164" t="str">
        <f ca="1">'CÁLCULO FUNPRESP'!U129</f>
        <v/>
      </c>
      <c r="O129" s="140" t="str">
        <f>IF($B$2="Não","",'CÁLCULO FUNPRESP'!Y129)</f>
        <v/>
      </c>
    </row>
    <row r="130" spans="9:15" x14ac:dyDescent="0.25">
      <c r="I130" s="164">
        <f ca="1">'CÁLCULO FUNPRESP'!P130</f>
        <v>47361</v>
      </c>
      <c r="J130" s="140" t="str">
        <f>IF($B$2="Não","",'CÁLCULO FUNPRESP'!Q130)</f>
        <v/>
      </c>
      <c r="K130" s="140" t="str">
        <f>IF($B$2="Não","",'CÁLCULO FUNPRESP'!R130)</f>
        <v/>
      </c>
      <c r="L130" s="140" t="str">
        <f>IF($B$2="Não","",'CÁLCULO FUNPRESP'!S130)</f>
        <v/>
      </c>
      <c r="N130" s="164" t="str">
        <f ca="1">'CÁLCULO FUNPRESP'!U130</f>
        <v/>
      </c>
      <c r="O130" s="140" t="str">
        <f>IF($B$2="Não","",'CÁLCULO FUNPRESP'!Y130)</f>
        <v/>
      </c>
    </row>
    <row r="131" spans="9:15" x14ac:dyDescent="0.25">
      <c r="I131" s="164">
        <f ca="1">'CÁLCULO FUNPRESP'!P131</f>
        <v>47391</v>
      </c>
      <c r="J131" s="140" t="str">
        <f>IF($B$2="Não","",'CÁLCULO FUNPRESP'!Q131)</f>
        <v/>
      </c>
      <c r="K131" s="140" t="str">
        <f>IF($B$2="Não","",'CÁLCULO FUNPRESP'!R131)</f>
        <v/>
      </c>
      <c r="L131" s="140" t="str">
        <f>IF($B$2="Não","",'CÁLCULO FUNPRESP'!S131)</f>
        <v/>
      </c>
      <c r="N131" s="164" t="str">
        <f ca="1">'CÁLCULO FUNPRESP'!U131</f>
        <v/>
      </c>
      <c r="O131" s="140" t="str">
        <f>IF($B$2="Não","",'CÁLCULO FUNPRESP'!Y131)</f>
        <v/>
      </c>
    </row>
    <row r="132" spans="9:15" x14ac:dyDescent="0.25">
      <c r="I132" s="164">
        <f ca="1">'CÁLCULO FUNPRESP'!P132</f>
        <v>47422</v>
      </c>
      <c r="J132" s="140" t="str">
        <f>IF($B$2="Não","",'CÁLCULO FUNPRESP'!Q132)</f>
        <v/>
      </c>
      <c r="K132" s="140" t="str">
        <f>IF($B$2="Não","",'CÁLCULO FUNPRESP'!R132)</f>
        <v/>
      </c>
      <c r="L132" s="140" t="str">
        <f>IF($B$2="Não","",'CÁLCULO FUNPRESP'!S132)</f>
        <v/>
      </c>
      <c r="N132" s="164" t="str">
        <f ca="1">'CÁLCULO FUNPRESP'!U132</f>
        <v/>
      </c>
      <c r="O132" s="140" t="str">
        <f>IF($B$2="Não","",'CÁLCULO FUNPRESP'!Y132)</f>
        <v/>
      </c>
    </row>
    <row r="133" spans="9:15" x14ac:dyDescent="0.25">
      <c r="I133" s="164">
        <f ca="1">'CÁLCULO FUNPRESP'!P133</f>
        <v>47452</v>
      </c>
      <c r="J133" s="140" t="str">
        <f>IF($B$2="Não","",'CÁLCULO FUNPRESP'!Q133)</f>
        <v/>
      </c>
      <c r="K133" s="140" t="str">
        <f>IF($B$2="Não","",'CÁLCULO FUNPRESP'!R133)</f>
        <v/>
      </c>
      <c r="L133" s="140" t="str">
        <f>IF($B$2="Não","",'CÁLCULO FUNPRESP'!S133)</f>
        <v/>
      </c>
      <c r="N133" s="164" t="str">
        <f ca="1">'CÁLCULO FUNPRESP'!U133</f>
        <v/>
      </c>
      <c r="O133" s="140" t="str">
        <f>IF($B$2="Não","",'CÁLCULO FUNPRESP'!Y133)</f>
        <v/>
      </c>
    </row>
    <row r="134" spans="9:15" x14ac:dyDescent="0.25">
      <c r="I134" s="164">
        <f ca="1">'CÁLCULO FUNPRESP'!P134</f>
        <v>47483</v>
      </c>
      <c r="J134" s="140" t="str">
        <f>IF($B$2="Não","",'CÁLCULO FUNPRESP'!Q134)</f>
        <v/>
      </c>
      <c r="K134" s="140" t="str">
        <f>IF($B$2="Não","",'CÁLCULO FUNPRESP'!R134)</f>
        <v/>
      </c>
      <c r="L134" s="140" t="str">
        <f>IF($B$2="Não","",'CÁLCULO FUNPRESP'!S134)</f>
        <v/>
      </c>
      <c r="N134" s="164" t="str">
        <f ca="1">'CÁLCULO FUNPRESP'!U134</f>
        <v/>
      </c>
      <c r="O134" s="140" t="str">
        <f>IF($B$2="Não","",'CÁLCULO FUNPRESP'!Y134)</f>
        <v/>
      </c>
    </row>
    <row r="135" spans="9:15" x14ac:dyDescent="0.25">
      <c r="I135" s="164">
        <f ca="1">'CÁLCULO FUNPRESP'!P135</f>
        <v>47514</v>
      </c>
      <c r="J135" s="140" t="str">
        <f>IF($B$2="Não","",'CÁLCULO FUNPRESP'!Q135)</f>
        <v/>
      </c>
      <c r="K135" s="140" t="str">
        <f>IF($B$2="Não","",'CÁLCULO FUNPRESP'!R135)</f>
        <v/>
      </c>
      <c r="L135" s="140" t="str">
        <f>IF($B$2="Não","",'CÁLCULO FUNPRESP'!S135)</f>
        <v/>
      </c>
      <c r="N135" s="164" t="str">
        <f ca="1">'CÁLCULO FUNPRESP'!U135</f>
        <v/>
      </c>
      <c r="O135" s="140" t="str">
        <f>IF($B$2="Não","",'CÁLCULO FUNPRESP'!Y135)</f>
        <v/>
      </c>
    </row>
    <row r="136" spans="9:15" x14ac:dyDescent="0.25">
      <c r="I136" s="164">
        <f ca="1">'CÁLCULO FUNPRESP'!P136</f>
        <v>47542</v>
      </c>
      <c r="J136" s="140" t="str">
        <f>IF($B$2="Não","",'CÁLCULO FUNPRESP'!Q136)</f>
        <v/>
      </c>
      <c r="K136" s="140" t="str">
        <f>IF($B$2="Não","",'CÁLCULO FUNPRESP'!R136)</f>
        <v/>
      </c>
      <c r="L136" s="140" t="str">
        <f>IF($B$2="Não","",'CÁLCULO FUNPRESP'!S136)</f>
        <v/>
      </c>
      <c r="N136" s="164" t="str">
        <f ca="1">'CÁLCULO FUNPRESP'!U136</f>
        <v/>
      </c>
      <c r="O136" s="140" t="str">
        <f>IF($B$2="Não","",'CÁLCULO FUNPRESP'!Y136)</f>
        <v/>
      </c>
    </row>
    <row r="137" spans="9:15" x14ac:dyDescent="0.25">
      <c r="I137" s="164">
        <f ca="1">'CÁLCULO FUNPRESP'!P137</f>
        <v>47573</v>
      </c>
      <c r="J137" s="140" t="str">
        <f>IF($B$2="Não","",'CÁLCULO FUNPRESP'!Q137)</f>
        <v/>
      </c>
      <c r="K137" s="140" t="str">
        <f>IF($B$2="Não","",'CÁLCULO FUNPRESP'!R137)</f>
        <v/>
      </c>
      <c r="L137" s="140" t="str">
        <f>IF($B$2="Não","",'CÁLCULO FUNPRESP'!S137)</f>
        <v/>
      </c>
      <c r="N137" s="164" t="str">
        <f ca="1">'CÁLCULO FUNPRESP'!U137</f>
        <v/>
      </c>
      <c r="O137" s="140" t="str">
        <f>IF($B$2="Não","",'CÁLCULO FUNPRESP'!Y137)</f>
        <v/>
      </c>
    </row>
    <row r="138" spans="9:15" x14ac:dyDescent="0.25">
      <c r="I138" s="164">
        <f ca="1">'CÁLCULO FUNPRESP'!P138</f>
        <v>47603</v>
      </c>
      <c r="J138" s="140" t="str">
        <f>IF($B$2="Não","",'CÁLCULO FUNPRESP'!Q138)</f>
        <v/>
      </c>
      <c r="K138" s="140" t="str">
        <f>IF($B$2="Não","",'CÁLCULO FUNPRESP'!R138)</f>
        <v/>
      </c>
      <c r="L138" s="140" t="str">
        <f>IF($B$2="Não","",'CÁLCULO FUNPRESP'!S138)</f>
        <v/>
      </c>
      <c r="N138" s="164" t="str">
        <f ca="1">'CÁLCULO FUNPRESP'!U138</f>
        <v/>
      </c>
      <c r="O138" s="140" t="str">
        <f>IF($B$2="Não","",'CÁLCULO FUNPRESP'!Y138)</f>
        <v/>
      </c>
    </row>
    <row r="139" spans="9:15" x14ac:dyDescent="0.25">
      <c r="I139" s="164">
        <f ca="1">'CÁLCULO FUNPRESP'!P139</f>
        <v>47634</v>
      </c>
      <c r="J139" s="140" t="str">
        <f>IF($B$2="Não","",'CÁLCULO FUNPRESP'!Q139)</f>
        <v/>
      </c>
      <c r="K139" s="140" t="str">
        <f>IF($B$2="Não","",'CÁLCULO FUNPRESP'!R139)</f>
        <v/>
      </c>
      <c r="L139" s="140" t="str">
        <f>IF($B$2="Não","",'CÁLCULO FUNPRESP'!S139)</f>
        <v/>
      </c>
      <c r="N139" s="164" t="str">
        <f ca="1">'CÁLCULO FUNPRESP'!U139</f>
        <v/>
      </c>
      <c r="O139" s="140" t="str">
        <f>IF($B$2="Não","",'CÁLCULO FUNPRESP'!Y139)</f>
        <v/>
      </c>
    </row>
    <row r="140" spans="9:15" x14ac:dyDescent="0.25">
      <c r="I140" s="164">
        <f ca="1">'CÁLCULO FUNPRESP'!P140</f>
        <v>47664</v>
      </c>
      <c r="J140" s="140" t="str">
        <f>IF($B$2="Não","",'CÁLCULO FUNPRESP'!Q140)</f>
        <v/>
      </c>
      <c r="K140" s="140" t="str">
        <f>IF($B$2="Não","",'CÁLCULO FUNPRESP'!R140)</f>
        <v/>
      </c>
      <c r="L140" s="140" t="str">
        <f>IF($B$2="Não","",'CÁLCULO FUNPRESP'!S140)</f>
        <v/>
      </c>
      <c r="N140" s="164" t="str">
        <f ca="1">'CÁLCULO FUNPRESP'!U140</f>
        <v/>
      </c>
      <c r="O140" s="140" t="str">
        <f>IF($B$2="Não","",'CÁLCULO FUNPRESP'!Y140)</f>
        <v/>
      </c>
    </row>
    <row r="141" spans="9:15" x14ac:dyDescent="0.25">
      <c r="I141" s="164">
        <f ca="1">'CÁLCULO FUNPRESP'!P141</f>
        <v>47695</v>
      </c>
      <c r="J141" s="140" t="str">
        <f>IF($B$2="Não","",'CÁLCULO FUNPRESP'!Q141)</f>
        <v/>
      </c>
      <c r="K141" s="140" t="str">
        <f>IF($B$2="Não","",'CÁLCULO FUNPRESP'!R141)</f>
        <v/>
      </c>
      <c r="L141" s="140" t="str">
        <f>IF($B$2="Não","",'CÁLCULO FUNPRESP'!S141)</f>
        <v/>
      </c>
      <c r="N141" s="164" t="str">
        <f ca="1">'CÁLCULO FUNPRESP'!U141</f>
        <v/>
      </c>
      <c r="O141" s="140" t="str">
        <f>IF($B$2="Não","",'CÁLCULO FUNPRESP'!Y141)</f>
        <v/>
      </c>
    </row>
    <row r="142" spans="9:15" x14ac:dyDescent="0.25">
      <c r="I142" s="164">
        <f ca="1">'CÁLCULO FUNPRESP'!P142</f>
        <v>47726</v>
      </c>
      <c r="J142" s="140" t="str">
        <f>IF($B$2="Não","",'CÁLCULO FUNPRESP'!Q142)</f>
        <v/>
      </c>
      <c r="K142" s="140" t="str">
        <f>IF($B$2="Não","",'CÁLCULO FUNPRESP'!R142)</f>
        <v/>
      </c>
      <c r="L142" s="140" t="str">
        <f>IF($B$2="Não","",'CÁLCULO FUNPRESP'!S142)</f>
        <v/>
      </c>
      <c r="N142" s="164" t="str">
        <f ca="1">'CÁLCULO FUNPRESP'!U142</f>
        <v/>
      </c>
      <c r="O142" s="140" t="str">
        <f>IF($B$2="Não","",'CÁLCULO FUNPRESP'!Y142)</f>
        <v/>
      </c>
    </row>
    <row r="143" spans="9:15" x14ac:dyDescent="0.25">
      <c r="I143" s="164">
        <f ca="1">'CÁLCULO FUNPRESP'!P143</f>
        <v>47756</v>
      </c>
      <c r="J143" s="140" t="str">
        <f>IF($B$2="Não","",'CÁLCULO FUNPRESP'!Q143)</f>
        <v/>
      </c>
      <c r="K143" s="140" t="str">
        <f>IF($B$2="Não","",'CÁLCULO FUNPRESP'!R143)</f>
        <v/>
      </c>
      <c r="L143" s="140" t="str">
        <f>IF($B$2="Não","",'CÁLCULO FUNPRESP'!S143)</f>
        <v/>
      </c>
      <c r="N143" s="164" t="str">
        <f ca="1">'CÁLCULO FUNPRESP'!U143</f>
        <v/>
      </c>
      <c r="O143" s="140" t="str">
        <f>IF($B$2="Não","",'CÁLCULO FUNPRESP'!Y143)</f>
        <v/>
      </c>
    </row>
    <row r="144" spans="9:15" x14ac:dyDescent="0.25">
      <c r="I144" s="164">
        <f ca="1">'CÁLCULO FUNPRESP'!P144</f>
        <v>47787</v>
      </c>
      <c r="J144" s="140" t="str">
        <f>IF($B$2="Não","",'CÁLCULO FUNPRESP'!Q144)</f>
        <v/>
      </c>
      <c r="K144" s="140" t="str">
        <f>IF($B$2="Não","",'CÁLCULO FUNPRESP'!R144)</f>
        <v/>
      </c>
      <c r="L144" s="140" t="str">
        <f>IF($B$2="Não","",'CÁLCULO FUNPRESP'!S144)</f>
        <v/>
      </c>
      <c r="N144" s="164" t="str">
        <f ca="1">'CÁLCULO FUNPRESP'!U144</f>
        <v/>
      </c>
      <c r="O144" s="140" t="str">
        <f>IF($B$2="Não","",'CÁLCULO FUNPRESP'!Y144)</f>
        <v/>
      </c>
    </row>
    <row r="145" spans="9:15" x14ac:dyDescent="0.25">
      <c r="I145" s="164">
        <f ca="1">'CÁLCULO FUNPRESP'!P145</f>
        <v>47817</v>
      </c>
      <c r="J145" s="140" t="str">
        <f>IF($B$2="Não","",'CÁLCULO FUNPRESP'!Q145)</f>
        <v/>
      </c>
      <c r="K145" s="140" t="str">
        <f>IF($B$2="Não","",'CÁLCULO FUNPRESP'!R145)</f>
        <v/>
      </c>
      <c r="L145" s="140" t="str">
        <f>IF($B$2="Não","",'CÁLCULO FUNPRESP'!S145)</f>
        <v/>
      </c>
      <c r="N145" s="164" t="str">
        <f ca="1">'CÁLCULO FUNPRESP'!U145</f>
        <v/>
      </c>
      <c r="O145" s="140" t="str">
        <f>IF($B$2="Não","",'CÁLCULO FUNPRESP'!Y145)</f>
        <v/>
      </c>
    </row>
    <row r="146" spans="9:15" x14ac:dyDescent="0.25">
      <c r="I146" s="164">
        <f ca="1">'CÁLCULO FUNPRESP'!P146</f>
        <v>47848</v>
      </c>
      <c r="J146" s="140" t="str">
        <f>IF($B$2="Não","",'CÁLCULO FUNPRESP'!Q146)</f>
        <v/>
      </c>
      <c r="K146" s="140" t="str">
        <f>IF($B$2="Não","",'CÁLCULO FUNPRESP'!R146)</f>
        <v/>
      </c>
      <c r="L146" s="140" t="str">
        <f>IF($B$2="Não","",'CÁLCULO FUNPRESP'!S146)</f>
        <v/>
      </c>
      <c r="N146" s="164" t="str">
        <f ca="1">'CÁLCULO FUNPRESP'!U146</f>
        <v/>
      </c>
      <c r="O146" s="140" t="str">
        <f>IF($B$2="Não","",'CÁLCULO FUNPRESP'!Y146)</f>
        <v/>
      </c>
    </row>
    <row r="147" spans="9:15" x14ac:dyDescent="0.25">
      <c r="I147" s="164">
        <f ca="1">'CÁLCULO FUNPRESP'!P147</f>
        <v>47879</v>
      </c>
      <c r="J147" s="140" t="str">
        <f>IF($B$2="Não","",'CÁLCULO FUNPRESP'!Q147)</f>
        <v/>
      </c>
      <c r="K147" s="140" t="str">
        <f>IF($B$2="Não","",'CÁLCULO FUNPRESP'!R147)</f>
        <v/>
      </c>
      <c r="L147" s="140" t="str">
        <f>IF($B$2="Não","",'CÁLCULO FUNPRESP'!S147)</f>
        <v/>
      </c>
      <c r="N147" s="164" t="str">
        <f ca="1">'CÁLCULO FUNPRESP'!U147</f>
        <v/>
      </c>
      <c r="O147" s="140" t="str">
        <f>IF($B$2="Não","",'CÁLCULO FUNPRESP'!Y147)</f>
        <v/>
      </c>
    </row>
    <row r="148" spans="9:15" x14ac:dyDescent="0.25">
      <c r="I148" s="164">
        <f ca="1">'CÁLCULO FUNPRESP'!P148</f>
        <v>47907</v>
      </c>
      <c r="J148" s="140" t="str">
        <f>IF($B$2="Não","",'CÁLCULO FUNPRESP'!Q148)</f>
        <v/>
      </c>
      <c r="K148" s="140" t="str">
        <f>IF($B$2="Não","",'CÁLCULO FUNPRESP'!R148)</f>
        <v/>
      </c>
      <c r="L148" s="140" t="str">
        <f>IF($B$2="Não","",'CÁLCULO FUNPRESP'!S148)</f>
        <v/>
      </c>
      <c r="N148" s="164" t="str">
        <f ca="1">'CÁLCULO FUNPRESP'!U148</f>
        <v/>
      </c>
      <c r="O148" s="140" t="str">
        <f>IF($B$2="Não","",'CÁLCULO FUNPRESP'!Y148)</f>
        <v/>
      </c>
    </row>
    <row r="149" spans="9:15" x14ac:dyDescent="0.25">
      <c r="I149" s="164">
        <f ca="1">'CÁLCULO FUNPRESP'!P149</f>
        <v>47938</v>
      </c>
      <c r="J149" s="140" t="str">
        <f>IF($B$2="Não","",'CÁLCULO FUNPRESP'!Q149)</f>
        <v/>
      </c>
      <c r="K149" s="140" t="str">
        <f>IF($B$2="Não","",'CÁLCULO FUNPRESP'!R149)</f>
        <v/>
      </c>
      <c r="L149" s="140" t="str">
        <f>IF($B$2="Não","",'CÁLCULO FUNPRESP'!S149)</f>
        <v/>
      </c>
      <c r="N149" s="164" t="str">
        <f ca="1">'CÁLCULO FUNPRESP'!U149</f>
        <v/>
      </c>
      <c r="O149" s="140" t="str">
        <f>IF($B$2="Não","",'CÁLCULO FUNPRESP'!Y149)</f>
        <v/>
      </c>
    </row>
    <row r="150" spans="9:15" x14ac:dyDescent="0.25">
      <c r="I150" s="164">
        <f ca="1">'CÁLCULO FUNPRESP'!P150</f>
        <v>47968</v>
      </c>
      <c r="J150" s="140" t="str">
        <f>IF($B$2="Não","",'CÁLCULO FUNPRESP'!Q150)</f>
        <v/>
      </c>
      <c r="K150" s="140" t="str">
        <f>IF($B$2="Não","",'CÁLCULO FUNPRESP'!R150)</f>
        <v/>
      </c>
      <c r="L150" s="140" t="str">
        <f>IF($B$2="Não","",'CÁLCULO FUNPRESP'!S150)</f>
        <v/>
      </c>
      <c r="N150" s="164" t="str">
        <f ca="1">'CÁLCULO FUNPRESP'!U150</f>
        <v/>
      </c>
      <c r="O150" s="140" t="str">
        <f>IF($B$2="Não","",'CÁLCULO FUNPRESP'!Y150)</f>
        <v/>
      </c>
    </row>
    <row r="151" spans="9:15" x14ac:dyDescent="0.25">
      <c r="I151" s="164">
        <f ca="1">'CÁLCULO FUNPRESP'!P151</f>
        <v>47999</v>
      </c>
      <c r="J151" s="140" t="str">
        <f>IF($B$2="Não","",'CÁLCULO FUNPRESP'!Q151)</f>
        <v/>
      </c>
      <c r="K151" s="140" t="str">
        <f>IF($B$2="Não","",'CÁLCULO FUNPRESP'!R151)</f>
        <v/>
      </c>
      <c r="L151" s="140" t="str">
        <f>IF($B$2="Não","",'CÁLCULO FUNPRESP'!S151)</f>
        <v/>
      </c>
      <c r="N151" s="164" t="str">
        <f ca="1">'CÁLCULO FUNPRESP'!U151</f>
        <v/>
      </c>
      <c r="O151" s="140" t="str">
        <f>IF($B$2="Não","",'CÁLCULO FUNPRESP'!Y151)</f>
        <v/>
      </c>
    </row>
    <row r="152" spans="9:15" x14ac:dyDescent="0.25">
      <c r="I152" s="164">
        <f ca="1">'CÁLCULO FUNPRESP'!P152</f>
        <v>48029</v>
      </c>
      <c r="J152" s="140" t="str">
        <f>IF($B$2="Não","",'CÁLCULO FUNPRESP'!Q152)</f>
        <v/>
      </c>
      <c r="K152" s="140" t="str">
        <f>IF($B$2="Não","",'CÁLCULO FUNPRESP'!R152)</f>
        <v/>
      </c>
      <c r="L152" s="140" t="str">
        <f>IF($B$2="Não","",'CÁLCULO FUNPRESP'!S152)</f>
        <v/>
      </c>
      <c r="N152" s="164" t="str">
        <f ca="1">'CÁLCULO FUNPRESP'!U152</f>
        <v/>
      </c>
      <c r="O152" s="140" t="str">
        <f>IF($B$2="Não","",'CÁLCULO FUNPRESP'!Y152)</f>
        <v/>
      </c>
    </row>
    <row r="153" spans="9:15" x14ac:dyDescent="0.25">
      <c r="I153" s="164">
        <f ca="1">'CÁLCULO FUNPRESP'!P153</f>
        <v>48060</v>
      </c>
      <c r="J153" s="140" t="str">
        <f>IF($B$2="Não","",'CÁLCULO FUNPRESP'!Q153)</f>
        <v/>
      </c>
      <c r="K153" s="140" t="str">
        <f>IF($B$2="Não","",'CÁLCULO FUNPRESP'!R153)</f>
        <v/>
      </c>
      <c r="L153" s="140" t="str">
        <f>IF($B$2="Não","",'CÁLCULO FUNPRESP'!S153)</f>
        <v/>
      </c>
      <c r="N153" s="164" t="str">
        <f ca="1">'CÁLCULO FUNPRESP'!U153</f>
        <v/>
      </c>
      <c r="O153" s="140" t="str">
        <f>IF($B$2="Não","",'CÁLCULO FUNPRESP'!Y153)</f>
        <v/>
      </c>
    </row>
    <row r="154" spans="9:15" x14ac:dyDescent="0.25">
      <c r="I154" s="164">
        <f ca="1">'CÁLCULO FUNPRESP'!P154</f>
        <v>48091</v>
      </c>
      <c r="J154" s="140" t="str">
        <f>IF($B$2="Não","",'CÁLCULO FUNPRESP'!Q154)</f>
        <v/>
      </c>
      <c r="K154" s="140" t="str">
        <f>IF($B$2="Não","",'CÁLCULO FUNPRESP'!R154)</f>
        <v/>
      </c>
      <c r="L154" s="140" t="str">
        <f>IF($B$2="Não","",'CÁLCULO FUNPRESP'!S154)</f>
        <v/>
      </c>
      <c r="N154" s="164" t="str">
        <f ca="1">'CÁLCULO FUNPRESP'!U154</f>
        <v/>
      </c>
      <c r="O154" s="140" t="str">
        <f>IF($B$2="Não","",'CÁLCULO FUNPRESP'!Y154)</f>
        <v/>
      </c>
    </row>
    <row r="155" spans="9:15" x14ac:dyDescent="0.25">
      <c r="I155" s="164">
        <f ca="1">'CÁLCULO FUNPRESP'!P155</f>
        <v>48121</v>
      </c>
      <c r="J155" s="140" t="str">
        <f>IF($B$2="Não","",'CÁLCULO FUNPRESP'!Q155)</f>
        <v/>
      </c>
      <c r="K155" s="140" t="str">
        <f>IF($B$2="Não","",'CÁLCULO FUNPRESP'!R155)</f>
        <v/>
      </c>
      <c r="L155" s="140" t="str">
        <f>IF($B$2="Não","",'CÁLCULO FUNPRESP'!S155)</f>
        <v/>
      </c>
      <c r="N155" s="164" t="str">
        <f ca="1">'CÁLCULO FUNPRESP'!U155</f>
        <v/>
      </c>
      <c r="O155" s="140" t="str">
        <f>IF($B$2="Não","",'CÁLCULO FUNPRESP'!Y155)</f>
        <v/>
      </c>
    </row>
    <row r="156" spans="9:15" x14ac:dyDescent="0.25">
      <c r="I156" s="164">
        <f ca="1">'CÁLCULO FUNPRESP'!P156</f>
        <v>48152</v>
      </c>
      <c r="J156" s="140" t="str">
        <f>IF($B$2="Não","",'CÁLCULO FUNPRESP'!Q156)</f>
        <v/>
      </c>
      <c r="K156" s="140" t="str">
        <f>IF($B$2="Não","",'CÁLCULO FUNPRESP'!R156)</f>
        <v/>
      </c>
      <c r="L156" s="140" t="str">
        <f>IF($B$2="Não","",'CÁLCULO FUNPRESP'!S156)</f>
        <v/>
      </c>
      <c r="N156" s="164" t="str">
        <f ca="1">'CÁLCULO FUNPRESP'!U156</f>
        <v/>
      </c>
      <c r="O156" s="140" t="str">
        <f>IF($B$2="Não","",'CÁLCULO FUNPRESP'!Y156)</f>
        <v/>
      </c>
    </row>
    <row r="157" spans="9:15" x14ac:dyDescent="0.25">
      <c r="I157" s="164">
        <f ca="1">'CÁLCULO FUNPRESP'!P157</f>
        <v>48182</v>
      </c>
      <c r="J157" s="140" t="str">
        <f>IF($B$2="Não","",'CÁLCULO FUNPRESP'!Q157)</f>
        <v/>
      </c>
      <c r="K157" s="140" t="str">
        <f>IF($B$2="Não","",'CÁLCULO FUNPRESP'!R157)</f>
        <v/>
      </c>
      <c r="L157" s="140" t="str">
        <f>IF($B$2="Não","",'CÁLCULO FUNPRESP'!S157)</f>
        <v/>
      </c>
      <c r="N157" s="164" t="str">
        <f ca="1">'CÁLCULO FUNPRESP'!U157</f>
        <v/>
      </c>
      <c r="O157" s="140" t="str">
        <f>IF($B$2="Não","",'CÁLCULO FUNPRESP'!Y157)</f>
        <v/>
      </c>
    </row>
    <row r="158" spans="9:15" x14ac:dyDescent="0.25">
      <c r="I158" s="164">
        <f ca="1">'CÁLCULO FUNPRESP'!P158</f>
        <v>48213</v>
      </c>
      <c r="J158" s="140" t="str">
        <f>IF($B$2="Não","",'CÁLCULO FUNPRESP'!Q158)</f>
        <v/>
      </c>
      <c r="K158" s="140" t="str">
        <f>IF($B$2="Não","",'CÁLCULO FUNPRESP'!R158)</f>
        <v/>
      </c>
      <c r="L158" s="140" t="str">
        <f>IF($B$2="Não","",'CÁLCULO FUNPRESP'!S158)</f>
        <v/>
      </c>
      <c r="N158" s="164" t="str">
        <f ca="1">'CÁLCULO FUNPRESP'!U158</f>
        <v/>
      </c>
      <c r="O158" s="140" t="str">
        <f>IF($B$2="Não","",'CÁLCULO FUNPRESP'!Y158)</f>
        <v/>
      </c>
    </row>
    <row r="159" spans="9:15" x14ac:dyDescent="0.25">
      <c r="I159" s="164">
        <f ca="1">'CÁLCULO FUNPRESP'!P159</f>
        <v>48244</v>
      </c>
      <c r="J159" s="140" t="str">
        <f>IF($B$2="Não","",'CÁLCULO FUNPRESP'!Q159)</f>
        <v/>
      </c>
      <c r="K159" s="140" t="str">
        <f>IF($B$2="Não","",'CÁLCULO FUNPRESP'!R159)</f>
        <v/>
      </c>
      <c r="L159" s="140" t="str">
        <f>IF($B$2="Não","",'CÁLCULO FUNPRESP'!S159)</f>
        <v/>
      </c>
      <c r="N159" s="164" t="str">
        <f ca="1">'CÁLCULO FUNPRESP'!U159</f>
        <v/>
      </c>
      <c r="O159" s="140" t="str">
        <f>IF($B$2="Não","",'CÁLCULO FUNPRESP'!Y159)</f>
        <v/>
      </c>
    </row>
    <row r="160" spans="9:15" x14ac:dyDescent="0.25">
      <c r="I160" s="164">
        <f ca="1">'CÁLCULO FUNPRESP'!P160</f>
        <v>48273</v>
      </c>
      <c r="J160" s="140" t="str">
        <f>IF($B$2="Não","",'CÁLCULO FUNPRESP'!Q160)</f>
        <v/>
      </c>
      <c r="K160" s="140" t="str">
        <f>IF($B$2="Não","",'CÁLCULO FUNPRESP'!R160)</f>
        <v/>
      </c>
      <c r="L160" s="140" t="str">
        <f>IF($B$2="Não","",'CÁLCULO FUNPRESP'!S160)</f>
        <v/>
      </c>
      <c r="N160" s="164" t="str">
        <f ca="1">'CÁLCULO FUNPRESP'!U160</f>
        <v/>
      </c>
      <c r="O160" s="140" t="str">
        <f>IF($B$2="Não","",'CÁLCULO FUNPRESP'!Y160)</f>
        <v/>
      </c>
    </row>
    <row r="161" spans="9:15" x14ac:dyDescent="0.25">
      <c r="I161" s="164">
        <f ca="1">'CÁLCULO FUNPRESP'!P161</f>
        <v>48304</v>
      </c>
      <c r="J161" s="140" t="str">
        <f>IF($B$2="Não","",'CÁLCULO FUNPRESP'!Q161)</f>
        <v/>
      </c>
      <c r="K161" s="140" t="str">
        <f>IF($B$2="Não","",'CÁLCULO FUNPRESP'!R161)</f>
        <v/>
      </c>
      <c r="L161" s="140" t="str">
        <f>IF($B$2="Não","",'CÁLCULO FUNPRESP'!S161)</f>
        <v/>
      </c>
      <c r="N161" s="164" t="str">
        <f ca="1">'CÁLCULO FUNPRESP'!U161</f>
        <v/>
      </c>
      <c r="O161" s="140" t="str">
        <f>IF($B$2="Não","",'CÁLCULO FUNPRESP'!Y161)</f>
        <v/>
      </c>
    </row>
    <row r="162" spans="9:15" x14ac:dyDescent="0.25">
      <c r="I162" s="164">
        <f ca="1">'CÁLCULO FUNPRESP'!P162</f>
        <v>48334</v>
      </c>
      <c r="J162" s="140" t="str">
        <f>IF($B$2="Não","",'CÁLCULO FUNPRESP'!Q162)</f>
        <v/>
      </c>
      <c r="K162" s="140" t="str">
        <f>IF($B$2="Não","",'CÁLCULO FUNPRESP'!R162)</f>
        <v/>
      </c>
      <c r="L162" s="140" t="str">
        <f>IF($B$2="Não","",'CÁLCULO FUNPRESP'!S162)</f>
        <v/>
      </c>
      <c r="N162" s="164" t="str">
        <f ca="1">'CÁLCULO FUNPRESP'!U162</f>
        <v/>
      </c>
      <c r="O162" s="140" t="str">
        <f>IF($B$2="Não","",'CÁLCULO FUNPRESP'!Y162)</f>
        <v/>
      </c>
    </row>
    <row r="163" spans="9:15" x14ac:dyDescent="0.25">
      <c r="I163" s="164">
        <f ca="1">'CÁLCULO FUNPRESP'!P163</f>
        <v>48365</v>
      </c>
      <c r="J163" s="140" t="str">
        <f>IF($B$2="Não","",'CÁLCULO FUNPRESP'!Q163)</f>
        <v/>
      </c>
      <c r="K163" s="140" t="str">
        <f>IF($B$2="Não","",'CÁLCULO FUNPRESP'!R163)</f>
        <v/>
      </c>
      <c r="L163" s="140" t="str">
        <f>IF($B$2="Não","",'CÁLCULO FUNPRESP'!S163)</f>
        <v/>
      </c>
      <c r="N163" s="164" t="str">
        <f ca="1">'CÁLCULO FUNPRESP'!U163</f>
        <v/>
      </c>
      <c r="O163" s="140" t="str">
        <f>IF($B$2="Não","",'CÁLCULO FUNPRESP'!Y163)</f>
        <v/>
      </c>
    </row>
    <row r="164" spans="9:15" x14ac:dyDescent="0.25">
      <c r="I164" s="164">
        <f ca="1">'CÁLCULO FUNPRESP'!P164</f>
        <v>48395</v>
      </c>
      <c r="J164" s="140" t="str">
        <f>IF($B$2="Não","",'CÁLCULO FUNPRESP'!Q164)</f>
        <v/>
      </c>
      <c r="K164" s="140" t="str">
        <f>IF($B$2="Não","",'CÁLCULO FUNPRESP'!R164)</f>
        <v/>
      </c>
      <c r="L164" s="140" t="str">
        <f>IF($B$2="Não","",'CÁLCULO FUNPRESP'!S164)</f>
        <v/>
      </c>
      <c r="N164" s="164" t="str">
        <f ca="1">'CÁLCULO FUNPRESP'!U164</f>
        <v/>
      </c>
      <c r="O164" s="140" t="str">
        <f>IF($B$2="Não","",'CÁLCULO FUNPRESP'!Y164)</f>
        <v/>
      </c>
    </row>
    <row r="165" spans="9:15" x14ac:dyDescent="0.25">
      <c r="I165" s="164">
        <f ca="1">'CÁLCULO FUNPRESP'!P165</f>
        <v>48426</v>
      </c>
      <c r="J165" s="140" t="str">
        <f>IF($B$2="Não","",'CÁLCULO FUNPRESP'!Q165)</f>
        <v/>
      </c>
      <c r="K165" s="140" t="str">
        <f>IF($B$2="Não","",'CÁLCULO FUNPRESP'!R165)</f>
        <v/>
      </c>
      <c r="L165" s="140" t="str">
        <f>IF($B$2="Não","",'CÁLCULO FUNPRESP'!S165)</f>
        <v/>
      </c>
      <c r="N165" s="164" t="str">
        <f ca="1">'CÁLCULO FUNPRESP'!U165</f>
        <v/>
      </c>
      <c r="O165" s="140" t="str">
        <f>IF($B$2="Não","",'CÁLCULO FUNPRESP'!Y165)</f>
        <v/>
      </c>
    </row>
    <row r="166" spans="9:15" x14ac:dyDescent="0.25">
      <c r="I166" s="164">
        <f ca="1">'CÁLCULO FUNPRESP'!P166</f>
        <v>48457</v>
      </c>
      <c r="J166" s="140" t="str">
        <f>IF($B$2="Não","",'CÁLCULO FUNPRESP'!Q166)</f>
        <v/>
      </c>
      <c r="K166" s="140" t="str">
        <f>IF($B$2="Não","",'CÁLCULO FUNPRESP'!R166)</f>
        <v/>
      </c>
      <c r="L166" s="140" t="str">
        <f>IF($B$2="Não","",'CÁLCULO FUNPRESP'!S166)</f>
        <v/>
      </c>
      <c r="N166" s="164" t="str">
        <f ca="1">'CÁLCULO FUNPRESP'!U166</f>
        <v/>
      </c>
      <c r="O166" s="140" t="str">
        <f>IF($B$2="Não","",'CÁLCULO FUNPRESP'!Y166)</f>
        <v/>
      </c>
    </row>
    <row r="167" spans="9:15" x14ac:dyDescent="0.25">
      <c r="I167" s="164">
        <f ca="1">'CÁLCULO FUNPRESP'!P167</f>
        <v>48487</v>
      </c>
      <c r="J167" s="140" t="str">
        <f>IF($B$2="Não","",'CÁLCULO FUNPRESP'!Q167)</f>
        <v/>
      </c>
      <c r="K167" s="140" t="str">
        <f>IF($B$2="Não","",'CÁLCULO FUNPRESP'!R167)</f>
        <v/>
      </c>
      <c r="L167" s="140" t="str">
        <f>IF($B$2="Não","",'CÁLCULO FUNPRESP'!S167)</f>
        <v/>
      </c>
      <c r="N167" s="164" t="str">
        <f ca="1">'CÁLCULO FUNPRESP'!U167</f>
        <v/>
      </c>
      <c r="O167" s="140" t="str">
        <f>IF($B$2="Não","",'CÁLCULO FUNPRESP'!Y167)</f>
        <v/>
      </c>
    </row>
    <row r="168" spans="9:15" x14ac:dyDescent="0.25">
      <c r="I168" s="164">
        <f ca="1">'CÁLCULO FUNPRESP'!P168</f>
        <v>48518</v>
      </c>
      <c r="J168" s="140" t="str">
        <f>IF($B$2="Não","",'CÁLCULO FUNPRESP'!Q168)</f>
        <v/>
      </c>
      <c r="K168" s="140" t="str">
        <f>IF($B$2="Não","",'CÁLCULO FUNPRESP'!R168)</f>
        <v/>
      </c>
      <c r="L168" s="140" t="str">
        <f>IF($B$2="Não","",'CÁLCULO FUNPRESP'!S168)</f>
        <v/>
      </c>
      <c r="N168" s="164" t="str">
        <f ca="1">'CÁLCULO FUNPRESP'!U168</f>
        <v/>
      </c>
      <c r="O168" s="140" t="str">
        <f>IF($B$2="Não","",'CÁLCULO FUNPRESP'!Y168)</f>
        <v/>
      </c>
    </row>
    <row r="169" spans="9:15" x14ac:dyDescent="0.25">
      <c r="I169" s="164">
        <f ca="1">'CÁLCULO FUNPRESP'!P169</f>
        <v>48548</v>
      </c>
      <c r="J169" s="140" t="str">
        <f>IF($B$2="Não","",'CÁLCULO FUNPRESP'!Q169)</f>
        <v/>
      </c>
      <c r="K169" s="140" t="str">
        <f>IF($B$2="Não","",'CÁLCULO FUNPRESP'!R169)</f>
        <v/>
      </c>
      <c r="L169" s="140" t="str">
        <f>IF($B$2="Não","",'CÁLCULO FUNPRESP'!S169)</f>
        <v/>
      </c>
      <c r="N169" s="164" t="str">
        <f ca="1">'CÁLCULO FUNPRESP'!U169</f>
        <v/>
      </c>
      <c r="O169" s="140" t="str">
        <f>IF($B$2="Não","",'CÁLCULO FUNPRESP'!Y169)</f>
        <v/>
      </c>
    </row>
    <row r="170" spans="9:15" x14ac:dyDescent="0.25">
      <c r="I170" s="164">
        <f ca="1">'CÁLCULO FUNPRESP'!P170</f>
        <v>48579</v>
      </c>
      <c r="J170" s="140" t="str">
        <f>IF($B$2="Não","",'CÁLCULO FUNPRESP'!Q170)</f>
        <v/>
      </c>
      <c r="K170" s="140" t="str">
        <f>IF($B$2="Não","",'CÁLCULO FUNPRESP'!R170)</f>
        <v/>
      </c>
      <c r="L170" s="140" t="str">
        <f>IF($B$2="Não","",'CÁLCULO FUNPRESP'!S170)</f>
        <v/>
      </c>
      <c r="N170" s="164" t="str">
        <f ca="1">'CÁLCULO FUNPRESP'!U170</f>
        <v/>
      </c>
      <c r="O170" s="140" t="str">
        <f>IF($B$2="Não","",'CÁLCULO FUNPRESP'!Y170)</f>
        <v/>
      </c>
    </row>
    <row r="171" spans="9:15" x14ac:dyDescent="0.25">
      <c r="I171" s="164">
        <f ca="1">'CÁLCULO FUNPRESP'!P171</f>
        <v>48610</v>
      </c>
      <c r="J171" s="140" t="str">
        <f>IF($B$2="Não","",'CÁLCULO FUNPRESP'!Q171)</f>
        <v/>
      </c>
      <c r="K171" s="140" t="str">
        <f>IF($B$2="Não","",'CÁLCULO FUNPRESP'!R171)</f>
        <v/>
      </c>
      <c r="L171" s="140" t="str">
        <f>IF($B$2="Não","",'CÁLCULO FUNPRESP'!S171)</f>
        <v/>
      </c>
      <c r="N171" s="164" t="str">
        <f ca="1">'CÁLCULO FUNPRESP'!U171</f>
        <v/>
      </c>
      <c r="O171" s="140" t="str">
        <f>IF($B$2="Não","",'CÁLCULO FUNPRESP'!Y171)</f>
        <v/>
      </c>
    </row>
    <row r="172" spans="9:15" x14ac:dyDescent="0.25">
      <c r="I172" s="164">
        <f ca="1">'CÁLCULO FUNPRESP'!P172</f>
        <v>48638</v>
      </c>
      <c r="J172" s="140" t="str">
        <f>IF($B$2="Não","",'CÁLCULO FUNPRESP'!Q172)</f>
        <v/>
      </c>
      <c r="K172" s="140" t="str">
        <f>IF($B$2="Não","",'CÁLCULO FUNPRESP'!R172)</f>
        <v/>
      </c>
      <c r="L172" s="140" t="str">
        <f>IF($B$2="Não","",'CÁLCULO FUNPRESP'!S172)</f>
        <v/>
      </c>
      <c r="N172" s="164" t="str">
        <f ca="1">'CÁLCULO FUNPRESP'!U172</f>
        <v/>
      </c>
      <c r="O172" s="140" t="str">
        <f>IF($B$2="Não","",'CÁLCULO FUNPRESP'!Y172)</f>
        <v/>
      </c>
    </row>
    <row r="173" spans="9:15" x14ac:dyDescent="0.25">
      <c r="I173" s="164">
        <f ca="1">'CÁLCULO FUNPRESP'!P173</f>
        <v>48669</v>
      </c>
      <c r="J173" s="140" t="str">
        <f>IF($B$2="Não","",'CÁLCULO FUNPRESP'!Q173)</f>
        <v/>
      </c>
      <c r="K173" s="140" t="str">
        <f>IF($B$2="Não","",'CÁLCULO FUNPRESP'!R173)</f>
        <v/>
      </c>
      <c r="L173" s="140" t="str">
        <f>IF($B$2="Não","",'CÁLCULO FUNPRESP'!S173)</f>
        <v/>
      </c>
      <c r="N173" s="164" t="str">
        <f ca="1">'CÁLCULO FUNPRESP'!U173</f>
        <v/>
      </c>
      <c r="O173" s="140" t="str">
        <f>IF($B$2="Não","",'CÁLCULO FUNPRESP'!Y173)</f>
        <v/>
      </c>
    </row>
    <row r="174" spans="9:15" x14ac:dyDescent="0.25">
      <c r="I174" s="164">
        <f ca="1">'CÁLCULO FUNPRESP'!P174</f>
        <v>48699</v>
      </c>
      <c r="J174" s="140" t="str">
        <f>IF($B$2="Não","",'CÁLCULO FUNPRESP'!Q174)</f>
        <v/>
      </c>
      <c r="K174" s="140" t="str">
        <f>IF($B$2="Não","",'CÁLCULO FUNPRESP'!R174)</f>
        <v/>
      </c>
      <c r="L174" s="140" t="str">
        <f>IF($B$2="Não","",'CÁLCULO FUNPRESP'!S174)</f>
        <v/>
      </c>
      <c r="N174" s="164" t="str">
        <f ca="1">'CÁLCULO FUNPRESP'!U174</f>
        <v/>
      </c>
      <c r="O174" s="140" t="str">
        <f>IF($B$2="Não","",'CÁLCULO FUNPRESP'!Y174)</f>
        <v/>
      </c>
    </row>
    <row r="175" spans="9:15" x14ac:dyDescent="0.25">
      <c r="I175" s="164">
        <f ca="1">'CÁLCULO FUNPRESP'!P175</f>
        <v>48730</v>
      </c>
      <c r="J175" s="140" t="str">
        <f>IF($B$2="Não","",'CÁLCULO FUNPRESP'!Q175)</f>
        <v/>
      </c>
      <c r="K175" s="140" t="str">
        <f>IF($B$2="Não","",'CÁLCULO FUNPRESP'!R175)</f>
        <v/>
      </c>
      <c r="L175" s="140" t="str">
        <f>IF($B$2="Não","",'CÁLCULO FUNPRESP'!S175)</f>
        <v/>
      </c>
      <c r="N175" s="164" t="str">
        <f ca="1">'CÁLCULO FUNPRESP'!U175</f>
        <v/>
      </c>
      <c r="O175" s="140" t="str">
        <f>IF($B$2="Não","",'CÁLCULO FUNPRESP'!Y175)</f>
        <v/>
      </c>
    </row>
    <row r="176" spans="9:15" x14ac:dyDescent="0.25">
      <c r="I176" s="164">
        <f ca="1">'CÁLCULO FUNPRESP'!P176</f>
        <v>48760</v>
      </c>
      <c r="J176" s="140" t="str">
        <f>IF($B$2="Não","",'CÁLCULO FUNPRESP'!Q176)</f>
        <v/>
      </c>
      <c r="K176" s="140" t="str">
        <f>IF($B$2="Não","",'CÁLCULO FUNPRESP'!R176)</f>
        <v/>
      </c>
      <c r="L176" s="140" t="str">
        <f>IF($B$2="Não","",'CÁLCULO FUNPRESP'!S176)</f>
        <v/>
      </c>
      <c r="N176" s="164" t="str">
        <f ca="1">'CÁLCULO FUNPRESP'!U176</f>
        <v/>
      </c>
      <c r="O176" s="140" t="str">
        <f>IF($B$2="Não","",'CÁLCULO FUNPRESP'!Y176)</f>
        <v/>
      </c>
    </row>
    <row r="177" spans="9:15" x14ac:dyDescent="0.25">
      <c r="I177" s="164">
        <f ca="1">'CÁLCULO FUNPRESP'!P177</f>
        <v>48791</v>
      </c>
      <c r="J177" s="140" t="str">
        <f>IF($B$2="Não","",'CÁLCULO FUNPRESP'!Q177)</f>
        <v/>
      </c>
      <c r="K177" s="140" t="str">
        <f>IF($B$2="Não","",'CÁLCULO FUNPRESP'!R177)</f>
        <v/>
      </c>
      <c r="L177" s="140" t="str">
        <f>IF($B$2="Não","",'CÁLCULO FUNPRESP'!S177)</f>
        <v/>
      </c>
      <c r="N177" s="164" t="str">
        <f ca="1">'CÁLCULO FUNPRESP'!U177</f>
        <v/>
      </c>
      <c r="O177" s="140" t="str">
        <f>IF($B$2="Não","",'CÁLCULO FUNPRESP'!Y177)</f>
        <v/>
      </c>
    </row>
    <row r="178" spans="9:15" x14ac:dyDescent="0.25">
      <c r="I178" s="164">
        <f ca="1">'CÁLCULO FUNPRESP'!P178</f>
        <v>48822</v>
      </c>
      <c r="J178" s="140" t="str">
        <f>IF($B$2="Não","",'CÁLCULO FUNPRESP'!Q178)</f>
        <v/>
      </c>
      <c r="K178" s="140" t="str">
        <f>IF($B$2="Não","",'CÁLCULO FUNPRESP'!R178)</f>
        <v/>
      </c>
      <c r="L178" s="140" t="str">
        <f>IF($B$2="Não","",'CÁLCULO FUNPRESP'!S178)</f>
        <v/>
      </c>
      <c r="N178" s="164" t="str">
        <f ca="1">'CÁLCULO FUNPRESP'!U178</f>
        <v/>
      </c>
      <c r="O178" s="140" t="str">
        <f>IF($B$2="Não","",'CÁLCULO FUNPRESP'!Y178)</f>
        <v/>
      </c>
    </row>
    <row r="179" spans="9:15" x14ac:dyDescent="0.25">
      <c r="I179" s="164">
        <f ca="1">'CÁLCULO FUNPRESP'!P179</f>
        <v>48852</v>
      </c>
      <c r="J179" s="140" t="str">
        <f>IF($B$2="Não","",'CÁLCULO FUNPRESP'!Q179)</f>
        <v/>
      </c>
      <c r="K179" s="140" t="str">
        <f>IF($B$2="Não","",'CÁLCULO FUNPRESP'!R179)</f>
        <v/>
      </c>
      <c r="L179" s="140" t="str">
        <f>IF($B$2="Não","",'CÁLCULO FUNPRESP'!S179)</f>
        <v/>
      </c>
      <c r="N179" s="164" t="str">
        <f ca="1">'CÁLCULO FUNPRESP'!U179</f>
        <v/>
      </c>
      <c r="O179" s="140" t="str">
        <f>IF($B$2="Não","",'CÁLCULO FUNPRESP'!Y179)</f>
        <v/>
      </c>
    </row>
    <row r="180" spans="9:15" x14ac:dyDescent="0.25">
      <c r="I180" s="164">
        <f ca="1">'CÁLCULO FUNPRESP'!P180</f>
        <v>48883</v>
      </c>
      <c r="J180" s="140" t="str">
        <f>IF($B$2="Não","",'CÁLCULO FUNPRESP'!Q180)</f>
        <v/>
      </c>
      <c r="K180" s="140" t="str">
        <f>IF($B$2="Não","",'CÁLCULO FUNPRESP'!R180)</f>
        <v/>
      </c>
      <c r="L180" s="140" t="str">
        <f>IF($B$2="Não","",'CÁLCULO FUNPRESP'!S180)</f>
        <v/>
      </c>
      <c r="N180" s="164" t="str">
        <f ca="1">'CÁLCULO FUNPRESP'!U180</f>
        <v/>
      </c>
      <c r="O180" s="140" t="str">
        <f>IF($B$2="Não","",'CÁLCULO FUNPRESP'!Y180)</f>
        <v/>
      </c>
    </row>
    <row r="181" spans="9:15" x14ac:dyDescent="0.25">
      <c r="I181" s="164">
        <f ca="1">'CÁLCULO FUNPRESP'!P181</f>
        <v>48913</v>
      </c>
      <c r="J181" s="140" t="str">
        <f>IF($B$2="Não","",'CÁLCULO FUNPRESP'!Q181)</f>
        <v/>
      </c>
      <c r="K181" s="140" t="str">
        <f>IF($B$2="Não","",'CÁLCULO FUNPRESP'!R181)</f>
        <v/>
      </c>
      <c r="L181" s="140" t="str">
        <f>IF($B$2="Não","",'CÁLCULO FUNPRESP'!S181)</f>
        <v/>
      </c>
      <c r="N181" s="164" t="str">
        <f ca="1">'CÁLCULO FUNPRESP'!U181</f>
        <v/>
      </c>
      <c r="O181" s="140" t="str">
        <f>IF($B$2="Não","",'CÁLCULO FUNPRESP'!Y181)</f>
        <v/>
      </c>
    </row>
    <row r="182" spans="9:15" x14ac:dyDescent="0.25">
      <c r="I182" s="164">
        <f ca="1">'CÁLCULO FUNPRESP'!P182</f>
        <v>48944</v>
      </c>
      <c r="J182" s="140" t="str">
        <f>IF($B$2="Não","",'CÁLCULO FUNPRESP'!Q182)</f>
        <v/>
      </c>
      <c r="K182" s="140" t="str">
        <f>IF($B$2="Não","",'CÁLCULO FUNPRESP'!R182)</f>
        <v/>
      </c>
      <c r="L182" s="140" t="str">
        <f>IF($B$2="Não","",'CÁLCULO FUNPRESP'!S182)</f>
        <v/>
      </c>
      <c r="N182" s="164" t="str">
        <f ca="1">'CÁLCULO FUNPRESP'!U182</f>
        <v/>
      </c>
      <c r="O182" s="140" t="str">
        <f>IF($B$2="Não","",'CÁLCULO FUNPRESP'!Y182)</f>
        <v/>
      </c>
    </row>
    <row r="183" spans="9:15" x14ac:dyDescent="0.25">
      <c r="I183" s="164">
        <f ca="1">'CÁLCULO FUNPRESP'!P183</f>
        <v>48975</v>
      </c>
      <c r="J183" s="140" t="str">
        <f>IF($B$2="Não","",'CÁLCULO FUNPRESP'!Q183)</f>
        <v/>
      </c>
      <c r="K183" s="140" t="str">
        <f>IF($B$2="Não","",'CÁLCULO FUNPRESP'!R183)</f>
        <v/>
      </c>
      <c r="L183" s="140" t="str">
        <f>IF($B$2="Não","",'CÁLCULO FUNPRESP'!S183)</f>
        <v/>
      </c>
      <c r="N183" s="164" t="str">
        <f ca="1">'CÁLCULO FUNPRESP'!U183</f>
        <v/>
      </c>
      <c r="O183" s="140" t="str">
        <f>IF($B$2="Não","",'CÁLCULO FUNPRESP'!Y183)</f>
        <v/>
      </c>
    </row>
    <row r="184" spans="9:15" x14ac:dyDescent="0.25">
      <c r="I184" s="164">
        <f ca="1">'CÁLCULO FUNPRESP'!P184</f>
        <v>49003</v>
      </c>
      <c r="J184" s="140" t="str">
        <f>IF($B$2="Não","",'CÁLCULO FUNPRESP'!Q184)</f>
        <v/>
      </c>
      <c r="K184" s="140" t="str">
        <f>IF($B$2="Não","",'CÁLCULO FUNPRESP'!R184)</f>
        <v/>
      </c>
      <c r="L184" s="140" t="str">
        <f>IF($B$2="Não","",'CÁLCULO FUNPRESP'!S184)</f>
        <v/>
      </c>
      <c r="N184" s="164" t="str">
        <f ca="1">'CÁLCULO FUNPRESP'!U184</f>
        <v/>
      </c>
      <c r="O184" s="140" t="str">
        <f>IF($B$2="Não","",'CÁLCULO FUNPRESP'!Y184)</f>
        <v/>
      </c>
    </row>
    <row r="185" spans="9:15" x14ac:dyDescent="0.25">
      <c r="I185" s="164">
        <f ca="1">'CÁLCULO FUNPRESP'!P185</f>
        <v>49034</v>
      </c>
      <c r="J185" s="140" t="str">
        <f>IF($B$2="Não","",'CÁLCULO FUNPRESP'!Q185)</f>
        <v/>
      </c>
      <c r="K185" s="140" t="str">
        <f>IF($B$2="Não","",'CÁLCULO FUNPRESP'!R185)</f>
        <v/>
      </c>
      <c r="L185" s="140" t="str">
        <f>IF($B$2="Não","",'CÁLCULO FUNPRESP'!S185)</f>
        <v/>
      </c>
      <c r="N185" s="164" t="str">
        <f ca="1">'CÁLCULO FUNPRESP'!U185</f>
        <v/>
      </c>
      <c r="O185" s="140" t="str">
        <f>IF($B$2="Não","",'CÁLCULO FUNPRESP'!Y185)</f>
        <v/>
      </c>
    </row>
    <row r="186" spans="9:15" x14ac:dyDescent="0.25">
      <c r="I186" s="164">
        <f ca="1">'CÁLCULO FUNPRESP'!P186</f>
        <v>49064</v>
      </c>
      <c r="J186" s="140" t="str">
        <f>IF($B$2="Não","",'CÁLCULO FUNPRESP'!Q186)</f>
        <v/>
      </c>
      <c r="K186" s="140" t="str">
        <f>IF($B$2="Não","",'CÁLCULO FUNPRESP'!R186)</f>
        <v/>
      </c>
      <c r="L186" s="140" t="str">
        <f>IF($B$2="Não","",'CÁLCULO FUNPRESP'!S186)</f>
        <v/>
      </c>
      <c r="N186" s="164" t="str">
        <f ca="1">'CÁLCULO FUNPRESP'!U186</f>
        <v/>
      </c>
      <c r="O186" s="140" t="str">
        <f>IF($B$2="Não","",'CÁLCULO FUNPRESP'!Y186)</f>
        <v/>
      </c>
    </row>
    <row r="187" spans="9:15" x14ac:dyDescent="0.25">
      <c r="I187" s="164">
        <f ca="1">'CÁLCULO FUNPRESP'!P187</f>
        <v>49095</v>
      </c>
      <c r="J187" s="140" t="str">
        <f>IF($B$2="Não","",'CÁLCULO FUNPRESP'!Q187)</f>
        <v/>
      </c>
      <c r="K187" s="140" t="str">
        <f>IF($B$2="Não","",'CÁLCULO FUNPRESP'!R187)</f>
        <v/>
      </c>
      <c r="L187" s="140" t="str">
        <f>IF($B$2="Não","",'CÁLCULO FUNPRESP'!S187)</f>
        <v/>
      </c>
      <c r="N187" s="164" t="str">
        <f ca="1">'CÁLCULO FUNPRESP'!U187</f>
        <v/>
      </c>
      <c r="O187" s="140" t="str">
        <f>IF($B$2="Não","",'CÁLCULO FUNPRESP'!Y187)</f>
        <v/>
      </c>
    </row>
    <row r="188" spans="9:15" x14ac:dyDescent="0.25">
      <c r="I188" s="164">
        <f ca="1">'CÁLCULO FUNPRESP'!P188</f>
        <v>49125</v>
      </c>
      <c r="J188" s="140" t="str">
        <f>IF($B$2="Não","",'CÁLCULO FUNPRESP'!Q188)</f>
        <v/>
      </c>
      <c r="K188" s="140" t="str">
        <f>IF($B$2="Não","",'CÁLCULO FUNPRESP'!R188)</f>
        <v/>
      </c>
      <c r="L188" s="140" t="str">
        <f>IF($B$2="Não","",'CÁLCULO FUNPRESP'!S188)</f>
        <v/>
      </c>
      <c r="N188" s="164" t="str">
        <f ca="1">'CÁLCULO FUNPRESP'!U188</f>
        <v/>
      </c>
      <c r="O188" s="140" t="str">
        <f>IF($B$2="Não","",'CÁLCULO FUNPRESP'!Y188)</f>
        <v/>
      </c>
    </row>
    <row r="189" spans="9:15" x14ac:dyDescent="0.25">
      <c r="I189" s="164">
        <f ca="1">'CÁLCULO FUNPRESP'!P189</f>
        <v>49156</v>
      </c>
      <c r="J189" s="140" t="str">
        <f>IF($B$2="Não","",'CÁLCULO FUNPRESP'!Q189)</f>
        <v/>
      </c>
      <c r="K189" s="140" t="str">
        <f>IF($B$2="Não","",'CÁLCULO FUNPRESP'!R189)</f>
        <v/>
      </c>
      <c r="L189" s="140" t="str">
        <f>IF($B$2="Não","",'CÁLCULO FUNPRESP'!S189)</f>
        <v/>
      </c>
      <c r="N189" s="164" t="str">
        <f ca="1">'CÁLCULO FUNPRESP'!U189</f>
        <v/>
      </c>
      <c r="O189" s="140" t="str">
        <f>IF($B$2="Não","",'CÁLCULO FUNPRESP'!Y189)</f>
        <v/>
      </c>
    </row>
    <row r="190" spans="9:15" x14ac:dyDescent="0.25">
      <c r="I190" s="164">
        <f ca="1">'CÁLCULO FUNPRESP'!P190</f>
        <v>49187</v>
      </c>
      <c r="J190" s="140" t="str">
        <f>IF($B$2="Não","",'CÁLCULO FUNPRESP'!Q190)</f>
        <v/>
      </c>
      <c r="K190" s="140" t="str">
        <f>IF($B$2="Não","",'CÁLCULO FUNPRESP'!R190)</f>
        <v/>
      </c>
      <c r="L190" s="140" t="str">
        <f>IF($B$2="Não","",'CÁLCULO FUNPRESP'!S190)</f>
        <v/>
      </c>
      <c r="N190" s="164" t="str">
        <f ca="1">'CÁLCULO FUNPRESP'!U190</f>
        <v/>
      </c>
      <c r="O190" s="140" t="str">
        <f>IF($B$2="Não","",'CÁLCULO FUNPRESP'!Y190)</f>
        <v/>
      </c>
    </row>
    <row r="191" spans="9:15" x14ac:dyDescent="0.25">
      <c r="I191" s="164">
        <f ca="1">'CÁLCULO FUNPRESP'!P191</f>
        <v>49217</v>
      </c>
      <c r="J191" s="140" t="str">
        <f>IF($B$2="Não","",'CÁLCULO FUNPRESP'!Q191)</f>
        <v/>
      </c>
      <c r="K191" s="140" t="str">
        <f>IF($B$2="Não","",'CÁLCULO FUNPRESP'!R191)</f>
        <v/>
      </c>
      <c r="L191" s="140" t="str">
        <f>IF($B$2="Não","",'CÁLCULO FUNPRESP'!S191)</f>
        <v/>
      </c>
      <c r="N191" s="164" t="str">
        <f ca="1">'CÁLCULO FUNPRESP'!U191</f>
        <v/>
      </c>
      <c r="O191" s="140" t="str">
        <f>IF($B$2="Não","",'CÁLCULO FUNPRESP'!Y191)</f>
        <v/>
      </c>
    </row>
    <row r="192" spans="9:15" x14ac:dyDescent="0.25">
      <c r="I192" s="164">
        <f ca="1">'CÁLCULO FUNPRESP'!P192</f>
        <v>49248</v>
      </c>
      <c r="J192" s="140" t="str">
        <f>IF($B$2="Não","",'CÁLCULO FUNPRESP'!Q192)</f>
        <v/>
      </c>
      <c r="K192" s="140" t="str">
        <f>IF($B$2="Não","",'CÁLCULO FUNPRESP'!R192)</f>
        <v/>
      </c>
      <c r="L192" s="140" t="str">
        <f>IF($B$2="Não","",'CÁLCULO FUNPRESP'!S192)</f>
        <v/>
      </c>
      <c r="N192" s="164" t="str">
        <f ca="1">'CÁLCULO FUNPRESP'!U192</f>
        <v/>
      </c>
      <c r="O192" s="140" t="str">
        <f>IF($B$2="Não","",'CÁLCULO FUNPRESP'!Y192)</f>
        <v/>
      </c>
    </row>
    <row r="193" spans="9:15" x14ac:dyDescent="0.25">
      <c r="I193" s="164">
        <f ca="1">'CÁLCULO FUNPRESP'!P193</f>
        <v>49278</v>
      </c>
      <c r="J193" s="140" t="str">
        <f>IF($B$2="Não","",'CÁLCULO FUNPRESP'!Q193)</f>
        <v/>
      </c>
      <c r="K193" s="140" t="str">
        <f>IF($B$2="Não","",'CÁLCULO FUNPRESP'!R193)</f>
        <v/>
      </c>
      <c r="L193" s="140" t="str">
        <f>IF($B$2="Não","",'CÁLCULO FUNPRESP'!S193)</f>
        <v/>
      </c>
      <c r="N193" s="164" t="str">
        <f ca="1">'CÁLCULO FUNPRESP'!U193</f>
        <v/>
      </c>
      <c r="O193" s="140" t="str">
        <f>IF($B$2="Não","",'CÁLCULO FUNPRESP'!Y193)</f>
        <v/>
      </c>
    </row>
    <row r="194" spans="9:15" x14ac:dyDescent="0.25">
      <c r="I194" s="164">
        <f ca="1">'CÁLCULO FUNPRESP'!P194</f>
        <v>49309</v>
      </c>
      <c r="J194" s="140" t="str">
        <f>IF($B$2="Não","",'CÁLCULO FUNPRESP'!Q194)</f>
        <v/>
      </c>
      <c r="K194" s="140" t="str">
        <f>IF($B$2="Não","",'CÁLCULO FUNPRESP'!R194)</f>
        <v/>
      </c>
      <c r="L194" s="140" t="str">
        <f>IF($B$2="Não","",'CÁLCULO FUNPRESP'!S194)</f>
        <v/>
      </c>
      <c r="N194" s="164" t="str">
        <f ca="1">'CÁLCULO FUNPRESP'!U194</f>
        <v/>
      </c>
      <c r="O194" s="140" t="str">
        <f>IF($B$2="Não","",'CÁLCULO FUNPRESP'!Y194)</f>
        <v/>
      </c>
    </row>
    <row r="195" spans="9:15" x14ac:dyDescent="0.25">
      <c r="I195" s="164">
        <f ca="1">'CÁLCULO FUNPRESP'!P195</f>
        <v>49340</v>
      </c>
      <c r="J195" s="140" t="str">
        <f>IF($B$2="Não","",'CÁLCULO FUNPRESP'!Q195)</f>
        <v/>
      </c>
      <c r="K195" s="140" t="str">
        <f>IF($B$2="Não","",'CÁLCULO FUNPRESP'!R195)</f>
        <v/>
      </c>
      <c r="L195" s="140" t="str">
        <f>IF($B$2="Não","",'CÁLCULO FUNPRESP'!S195)</f>
        <v/>
      </c>
      <c r="N195" s="164" t="str">
        <f ca="1">'CÁLCULO FUNPRESP'!U195</f>
        <v/>
      </c>
      <c r="O195" s="140" t="str">
        <f>IF($B$2="Não","",'CÁLCULO FUNPRESP'!Y195)</f>
        <v/>
      </c>
    </row>
    <row r="196" spans="9:15" x14ac:dyDescent="0.25">
      <c r="I196" s="164">
        <f ca="1">'CÁLCULO FUNPRESP'!P196</f>
        <v>49368</v>
      </c>
      <c r="J196" s="140" t="str">
        <f>IF($B$2="Não","",'CÁLCULO FUNPRESP'!Q196)</f>
        <v/>
      </c>
      <c r="K196" s="140" t="str">
        <f>IF($B$2="Não","",'CÁLCULO FUNPRESP'!R196)</f>
        <v/>
      </c>
      <c r="L196" s="140" t="str">
        <f>IF($B$2="Não","",'CÁLCULO FUNPRESP'!S196)</f>
        <v/>
      </c>
      <c r="N196" s="164" t="str">
        <f ca="1">'CÁLCULO FUNPRESP'!U196</f>
        <v/>
      </c>
      <c r="O196" s="140" t="str">
        <f>IF($B$2="Não","",'CÁLCULO FUNPRESP'!Y196)</f>
        <v/>
      </c>
    </row>
    <row r="197" spans="9:15" x14ac:dyDescent="0.25">
      <c r="I197" s="164">
        <f ca="1">'CÁLCULO FUNPRESP'!P197</f>
        <v>49399</v>
      </c>
      <c r="J197" s="140" t="str">
        <f>IF($B$2="Não","",'CÁLCULO FUNPRESP'!Q197)</f>
        <v/>
      </c>
      <c r="K197" s="140" t="str">
        <f>IF($B$2="Não","",'CÁLCULO FUNPRESP'!R197)</f>
        <v/>
      </c>
      <c r="L197" s="140" t="str">
        <f>IF($B$2="Não","",'CÁLCULO FUNPRESP'!S197)</f>
        <v/>
      </c>
      <c r="N197" s="164" t="str">
        <f ca="1">'CÁLCULO FUNPRESP'!U197</f>
        <v/>
      </c>
      <c r="O197" s="140" t="str">
        <f>IF($B$2="Não","",'CÁLCULO FUNPRESP'!Y197)</f>
        <v/>
      </c>
    </row>
    <row r="198" spans="9:15" x14ac:dyDescent="0.25">
      <c r="I198" s="164">
        <f ca="1">'CÁLCULO FUNPRESP'!P198</f>
        <v>49429</v>
      </c>
      <c r="J198" s="140" t="str">
        <f>IF($B$2="Não","",'CÁLCULO FUNPRESP'!Q198)</f>
        <v/>
      </c>
      <c r="K198" s="140" t="str">
        <f>IF($B$2="Não","",'CÁLCULO FUNPRESP'!R198)</f>
        <v/>
      </c>
      <c r="L198" s="140" t="str">
        <f>IF($B$2="Não","",'CÁLCULO FUNPRESP'!S198)</f>
        <v/>
      </c>
      <c r="N198" s="164" t="str">
        <f ca="1">'CÁLCULO FUNPRESP'!U198</f>
        <v/>
      </c>
      <c r="O198" s="140" t="str">
        <f>IF($B$2="Não","",'CÁLCULO FUNPRESP'!Y198)</f>
        <v/>
      </c>
    </row>
    <row r="199" spans="9:15" x14ac:dyDescent="0.25">
      <c r="I199" s="164">
        <f ca="1">'CÁLCULO FUNPRESP'!P199</f>
        <v>49460</v>
      </c>
      <c r="J199" s="140" t="str">
        <f>IF($B$2="Não","",'CÁLCULO FUNPRESP'!Q199)</f>
        <v/>
      </c>
      <c r="K199" s="140" t="str">
        <f>IF($B$2="Não","",'CÁLCULO FUNPRESP'!R199)</f>
        <v/>
      </c>
      <c r="L199" s="140" t="str">
        <f>IF($B$2="Não","",'CÁLCULO FUNPRESP'!S199)</f>
        <v/>
      </c>
      <c r="N199" s="164" t="str">
        <f ca="1">'CÁLCULO FUNPRESP'!U199</f>
        <v/>
      </c>
      <c r="O199" s="140" t="str">
        <f>IF($B$2="Não","",'CÁLCULO FUNPRESP'!Y199)</f>
        <v/>
      </c>
    </row>
    <row r="200" spans="9:15" x14ac:dyDescent="0.25">
      <c r="I200" s="164">
        <f ca="1">'CÁLCULO FUNPRESP'!P200</f>
        <v>49490</v>
      </c>
      <c r="J200" s="140" t="str">
        <f>IF($B$2="Não","",'CÁLCULO FUNPRESP'!Q200)</f>
        <v/>
      </c>
      <c r="K200" s="140" t="str">
        <f>IF($B$2="Não","",'CÁLCULO FUNPRESP'!R200)</f>
        <v/>
      </c>
      <c r="L200" s="140" t="str">
        <f>IF($B$2="Não","",'CÁLCULO FUNPRESP'!S200)</f>
        <v/>
      </c>
      <c r="N200" s="164" t="str">
        <f ca="1">'CÁLCULO FUNPRESP'!U200</f>
        <v/>
      </c>
      <c r="O200" s="140" t="str">
        <f>IF($B$2="Não","",'CÁLCULO FUNPRESP'!Y200)</f>
        <v/>
      </c>
    </row>
    <row r="201" spans="9:15" x14ac:dyDescent="0.25">
      <c r="I201" s="164">
        <f ca="1">'CÁLCULO FUNPRESP'!P201</f>
        <v>49521</v>
      </c>
      <c r="J201" s="140" t="str">
        <f>IF($B$2="Não","",'CÁLCULO FUNPRESP'!Q201)</f>
        <v/>
      </c>
      <c r="K201" s="140" t="str">
        <f>IF($B$2="Não","",'CÁLCULO FUNPRESP'!R201)</f>
        <v/>
      </c>
      <c r="L201" s="140" t="str">
        <f>IF($B$2="Não","",'CÁLCULO FUNPRESP'!S201)</f>
        <v/>
      </c>
      <c r="N201" s="164" t="str">
        <f ca="1">'CÁLCULO FUNPRESP'!U201</f>
        <v/>
      </c>
      <c r="O201" s="140" t="str">
        <f>IF($B$2="Não","",'CÁLCULO FUNPRESP'!Y201)</f>
        <v/>
      </c>
    </row>
    <row r="202" spans="9:15" x14ac:dyDescent="0.25">
      <c r="I202" s="164">
        <f ca="1">'CÁLCULO FUNPRESP'!P202</f>
        <v>49552</v>
      </c>
      <c r="J202" s="140" t="str">
        <f>IF($B$2="Não","",'CÁLCULO FUNPRESP'!Q202)</f>
        <v/>
      </c>
      <c r="K202" s="140" t="str">
        <f>IF($B$2="Não","",'CÁLCULO FUNPRESP'!R202)</f>
        <v/>
      </c>
      <c r="L202" s="140" t="str">
        <f>IF($B$2="Não","",'CÁLCULO FUNPRESP'!S202)</f>
        <v/>
      </c>
      <c r="N202" s="164" t="str">
        <f ca="1">'CÁLCULO FUNPRESP'!U202</f>
        <v/>
      </c>
      <c r="O202" s="140" t="str">
        <f>IF($B$2="Não","",'CÁLCULO FUNPRESP'!Y202)</f>
        <v/>
      </c>
    </row>
    <row r="203" spans="9:15" x14ac:dyDescent="0.25">
      <c r="I203" s="164">
        <f ca="1">'CÁLCULO FUNPRESP'!P203</f>
        <v>49582</v>
      </c>
      <c r="J203" s="140" t="str">
        <f>IF($B$2="Não","",'CÁLCULO FUNPRESP'!Q203)</f>
        <v/>
      </c>
      <c r="K203" s="140" t="str">
        <f>IF($B$2="Não","",'CÁLCULO FUNPRESP'!R203)</f>
        <v/>
      </c>
      <c r="L203" s="140" t="str">
        <f>IF($B$2="Não","",'CÁLCULO FUNPRESP'!S203)</f>
        <v/>
      </c>
      <c r="N203" s="164" t="str">
        <f ca="1">'CÁLCULO FUNPRESP'!U203</f>
        <v/>
      </c>
      <c r="O203" s="140" t="str">
        <f>IF($B$2="Não","",'CÁLCULO FUNPRESP'!Y203)</f>
        <v/>
      </c>
    </row>
    <row r="204" spans="9:15" x14ac:dyDescent="0.25">
      <c r="I204" s="164">
        <f ca="1">'CÁLCULO FUNPRESP'!P204</f>
        <v>49613</v>
      </c>
      <c r="J204" s="140" t="str">
        <f>IF($B$2="Não","",'CÁLCULO FUNPRESP'!Q204)</f>
        <v/>
      </c>
      <c r="K204" s="140" t="str">
        <f>IF($B$2="Não","",'CÁLCULO FUNPRESP'!R204)</f>
        <v/>
      </c>
      <c r="L204" s="140" t="str">
        <f>IF($B$2="Não","",'CÁLCULO FUNPRESP'!S204)</f>
        <v/>
      </c>
      <c r="N204" s="164" t="str">
        <f ca="1">'CÁLCULO FUNPRESP'!U204</f>
        <v/>
      </c>
      <c r="O204" s="140" t="str">
        <f>IF($B$2="Não","",'CÁLCULO FUNPRESP'!Y204)</f>
        <v/>
      </c>
    </row>
    <row r="205" spans="9:15" x14ac:dyDescent="0.25">
      <c r="I205" s="164">
        <f ca="1">'CÁLCULO FUNPRESP'!P205</f>
        <v>49643</v>
      </c>
      <c r="J205" s="140" t="str">
        <f>IF($B$2="Não","",'CÁLCULO FUNPRESP'!Q205)</f>
        <v/>
      </c>
      <c r="K205" s="140" t="str">
        <f>IF($B$2="Não","",'CÁLCULO FUNPRESP'!R205)</f>
        <v/>
      </c>
      <c r="L205" s="140" t="str">
        <f>IF($B$2="Não","",'CÁLCULO FUNPRESP'!S205)</f>
        <v/>
      </c>
      <c r="N205" s="164" t="str">
        <f ca="1">'CÁLCULO FUNPRESP'!U205</f>
        <v/>
      </c>
      <c r="O205" s="140" t="str">
        <f>IF($B$2="Não","",'CÁLCULO FUNPRESP'!Y205)</f>
        <v/>
      </c>
    </row>
    <row r="206" spans="9:15" x14ac:dyDescent="0.25">
      <c r="I206" s="164">
        <f ca="1">'CÁLCULO FUNPRESP'!P206</f>
        <v>49674</v>
      </c>
      <c r="J206" s="140" t="str">
        <f>IF($B$2="Não","",'CÁLCULO FUNPRESP'!Q206)</f>
        <v/>
      </c>
      <c r="K206" s="140" t="str">
        <f>IF($B$2="Não","",'CÁLCULO FUNPRESP'!R206)</f>
        <v/>
      </c>
      <c r="L206" s="140" t="str">
        <f>IF($B$2="Não","",'CÁLCULO FUNPRESP'!S206)</f>
        <v/>
      </c>
      <c r="N206" s="164" t="str">
        <f ca="1">'CÁLCULO FUNPRESP'!U206</f>
        <v/>
      </c>
      <c r="O206" s="140" t="str">
        <f>IF($B$2="Não","",'CÁLCULO FUNPRESP'!Y206)</f>
        <v/>
      </c>
    </row>
    <row r="207" spans="9:15" x14ac:dyDescent="0.25">
      <c r="I207" s="164">
        <f ca="1">'CÁLCULO FUNPRESP'!P207</f>
        <v>49705</v>
      </c>
      <c r="J207" s="140" t="str">
        <f>IF($B$2="Não","",'CÁLCULO FUNPRESP'!Q207)</f>
        <v/>
      </c>
      <c r="K207" s="140" t="str">
        <f>IF($B$2="Não","",'CÁLCULO FUNPRESP'!R207)</f>
        <v/>
      </c>
      <c r="L207" s="140" t="str">
        <f>IF($B$2="Não","",'CÁLCULO FUNPRESP'!S207)</f>
        <v/>
      </c>
      <c r="N207" s="164" t="str">
        <f ca="1">'CÁLCULO FUNPRESP'!U207</f>
        <v/>
      </c>
      <c r="O207" s="140" t="str">
        <f>IF($B$2="Não","",'CÁLCULO FUNPRESP'!Y207)</f>
        <v/>
      </c>
    </row>
    <row r="208" spans="9:15" x14ac:dyDescent="0.25">
      <c r="I208" s="164">
        <f ca="1">'CÁLCULO FUNPRESP'!P208</f>
        <v>49734</v>
      </c>
      <c r="J208" s="140" t="str">
        <f>IF($B$2="Não","",'CÁLCULO FUNPRESP'!Q208)</f>
        <v/>
      </c>
      <c r="K208" s="140" t="str">
        <f>IF($B$2="Não","",'CÁLCULO FUNPRESP'!R208)</f>
        <v/>
      </c>
      <c r="L208" s="140" t="str">
        <f>IF($B$2="Não","",'CÁLCULO FUNPRESP'!S208)</f>
        <v/>
      </c>
      <c r="N208" s="164" t="str">
        <f ca="1">'CÁLCULO FUNPRESP'!U208</f>
        <v/>
      </c>
      <c r="O208" s="140" t="str">
        <f>IF($B$2="Não","",'CÁLCULO FUNPRESP'!Y208)</f>
        <v/>
      </c>
    </row>
    <row r="209" spans="9:15" x14ac:dyDescent="0.25">
      <c r="I209" s="164">
        <f ca="1">'CÁLCULO FUNPRESP'!P209</f>
        <v>49765</v>
      </c>
      <c r="J209" s="140" t="str">
        <f>IF($B$2="Não","",'CÁLCULO FUNPRESP'!Q209)</f>
        <v/>
      </c>
      <c r="K209" s="140" t="str">
        <f>IF($B$2="Não","",'CÁLCULO FUNPRESP'!R209)</f>
        <v/>
      </c>
      <c r="L209" s="140" t="str">
        <f>IF($B$2="Não","",'CÁLCULO FUNPRESP'!S209)</f>
        <v/>
      </c>
      <c r="N209" s="164" t="str">
        <f ca="1">'CÁLCULO FUNPRESP'!U209</f>
        <v/>
      </c>
      <c r="O209" s="140" t="str">
        <f>IF($B$2="Não","",'CÁLCULO FUNPRESP'!Y209)</f>
        <v/>
      </c>
    </row>
    <row r="210" spans="9:15" x14ac:dyDescent="0.25">
      <c r="I210" s="164">
        <f ca="1">'CÁLCULO FUNPRESP'!P210</f>
        <v>49795</v>
      </c>
      <c r="J210" s="140" t="str">
        <f>IF($B$2="Não","",'CÁLCULO FUNPRESP'!Q210)</f>
        <v/>
      </c>
      <c r="K210" s="140" t="str">
        <f>IF($B$2="Não","",'CÁLCULO FUNPRESP'!R210)</f>
        <v/>
      </c>
      <c r="L210" s="140" t="str">
        <f>IF($B$2="Não","",'CÁLCULO FUNPRESP'!S210)</f>
        <v/>
      </c>
      <c r="N210" s="164" t="str">
        <f ca="1">'CÁLCULO FUNPRESP'!U210</f>
        <v/>
      </c>
      <c r="O210" s="140" t="str">
        <f>IF($B$2="Não","",'CÁLCULO FUNPRESP'!Y210)</f>
        <v/>
      </c>
    </row>
    <row r="211" spans="9:15" x14ac:dyDescent="0.25">
      <c r="I211" s="164">
        <f ca="1">'CÁLCULO FUNPRESP'!P211</f>
        <v>49826</v>
      </c>
      <c r="J211" s="140" t="str">
        <f>IF($B$2="Não","",'CÁLCULO FUNPRESP'!Q211)</f>
        <v/>
      </c>
      <c r="K211" s="140" t="str">
        <f>IF($B$2="Não","",'CÁLCULO FUNPRESP'!R211)</f>
        <v/>
      </c>
      <c r="L211" s="140" t="str">
        <f>IF($B$2="Não","",'CÁLCULO FUNPRESP'!S211)</f>
        <v/>
      </c>
      <c r="N211" s="164" t="str">
        <f ca="1">'CÁLCULO FUNPRESP'!U211</f>
        <v/>
      </c>
      <c r="O211" s="140" t="str">
        <f>IF($B$2="Não","",'CÁLCULO FUNPRESP'!Y211)</f>
        <v/>
      </c>
    </row>
    <row r="212" spans="9:15" x14ac:dyDescent="0.25">
      <c r="I212" s="164">
        <f ca="1">'CÁLCULO FUNPRESP'!P212</f>
        <v>49856</v>
      </c>
      <c r="J212" s="140" t="str">
        <f>IF($B$2="Não","",'CÁLCULO FUNPRESP'!Q212)</f>
        <v/>
      </c>
      <c r="K212" s="140" t="str">
        <f>IF($B$2="Não","",'CÁLCULO FUNPRESP'!R212)</f>
        <v/>
      </c>
      <c r="L212" s="140" t="str">
        <f>IF($B$2="Não","",'CÁLCULO FUNPRESP'!S212)</f>
        <v/>
      </c>
      <c r="N212" s="164" t="str">
        <f ca="1">'CÁLCULO FUNPRESP'!U212</f>
        <v/>
      </c>
      <c r="O212" s="140" t="str">
        <f>IF($B$2="Não","",'CÁLCULO FUNPRESP'!Y212)</f>
        <v/>
      </c>
    </row>
    <row r="213" spans="9:15" x14ac:dyDescent="0.25">
      <c r="I213" s="164">
        <f ca="1">'CÁLCULO FUNPRESP'!P213</f>
        <v>49887</v>
      </c>
      <c r="J213" s="140" t="str">
        <f>IF($B$2="Não","",'CÁLCULO FUNPRESP'!Q213)</f>
        <v/>
      </c>
      <c r="K213" s="140" t="str">
        <f>IF($B$2="Não","",'CÁLCULO FUNPRESP'!R213)</f>
        <v/>
      </c>
      <c r="L213" s="140" t="str">
        <f>IF($B$2="Não","",'CÁLCULO FUNPRESP'!S213)</f>
        <v/>
      </c>
      <c r="N213" s="164" t="str">
        <f ca="1">'CÁLCULO FUNPRESP'!U213</f>
        <v/>
      </c>
      <c r="O213" s="140" t="str">
        <f>IF($B$2="Não","",'CÁLCULO FUNPRESP'!Y213)</f>
        <v/>
      </c>
    </row>
    <row r="214" spans="9:15" x14ac:dyDescent="0.25">
      <c r="I214" s="164">
        <f ca="1">'CÁLCULO FUNPRESP'!P214</f>
        <v>49918</v>
      </c>
      <c r="J214" s="140" t="str">
        <f>IF($B$2="Não","",'CÁLCULO FUNPRESP'!Q214)</f>
        <v/>
      </c>
      <c r="K214" s="140" t="str">
        <f>IF($B$2="Não","",'CÁLCULO FUNPRESP'!R214)</f>
        <v/>
      </c>
      <c r="L214" s="140" t="str">
        <f>IF($B$2="Não","",'CÁLCULO FUNPRESP'!S214)</f>
        <v/>
      </c>
      <c r="N214" s="164" t="str">
        <f ca="1">'CÁLCULO FUNPRESP'!U214</f>
        <v/>
      </c>
      <c r="O214" s="140" t="str">
        <f>IF($B$2="Não","",'CÁLCULO FUNPRESP'!Y214)</f>
        <v/>
      </c>
    </row>
    <row r="215" spans="9:15" x14ac:dyDescent="0.25">
      <c r="I215" s="164">
        <f ca="1">'CÁLCULO FUNPRESP'!P215</f>
        <v>49948</v>
      </c>
      <c r="J215" s="140" t="str">
        <f>IF($B$2="Não","",'CÁLCULO FUNPRESP'!Q215)</f>
        <v/>
      </c>
      <c r="K215" s="140" t="str">
        <f>IF($B$2="Não","",'CÁLCULO FUNPRESP'!R215)</f>
        <v/>
      </c>
      <c r="L215" s="140" t="str">
        <f>IF($B$2="Não","",'CÁLCULO FUNPRESP'!S215)</f>
        <v/>
      </c>
      <c r="N215" s="164" t="str">
        <f ca="1">'CÁLCULO FUNPRESP'!U215</f>
        <v/>
      </c>
      <c r="O215" s="140" t="str">
        <f>IF($B$2="Não","",'CÁLCULO FUNPRESP'!Y215)</f>
        <v/>
      </c>
    </row>
    <row r="216" spans="9:15" x14ac:dyDescent="0.25">
      <c r="I216" s="164">
        <f ca="1">'CÁLCULO FUNPRESP'!P216</f>
        <v>49979</v>
      </c>
      <c r="J216" s="140" t="str">
        <f>IF($B$2="Não","",'CÁLCULO FUNPRESP'!Q216)</f>
        <v/>
      </c>
      <c r="K216" s="140" t="str">
        <f>IF($B$2="Não","",'CÁLCULO FUNPRESP'!R216)</f>
        <v/>
      </c>
      <c r="L216" s="140" t="str">
        <f>IF($B$2="Não","",'CÁLCULO FUNPRESP'!S216)</f>
        <v/>
      </c>
      <c r="N216" s="164" t="str">
        <f ca="1">'CÁLCULO FUNPRESP'!U216</f>
        <v/>
      </c>
      <c r="O216" s="140" t="str">
        <f>IF($B$2="Não","",'CÁLCULO FUNPRESP'!Y216)</f>
        <v/>
      </c>
    </row>
    <row r="217" spans="9:15" x14ac:dyDescent="0.25">
      <c r="I217" s="164">
        <f ca="1">'CÁLCULO FUNPRESP'!P217</f>
        <v>50009</v>
      </c>
      <c r="J217" s="140" t="str">
        <f>IF($B$2="Não","",'CÁLCULO FUNPRESP'!Q217)</f>
        <v/>
      </c>
      <c r="K217" s="140" t="str">
        <f>IF($B$2="Não","",'CÁLCULO FUNPRESP'!R217)</f>
        <v/>
      </c>
      <c r="L217" s="140" t="str">
        <f>IF($B$2="Não","",'CÁLCULO FUNPRESP'!S217)</f>
        <v/>
      </c>
      <c r="N217" s="164" t="str">
        <f ca="1">'CÁLCULO FUNPRESP'!U217</f>
        <v/>
      </c>
      <c r="O217" s="140" t="str">
        <f>IF($B$2="Não","",'CÁLCULO FUNPRESP'!Y217)</f>
        <v/>
      </c>
    </row>
    <row r="218" spans="9:15" x14ac:dyDescent="0.25">
      <c r="I218" s="164">
        <f ca="1">'CÁLCULO FUNPRESP'!P218</f>
        <v>50040</v>
      </c>
      <c r="J218" s="140" t="str">
        <f>IF($B$2="Não","",'CÁLCULO FUNPRESP'!Q218)</f>
        <v/>
      </c>
      <c r="K218" s="140" t="str">
        <f>IF($B$2="Não","",'CÁLCULO FUNPRESP'!R218)</f>
        <v/>
      </c>
      <c r="L218" s="140" t="str">
        <f>IF($B$2="Não","",'CÁLCULO FUNPRESP'!S218)</f>
        <v/>
      </c>
      <c r="N218" s="164" t="str">
        <f ca="1">'CÁLCULO FUNPRESP'!U218</f>
        <v/>
      </c>
      <c r="O218" s="140" t="str">
        <f>IF($B$2="Não","",'CÁLCULO FUNPRESP'!Y218)</f>
        <v/>
      </c>
    </row>
    <row r="219" spans="9:15" x14ac:dyDescent="0.25">
      <c r="I219" s="164">
        <f ca="1">'CÁLCULO FUNPRESP'!P219</f>
        <v>50071</v>
      </c>
      <c r="J219" s="140" t="str">
        <f>IF($B$2="Não","",'CÁLCULO FUNPRESP'!Q219)</f>
        <v/>
      </c>
      <c r="K219" s="140" t="str">
        <f>IF($B$2="Não","",'CÁLCULO FUNPRESP'!R219)</f>
        <v/>
      </c>
      <c r="L219" s="140" t="str">
        <f>IF($B$2="Não","",'CÁLCULO FUNPRESP'!S219)</f>
        <v/>
      </c>
      <c r="N219" s="164" t="str">
        <f ca="1">'CÁLCULO FUNPRESP'!U219</f>
        <v/>
      </c>
      <c r="O219" s="140" t="str">
        <f>IF($B$2="Não","",'CÁLCULO FUNPRESP'!Y219)</f>
        <v/>
      </c>
    </row>
    <row r="220" spans="9:15" x14ac:dyDescent="0.25">
      <c r="I220" s="164">
        <f ca="1">'CÁLCULO FUNPRESP'!P220</f>
        <v>50099</v>
      </c>
      <c r="J220" s="140" t="str">
        <f>IF($B$2="Não","",'CÁLCULO FUNPRESP'!Q220)</f>
        <v/>
      </c>
      <c r="K220" s="140" t="str">
        <f>IF($B$2="Não","",'CÁLCULO FUNPRESP'!R220)</f>
        <v/>
      </c>
      <c r="L220" s="140" t="str">
        <f>IF($B$2="Não","",'CÁLCULO FUNPRESP'!S220)</f>
        <v/>
      </c>
      <c r="N220" s="164" t="str">
        <f ca="1">'CÁLCULO FUNPRESP'!U220</f>
        <v/>
      </c>
      <c r="O220" s="140" t="str">
        <f>IF($B$2="Não","",'CÁLCULO FUNPRESP'!Y220)</f>
        <v/>
      </c>
    </row>
    <row r="221" spans="9:15" x14ac:dyDescent="0.25">
      <c r="I221" s="164">
        <f ca="1">'CÁLCULO FUNPRESP'!P221</f>
        <v>50130</v>
      </c>
      <c r="J221" s="140" t="str">
        <f>IF($B$2="Não","",'CÁLCULO FUNPRESP'!Q221)</f>
        <v/>
      </c>
      <c r="K221" s="140" t="str">
        <f>IF($B$2="Não","",'CÁLCULO FUNPRESP'!R221)</f>
        <v/>
      </c>
      <c r="L221" s="140" t="str">
        <f>IF($B$2="Não","",'CÁLCULO FUNPRESP'!S221)</f>
        <v/>
      </c>
      <c r="N221" s="164" t="str">
        <f ca="1">'CÁLCULO FUNPRESP'!U221</f>
        <v/>
      </c>
      <c r="O221" s="140" t="str">
        <f>IF($B$2="Não","",'CÁLCULO FUNPRESP'!Y221)</f>
        <v/>
      </c>
    </row>
    <row r="222" spans="9:15" x14ac:dyDescent="0.25">
      <c r="I222" s="164">
        <f ca="1">'CÁLCULO FUNPRESP'!P222</f>
        <v>50160</v>
      </c>
      <c r="J222" s="140" t="str">
        <f>IF($B$2="Não","",'CÁLCULO FUNPRESP'!Q222)</f>
        <v/>
      </c>
      <c r="K222" s="140" t="str">
        <f>IF($B$2="Não","",'CÁLCULO FUNPRESP'!R222)</f>
        <v/>
      </c>
      <c r="L222" s="140" t="str">
        <f>IF($B$2="Não","",'CÁLCULO FUNPRESP'!S222)</f>
        <v/>
      </c>
      <c r="N222" s="164" t="str">
        <f ca="1">'CÁLCULO FUNPRESP'!U222</f>
        <v/>
      </c>
      <c r="O222" s="140" t="str">
        <f>IF($B$2="Não","",'CÁLCULO FUNPRESP'!Y222)</f>
        <v/>
      </c>
    </row>
    <row r="223" spans="9:15" x14ac:dyDescent="0.25">
      <c r="I223" s="164">
        <f ca="1">'CÁLCULO FUNPRESP'!P223</f>
        <v>50191</v>
      </c>
      <c r="J223" s="140" t="str">
        <f>IF($B$2="Não","",'CÁLCULO FUNPRESP'!Q223)</f>
        <v/>
      </c>
      <c r="K223" s="140" t="str">
        <f>IF($B$2="Não","",'CÁLCULO FUNPRESP'!R223)</f>
        <v/>
      </c>
      <c r="L223" s="140" t="str">
        <f>IF($B$2="Não","",'CÁLCULO FUNPRESP'!S223)</f>
        <v/>
      </c>
      <c r="N223" s="164" t="str">
        <f ca="1">'CÁLCULO FUNPRESP'!U223</f>
        <v/>
      </c>
      <c r="O223" s="140" t="str">
        <f>IF($B$2="Não","",'CÁLCULO FUNPRESP'!Y223)</f>
        <v/>
      </c>
    </row>
    <row r="224" spans="9:15" x14ac:dyDescent="0.25">
      <c r="I224" s="164">
        <f ca="1">'CÁLCULO FUNPRESP'!P224</f>
        <v>50221</v>
      </c>
      <c r="J224" s="140" t="str">
        <f>IF($B$2="Não","",'CÁLCULO FUNPRESP'!Q224)</f>
        <v/>
      </c>
      <c r="K224" s="140" t="str">
        <f>IF($B$2="Não","",'CÁLCULO FUNPRESP'!R224)</f>
        <v/>
      </c>
      <c r="L224" s="140" t="str">
        <f>IF($B$2="Não","",'CÁLCULO FUNPRESP'!S224)</f>
        <v/>
      </c>
      <c r="N224" s="164" t="str">
        <f ca="1">'CÁLCULO FUNPRESP'!U224</f>
        <v/>
      </c>
      <c r="O224" s="140" t="str">
        <f>IF($B$2="Não","",'CÁLCULO FUNPRESP'!Y224)</f>
        <v/>
      </c>
    </row>
    <row r="225" spans="9:15" x14ac:dyDescent="0.25">
      <c r="I225" s="164">
        <f ca="1">'CÁLCULO FUNPRESP'!P225</f>
        <v>50252</v>
      </c>
      <c r="J225" s="140" t="str">
        <f>IF($B$2="Não","",'CÁLCULO FUNPRESP'!Q225)</f>
        <v/>
      </c>
      <c r="K225" s="140" t="str">
        <f>IF($B$2="Não","",'CÁLCULO FUNPRESP'!R225)</f>
        <v/>
      </c>
      <c r="L225" s="140" t="str">
        <f>IF($B$2="Não","",'CÁLCULO FUNPRESP'!S225)</f>
        <v/>
      </c>
      <c r="N225" s="164" t="str">
        <f ca="1">'CÁLCULO FUNPRESP'!U225</f>
        <v/>
      </c>
      <c r="O225" s="140" t="str">
        <f>IF($B$2="Não","",'CÁLCULO FUNPRESP'!Y225)</f>
        <v/>
      </c>
    </row>
    <row r="226" spans="9:15" x14ac:dyDescent="0.25">
      <c r="I226" s="164" t="str">
        <f ca="1">'CÁLCULO FUNPRESP'!P226</f>
        <v/>
      </c>
      <c r="J226" s="140" t="str">
        <f>IF($B$2="Não","",'CÁLCULO FUNPRESP'!Q226)</f>
        <v/>
      </c>
      <c r="K226" s="140" t="str">
        <f>IF($B$2="Não","",'CÁLCULO FUNPRESP'!R226)</f>
        <v/>
      </c>
      <c r="L226" s="140" t="str">
        <f>IF($B$2="Não","",'CÁLCULO FUNPRESP'!S226)</f>
        <v/>
      </c>
      <c r="N226" s="164" t="str">
        <f ca="1">'CÁLCULO FUNPRESP'!U226</f>
        <v/>
      </c>
      <c r="O226" s="140" t="str">
        <f>IF($B$2="Não","",'CÁLCULO FUNPRESP'!Y226)</f>
        <v/>
      </c>
    </row>
    <row r="227" spans="9:15" x14ac:dyDescent="0.25">
      <c r="I227" s="164" t="str">
        <f ca="1">'CÁLCULO FUNPRESP'!P227</f>
        <v/>
      </c>
      <c r="J227" s="140" t="str">
        <f>IF($B$2="Não","",'CÁLCULO FUNPRESP'!Q227)</f>
        <v/>
      </c>
      <c r="K227" s="140" t="str">
        <f>IF($B$2="Não","",'CÁLCULO FUNPRESP'!R227)</f>
        <v/>
      </c>
      <c r="L227" s="140" t="str">
        <f>IF($B$2="Não","",'CÁLCULO FUNPRESP'!S227)</f>
        <v/>
      </c>
      <c r="N227" s="164" t="str">
        <f ca="1">'CÁLCULO FUNPRESP'!U227</f>
        <v/>
      </c>
      <c r="O227" s="140" t="str">
        <f>IF($B$2="Não","",'CÁLCULO FUNPRESP'!Y227)</f>
        <v/>
      </c>
    </row>
    <row r="228" spans="9:15" x14ac:dyDescent="0.25">
      <c r="I228" s="164" t="str">
        <f ca="1">'CÁLCULO FUNPRESP'!P228</f>
        <v/>
      </c>
      <c r="J228" s="140" t="str">
        <f>IF($B$2="Não","",'CÁLCULO FUNPRESP'!Q228)</f>
        <v/>
      </c>
      <c r="K228" s="140" t="str">
        <f>IF($B$2="Não","",'CÁLCULO FUNPRESP'!R228)</f>
        <v/>
      </c>
      <c r="L228" s="140" t="str">
        <f>IF($B$2="Não","",'CÁLCULO FUNPRESP'!S228)</f>
        <v/>
      </c>
      <c r="N228" s="164" t="str">
        <f ca="1">'CÁLCULO FUNPRESP'!U228</f>
        <v/>
      </c>
      <c r="O228" s="140" t="str">
        <f>IF($B$2="Não","",'CÁLCULO FUNPRESP'!Y228)</f>
        <v/>
      </c>
    </row>
    <row r="229" spans="9:15" x14ac:dyDescent="0.25">
      <c r="I229" s="164" t="str">
        <f ca="1">'CÁLCULO FUNPRESP'!P229</f>
        <v/>
      </c>
      <c r="J229" s="140" t="str">
        <f>IF($B$2="Não","",'CÁLCULO FUNPRESP'!Q229)</f>
        <v/>
      </c>
      <c r="K229" s="140" t="str">
        <f>IF($B$2="Não","",'CÁLCULO FUNPRESP'!R229)</f>
        <v/>
      </c>
      <c r="L229" s="140" t="str">
        <f>IF($B$2="Não","",'CÁLCULO FUNPRESP'!S229)</f>
        <v/>
      </c>
      <c r="N229" s="164" t="str">
        <f ca="1">'CÁLCULO FUNPRESP'!U229</f>
        <v/>
      </c>
      <c r="O229" s="140" t="str">
        <f>IF($B$2="Não","",'CÁLCULO FUNPRESP'!Y229)</f>
        <v/>
      </c>
    </row>
    <row r="230" spans="9:15" x14ac:dyDescent="0.25">
      <c r="I230" s="164" t="str">
        <f ca="1">'CÁLCULO FUNPRESP'!P230</f>
        <v/>
      </c>
      <c r="J230" s="140" t="str">
        <f>IF($B$2="Não","",'CÁLCULO FUNPRESP'!Q230)</f>
        <v/>
      </c>
      <c r="K230" s="140" t="str">
        <f>IF($B$2="Não","",'CÁLCULO FUNPRESP'!R230)</f>
        <v/>
      </c>
      <c r="L230" s="140" t="str">
        <f>IF($B$2="Não","",'CÁLCULO FUNPRESP'!S230)</f>
        <v/>
      </c>
      <c r="N230" s="164" t="str">
        <f ca="1">'CÁLCULO FUNPRESP'!U230</f>
        <v/>
      </c>
      <c r="O230" s="140" t="str">
        <f>IF($B$2="Não","",'CÁLCULO FUNPRESP'!Y230)</f>
        <v/>
      </c>
    </row>
    <row r="231" spans="9:15" x14ac:dyDescent="0.25">
      <c r="I231" s="164" t="str">
        <f ca="1">'CÁLCULO FUNPRESP'!P231</f>
        <v/>
      </c>
      <c r="J231" s="140" t="str">
        <f>IF($B$2="Não","",'CÁLCULO FUNPRESP'!Q231)</f>
        <v/>
      </c>
      <c r="K231" s="140" t="str">
        <f>IF($B$2="Não","",'CÁLCULO FUNPRESP'!R231)</f>
        <v/>
      </c>
      <c r="L231" s="140" t="str">
        <f>IF($B$2="Não","",'CÁLCULO FUNPRESP'!S231)</f>
        <v/>
      </c>
      <c r="N231" s="164" t="str">
        <f ca="1">'CÁLCULO FUNPRESP'!U231</f>
        <v/>
      </c>
      <c r="O231" s="140" t="str">
        <f>IF($B$2="Não","",'CÁLCULO FUNPRESP'!Y231)</f>
        <v/>
      </c>
    </row>
    <row r="232" spans="9:15" x14ac:dyDescent="0.25">
      <c r="I232" s="164" t="str">
        <f ca="1">'CÁLCULO FUNPRESP'!P232</f>
        <v/>
      </c>
      <c r="J232" s="140" t="str">
        <f>IF($B$2="Não","",'CÁLCULO FUNPRESP'!Q232)</f>
        <v/>
      </c>
      <c r="K232" s="140" t="str">
        <f>IF($B$2="Não","",'CÁLCULO FUNPRESP'!R232)</f>
        <v/>
      </c>
      <c r="L232" s="140" t="str">
        <f>IF($B$2="Não","",'CÁLCULO FUNPRESP'!S232)</f>
        <v/>
      </c>
      <c r="N232" s="164" t="str">
        <f ca="1">'CÁLCULO FUNPRESP'!U232</f>
        <v/>
      </c>
      <c r="O232" s="140" t="str">
        <f>IF($B$2="Não","",'CÁLCULO FUNPRESP'!Y232)</f>
        <v/>
      </c>
    </row>
    <row r="233" spans="9:15" x14ac:dyDescent="0.25">
      <c r="I233" s="164" t="str">
        <f ca="1">'CÁLCULO FUNPRESP'!P233</f>
        <v/>
      </c>
      <c r="J233" s="140" t="str">
        <f>IF($B$2="Não","",'CÁLCULO FUNPRESP'!Q233)</f>
        <v/>
      </c>
      <c r="K233" s="140" t="str">
        <f>IF($B$2="Não","",'CÁLCULO FUNPRESP'!R233)</f>
        <v/>
      </c>
      <c r="L233" s="140" t="str">
        <f>IF($B$2="Não","",'CÁLCULO FUNPRESP'!S233)</f>
        <v/>
      </c>
      <c r="N233" s="164" t="str">
        <f ca="1">'CÁLCULO FUNPRESP'!U233</f>
        <v/>
      </c>
      <c r="O233" s="140" t="str">
        <f>IF($B$2="Não","",'CÁLCULO FUNPRESP'!Y233)</f>
        <v/>
      </c>
    </row>
    <row r="234" spans="9:15" x14ac:dyDescent="0.25">
      <c r="I234" s="164" t="str">
        <f ca="1">'CÁLCULO FUNPRESP'!P234</f>
        <v/>
      </c>
      <c r="J234" s="140" t="str">
        <f>IF($B$2="Não","",'CÁLCULO FUNPRESP'!Q234)</f>
        <v/>
      </c>
      <c r="K234" s="140" t="str">
        <f>IF($B$2="Não","",'CÁLCULO FUNPRESP'!R234)</f>
        <v/>
      </c>
      <c r="L234" s="140" t="str">
        <f>IF($B$2="Não","",'CÁLCULO FUNPRESP'!S234)</f>
        <v/>
      </c>
      <c r="N234" s="164" t="str">
        <f ca="1">'CÁLCULO FUNPRESP'!U234</f>
        <v/>
      </c>
      <c r="O234" s="140" t="str">
        <f>IF($B$2="Não","",'CÁLCULO FUNPRESP'!Y234)</f>
        <v/>
      </c>
    </row>
    <row r="235" spans="9:15" x14ac:dyDescent="0.25">
      <c r="I235" s="164" t="str">
        <f ca="1">'CÁLCULO FUNPRESP'!P235</f>
        <v/>
      </c>
      <c r="J235" s="140" t="str">
        <f>IF($B$2="Não","",'CÁLCULO FUNPRESP'!Q235)</f>
        <v/>
      </c>
      <c r="K235" s="140" t="str">
        <f>IF($B$2="Não","",'CÁLCULO FUNPRESP'!R235)</f>
        <v/>
      </c>
      <c r="L235" s="140" t="str">
        <f>IF($B$2="Não","",'CÁLCULO FUNPRESP'!S235)</f>
        <v/>
      </c>
      <c r="N235" s="164" t="str">
        <f ca="1">'CÁLCULO FUNPRESP'!U235</f>
        <v/>
      </c>
      <c r="O235" s="140" t="str">
        <f>IF($B$2="Não","",'CÁLCULO FUNPRESP'!Y235)</f>
        <v/>
      </c>
    </row>
    <row r="236" spans="9:15" x14ac:dyDescent="0.25">
      <c r="I236" s="164" t="str">
        <f ca="1">'CÁLCULO FUNPRESP'!P236</f>
        <v/>
      </c>
      <c r="J236" s="140" t="str">
        <f>IF($B$2="Não","",'CÁLCULO FUNPRESP'!Q236)</f>
        <v/>
      </c>
      <c r="K236" s="140" t="str">
        <f>IF($B$2="Não","",'CÁLCULO FUNPRESP'!R236)</f>
        <v/>
      </c>
      <c r="L236" s="140" t="str">
        <f>IF($B$2="Não","",'CÁLCULO FUNPRESP'!S236)</f>
        <v/>
      </c>
      <c r="N236" s="164" t="str">
        <f ca="1">'CÁLCULO FUNPRESP'!U236</f>
        <v/>
      </c>
      <c r="O236" s="140" t="str">
        <f>IF($B$2="Não","",'CÁLCULO FUNPRESP'!Y236)</f>
        <v/>
      </c>
    </row>
    <row r="237" spans="9:15" x14ac:dyDescent="0.25">
      <c r="I237" s="164" t="str">
        <f ca="1">'CÁLCULO FUNPRESP'!P237</f>
        <v/>
      </c>
      <c r="J237" s="140" t="str">
        <f>IF($B$2="Não","",'CÁLCULO FUNPRESP'!Q237)</f>
        <v/>
      </c>
      <c r="K237" s="140" t="str">
        <f>IF($B$2="Não","",'CÁLCULO FUNPRESP'!R237)</f>
        <v/>
      </c>
      <c r="L237" s="140" t="str">
        <f>IF($B$2="Não","",'CÁLCULO FUNPRESP'!S237)</f>
        <v/>
      </c>
      <c r="N237" s="164" t="str">
        <f ca="1">'CÁLCULO FUNPRESP'!U237</f>
        <v/>
      </c>
      <c r="O237" s="140" t="str">
        <f>IF($B$2="Não","",'CÁLCULO FUNPRESP'!Y237)</f>
        <v/>
      </c>
    </row>
    <row r="238" spans="9:15" x14ac:dyDescent="0.25">
      <c r="I238" s="164" t="str">
        <f ca="1">'CÁLCULO FUNPRESP'!P238</f>
        <v/>
      </c>
      <c r="J238" s="140" t="str">
        <f>IF($B$2="Não","",'CÁLCULO FUNPRESP'!Q238)</f>
        <v/>
      </c>
      <c r="K238" s="140" t="str">
        <f>IF($B$2="Não","",'CÁLCULO FUNPRESP'!R238)</f>
        <v/>
      </c>
      <c r="L238" s="140" t="str">
        <f>IF($B$2="Não","",'CÁLCULO FUNPRESP'!S238)</f>
        <v/>
      </c>
      <c r="N238" s="164" t="str">
        <f ca="1">'CÁLCULO FUNPRESP'!U238</f>
        <v/>
      </c>
      <c r="O238" s="140" t="str">
        <f>IF($B$2="Não","",'CÁLCULO FUNPRESP'!Y238)</f>
        <v/>
      </c>
    </row>
    <row r="239" spans="9:15" x14ac:dyDescent="0.25">
      <c r="I239" s="164" t="str">
        <f ca="1">'CÁLCULO FUNPRESP'!P239</f>
        <v/>
      </c>
      <c r="J239" s="140" t="str">
        <f>IF($B$2="Não","",'CÁLCULO FUNPRESP'!Q239)</f>
        <v/>
      </c>
      <c r="K239" s="140" t="str">
        <f>IF($B$2="Não","",'CÁLCULO FUNPRESP'!R239)</f>
        <v/>
      </c>
      <c r="L239" s="140" t="str">
        <f>IF($B$2="Não","",'CÁLCULO FUNPRESP'!S239)</f>
        <v/>
      </c>
      <c r="N239" s="164" t="str">
        <f ca="1">'CÁLCULO FUNPRESP'!U239</f>
        <v/>
      </c>
      <c r="O239" s="140" t="str">
        <f>IF($B$2="Não","",'CÁLCULO FUNPRESP'!Y239)</f>
        <v/>
      </c>
    </row>
    <row r="240" spans="9:15" x14ac:dyDescent="0.25">
      <c r="I240" s="164" t="str">
        <f ca="1">'CÁLCULO FUNPRESP'!P240</f>
        <v/>
      </c>
      <c r="J240" s="140" t="str">
        <f>IF($B$2="Não","",'CÁLCULO FUNPRESP'!Q240)</f>
        <v/>
      </c>
      <c r="K240" s="140" t="str">
        <f>IF($B$2="Não","",'CÁLCULO FUNPRESP'!R240)</f>
        <v/>
      </c>
      <c r="L240" s="140" t="str">
        <f>IF($B$2="Não","",'CÁLCULO FUNPRESP'!S240)</f>
        <v/>
      </c>
      <c r="N240" s="164" t="str">
        <f ca="1">'CÁLCULO FUNPRESP'!U240</f>
        <v/>
      </c>
      <c r="O240" s="140" t="str">
        <f>IF($B$2="Não","",'CÁLCULO FUNPRESP'!Y240)</f>
        <v/>
      </c>
    </row>
    <row r="241" spans="9:15" x14ac:dyDescent="0.25">
      <c r="I241" s="164" t="str">
        <f ca="1">'CÁLCULO FUNPRESP'!P241</f>
        <v/>
      </c>
      <c r="J241" s="140" t="str">
        <f>IF($B$2="Não","",'CÁLCULO FUNPRESP'!Q241)</f>
        <v/>
      </c>
      <c r="K241" s="140" t="str">
        <f>IF($B$2="Não","",'CÁLCULO FUNPRESP'!R241)</f>
        <v/>
      </c>
      <c r="L241" s="140" t="str">
        <f>IF($B$2="Não","",'CÁLCULO FUNPRESP'!S241)</f>
        <v/>
      </c>
      <c r="N241" s="164" t="str">
        <f ca="1">'CÁLCULO FUNPRESP'!U241</f>
        <v/>
      </c>
      <c r="O241" s="140" t="str">
        <f>IF($B$2="Não","",'CÁLCULO FUNPRESP'!Y241)</f>
        <v/>
      </c>
    </row>
    <row r="242" spans="9:15" x14ac:dyDescent="0.25">
      <c r="I242" s="164" t="str">
        <f ca="1">'CÁLCULO FUNPRESP'!P242</f>
        <v/>
      </c>
      <c r="J242" s="140" t="str">
        <f>IF($B$2="Não","",'CÁLCULO FUNPRESP'!Q242)</f>
        <v/>
      </c>
      <c r="K242" s="140" t="str">
        <f>IF($B$2="Não","",'CÁLCULO FUNPRESP'!R242)</f>
        <v/>
      </c>
      <c r="L242" s="140" t="str">
        <f>IF($B$2="Não","",'CÁLCULO FUNPRESP'!S242)</f>
        <v/>
      </c>
      <c r="N242" s="164" t="str">
        <f ca="1">'CÁLCULO FUNPRESP'!U242</f>
        <v/>
      </c>
      <c r="O242" s="140" t="str">
        <f>IF($B$2="Não","",'CÁLCULO FUNPRESP'!Y242)</f>
        <v/>
      </c>
    </row>
    <row r="243" spans="9:15" x14ac:dyDescent="0.25">
      <c r="I243" s="164" t="str">
        <f ca="1">'CÁLCULO FUNPRESP'!P243</f>
        <v/>
      </c>
      <c r="J243" s="140" t="str">
        <f>IF($B$2="Não","",'CÁLCULO FUNPRESP'!Q243)</f>
        <v/>
      </c>
      <c r="K243" s="140" t="str">
        <f>IF($B$2="Não","",'CÁLCULO FUNPRESP'!R243)</f>
        <v/>
      </c>
      <c r="L243" s="140" t="str">
        <f>IF($B$2="Não","",'CÁLCULO FUNPRESP'!S243)</f>
        <v/>
      </c>
      <c r="N243" s="164" t="str">
        <f ca="1">'CÁLCULO FUNPRESP'!U243</f>
        <v/>
      </c>
      <c r="O243" s="140" t="str">
        <f>IF($B$2="Não","",'CÁLCULO FUNPRESP'!Y243)</f>
        <v/>
      </c>
    </row>
    <row r="244" spans="9:15" x14ac:dyDescent="0.25">
      <c r="I244" s="164" t="str">
        <f ca="1">'CÁLCULO FUNPRESP'!P244</f>
        <v/>
      </c>
      <c r="J244" s="140" t="str">
        <f>IF($B$2="Não","",'CÁLCULO FUNPRESP'!Q244)</f>
        <v/>
      </c>
      <c r="K244" s="140" t="str">
        <f>IF($B$2="Não","",'CÁLCULO FUNPRESP'!R244)</f>
        <v/>
      </c>
      <c r="L244" s="140" t="str">
        <f>IF($B$2="Não","",'CÁLCULO FUNPRESP'!S244)</f>
        <v/>
      </c>
      <c r="N244" s="164" t="str">
        <f ca="1">'CÁLCULO FUNPRESP'!U244</f>
        <v/>
      </c>
      <c r="O244" s="140" t="str">
        <f>IF($B$2="Não","",'CÁLCULO FUNPRESP'!Y244)</f>
        <v/>
      </c>
    </row>
    <row r="245" spans="9:15" x14ac:dyDescent="0.25">
      <c r="I245" s="164" t="str">
        <f ca="1">'CÁLCULO FUNPRESP'!P245</f>
        <v/>
      </c>
      <c r="J245" s="140" t="str">
        <f>IF($B$2="Não","",'CÁLCULO FUNPRESP'!Q245)</f>
        <v/>
      </c>
      <c r="K245" s="140" t="str">
        <f>IF($B$2="Não","",'CÁLCULO FUNPRESP'!R245)</f>
        <v/>
      </c>
      <c r="L245" s="140" t="str">
        <f>IF($B$2="Não","",'CÁLCULO FUNPRESP'!S245)</f>
        <v/>
      </c>
      <c r="N245" s="164" t="str">
        <f ca="1">'CÁLCULO FUNPRESP'!U245</f>
        <v/>
      </c>
      <c r="O245" s="140" t="str">
        <f>IF($B$2="Não","",'CÁLCULO FUNPRESP'!Y245)</f>
        <v/>
      </c>
    </row>
    <row r="246" spans="9:15" x14ac:dyDescent="0.25">
      <c r="I246" s="164" t="str">
        <f ca="1">'CÁLCULO FUNPRESP'!P246</f>
        <v/>
      </c>
      <c r="J246" s="140" t="str">
        <f>IF($B$2="Não","",'CÁLCULO FUNPRESP'!Q246)</f>
        <v/>
      </c>
      <c r="K246" s="140" t="str">
        <f>IF($B$2="Não","",'CÁLCULO FUNPRESP'!R246)</f>
        <v/>
      </c>
      <c r="L246" s="140" t="str">
        <f>IF($B$2="Não","",'CÁLCULO FUNPRESP'!S246)</f>
        <v/>
      </c>
      <c r="N246" s="164" t="str">
        <f ca="1">'CÁLCULO FUNPRESP'!U246</f>
        <v/>
      </c>
      <c r="O246" s="140" t="str">
        <f>IF($B$2="Não","",'CÁLCULO FUNPRESP'!Y246)</f>
        <v/>
      </c>
    </row>
    <row r="247" spans="9:15" x14ac:dyDescent="0.25">
      <c r="I247" s="164" t="str">
        <f ca="1">'CÁLCULO FUNPRESP'!P247</f>
        <v/>
      </c>
      <c r="J247" s="140" t="str">
        <f>IF($B$2="Não","",'CÁLCULO FUNPRESP'!Q247)</f>
        <v/>
      </c>
      <c r="K247" s="140" t="str">
        <f>IF($B$2="Não","",'CÁLCULO FUNPRESP'!R247)</f>
        <v/>
      </c>
      <c r="L247" s="140" t="str">
        <f>IF($B$2="Não","",'CÁLCULO FUNPRESP'!S247)</f>
        <v/>
      </c>
      <c r="N247" s="164" t="str">
        <f ca="1">'CÁLCULO FUNPRESP'!U247</f>
        <v/>
      </c>
      <c r="O247" s="140" t="str">
        <f>IF($B$2="Não","",'CÁLCULO FUNPRESP'!Y247)</f>
        <v/>
      </c>
    </row>
    <row r="248" spans="9:15" x14ac:dyDescent="0.25">
      <c r="I248" s="164" t="str">
        <f ca="1">'CÁLCULO FUNPRESP'!P248</f>
        <v/>
      </c>
      <c r="J248" s="140" t="str">
        <f>IF($B$2="Não","",'CÁLCULO FUNPRESP'!Q248)</f>
        <v/>
      </c>
      <c r="K248" s="140" t="str">
        <f>IF($B$2="Não","",'CÁLCULO FUNPRESP'!R248)</f>
        <v/>
      </c>
      <c r="L248" s="140" t="str">
        <f>IF($B$2="Não","",'CÁLCULO FUNPRESP'!S248)</f>
        <v/>
      </c>
      <c r="N248" s="164" t="str">
        <f ca="1">'CÁLCULO FUNPRESP'!U248</f>
        <v/>
      </c>
      <c r="O248" s="140" t="str">
        <f>IF($B$2="Não","",'CÁLCULO FUNPRESP'!Y248)</f>
        <v/>
      </c>
    </row>
    <row r="249" spans="9:15" x14ac:dyDescent="0.25">
      <c r="I249" s="164" t="str">
        <f ca="1">'CÁLCULO FUNPRESP'!P249</f>
        <v/>
      </c>
      <c r="J249" s="140" t="str">
        <f>IF($B$2="Não","",'CÁLCULO FUNPRESP'!Q249)</f>
        <v/>
      </c>
      <c r="K249" s="140" t="str">
        <f>IF($B$2="Não","",'CÁLCULO FUNPRESP'!R249)</f>
        <v/>
      </c>
      <c r="L249" s="140" t="str">
        <f>IF($B$2="Não","",'CÁLCULO FUNPRESP'!S249)</f>
        <v/>
      </c>
      <c r="N249" s="164" t="str">
        <f ca="1">'CÁLCULO FUNPRESP'!U249</f>
        <v/>
      </c>
      <c r="O249" s="140" t="str">
        <f>IF($B$2="Não","",'CÁLCULO FUNPRESP'!Y249)</f>
        <v/>
      </c>
    </row>
    <row r="250" spans="9:15" x14ac:dyDescent="0.25">
      <c r="I250" s="164" t="str">
        <f ca="1">'CÁLCULO FUNPRESP'!P250</f>
        <v/>
      </c>
      <c r="J250" s="140" t="str">
        <f>IF($B$2="Não","",'CÁLCULO FUNPRESP'!Q250)</f>
        <v/>
      </c>
      <c r="K250" s="140" t="str">
        <f>IF($B$2="Não","",'CÁLCULO FUNPRESP'!R250)</f>
        <v/>
      </c>
      <c r="L250" s="140" t="str">
        <f>IF($B$2="Não","",'CÁLCULO FUNPRESP'!S250)</f>
        <v/>
      </c>
      <c r="N250" s="164" t="str">
        <f ca="1">'CÁLCULO FUNPRESP'!U250</f>
        <v/>
      </c>
      <c r="O250" s="140" t="str">
        <f>IF($B$2="Não","",'CÁLCULO FUNPRESP'!Y250)</f>
        <v/>
      </c>
    </row>
    <row r="251" spans="9:15" x14ac:dyDescent="0.25">
      <c r="I251" s="164" t="str">
        <f ca="1">'CÁLCULO FUNPRESP'!P251</f>
        <v/>
      </c>
      <c r="J251" s="140" t="str">
        <f>IF($B$2="Não","",'CÁLCULO FUNPRESP'!Q251)</f>
        <v/>
      </c>
      <c r="K251" s="140" t="str">
        <f>IF($B$2="Não","",'CÁLCULO FUNPRESP'!R251)</f>
        <v/>
      </c>
      <c r="L251" s="140" t="str">
        <f>IF($B$2="Não","",'CÁLCULO FUNPRESP'!S251)</f>
        <v/>
      </c>
      <c r="N251" s="164" t="str">
        <f ca="1">'CÁLCULO FUNPRESP'!U251</f>
        <v/>
      </c>
      <c r="O251" s="140" t="str">
        <f>IF($B$2="Não","",'CÁLCULO FUNPRESP'!Y251)</f>
        <v/>
      </c>
    </row>
    <row r="252" spans="9:15" x14ac:dyDescent="0.25">
      <c r="I252" s="164" t="str">
        <f ca="1">'CÁLCULO FUNPRESP'!P252</f>
        <v/>
      </c>
      <c r="J252" s="140" t="str">
        <f>IF($B$2="Não","",'CÁLCULO FUNPRESP'!Q252)</f>
        <v/>
      </c>
      <c r="K252" s="140" t="str">
        <f>IF($B$2="Não","",'CÁLCULO FUNPRESP'!R252)</f>
        <v/>
      </c>
      <c r="L252" s="140" t="str">
        <f>IF($B$2="Não","",'CÁLCULO FUNPRESP'!S252)</f>
        <v/>
      </c>
      <c r="N252" s="164" t="str">
        <f ca="1">'CÁLCULO FUNPRESP'!U252</f>
        <v/>
      </c>
      <c r="O252" s="140" t="str">
        <f>IF($B$2="Não","",'CÁLCULO FUNPRESP'!Y252)</f>
        <v/>
      </c>
    </row>
    <row r="253" spans="9:15" x14ac:dyDescent="0.25">
      <c r="I253" s="164" t="str">
        <f ca="1">'CÁLCULO FUNPRESP'!P253</f>
        <v/>
      </c>
      <c r="J253" s="140" t="str">
        <f>IF($B$2="Não","",'CÁLCULO FUNPRESP'!Q253)</f>
        <v/>
      </c>
      <c r="K253" s="140" t="str">
        <f>IF($B$2="Não","",'CÁLCULO FUNPRESP'!R253)</f>
        <v/>
      </c>
      <c r="L253" s="140" t="str">
        <f>IF($B$2="Não","",'CÁLCULO FUNPRESP'!S253)</f>
        <v/>
      </c>
      <c r="N253" s="164" t="str">
        <f ca="1">'CÁLCULO FUNPRESP'!U253</f>
        <v/>
      </c>
      <c r="O253" s="140" t="str">
        <f>IF($B$2="Não","",'CÁLCULO FUNPRESP'!Y253)</f>
        <v/>
      </c>
    </row>
    <row r="254" spans="9:15" x14ac:dyDescent="0.25">
      <c r="I254" s="164" t="str">
        <f ca="1">'CÁLCULO FUNPRESP'!P254</f>
        <v/>
      </c>
      <c r="J254" s="140" t="str">
        <f>IF($B$2="Não","",'CÁLCULO FUNPRESP'!Q254)</f>
        <v/>
      </c>
      <c r="K254" s="140" t="str">
        <f>IF($B$2="Não","",'CÁLCULO FUNPRESP'!R254)</f>
        <v/>
      </c>
      <c r="L254" s="140" t="str">
        <f>IF($B$2="Não","",'CÁLCULO FUNPRESP'!S254)</f>
        <v/>
      </c>
      <c r="N254" s="164" t="str">
        <f ca="1">'CÁLCULO FUNPRESP'!U254</f>
        <v/>
      </c>
      <c r="O254" s="140" t="str">
        <f>IF($B$2="Não","",'CÁLCULO FUNPRESP'!Y254)</f>
        <v/>
      </c>
    </row>
    <row r="255" spans="9:15" x14ac:dyDescent="0.25">
      <c r="I255" s="164" t="str">
        <f ca="1">'CÁLCULO FUNPRESP'!P255</f>
        <v/>
      </c>
      <c r="J255" s="140" t="str">
        <f>IF($B$2="Não","",'CÁLCULO FUNPRESP'!Q255)</f>
        <v/>
      </c>
      <c r="K255" s="140" t="str">
        <f>IF($B$2="Não","",'CÁLCULO FUNPRESP'!R255)</f>
        <v/>
      </c>
      <c r="L255" s="140" t="str">
        <f>IF($B$2="Não","",'CÁLCULO FUNPRESP'!S255)</f>
        <v/>
      </c>
      <c r="N255" s="164" t="str">
        <f ca="1">'CÁLCULO FUNPRESP'!U255</f>
        <v/>
      </c>
      <c r="O255" s="140" t="str">
        <f>IF($B$2="Não","",'CÁLCULO FUNPRESP'!Y255)</f>
        <v/>
      </c>
    </row>
    <row r="256" spans="9:15" x14ac:dyDescent="0.25">
      <c r="I256" s="164" t="str">
        <f ca="1">'CÁLCULO FUNPRESP'!P256</f>
        <v/>
      </c>
      <c r="J256" s="140" t="str">
        <f>IF($B$2="Não","",'CÁLCULO FUNPRESP'!Q256)</f>
        <v/>
      </c>
      <c r="K256" s="140" t="str">
        <f>IF($B$2="Não","",'CÁLCULO FUNPRESP'!R256)</f>
        <v/>
      </c>
      <c r="L256" s="140" t="str">
        <f>IF($B$2="Não","",'CÁLCULO FUNPRESP'!S256)</f>
        <v/>
      </c>
      <c r="N256" s="164" t="str">
        <f ca="1">'CÁLCULO FUNPRESP'!U256</f>
        <v/>
      </c>
      <c r="O256" s="140" t="str">
        <f>IF($B$2="Não","",'CÁLCULO FUNPRESP'!Y256)</f>
        <v/>
      </c>
    </row>
    <row r="257" spans="9:15" x14ac:dyDescent="0.25">
      <c r="I257" s="164" t="str">
        <f ca="1">'CÁLCULO FUNPRESP'!P257</f>
        <v/>
      </c>
      <c r="J257" s="140" t="str">
        <f>IF($B$2="Não","",'CÁLCULO FUNPRESP'!Q257)</f>
        <v/>
      </c>
      <c r="K257" s="140" t="str">
        <f>IF($B$2="Não","",'CÁLCULO FUNPRESP'!R257)</f>
        <v/>
      </c>
      <c r="L257" s="140" t="str">
        <f>IF($B$2="Não","",'CÁLCULO FUNPRESP'!S257)</f>
        <v/>
      </c>
      <c r="N257" s="164" t="str">
        <f ca="1">'CÁLCULO FUNPRESP'!U257</f>
        <v/>
      </c>
      <c r="O257" s="140" t="str">
        <f>IF($B$2="Não","",'CÁLCULO FUNPRESP'!Y257)</f>
        <v/>
      </c>
    </row>
    <row r="258" spans="9:15" x14ac:dyDescent="0.25">
      <c r="I258" s="164" t="str">
        <f ca="1">'CÁLCULO FUNPRESP'!P258</f>
        <v/>
      </c>
      <c r="J258" s="140" t="str">
        <f>IF($B$2="Não","",'CÁLCULO FUNPRESP'!Q258)</f>
        <v/>
      </c>
      <c r="K258" s="140" t="str">
        <f>IF($B$2="Não","",'CÁLCULO FUNPRESP'!R258)</f>
        <v/>
      </c>
      <c r="L258" s="140" t="str">
        <f>IF($B$2="Não","",'CÁLCULO FUNPRESP'!S258)</f>
        <v/>
      </c>
      <c r="N258" s="164" t="str">
        <f ca="1">'CÁLCULO FUNPRESP'!U258</f>
        <v/>
      </c>
      <c r="O258" s="140" t="str">
        <f>IF($B$2="Não","",'CÁLCULO FUNPRESP'!Y258)</f>
        <v/>
      </c>
    </row>
    <row r="259" spans="9:15" x14ac:dyDescent="0.25">
      <c r="I259" s="164" t="str">
        <f ca="1">'CÁLCULO FUNPRESP'!P259</f>
        <v/>
      </c>
      <c r="J259" s="140" t="str">
        <f>IF($B$2="Não","",'CÁLCULO FUNPRESP'!Q259)</f>
        <v/>
      </c>
      <c r="K259" s="140" t="str">
        <f>IF($B$2="Não","",'CÁLCULO FUNPRESP'!R259)</f>
        <v/>
      </c>
      <c r="L259" s="140" t="str">
        <f>IF($B$2="Não","",'CÁLCULO FUNPRESP'!S259)</f>
        <v/>
      </c>
      <c r="N259" s="164" t="str">
        <f ca="1">'CÁLCULO FUNPRESP'!U259</f>
        <v/>
      </c>
      <c r="O259" s="140" t="str">
        <f>IF($B$2="Não","",'CÁLCULO FUNPRESP'!Y259)</f>
        <v/>
      </c>
    </row>
    <row r="260" spans="9:15" x14ac:dyDescent="0.25">
      <c r="I260" s="164" t="str">
        <f ca="1">'CÁLCULO FUNPRESP'!P260</f>
        <v/>
      </c>
      <c r="J260" s="140" t="str">
        <f>IF($B$2="Não","",'CÁLCULO FUNPRESP'!Q260)</f>
        <v/>
      </c>
      <c r="K260" s="140" t="str">
        <f>IF($B$2="Não","",'CÁLCULO FUNPRESP'!R260)</f>
        <v/>
      </c>
      <c r="L260" s="140" t="str">
        <f>IF($B$2="Não","",'CÁLCULO FUNPRESP'!S260)</f>
        <v/>
      </c>
      <c r="N260" s="164" t="str">
        <f ca="1">'CÁLCULO FUNPRESP'!U260</f>
        <v/>
      </c>
      <c r="O260" s="140" t="str">
        <f>IF($B$2="Não","",'CÁLCULO FUNPRESP'!Y260)</f>
        <v/>
      </c>
    </row>
    <row r="261" spans="9:15" x14ac:dyDescent="0.25">
      <c r="I261" s="164" t="str">
        <f ca="1">'CÁLCULO FUNPRESP'!P261</f>
        <v/>
      </c>
      <c r="J261" s="140" t="str">
        <f>IF($B$2="Não","",'CÁLCULO FUNPRESP'!Q261)</f>
        <v/>
      </c>
      <c r="K261" s="140" t="str">
        <f>IF($B$2="Não","",'CÁLCULO FUNPRESP'!R261)</f>
        <v/>
      </c>
      <c r="L261" s="140" t="str">
        <f>IF($B$2="Não","",'CÁLCULO FUNPRESP'!S261)</f>
        <v/>
      </c>
      <c r="N261" s="164" t="str">
        <f ca="1">'CÁLCULO FUNPRESP'!U261</f>
        <v/>
      </c>
      <c r="O261" s="140" t="str">
        <f>IF($B$2="Não","",'CÁLCULO FUNPRESP'!Y261)</f>
        <v/>
      </c>
    </row>
    <row r="262" spans="9:15" x14ac:dyDescent="0.25">
      <c r="I262" s="164" t="str">
        <f ca="1">'CÁLCULO FUNPRESP'!P262</f>
        <v/>
      </c>
      <c r="J262" s="140" t="str">
        <f>IF($B$2="Não","",'CÁLCULO FUNPRESP'!Q262)</f>
        <v/>
      </c>
      <c r="K262" s="140" t="str">
        <f>IF($B$2="Não","",'CÁLCULO FUNPRESP'!R262)</f>
        <v/>
      </c>
      <c r="L262" s="140" t="str">
        <f>IF($B$2="Não","",'CÁLCULO FUNPRESP'!S262)</f>
        <v/>
      </c>
      <c r="N262" s="164" t="str">
        <f ca="1">'CÁLCULO FUNPRESP'!U262</f>
        <v/>
      </c>
      <c r="O262" s="140" t="str">
        <f>IF($B$2="Não","",'CÁLCULO FUNPRESP'!Y262)</f>
        <v/>
      </c>
    </row>
    <row r="263" spans="9:15" x14ac:dyDescent="0.25">
      <c r="I263" s="164" t="str">
        <f ca="1">'CÁLCULO FUNPRESP'!P263</f>
        <v/>
      </c>
      <c r="J263" s="140" t="str">
        <f>IF($B$2="Não","",'CÁLCULO FUNPRESP'!Q263)</f>
        <v/>
      </c>
      <c r="K263" s="140" t="str">
        <f>IF($B$2="Não","",'CÁLCULO FUNPRESP'!R263)</f>
        <v/>
      </c>
      <c r="L263" s="140" t="str">
        <f>IF($B$2="Não","",'CÁLCULO FUNPRESP'!S263)</f>
        <v/>
      </c>
      <c r="N263" s="164" t="str">
        <f ca="1">'CÁLCULO FUNPRESP'!U263</f>
        <v/>
      </c>
      <c r="O263" s="140" t="str">
        <f>IF($B$2="Não","",'CÁLCULO FUNPRESP'!Y263)</f>
        <v/>
      </c>
    </row>
    <row r="264" spans="9:15" x14ac:dyDescent="0.25">
      <c r="I264" s="164" t="str">
        <f ca="1">'CÁLCULO FUNPRESP'!P264</f>
        <v/>
      </c>
      <c r="J264" s="140" t="str">
        <f>IF($B$2="Não","",'CÁLCULO FUNPRESP'!Q264)</f>
        <v/>
      </c>
      <c r="K264" s="140" t="str">
        <f>IF($B$2="Não","",'CÁLCULO FUNPRESP'!R264)</f>
        <v/>
      </c>
      <c r="L264" s="140" t="str">
        <f>IF($B$2="Não","",'CÁLCULO FUNPRESP'!S264)</f>
        <v/>
      </c>
      <c r="N264" s="164" t="str">
        <f ca="1">'CÁLCULO FUNPRESP'!U264</f>
        <v/>
      </c>
      <c r="O264" s="140" t="str">
        <f>IF($B$2="Não","",'CÁLCULO FUNPRESP'!Y264)</f>
        <v/>
      </c>
    </row>
    <row r="265" spans="9:15" x14ac:dyDescent="0.25">
      <c r="I265" s="164" t="str">
        <f ca="1">'CÁLCULO FUNPRESP'!P265</f>
        <v/>
      </c>
      <c r="J265" s="140" t="str">
        <f>IF($B$2="Não","",'CÁLCULO FUNPRESP'!Q265)</f>
        <v/>
      </c>
      <c r="K265" s="140" t="str">
        <f>IF($B$2="Não","",'CÁLCULO FUNPRESP'!R265)</f>
        <v/>
      </c>
      <c r="L265" s="140" t="str">
        <f>IF($B$2="Não","",'CÁLCULO FUNPRESP'!S265)</f>
        <v/>
      </c>
      <c r="N265" s="164" t="str">
        <f ca="1">'CÁLCULO FUNPRESP'!U265</f>
        <v/>
      </c>
      <c r="O265" s="140" t="str">
        <f>IF($B$2="Não","",'CÁLCULO FUNPRESP'!Y265)</f>
        <v/>
      </c>
    </row>
    <row r="266" spans="9:15" x14ac:dyDescent="0.25">
      <c r="I266" s="164" t="str">
        <f ca="1">'CÁLCULO FUNPRESP'!P266</f>
        <v/>
      </c>
      <c r="J266" s="140" t="str">
        <f>IF($B$2="Não","",'CÁLCULO FUNPRESP'!Q266)</f>
        <v/>
      </c>
      <c r="K266" s="140" t="str">
        <f>IF($B$2="Não","",'CÁLCULO FUNPRESP'!R266)</f>
        <v/>
      </c>
      <c r="L266" s="140" t="str">
        <f>IF($B$2="Não","",'CÁLCULO FUNPRESP'!S266)</f>
        <v/>
      </c>
      <c r="N266" s="164" t="str">
        <f ca="1">'CÁLCULO FUNPRESP'!U266</f>
        <v/>
      </c>
      <c r="O266" s="140" t="str">
        <f>IF($B$2="Não","",'CÁLCULO FUNPRESP'!Y266)</f>
        <v/>
      </c>
    </row>
    <row r="267" spans="9:15" x14ac:dyDescent="0.25">
      <c r="I267" s="164" t="str">
        <f ca="1">'CÁLCULO FUNPRESP'!P267</f>
        <v/>
      </c>
      <c r="J267" s="140" t="str">
        <f>IF($B$2="Não","",'CÁLCULO FUNPRESP'!Q267)</f>
        <v/>
      </c>
      <c r="K267" s="140" t="str">
        <f>IF($B$2="Não","",'CÁLCULO FUNPRESP'!R267)</f>
        <v/>
      </c>
      <c r="L267" s="140" t="str">
        <f>IF($B$2="Não","",'CÁLCULO FUNPRESP'!S267)</f>
        <v/>
      </c>
      <c r="N267" s="164" t="str">
        <f ca="1">'CÁLCULO FUNPRESP'!U267</f>
        <v/>
      </c>
      <c r="O267" s="140" t="str">
        <f>IF($B$2="Não","",'CÁLCULO FUNPRESP'!Y267)</f>
        <v/>
      </c>
    </row>
    <row r="268" spans="9:15" x14ac:dyDescent="0.25">
      <c r="I268" s="164" t="str">
        <f ca="1">'CÁLCULO FUNPRESP'!P268</f>
        <v/>
      </c>
      <c r="J268" s="140" t="str">
        <f>IF($B$2="Não","",'CÁLCULO FUNPRESP'!Q268)</f>
        <v/>
      </c>
      <c r="K268" s="140" t="str">
        <f>IF($B$2="Não","",'CÁLCULO FUNPRESP'!R268)</f>
        <v/>
      </c>
      <c r="L268" s="140" t="str">
        <f>IF($B$2="Não","",'CÁLCULO FUNPRESP'!S268)</f>
        <v/>
      </c>
      <c r="N268" s="164" t="str">
        <f ca="1">'CÁLCULO FUNPRESP'!U268</f>
        <v/>
      </c>
      <c r="O268" s="140" t="str">
        <f>IF($B$2="Não","",'CÁLCULO FUNPRESP'!Y268)</f>
        <v/>
      </c>
    </row>
    <row r="269" spans="9:15" x14ac:dyDescent="0.25">
      <c r="I269" s="164" t="str">
        <f ca="1">'CÁLCULO FUNPRESP'!P269</f>
        <v/>
      </c>
      <c r="J269" s="140" t="str">
        <f>IF($B$2="Não","",'CÁLCULO FUNPRESP'!Q269)</f>
        <v/>
      </c>
      <c r="K269" s="140" t="str">
        <f>IF($B$2="Não","",'CÁLCULO FUNPRESP'!R269)</f>
        <v/>
      </c>
      <c r="L269" s="140" t="str">
        <f>IF($B$2="Não","",'CÁLCULO FUNPRESP'!S269)</f>
        <v/>
      </c>
      <c r="N269" s="164" t="str">
        <f ca="1">'CÁLCULO FUNPRESP'!U269</f>
        <v/>
      </c>
      <c r="O269" s="140" t="str">
        <f>IF($B$2="Não","",'CÁLCULO FUNPRESP'!Y269)</f>
        <v/>
      </c>
    </row>
    <row r="270" spans="9:15" x14ac:dyDescent="0.25">
      <c r="I270" s="164" t="str">
        <f ca="1">'CÁLCULO FUNPRESP'!P270</f>
        <v/>
      </c>
      <c r="J270" s="140" t="str">
        <f>IF($B$2="Não","",'CÁLCULO FUNPRESP'!Q270)</f>
        <v/>
      </c>
      <c r="K270" s="140" t="str">
        <f>IF($B$2="Não","",'CÁLCULO FUNPRESP'!R270)</f>
        <v/>
      </c>
      <c r="L270" s="140" t="str">
        <f>IF($B$2="Não","",'CÁLCULO FUNPRESP'!S270)</f>
        <v/>
      </c>
      <c r="N270" s="164" t="str">
        <f ca="1">'CÁLCULO FUNPRESP'!U270</f>
        <v/>
      </c>
      <c r="O270" s="140" t="str">
        <f>IF($B$2="Não","",'CÁLCULO FUNPRESP'!Y270)</f>
        <v/>
      </c>
    </row>
    <row r="271" spans="9:15" x14ac:dyDescent="0.25">
      <c r="I271" s="164" t="str">
        <f ca="1">'CÁLCULO FUNPRESP'!P271</f>
        <v/>
      </c>
      <c r="J271" s="140" t="str">
        <f>IF($B$2="Não","",'CÁLCULO FUNPRESP'!Q271)</f>
        <v/>
      </c>
      <c r="K271" s="140" t="str">
        <f>IF($B$2="Não","",'CÁLCULO FUNPRESP'!R271)</f>
        <v/>
      </c>
      <c r="L271" s="140" t="str">
        <f>IF($B$2="Não","",'CÁLCULO FUNPRESP'!S271)</f>
        <v/>
      </c>
      <c r="N271" s="164" t="str">
        <f ca="1">'CÁLCULO FUNPRESP'!U271</f>
        <v/>
      </c>
      <c r="O271" s="140" t="str">
        <f>IF($B$2="Não","",'CÁLCULO FUNPRESP'!Y271)</f>
        <v/>
      </c>
    </row>
    <row r="272" spans="9:15" x14ac:dyDescent="0.25">
      <c r="I272" s="164" t="str">
        <f ca="1">'CÁLCULO FUNPRESP'!P272</f>
        <v/>
      </c>
      <c r="J272" s="140" t="str">
        <f>IF($B$2="Não","",'CÁLCULO FUNPRESP'!Q272)</f>
        <v/>
      </c>
      <c r="K272" s="140" t="str">
        <f>IF($B$2="Não","",'CÁLCULO FUNPRESP'!R272)</f>
        <v/>
      </c>
      <c r="L272" s="140" t="str">
        <f>IF($B$2="Não","",'CÁLCULO FUNPRESP'!S272)</f>
        <v/>
      </c>
      <c r="N272" s="164" t="str">
        <f ca="1">'CÁLCULO FUNPRESP'!U272</f>
        <v/>
      </c>
      <c r="O272" s="140" t="str">
        <f>IF($B$2="Não","",'CÁLCULO FUNPRESP'!Y272)</f>
        <v/>
      </c>
    </row>
    <row r="273" spans="9:15" x14ac:dyDescent="0.25">
      <c r="I273" s="164" t="str">
        <f ca="1">'CÁLCULO FUNPRESP'!P273</f>
        <v/>
      </c>
      <c r="J273" s="140" t="str">
        <f>IF($B$2="Não","",'CÁLCULO FUNPRESP'!Q273)</f>
        <v/>
      </c>
      <c r="K273" s="140" t="str">
        <f>IF($B$2="Não","",'CÁLCULO FUNPRESP'!R273)</f>
        <v/>
      </c>
      <c r="L273" s="140" t="str">
        <f>IF($B$2="Não","",'CÁLCULO FUNPRESP'!S273)</f>
        <v/>
      </c>
      <c r="N273" s="164" t="str">
        <f ca="1">'CÁLCULO FUNPRESP'!U273</f>
        <v/>
      </c>
      <c r="O273" s="140" t="str">
        <f>IF($B$2="Não","",'CÁLCULO FUNPRESP'!Y273)</f>
        <v/>
      </c>
    </row>
    <row r="274" spans="9:15" x14ac:dyDescent="0.25">
      <c r="I274" s="164" t="str">
        <f ca="1">'CÁLCULO FUNPRESP'!P274</f>
        <v/>
      </c>
      <c r="J274" s="140" t="str">
        <f>IF($B$2="Não","",'CÁLCULO FUNPRESP'!Q274)</f>
        <v/>
      </c>
      <c r="K274" s="140" t="str">
        <f>IF($B$2="Não","",'CÁLCULO FUNPRESP'!R274)</f>
        <v/>
      </c>
      <c r="L274" s="140" t="str">
        <f>IF($B$2="Não","",'CÁLCULO FUNPRESP'!S274)</f>
        <v/>
      </c>
      <c r="N274" s="164" t="str">
        <f ca="1">'CÁLCULO FUNPRESP'!U274</f>
        <v/>
      </c>
      <c r="O274" s="140" t="str">
        <f>IF($B$2="Não","",'CÁLCULO FUNPRESP'!Y274)</f>
        <v/>
      </c>
    </row>
    <row r="275" spans="9:15" x14ac:dyDescent="0.25">
      <c r="I275" s="164" t="str">
        <f ca="1">'CÁLCULO FUNPRESP'!P275</f>
        <v/>
      </c>
      <c r="J275" s="140" t="str">
        <f>IF($B$2="Não","",'CÁLCULO FUNPRESP'!Q275)</f>
        <v/>
      </c>
      <c r="K275" s="140" t="str">
        <f>IF($B$2="Não","",'CÁLCULO FUNPRESP'!R275)</f>
        <v/>
      </c>
      <c r="L275" s="140" t="str">
        <f>IF($B$2="Não","",'CÁLCULO FUNPRESP'!S275)</f>
        <v/>
      </c>
      <c r="N275" s="164" t="str">
        <f ca="1">'CÁLCULO FUNPRESP'!U275</f>
        <v/>
      </c>
      <c r="O275" s="140" t="str">
        <f>IF($B$2="Não","",'CÁLCULO FUNPRESP'!Y275)</f>
        <v/>
      </c>
    </row>
    <row r="276" spans="9:15" x14ac:dyDescent="0.25">
      <c r="I276" s="164" t="str">
        <f ca="1">'CÁLCULO FUNPRESP'!P276</f>
        <v/>
      </c>
      <c r="J276" s="140" t="str">
        <f>IF($B$2="Não","",'CÁLCULO FUNPRESP'!Q276)</f>
        <v/>
      </c>
      <c r="K276" s="140" t="str">
        <f>IF($B$2="Não","",'CÁLCULO FUNPRESP'!R276)</f>
        <v/>
      </c>
      <c r="L276" s="140" t="str">
        <f>IF($B$2="Não","",'CÁLCULO FUNPRESP'!S276)</f>
        <v/>
      </c>
      <c r="N276" s="164" t="str">
        <f ca="1">'CÁLCULO FUNPRESP'!U276</f>
        <v/>
      </c>
      <c r="O276" s="140" t="str">
        <f>IF($B$2="Não","",'CÁLCULO FUNPRESP'!Y276)</f>
        <v/>
      </c>
    </row>
    <row r="277" spans="9:15" x14ac:dyDescent="0.25">
      <c r="I277" s="164" t="str">
        <f ca="1">'CÁLCULO FUNPRESP'!P277</f>
        <v/>
      </c>
      <c r="J277" s="140" t="str">
        <f>IF($B$2="Não","",'CÁLCULO FUNPRESP'!Q277)</f>
        <v/>
      </c>
      <c r="K277" s="140" t="str">
        <f>IF($B$2="Não","",'CÁLCULO FUNPRESP'!R277)</f>
        <v/>
      </c>
      <c r="L277" s="140" t="str">
        <f>IF($B$2="Não","",'CÁLCULO FUNPRESP'!S277)</f>
        <v/>
      </c>
      <c r="N277" s="164" t="str">
        <f ca="1">'CÁLCULO FUNPRESP'!U277</f>
        <v/>
      </c>
      <c r="O277" s="140" t="str">
        <f>IF($B$2="Não","",'CÁLCULO FUNPRESP'!Y277)</f>
        <v/>
      </c>
    </row>
    <row r="278" spans="9:15" x14ac:dyDescent="0.25">
      <c r="I278" s="164" t="str">
        <f ca="1">'CÁLCULO FUNPRESP'!P278</f>
        <v/>
      </c>
      <c r="J278" s="140" t="str">
        <f>IF($B$2="Não","",'CÁLCULO FUNPRESP'!Q278)</f>
        <v/>
      </c>
      <c r="K278" s="140" t="str">
        <f>IF($B$2="Não","",'CÁLCULO FUNPRESP'!R278)</f>
        <v/>
      </c>
      <c r="L278" s="140" t="str">
        <f>IF($B$2="Não","",'CÁLCULO FUNPRESP'!S278)</f>
        <v/>
      </c>
      <c r="N278" s="164" t="str">
        <f ca="1">'CÁLCULO FUNPRESP'!U278</f>
        <v/>
      </c>
      <c r="O278" s="140" t="str">
        <f>IF($B$2="Não","",'CÁLCULO FUNPRESP'!Y278)</f>
        <v/>
      </c>
    </row>
    <row r="279" spans="9:15" x14ac:dyDescent="0.25">
      <c r="I279" s="164" t="str">
        <f ca="1">'CÁLCULO FUNPRESP'!P279</f>
        <v/>
      </c>
      <c r="J279" s="140" t="str">
        <f>IF($B$2="Não","",'CÁLCULO FUNPRESP'!Q279)</f>
        <v/>
      </c>
      <c r="K279" s="140" t="str">
        <f>IF($B$2="Não","",'CÁLCULO FUNPRESP'!R279)</f>
        <v/>
      </c>
      <c r="L279" s="140" t="str">
        <f>IF($B$2="Não","",'CÁLCULO FUNPRESP'!S279)</f>
        <v/>
      </c>
      <c r="N279" s="164" t="str">
        <f ca="1">'CÁLCULO FUNPRESP'!U279</f>
        <v/>
      </c>
      <c r="O279" s="140" t="str">
        <f>IF($B$2="Não","",'CÁLCULO FUNPRESP'!Y279)</f>
        <v/>
      </c>
    </row>
    <row r="280" spans="9:15" x14ac:dyDescent="0.25">
      <c r="I280" s="164" t="str">
        <f ca="1">'CÁLCULO FUNPRESP'!P280</f>
        <v/>
      </c>
      <c r="J280" s="140" t="str">
        <f>IF($B$2="Não","",'CÁLCULO FUNPRESP'!Q280)</f>
        <v/>
      </c>
      <c r="K280" s="140" t="str">
        <f>IF($B$2="Não","",'CÁLCULO FUNPRESP'!R280)</f>
        <v/>
      </c>
      <c r="L280" s="140" t="str">
        <f>IF($B$2="Não","",'CÁLCULO FUNPRESP'!S280)</f>
        <v/>
      </c>
      <c r="N280" s="164" t="str">
        <f ca="1">'CÁLCULO FUNPRESP'!U280</f>
        <v/>
      </c>
      <c r="O280" s="140" t="str">
        <f>IF($B$2="Não","",'CÁLCULO FUNPRESP'!Y280)</f>
        <v/>
      </c>
    </row>
    <row r="281" spans="9:15" x14ac:dyDescent="0.25">
      <c r="I281" s="164" t="str">
        <f ca="1">'CÁLCULO FUNPRESP'!P281</f>
        <v/>
      </c>
      <c r="J281" s="140" t="str">
        <f>IF($B$2="Não","",'CÁLCULO FUNPRESP'!Q281)</f>
        <v/>
      </c>
      <c r="K281" s="140" t="str">
        <f>IF($B$2="Não","",'CÁLCULO FUNPRESP'!R281)</f>
        <v/>
      </c>
      <c r="L281" s="140" t="str">
        <f>IF($B$2="Não","",'CÁLCULO FUNPRESP'!S281)</f>
        <v/>
      </c>
      <c r="N281" s="164" t="str">
        <f ca="1">'CÁLCULO FUNPRESP'!U281</f>
        <v/>
      </c>
      <c r="O281" s="140" t="str">
        <f>IF($B$2="Não","",'CÁLCULO FUNPRESP'!Y281)</f>
        <v/>
      </c>
    </row>
    <row r="282" spans="9:15" x14ac:dyDescent="0.25">
      <c r="I282" s="164" t="str">
        <f ca="1">'CÁLCULO FUNPRESP'!P282</f>
        <v/>
      </c>
      <c r="J282" s="140" t="str">
        <f>IF($B$2="Não","",'CÁLCULO FUNPRESP'!Q282)</f>
        <v/>
      </c>
      <c r="K282" s="140" t="str">
        <f>IF($B$2="Não","",'CÁLCULO FUNPRESP'!R282)</f>
        <v/>
      </c>
      <c r="L282" s="140" t="str">
        <f>IF($B$2="Não","",'CÁLCULO FUNPRESP'!S282)</f>
        <v/>
      </c>
      <c r="N282" s="164" t="str">
        <f ca="1">'CÁLCULO FUNPRESP'!U282</f>
        <v/>
      </c>
      <c r="O282" s="140" t="str">
        <f>IF($B$2="Não","",'CÁLCULO FUNPRESP'!Y282)</f>
        <v/>
      </c>
    </row>
    <row r="283" spans="9:15" x14ac:dyDescent="0.25">
      <c r="I283" s="164" t="str">
        <f ca="1">'CÁLCULO FUNPRESP'!P283</f>
        <v/>
      </c>
      <c r="J283" s="140" t="str">
        <f>IF($B$2="Não","",'CÁLCULO FUNPRESP'!Q283)</f>
        <v/>
      </c>
      <c r="K283" s="140" t="str">
        <f>IF($B$2="Não","",'CÁLCULO FUNPRESP'!R283)</f>
        <v/>
      </c>
      <c r="L283" s="140" t="str">
        <f>IF($B$2="Não","",'CÁLCULO FUNPRESP'!S283)</f>
        <v/>
      </c>
      <c r="N283" s="164" t="str">
        <f ca="1">'CÁLCULO FUNPRESP'!U283</f>
        <v/>
      </c>
      <c r="O283" s="140" t="str">
        <f>IF($B$2="Não","",'CÁLCULO FUNPRESP'!Y283)</f>
        <v/>
      </c>
    </row>
    <row r="284" spans="9:15" x14ac:dyDescent="0.25">
      <c r="I284" s="164" t="str">
        <f ca="1">'CÁLCULO FUNPRESP'!P284</f>
        <v/>
      </c>
      <c r="J284" s="140" t="str">
        <f>IF($B$2="Não","",'CÁLCULO FUNPRESP'!Q284)</f>
        <v/>
      </c>
      <c r="K284" s="140" t="str">
        <f>IF($B$2="Não","",'CÁLCULO FUNPRESP'!R284)</f>
        <v/>
      </c>
      <c r="L284" s="140" t="str">
        <f>IF($B$2="Não","",'CÁLCULO FUNPRESP'!S284)</f>
        <v/>
      </c>
      <c r="N284" s="164" t="str">
        <f ca="1">'CÁLCULO FUNPRESP'!U284</f>
        <v/>
      </c>
      <c r="O284" s="140" t="str">
        <f>IF($B$2="Não","",'CÁLCULO FUNPRESP'!Y284)</f>
        <v/>
      </c>
    </row>
    <row r="285" spans="9:15" x14ac:dyDescent="0.25">
      <c r="I285" s="164" t="str">
        <f ca="1">'CÁLCULO FUNPRESP'!P285</f>
        <v/>
      </c>
      <c r="J285" s="140" t="str">
        <f>IF($B$2="Não","",'CÁLCULO FUNPRESP'!Q285)</f>
        <v/>
      </c>
      <c r="K285" s="140" t="str">
        <f>IF($B$2="Não","",'CÁLCULO FUNPRESP'!R285)</f>
        <v/>
      </c>
      <c r="L285" s="140" t="str">
        <f>IF($B$2="Não","",'CÁLCULO FUNPRESP'!S285)</f>
        <v/>
      </c>
      <c r="N285" s="164" t="str">
        <f ca="1">'CÁLCULO FUNPRESP'!U285</f>
        <v/>
      </c>
      <c r="O285" s="140" t="str">
        <f>IF($B$2="Não","",'CÁLCULO FUNPRESP'!Y285)</f>
        <v/>
      </c>
    </row>
    <row r="286" spans="9:15" x14ac:dyDescent="0.25">
      <c r="I286" s="164" t="str">
        <f ca="1">'CÁLCULO FUNPRESP'!P286</f>
        <v/>
      </c>
      <c r="J286" s="140" t="str">
        <f>IF($B$2="Não","",'CÁLCULO FUNPRESP'!Q286)</f>
        <v/>
      </c>
      <c r="K286" s="140" t="str">
        <f>IF($B$2="Não","",'CÁLCULO FUNPRESP'!R286)</f>
        <v/>
      </c>
      <c r="L286" s="140" t="str">
        <f>IF($B$2="Não","",'CÁLCULO FUNPRESP'!S286)</f>
        <v/>
      </c>
      <c r="N286" s="164" t="str">
        <f ca="1">'CÁLCULO FUNPRESP'!U286</f>
        <v/>
      </c>
      <c r="O286" s="140" t="str">
        <f>IF($B$2="Não","",'CÁLCULO FUNPRESP'!Y286)</f>
        <v/>
      </c>
    </row>
    <row r="287" spans="9:15" x14ac:dyDescent="0.25">
      <c r="I287" s="164" t="str">
        <f ca="1">'CÁLCULO FUNPRESP'!P287</f>
        <v/>
      </c>
      <c r="J287" s="140" t="str">
        <f>IF($B$2="Não","",'CÁLCULO FUNPRESP'!Q287)</f>
        <v/>
      </c>
      <c r="K287" s="140" t="str">
        <f>IF($B$2="Não","",'CÁLCULO FUNPRESP'!R287)</f>
        <v/>
      </c>
      <c r="L287" s="140" t="str">
        <f>IF($B$2="Não","",'CÁLCULO FUNPRESP'!S287)</f>
        <v/>
      </c>
      <c r="N287" s="164" t="str">
        <f ca="1">'CÁLCULO FUNPRESP'!U287</f>
        <v/>
      </c>
      <c r="O287" s="140" t="str">
        <f>IF($B$2="Não","",'CÁLCULO FUNPRESP'!Y287)</f>
        <v/>
      </c>
    </row>
    <row r="288" spans="9:15" x14ac:dyDescent="0.25">
      <c r="I288" s="164" t="str">
        <f ca="1">'CÁLCULO FUNPRESP'!P288</f>
        <v/>
      </c>
      <c r="J288" s="140" t="str">
        <f>IF($B$2="Não","",'CÁLCULO FUNPRESP'!Q288)</f>
        <v/>
      </c>
      <c r="K288" s="140" t="str">
        <f>IF($B$2="Não","",'CÁLCULO FUNPRESP'!R288)</f>
        <v/>
      </c>
      <c r="L288" s="140" t="str">
        <f>IF($B$2="Não","",'CÁLCULO FUNPRESP'!S288)</f>
        <v/>
      </c>
      <c r="N288" s="164" t="str">
        <f ca="1">'CÁLCULO FUNPRESP'!U288</f>
        <v/>
      </c>
      <c r="O288" s="140" t="str">
        <f>IF($B$2="Não","",'CÁLCULO FUNPRESP'!Y288)</f>
        <v/>
      </c>
    </row>
    <row r="289" spans="9:15" x14ac:dyDescent="0.25">
      <c r="I289" s="164" t="str">
        <f ca="1">'CÁLCULO FUNPRESP'!P289</f>
        <v/>
      </c>
      <c r="J289" s="140" t="str">
        <f>IF($B$2="Não","",'CÁLCULO FUNPRESP'!Q289)</f>
        <v/>
      </c>
      <c r="K289" s="140" t="str">
        <f>IF($B$2="Não","",'CÁLCULO FUNPRESP'!R289)</f>
        <v/>
      </c>
      <c r="L289" s="140" t="str">
        <f>IF($B$2="Não","",'CÁLCULO FUNPRESP'!S289)</f>
        <v/>
      </c>
      <c r="N289" s="164" t="str">
        <f ca="1">'CÁLCULO FUNPRESP'!U289</f>
        <v/>
      </c>
      <c r="O289" s="140" t="str">
        <f>IF($B$2="Não","",'CÁLCULO FUNPRESP'!Y289)</f>
        <v/>
      </c>
    </row>
    <row r="290" spans="9:15" x14ac:dyDescent="0.25">
      <c r="I290" s="164" t="str">
        <f ca="1">'CÁLCULO FUNPRESP'!P290</f>
        <v/>
      </c>
      <c r="J290" s="140" t="str">
        <f>IF($B$2="Não","",'CÁLCULO FUNPRESP'!Q290)</f>
        <v/>
      </c>
      <c r="K290" s="140" t="str">
        <f>IF($B$2="Não","",'CÁLCULO FUNPRESP'!R290)</f>
        <v/>
      </c>
      <c r="L290" s="140" t="str">
        <f>IF($B$2="Não","",'CÁLCULO FUNPRESP'!S290)</f>
        <v/>
      </c>
      <c r="N290" s="164" t="str">
        <f ca="1">'CÁLCULO FUNPRESP'!U290</f>
        <v/>
      </c>
      <c r="O290" s="140" t="str">
        <f>IF($B$2="Não","",'CÁLCULO FUNPRESP'!Y290)</f>
        <v/>
      </c>
    </row>
    <row r="291" spans="9:15" x14ac:dyDescent="0.25">
      <c r="I291" s="164" t="str">
        <f ca="1">'CÁLCULO FUNPRESP'!P291</f>
        <v/>
      </c>
      <c r="J291" s="140" t="str">
        <f>IF($B$2="Não","",'CÁLCULO FUNPRESP'!Q291)</f>
        <v/>
      </c>
      <c r="K291" s="140" t="str">
        <f>IF($B$2="Não","",'CÁLCULO FUNPRESP'!R291)</f>
        <v/>
      </c>
      <c r="L291" s="140" t="str">
        <f>IF($B$2="Não","",'CÁLCULO FUNPRESP'!S291)</f>
        <v/>
      </c>
      <c r="N291" s="164" t="str">
        <f ca="1">'CÁLCULO FUNPRESP'!U291</f>
        <v/>
      </c>
      <c r="O291" s="140" t="str">
        <f>IF($B$2="Não","",'CÁLCULO FUNPRESP'!Y291)</f>
        <v/>
      </c>
    </row>
    <row r="292" spans="9:15" x14ac:dyDescent="0.25">
      <c r="I292" s="164" t="str">
        <f ca="1">'CÁLCULO FUNPRESP'!P292</f>
        <v/>
      </c>
      <c r="J292" s="140" t="str">
        <f>IF($B$2="Não","",'CÁLCULO FUNPRESP'!Q292)</f>
        <v/>
      </c>
      <c r="K292" s="140" t="str">
        <f>IF($B$2="Não","",'CÁLCULO FUNPRESP'!R292)</f>
        <v/>
      </c>
      <c r="L292" s="140" t="str">
        <f>IF($B$2="Não","",'CÁLCULO FUNPRESP'!S292)</f>
        <v/>
      </c>
      <c r="N292" s="164" t="str">
        <f ca="1">'CÁLCULO FUNPRESP'!U292</f>
        <v/>
      </c>
      <c r="O292" s="140" t="str">
        <f>IF($B$2="Não","",'CÁLCULO FUNPRESP'!Y292)</f>
        <v/>
      </c>
    </row>
    <row r="293" spans="9:15" x14ac:dyDescent="0.25">
      <c r="I293" s="164" t="str">
        <f ca="1">'CÁLCULO FUNPRESP'!P293</f>
        <v/>
      </c>
      <c r="J293" s="140" t="str">
        <f>IF($B$2="Não","",'CÁLCULO FUNPRESP'!Q293)</f>
        <v/>
      </c>
      <c r="K293" s="140" t="str">
        <f>IF($B$2="Não","",'CÁLCULO FUNPRESP'!R293)</f>
        <v/>
      </c>
      <c r="L293" s="140" t="str">
        <f>IF($B$2="Não","",'CÁLCULO FUNPRESP'!S293)</f>
        <v/>
      </c>
      <c r="N293" s="164" t="str">
        <f ca="1">'CÁLCULO FUNPRESP'!U293</f>
        <v/>
      </c>
      <c r="O293" s="140" t="str">
        <f>IF($B$2="Não","",'CÁLCULO FUNPRESP'!Y293)</f>
        <v/>
      </c>
    </row>
    <row r="294" spans="9:15" x14ac:dyDescent="0.25">
      <c r="I294" s="164" t="str">
        <f ca="1">'CÁLCULO FUNPRESP'!P294</f>
        <v/>
      </c>
      <c r="J294" s="140" t="str">
        <f>IF($B$2="Não","",'CÁLCULO FUNPRESP'!Q294)</f>
        <v/>
      </c>
      <c r="K294" s="140" t="str">
        <f>IF($B$2="Não","",'CÁLCULO FUNPRESP'!R294)</f>
        <v/>
      </c>
      <c r="L294" s="140" t="str">
        <f>IF($B$2="Não","",'CÁLCULO FUNPRESP'!S294)</f>
        <v/>
      </c>
      <c r="N294" s="164" t="str">
        <f ca="1">'CÁLCULO FUNPRESP'!U294</f>
        <v/>
      </c>
      <c r="O294" s="140" t="str">
        <f>IF($B$2="Não","",'CÁLCULO FUNPRESP'!Y294)</f>
        <v/>
      </c>
    </row>
    <row r="295" spans="9:15" x14ac:dyDescent="0.25">
      <c r="I295" s="164" t="str">
        <f ca="1">'CÁLCULO FUNPRESP'!P295</f>
        <v/>
      </c>
      <c r="J295" s="140" t="str">
        <f>IF($B$2="Não","",'CÁLCULO FUNPRESP'!Q295)</f>
        <v/>
      </c>
      <c r="K295" s="140" t="str">
        <f>IF($B$2="Não","",'CÁLCULO FUNPRESP'!R295)</f>
        <v/>
      </c>
      <c r="L295" s="140" t="str">
        <f>IF($B$2="Não","",'CÁLCULO FUNPRESP'!S295)</f>
        <v/>
      </c>
      <c r="N295" s="164" t="str">
        <f ca="1">'CÁLCULO FUNPRESP'!U295</f>
        <v/>
      </c>
      <c r="O295" s="140" t="str">
        <f>IF($B$2="Não","",'CÁLCULO FUNPRESP'!Y295)</f>
        <v/>
      </c>
    </row>
    <row r="296" spans="9:15" x14ac:dyDescent="0.25">
      <c r="I296" s="164" t="str">
        <f ca="1">'CÁLCULO FUNPRESP'!P296</f>
        <v/>
      </c>
      <c r="J296" s="140" t="str">
        <f>IF($B$2="Não","",'CÁLCULO FUNPRESP'!Q296)</f>
        <v/>
      </c>
      <c r="K296" s="140" t="str">
        <f>IF($B$2="Não","",'CÁLCULO FUNPRESP'!R296)</f>
        <v/>
      </c>
      <c r="L296" s="140" t="str">
        <f>IF($B$2="Não","",'CÁLCULO FUNPRESP'!S296)</f>
        <v/>
      </c>
      <c r="N296" s="164" t="str">
        <f ca="1">'CÁLCULO FUNPRESP'!U296</f>
        <v/>
      </c>
      <c r="O296" s="140" t="str">
        <f>IF($B$2="Não","",'CÁLCULO FUNPRESP'!Y296)</f>
        <v/>
      </c>
    </row>
    <row r="297" spans="9:15" x14ac:dyDescent="0.25">
      <c r="I297" s="164" t="str">
        <f ca="1">'CÁLCULO FUNPRESP'!P297</f>
        <v/>
      </c>
      <c r="J297" s="140" t="str">
        <f>IF($B$2="Não","",'CÁLCULO FUNPRESP'!Q297)</f>
        <v/>
      </c>
      <c r="K297" s="140" t="str">
        <f>IF($B$2="Não","",'CÁLCULO FUNPRESP'!R297)</f>
        <v/>
      </c>
      <c r="L297" s="140" t="str">
        <f>IF($B$2="Não","",'CÁLCULO FUNPRESP'!S297)</f>
        <v/>
      </c>
      <c r="N297" s="164" t="str">
        <f ca="1">'CÁLCULO FUNPRESP'!U297</f>
        <v/>
      </c>
      <c r="O297" s="140" t="str">
        <f>IF($B$2="Não","",'CÁLCULO FUNPRESP'!Y297)</f>
        <v/>
      </c>
    </row>
    <row r="298" spans="9:15" x14ac:dyDescent="0.25">
      <c r="I298" s="164" t="str">
        <f ca="1">'CÁLCULO FUNPRESP'!P298</f>
        <v/>
      </c>
      <c r="J298" s="140" t="str">
        <f>IF($B$2="Não","",'CÁLCULO FUNPRESP'!Q298)</f>
        <v/>
      </c>
      <c r="K298" s="140" t="str">
        <f>IF($B$2="Não","",'CÁLCULO FUNPRESP'!R298)</f>
        <v/>
      </c>
      <c r="L298" s="140" t="str">
        <f>IF($B$2="Não","",'CÁLCULO FUNPRESP'!S298)</f>
        <v/>
      </c>
      <c r="N298" s="164" t="str">
        <f ca="1">'CÁLCULO FUNPRESP'!U298</f>
        <v/>
      </c>
      <c r="O298" s="140" t="str">
        <f>IF($B$2="Não","",'CÁLCULO FUNPRESP'!Y298)</f>
        <v/>
      </c>
    </row>
    <row r="299" spans="9:15" x14ac:dyDescent="0.25">
      <c r="I299" s="164" t="str">
        <f ca="1">'CÁLCULO FUNPRESP'!P299</f>
        <v/>
      </c>
      <c r="J299" s="140" t="str">
        <f>IF($B$2="Não","",'CÁLCULO FUNPRESP'!Q299)</f>
        <v/>
      </c>
      <c r="K299" s="140" t="str">
        <f>IF($B$2="Não","",'CÁLCULO FUNPRESP'!R299)</f>
        <v/>
      </c>
      <c r="L299" s="140" t="str">
        <f>IF($B$2="Não","",'CÁLCULO FUNPRESP'!S299)</f>
        <v/>
      </c>
      <c r="N299" s="164" t="str">
        <f ca="1">'CÁLCULO FUNPRESP'!U299</f>
        <v/>
      </c>
      <c r="O299" s="140" t="str">
        <f>IF($B$2="Não","",'CÁLCULO FUNPRESP'!Y299)</f>
        <v/>
      </c>
    </row>
    <row r="300" spans="9:15" x14ac:dyDescent="0.25">
      <c r="I300" s="164" t="str">
        <f ca="1">'CÁLCULO FUNPRESP'!P300</f>
        <v/>
      </c>
      <c r="J300" s="140" t="str">
        <f>IF($B$2="Não","",'CÁLCULO FUNPRESP'!Q300)</f>
        <v/>
      </c>
      <c r="K300" s="140" t="str">
        <f>IF($B$2="Não","",'CÁLCULO FUNPRESP'!R300)</f>
        <v/>
      </c>
      <c r="L300" s="140" t="str">
        <f>IF($B$2="Não","",'CÁLCULO FUNPRESP'!S300)</f>
        <v/>
      </c>
      <c r="N300" s="164" t="str">
        <f ca="1">'CÁLCULO FUNPRESP'!U300</f>
        <v/>
      </c>
      <c r="O300" s="140" t="str">
        <f>IF($B$2="Não","",'CÁLCULO FUNPRESP'!Y300)</f>
        <v/>
      </c>
    </row>
    <row r="301" spans="9:15" x14ac:dyDescent="0.25">
      <c r="I301" s="164" t="str">
        <f ca="1">'CÁLCULO FUNPRESP'!P301</f>
        <v/>
      </c>
      <c r="J301" s="140" t="str">
        <f>IF($B$2="Não","",'CÁLCULO FUNPRESP'!Q301)</f>
        <v/>
      </c>
      <c r="K301" s="140" t="str">
        <f>IF($B$2="Não","",'CÁLCULO FUNPRESP'!R301)</f>
        <v/>
      </c>
      <c r="L301" s="140" t="str">
        <f>IF($B$2="Não","",'CÁLCULO FUNPRESP'!S301)</f>
        <v/>
      </c>
      <c r="N301" s="164" t="str">
        <f ca="1">'CÁLCULO FUNPRESP'!U301</f>
        <v/>
      </c>
      <c r="O301" s="140" t="str">
        <f>IF($B$2="Não","",'CÁLCULO FUNPRESP'!Y301)</f>
        <v/>
      </c>
    </row>
    <row r="302" spans="9:15" x14ac:dyDescent="0.25">
      <c r="I302" s="164" t="str">
        <f ca="1">'CÁLCULO FUNPRESP'!P302</f>
        <v/>
      </c>
      <c r="J302" s="140" t="str">
        <f>IF($B$2="Não","",'CÁLCULO FUNPRESP'!Q302)</f>
        <v/>
      </c>
      <c r="K302" s="140" t="str">
        <f>IF($B$2="Não","",'CÁLCULO FUNPRESP'!R302)</f>
        <v/>
      </c>
      <c r="L302" s="140" t="str">
        <f>IF($B$2="Não","",'CÁLCULO FUNPRESP'!S302)</f>
        <v/>
      </c>
      <c r="N302" s="164" t="str">
        <f ca="1">'CÁLCULO FUNPRESP'!U302</f>
        <v/>
      </c>
      <c r="O302" s="140" t="str">
        <f>IF($B$2="Não","",'CÁLCULO FUNPRESP'!Y302)</f>
        <v/>
      </c>
    </row>
    <row r="303" spans="9:15" x14ac:dyDescent="0.25">
      <c r="I303" s="164" t="str">
        <f ca="1">'CÁLCULO FUNPRESP'!P303</f>
        <v/>
      </c>
      <c r="J303" s="140" t="str">
        <f>IF($B$2="Não","",'CÁLCULO FUNPRESP'!Q303)</f>
        <v/>
      </c>
      <c r="K303" s="140" t="str">
        <f>IF($B$2="Não","",'CÁLCULO FUNPRESP'!R303)</f>
        <v/>
      </c>
      <c r="L303" s="140" t="str">
        <f>IF($B$2="Não","",'CÁLCULO FUNPRESP'!S303)</f>
        <v/>
      </c>
      <c r="N303" s="164" t="str">
        <f ca="1">'CÁLCULO FUNPRESP'!U303</f>
        <v/>
      </c>
      <c r="O303" s="140" t="str">
        <f>IF($B$2="Não","",'CÁLCULO FUNPRESP'!Y303)</f>
        <v/>
      </c>
    </row>
    <row r="304" spans="9:15" x14ac:dyDescent="0.25">
      <c r="I304" s="164" t="str">
        <f ca="1">'CÁLCULO FUNPRESP'!P304</f>
        <v/>
      </c>
      <c r="J304" s="140" t="str">
        <f>IF($B$2="Não","",'CÁLCULO FUNPRESP'!Q304)</f>
        <v/>
      </c>
      <c r="K304" s="140" t="str">
        <f>IF($B$2="Não","",'CÁLCULO FUNPRESP'!R304)</f>
        <v/>
      </c>
      <c r="L304" s="140" t="str">
        <f>IF($B$2="Não","",'CÁLCULO FUNPRESP'!S304)</f>
        <v/>
      </c>
      <c r="N304" s="164" t="str">
        <f ca="1">'CÁLCULO FUNPRESP'!U304</f>
        <v/>
      </c>
      <c r="O304" s="140" t="str">
        <f>IF($B$2="Não","",'CÁLCULO FUNPRESP'!Y304)</f>
        <v/>
      </c>
    </row>
    <row r="305" spans="9:15" x14ac:dyDescent="0.25">
      <c r="I305" s="164" t="str">
        <f ca="1">'CÁLCULO FUNPRESP'!P305</f>
        <v/>
      </c>
      <c r="J305" s="140" t="str">
        <f>IF($B$2="Não","",'CÁLCULO FUNPRESP'!Q305)</f>
        <v/>
      </c>
      <c r="K305" s="140" t="str">
        <f>IF($B$2="Não","",'CÁLCULO FUNPRESP'!R305)</f>
        <v/>
      </c>
      <c r="L305" s="140" t="str">
        <f>IF($B$2="Não","",'CÁLCULO FUNPRESP'!S305)</f>
        <v/>
      </c>
      <c r="N305" s="164" t="str">
        <f ca="1">'CÁLCULO FUNPRESP'!U305</f>
        <v/>
      </c>
      <c r="O305" s="140" t="str">
        <f>IF($B$2="Não","",'CÁLCULO FUNPRESP'!Y305)</f>
        <v/>
      </c>
    </row>
    <row r="306" spans="9:15" x14ac:dyDescent="0.25">
      <c r="I306" s="164" t="str">
        <f ca="1">'CÁLCULO FUNPRESP'!P306</f>
        <v/>
      </c>
      <c r="J306" s="140" t="str">
        <f>IF($B$2="Não","",'CÁLCULO FUNPRESP'!Q306)</f>
        <v/>
      </c>
      <c r="K306" s="140" t="str">
        <f>IF($B$2="Não","",'CÁLCULO FUNPRESP'!R306)</f>
        <v/>
      </c>
      <c r="L306" s="140" t="str">
        <f>IF($B$2="Não","",'CÁLCULO FUNPRESP'!S306)</f>
        <v/>
      </c>
      <c r="N306" s="164" t="str">
        <f ca="1">'CÁLCULO FUNPRESP'!U306</f>
        <v/>
      </c>
      <c r="O306" s="140" t="str">
        <f>IF($B$2="Não","",'CÁLCULO FUNPRESP'!Y306)</f>
        <v/>
      </c>
    </row>
    <row r="307" spans="9:15" x14ac:dyDescent="0.25">
      <c r="I307" s="164" t="str">
        <f ca="1">'CÁLCULO FUNPRESP'!P307</f>
        <v/>
      </c>
      <c r="J307" s="140" t="str">
        <f>IF($B$2="Não","",'CÁLCULO FUNPRESP'!Q307)</f>
        <v/>
      </c>
      <c r="K307" s="140" t="str">
        <f>IF($B$2="Não","",'CÁLCULO FUNPRESP'!R307)</f>
        <v/>
      </c>
      <c r="L307" s="140" t="str">
        <f>IF($B$2="Não","",'CÁLCULO FUNPRESP'!S307)</f>
        <v/>
      </c>
      <c r="N307" s="164" t="str">
        <f ca="1">'CÁLCULO FUNPRESP'!U307</f>
        <v/>
      </c>
      <c r="O307" s="140" t="str">
        <f>IF($B$2="Não","",'CÁLCULO FUNPRESP'!Y307)</f>
        <v/>
      </c>
    </row>
    <row r="308" spans="9:15" x14ac:dyDescent="0.25">
      <c r="I308" s="164" t="str">
        <f ca="1">'CÁLCULO FUNPRESP'!P308</f>
        <v/>
      </c>
      <c r="J308" s="140" t="str">
        <f>IF($B$2="Não","",'CÁLCULO FUNPRESP'!Q308)</f>
        <v/>
      </c>
      <c r="K308" s="140" t="str">
        <f>IF($B$2="Não","",'CÁLCULO FUNPRESP'!R308)</f>
        <v/>
      </c>
      <c r="L308" s="140" t="str">
        <f>IF($B$2="Não","",'CÁLCULO FUNPRESP'!S308)</f>
        <v/>
      </c>
      <c r="N308" s="164" t="str">
        <f ca="1">'CÁLCULO FUNPRESP'!U308</f>
        <v/>
      </c>
      <c r="O308" s="140" t="str">
        <f>IF($B$2="Não","",'CÁLCULO FUNPRESP'!Y308)</f>
        <v/>
      </c>
    </row>
    <row r="309" spans="9:15" x14ac:dyDescent="0.25">
      <c r="I309" s="164" t="str">
        <f ca="1">'CÁLCULO FUNPRESP'!P309</f>
        <v/>
      </c>
      <c r="J309" s="140" t="str">
        <f>IF($B$2="Não","",'CÁLCULO FUNPRESP'!Q309)</f>
        <v/>
      </c>
      <c r="K309" s="140" t="str">
        <f>IF($B$2="Não","",'CÁLCULO FUNPRESP'!R309)</f>
        <v/>
      </c>
      <c r="L309" s="140" t="str">
        <f>IF($B$2="Não","",'CÁLCULO FUNPRESP'!S309)</f>
        <v/>
      </c>
      <c r="N309" s="164" t="str">
        <f ca="1">'CÁLCULO FUNPRESP'!U309</f>
        <v/>
      </c>
      <c r="O309" s="140" t="str">
        <f>IF($B$2="Não","",'CÁLCULO FUNPRESP'!Y309)</f>
        <v/>
      </c>
    </row>
    <row r="310" spans="9:15" x14ac:dyDescent="0.25">
      <c r="I310" s="164" t="str">
        <f ca="1">'CÁLCULO FUNPRESP'!P310</f>
        <v/>
      </c>
      <c r="J310" s="140" t="str">
        <f>IF($B$2="Não","",'CÁLCULO FUNPRESP'!Q310)</f>
        <v/>
      </c>
      <c r="K310" s="140" t="str">
        <f>IF($B$2="Não","",'CÁLCULO FUNPRESP'!R310)</f>
        <v/>
      </c>
      <c r="L310" s="140" t="str">
        <f>IF($B$2="Não","",'CÁLCULO FUNPRESP'!S310)</f>
        <v/>
      </c>
      <c r="N310" s="164" t="str">
        <f ca="1">'CÁLCULO FUNPRESP'!U310</f>
        <v/>
      </c>
      <c r="O310" s="140" t="str">
        <f>IF($B$2="Não","",'CÁLCULO FUNPRESP'!Y310)</f>
        <v/>
      </c>
    </row>
    <row r="311" spans="9:15" x14ac:dyDescent="0.25">
      <c r="I311" s="164" t="str">
        <f ca="1">'CÁLCULO FUNPRESP'!P311</f>
        <v/>
      </c>
      <c r="J311" s="140" t="str">
        <f>IF($B$2="Não","",'CÁLCULO FUNPRESP'!Q311)</f>
        <v/>
      </c>
      <c r="K311" s="140" t="str">
        <f>IF($B$2="Não","",'CÁLCULO FUNPRESP'!R311)</f>
        <v/>
      </c>
      <c r="L311" s="140" t="str">
        <f>IF($B$2="Não","",'CÁLCULO FUNPRESP'!S311)</f>
        <v/>
      </c>
      <c r="N311" s="164" t="str">
        <f ca="1">'CÁLCULO FUNPRESP'!U311</f>
        <v/>
      </c>
      <c r="O311" s="140" t="str">
        <f>IF($B$2="Não","",'CÁLCULO FUNPRESP'!Y311)</f>
        <v/>
      </c>
    </row>
    <row r="312" spans="9:15" x14ac:dyDescent="0.25">
      <c r="I312" s="164" t="str">
        <f ca="1">'CÁLCULO FUNPRESP'!P312</f>
        <v/>
      </c>
      <c r="J312" s="140" t="str">
        <f>IF($B$2="Não","",'CÁLCULO FUNPRESP'!Q312)</f>
        <v/>
      </c>
      <c r="K312" s="140" t="str">
        <f>IF($B$2="Não","",'CÁLCULO FUNPRESP'!R312)</f>
        <v/>
      </c>
      <c r="L312" s="140" t="str">
        <f>IF($B$2="Não","",'CÁLCULO FUNPRESP'!S312)</f>
        <v/>
      </c>
      <c r="N312" s="164" t="str">
        <f ca="1">'CÁLCULO FUNPRESP'!U312</f>
        <v/>
      </c>
      <c r="O312" s="140" t="str">
        <f>IF($B$2="Não","",'CÁLCULO FUNPRESP'!Y312)</f>
        <v/>
      </c>
    </row>
    <row r="313" spans="9:15" x14ac:dyDescent="0.25">
      <c r="I313" s="164" t="str">
        <f ca="1">'CÁLCULO FUNPRESP'!P313</f>
        <v/>
      </c>
      <c r="J313" s="140" t="str">
        <f>IF($B$2="Não","",'CÁLCULO FUNPRESP'!Q313)</f>
        <v/>
      </c>
      <c r="K313" s="140" t="str">
        <f>IF($B$2="Não","",'CÁLCULO FUNPRESP'!R313)</f>
        <v/>
      </c>
      <c r="L313" s="140" t="str">
        <f>IF($B$2="Não","",'CÁLCULO FUNPRESP'!S313)</f>
        <v/>
      </c>
      <c r="N313" s="164" t="str">
        <f ca="1">'CÁLCULO FUNPRESP'!U313</f>
        <v/>
      </c>
      <c r="O313" s="140" t="str">
        <f>IF($B$2="Não","",'CÁLCULO FUNPRESP'!Y313)</f>
        <v/>
      </c>
    </row>
    <row r="314" spans="9:15" x14ac:dyDescent="0.25">
      <c r="I314" s="164" t="str">
        <f ca="1">'CÁLCULO FUNPRESP'!P314</f>
        <v/>
      </c>
      <c r="J314" s="140" t="str">
        <f>IF($B$2="Não","",'CÁLCULO FUNPRESP'!Q314)</f>
        <v/>
      </c>
      <c r="K314" s="140" t="str">
        <f>IF($B$2="Não","",'CÁLCULO FUNPRESP'!R314)</f>
        <v/>
      </c>
      <c r="L314" s="140" t="str">
        <f>IF($B$2="Não","",'CÁLCULO FUNPRESP'!S314)</f>
        <v/>
      </c>
      <c r="N314" s="164" t="str">
        <f ca="1">'CÁLCULO FUNPRESP'!U314</f>
        <v/>
      </c>
      <c r="O314" s="140" t="str">
        <f>IF($B$2="Não","",'CÁLCULO FUNPRESP'!Y314)</f>
        <v/>
      </c>
    </row>
    <row r="315" spans="9:15" x14ac:dyDescent="0.25">
      <c r="I315" s="164" t="str">
        <f ca="1">'CÁLCULO FUNPRESP'!P315</f>
        <v/>
      </c>
      <c r="J315" s="140" t="str">
        <f>IF($B$2="Não","",'CÁLCULO FUNPRESP'!Q315)</f>
        <v/>
      </c>
      <c r="K315" s="140" t="str">
        <f>IF($B$2="Não","",'CÁLCULO FUNPRESP'!R315)</f>
        <v/>
      </c>
      <c r="L315" s="140" t="str">
        <f>IF($B$2="Não","",'CÁLCULO FUNPRESP'!S315)</f>
        <v/>
      </c>
      <c r="N315" s="164" t="str">
        <f ca="1">'CÁLCULO FUNPRESP'!U315</f>
        <v/>
      </c>
      <c r="O315" s="140" t="str">
        <f>IF($B$2="Não","",'CÁLCULO FUNPRESP'!Y315)</f>
        <v/>
      </c>
    </row>
    <row r="316" spans="9:15" x14ac:dyDescent="0.25">
      <c r="I316" s="164" t="str">
        <f ca="1">'CÁLCULO FUNPRESP'!P316</f>
        <v/>
      </c>
      <c r="J316" s="140" t="str">
        <f>IF($B$2="Não","",'CÁLCULO FUNPRESP'!Q316)</f>
        <v/>
      </c>
      <c r="K316" s="140" t="str">
        <f>IF($B$2="Não","",'CÁLCULO FUNPRESP'!R316)</f>
        <v/>
      </c>
      <c r="L316" s="140" t="str">
        <f>IF($B$2="Não","",'CÁLCULO FUNPRESP'!S316)</f>
        <v/>
      </c>
      <c r="N316" s="164" t="str">
        <f ca="1">'CÁLCULO FUNPRESP'!U316</f>
        <v/>
      </c>
      <c r="O316" s="140" t="str">
        <f>IF($B$2="Não","",'CÁLCULO FUNPRESP'!Y316)</f>
        <v/>
      </c>
    </row>
    <row r="317" spans="9:15" x14ac:dyDescent="0.25">
      <c r="I317" s="164" t="str">
        <f ca="1">'CÁLCULO FUNPRESP'!P317</f>
        <v/>
      </c>
      <c r="J317" s="140" t="str">
        <f>IF($B$2="Não","",'CÁLCULO FUNPRESP'!Q317)</f>
        <v/>
      </c>
      <c r="K317" s="140" t="str">
        <f>IF($B$2="Não","",'CÁLCULO FUNPRESP'!R317)</f>
        <v/>
      </c>
      <c r="L317" s="140" t="str">
        <f>IF($B$2="Não","",'CÁLCULO FUNPRESP'!S317)</f>
        <v/>
      </c>
      <c r="N317" s="164" t="str">
        <f ca="1">'CÁLCULO FUNPRESP'!U317</f>
        <v/>
      </c>
      <c r="O317" s="140" t="str">
        <f>IF($B$2="Não","",'CÁLCULO FUNPRESP'!Y317)</f>
        <v/>
      </c>
    </row>
    <row r="318" spans="9:15" x14ac:dyDescent="0.25">
      <c r="I318" s="164" t="str">
        <f ca="1">'CÁLCULO FUNPRESP'!P318</f>
        <v/>
      </c>
      <c r="J318" s="140" t="str">
        <f>IF($B$2="Não","",'CÁLCULO FUNPRESP'!Q318)</f>
        <v/>
      </c>
      <c r="K318" s="140" t="str">
        <f>IF($B$2="Não","",'CÁLCULO FUNPRESP'!R318)</f>
        <v/>
      </c>
      <c r="L318" s="140" t="str">
        <f>IF($B$2="Não","",'CÁLCULO FUNPRESP'!S318)</f>
        <v/>
      </c>
      <c r="N318" s="164" t="str">
        <f ca="1">'CÁLCULO FUNPRESP'!U318</f>
        <v/>
      </c>
      <c r="O318" s="140" t="str">
        <f>IF($B$2="Não","",'CÁLCULO FUNPRESP'!Y318)</f>
        <v/>
      </c>
    </row>
    <row r="319" spans="9:15" x14ac:dyDescent="0.25">
      <c r="I319" s="164" t="str">
        <f ca="1">'CÁLCULO FUNPRESP'!P319</f>
        <v/>
      </c>
      <c r="J319" s="140" t="str">
        <f>IF($B$2="Não","",'CÁLCULO FUNPRESP'!Q319)</f>
        <v/>
      </c>
      <c r="K319" s="140" t="str">
        <f>IF($B$2="Não","",'CÁLCULO FUNPRESP'!R319)</f>
        <v/>
      </c>
      <c r="L319" s="140" t="str">
        <f>IF($B$2="Não","",'CÁLCULO FUNPRESP'!S319)</f>
        <v/>
      </c>
      <c r="N319" s="164" t="str">
        <f ca="1">'CÁLCULO FUNPRESP'!U319</f>
        <v/>
      </c>
      <c r="O319" s="140" t="str">
        <f>IF($B$2="Não","",'CÁLCULO FUNPRESP'!Y319)</f>
        <v/>
      </c>
    </row>
    <row r="320" spans="9:15" x14ac:dyDescent="0.25">
      <c r="I320" s="164" t="str">
        <f ca="1">'CÁLCULO FUNPRESP'!P320</f>
        <v/>
      </c>
      <c r="J320" s="140" t="str">
        <f>IF($B$2="Não","",'CÁLCULO FUNPRESP'!Q320)</f>
        <v/>
      </c>
      <c r="K320" s="140" t="str">
        <f>IF($B$2="Não","",'CÁLCULO FUNPRESP'!R320)</f>
        <v/>
      </c>
      <c r="L320" s="140" t="str">
        <f>IF($B$2="Não","",'CÁLCULO FUNPRESP'!S320)</f>
        <v/>
      </c>
      <c r="N320" s="164" t="str">
        <f ca="1">'CÁLCULO FUNPRESP'!U320</f>
        <v/>
      </c>
      <c r="O320" s="140" t="str">
        <f>IF($B$2="Não","",'CÁLCULO FUNPRESP'!Y320)</f>
        <v/>
      </c>
    </row>
    <row r="321" spans="9:15" x14ac:dyDescent="0.25">
      <c r="I321" s="164" t="str">
        <f ca="1">'CÁLCULO FUNPRESP'!P321</f>
        <v/>
      </c>
      <c r="J321" s="140" t="str">
        <f>IF($B$2="Não","",'CÁLCULO FUNPRESP'!Q321)</f>
        <v/>
      </c>
      <c r="K321" s="140" t="str">
        <f>IF($B$2="Não","",'CÁLCULO FUNPRESP'!R321)</f>
        <v/>
      </c>
      <c r="L321" s="140" t="str">
        <f>IF($B$2="Não","",'CÁLCULO FUNPRESP'!S321)</f>
        <v/>
      </c>
      <c r="N321" s="164" t="str">
        <f ca="1">'CÁLCULO FUNPRESP'!U321</f>
        <v/>
      </c>
      <c r="O321" s="140" t="str">
        <f>IF($B$2="Não","",'CÁLCULO FUNPRESP'!Y321)</f>
        <v/>
      </c>
    </row>
    <row r="322" spans="9:15" x14ac:dyDescent="0.25">
      <c r="I322" s="164" t="str">
        <f ca="1">'CÁLCULO FUNPRESP'!P322</f>
        <v/>
      </c>
      <c r="J322" s="140" t="str">
        <f>IF($B$2="Não","",'CÁLCULO FUNPRESP'!Q322)</f>
        <v/>
      </c>
      <c r="K322" s="140" t="str">
        <f>IF($B$2="Não","",'CÁLCULO FUNPRESP'!R322)</f>
        <v/>
      </c>
      <c r="L322" s="140" t="str">
        <f>IF($B$2="Não","",'CÁLCULO FUNPRESP'!S322)</f>
        <v/>
      </c>
      <c r="N322" s="164" t="str">
        <f ca="1">'CÁLCULO FUNPRESP'!U322</f>
        <v/>
      </c>
      <c r="O322" s="140" t="str">
        <f>IF($B$2="Não","",'CÁLCULO FUNPRESP'!Y322)</f>
        <v/>
      </c>
    </row>
    <row r="323" spans="9:15" x14ac:dyDescent="0.25">
      <c r="I323" s="164" t="str">
        <f ca="1">'CÁLCULO FUNPRESP'!P323</f>
        <v/>
      </c>
      <c r="J323" s="140" t="str">
        <f>IF($B$2="Não","",'CÁLCULO FUNPRESP'!Q323)</f>
        <v/>
      </c>
      <c r="K323" s="140" t="str">
        <f>IF($B$2="Não","",'CÁLCULO FUNPRESP'!R323)</f>
        <v/>
      </c>
      <c r="L323" s="140" t="str">
        <f>IF($B$2="Não","",'CÁLCULO FUNPRESP'!S323)</f>
        <v/>
      </c>
      <c r="N323" s="164" t="str">
        <f ca="1">'CÁLCULO FUNPRESP'!U323</f>
        <v/>
      </c>
      <c r="O323" s="140" t="str">
        <f>IF($B$2="Não","",'CÁLCULO FUNPRESP'!Y323)</f>
        <v/>
      </c>
    </row>
    <row r="324" spans="9:15" x14ac:dyDescent="0.25">
      <c r="I324" s="164" t="str">
        <f ca="1">'CÁLCULO FUNPRESP'!P324</f>
        <v/>
      </c>
      <c r="J324" s="140" t="str">
        <f>IF($B$2="Não","",'CÁLCULO FUNPRESP'!Q324)</f>
        <v/>
      </c>
      <c r="K324" s="140" t="str">
        <f>IF($B$2="Não","",'CÁLCULO FUNPRESP'!R324)</f>
        <v/>
      </c>
      <c r="L324" s="140" t="str">
        <f>IF($B$2="Não","",'CÁLCULO FUNPRESP'!S324)</f>
        <v/>
      </c>
      <c r="N324" s="164" t="str">
        <f ca="1">'CÁLCULO FUNPRESP'!U324</f>
        <v/>
      </c>
      <c r="O324" s="140" t="str">
        <f>IF($B$2="Não","",'CÁLCULO FUNPRESP'!Y324)</f>
        <v/>
      </c>
    </row>
    <row r="325" spans="9:15" x14ac:dyDescent="0.25">
      <c r="I325" s="164" t="str">
        <f ca="1">'CÁLCULO FUNPRESP'!P325</f>
        <v/>
      </c>
      <c r="J325" s="140" t="str">
        <f>IF($B$2="Não","",'CÁLCULO FUNPRESP'!Q325)</f>
        <v/>
      </c>
      <c r="K325" s="140" t="str">
        <f>IF($B$2="Não","",'CÁLCULO FUNPRESP'!R325)</f>
        <v/>
      </c>
      <c r="L325" s="140" t="str">
        <f>IF($B$2="Não","",'CÁLCULO FUNPRESP'!S325)</f>
        <v/>
      </c>
      <c r="N325" s="164" t="str">
        <f ca="1">'CÁLCULO FUNPRESP'!U325</f>
        <v/>
      </c>
      <c r="O325" s="140" t="str">
        <f>IF($B$2="Não","",'CÁLCULO FUNPRESP'!Y325)</f>
        <v/>
      </c>
    </row>
    <row r="326" spans="9:15" x14ac:dyDescent="0.25">
      <c r="I326" s="164" t="str">
        <f ca="1">'CÁLCULO FUNPRESP'!P326</f>
        <v/>
      </c>
      <c r="J326" s="140" t="str">
        <f>IF($B$2="Não","",'CÁLCULO FUNPRESP'!Q326)</f>
        <v/>
      </c>
      <c r="K326" s="140" t="str">
        <f>IF($B$2="Não","",'CÁLCULO FUNPRESP'!R326)</f>
        <v/>
      </c>
      <c r="L326" s="140" t="str">
        <f>IF($B$2="Não","",'CÁLCULO FUNPRESP'!S326)</f>
        <v/>
      </c>
      <c r="N326" s="164" t="str">
        <f ca="1">'CÁLCULO FUNPRESP'!U326</f>
        <v/>
      </c>
      <c r="O326" s="140" t="str">
        <f>IF($B$2="Não","",'CÁLCULO FUNPRESP'!Y326)</f>
        <v/>
      </c>
    </row>
    <row r="327" spans="9:15" x14ac:dyDescent="0.25">
      <c r="I327" s="164" t="str">
        <f ca="1">'CÁLCULO FUNPRESP'!P327</f>
        <v/>
      </c>
      <c r="J327" s="140" t="str">
        <f>IF($B$2="Não","",'CÁLCULO FUNPRESP'!Q327)</f>
        <v/>
      </c>
      <c r="K327" s="140" t="str">
        <f>IF($B$2="Não","",'CÁLCULO FUNPRESP'!R327)</f>
        <v/>
      </c>
      <c r="L327" s="140" t="str">
        <f>IF($B$2="Não","",'CÁLCULO FUNPRESP'!S327)</f>
        <v/>
      </c>
      <c r="N327" s="164" t="str">
        <f ca="1">'CÁLCULO FUNPRESP'!U327</f>
        <v/>
      </c>
      <c r="O327" s="140" t="str">
        <f>IF($B$2="Não","",'CÁLCULO FUNPRESP'!Y327)</f>
        <v/>
      </c>
    </row>
    <row r="328" spans="9:15" x14ac:dyDescent="0.25">
      <c r="I328" s="164" t="str">
        <f ca="1">'CÁLCULO FUNPRESP'!P328</f>
        <v/>
      </c>
      <c r="J328" s="140" t="str">
        <f>IF($B$2="Não","",'CÁLCULO FUNPRESP'!Q328)</f>
        <v/>
      </c>
      <c r="K328" s="140" t="str">
        <f>IF($B$2="Não","",'CÁLCULO FUNPRESP'!R328)</f>
        <v/>
      </c>
      <c r="L328" s="140" t="str">
        <f>IF($B$2="Não","",'CÁLCULO FUNPRESP'!S328)</f>
        <v/>
      </c>
      <c r="N328" s="164" t="str">
        <f ca="1">'CÁLCULO FUNPRESP'!U328</f>
        <v/>
      </c>
      <c r="O328" s="140" t="str">
        <f>IF($B$2="Não","",'CÁLCULO FUNPRESP'!Y328)</f>
        <v/>
      </c>
    </row>
    <row r="329" spans="9:15" x14ac:dyDescent="0.25">
      <c r="I329" s="164" t="str">
        <f ca="1">'CÁLCULO FUNPRESP'!P329</f>
        <v/>
      </c>
      <c r="J329" s="140" t="str">
        <f>IF($B$2="Não","",'CÁLCULO FUNPRESP'!Q329)</f>
        <v/>
      </c>
      <c r="K329" s="140" t="str">
        <f>IF($B$2="Não","",'CÁLCULO FUNPRESP'!R329)</f>
        <v/>
      </c>
      <c r="L329" s="140" t="str">
        <f>IF($B$2="Não","",'CÁLCULO FUNPRESP'!S329)</f>
        <v/>
      </c>
      <c r="N329" s="164" t="str">
        <f ca="1">'CÁLCULO FUNPRESP'!U329</f>
        <v/>
      </c>
      <c r="O329" s="140" t="str">
        <f>IF($B$2="Não","",'CÁLCULO FUNPRESP'!Y329)</f>
        <v/>
      </c>
    </row>
    <row r="330" spans="9:15" x14ac:dyDescent="0.25">
      <c r="I330" s="164" t="str">
        <f ca="1">'CÁLCULO FUNPRESP'!P330</f>
        <v/>
      </c>
      <c r="J330" s="140" t="str">
        <f>IF($B$2="Não","",'CÁLCULO FUNPRESP'!Q330)</f>
        <v/>
      </c>
      <c r="K330" s="140" t="str">
        <f>IF($B$2="Não","",'CÁLCULO FUNPRESP'!R330)</f>
        <v/>
      </c>
      <c r="L330" s="140" t="str">
        <f>IF($B$2="Não","",'CÁLCULO FUNPRESP'!S330)</f>
        <v/>
      </c>
      <c r="N330" s="164" t="str">
        <f ca="1">'CÁLCULO FUNPRESP'!U330</f>
        <v/>
      </c>
      <c r="O330" s="140" t="str">
        <f>IF($B$2="Não","",'CÁLCULO FUNPRESP'!Y330)</f>
        <v/>
      </c>
    </row>
    <row r="331" spans="9:15" x14ac:dyDescent="0.25">
      <c r="I331" s="164" t="str">
        <f ca="1">'CÁLCULO FUNPRESP'!P331</f>
        <v/>
      </c>
      <c r="J331" s="140" t="str">
        <f>IF($B$2="Não","",'CÁLCULO FUNPRESP'!Q331)</f>
        <v/>
      </c>
      <c r="K331" s="140" t="str">
        <f>IF($B$2="Não","",'CÁLCULO FUNPRESP'!R331)</f>
        <v/>
      </c>
      <c r="L331" s="140" t="str">
        <f>IF($B$2="Não","",'CÁLCULO FUNPRESP'!S331)</f>
        <v/>
      </c>
      <c r="N331" s="164" t="str">
        <f ca="1">'CÁLCULO FUNPRESP'!U331</f>
        <v/>
      </c>
      <c r="O331" s="140" t="str">
        <f>IF($B$2="Não","",'CÁLCULO FUNPRESP'!Y331)</f>
        <v/>
      </c>
    </row>
    <row r="332" spans="9:15" x14ac:dyDescent="0.25">
      <c r="I332" s="164" t="str">
        <f ca="1">'CÁLCULO FUNPRESP'!P332</f>
        <v/>
      </c>
      <c r="J332" s="140" t="str">
        <f>IF($B$2="Não","",'CÁLCULO FUNPRESP'!Q332)</f>
        <v/>
      </c>
      <c r="K332" s="140" t="str">
        <f>IF($B$2="Não","",'CÁLCULO FUNPRESP'!R332)</f>
        <v/>
      </c>
      <c r="L332" s="140" t="str">
        <f>IF($B$2="Não","",'CÁLCULO FUNPRESP'!S332)</f>
        <v/>
      </c>
      <c r="N332" s="164" t="str">
        <f ca="1">'CÁLCULO FUNPRESP'!U332</f>
        <v/>
      </c>
      <c r="O332" s="140" t="str">
        <f>IF($B$2="Não","",'CÁLCULO FUNPRESP'!Y332)</f>
        <v/>
      </c>
    </row>
    <row r="333" spans="9:15" x14ac:dyDescent="0.25">
      <c r="I333" s="164" t="str">
        <f ca="1">'CÁLCULO FUNPRESP'!P333</f>
        <v/>
      </c>
      <c r="J333" s="140" t="str">
        <f>IF($B$2="Não","",'CÁLCULO FUNPRESP'!Q333)</f>
        <v/>
      </c>
      <c r="K333" s="140" t="str">
        <f>IF($B$2="Não","",'CÁLCULO FUNPRESP'!R333)</f>
        <v/>
      </c>
      <c r="L333" s="140" t="str">
        <f>IF($B$2="Não","",'CÁLCULO FUNPRESP'!S333)</f>
        <v/>
      </c>
      <c r="N333" s="164" t="str">
        <f ca="1">'CÁLCULO FUNPRESP'!U333</f>
        <v/>
      </c>
      <c r="O333" s="140" t="str">
        <f>IF($B$2="Não","",'CÁLCULO FUNPRESP'!Y333)</f>
        <v/>
      </c>
    </row>
    <row r="334" spans="9:15" x14ac:dyDescent="0.25">
      <c r="I334" s="164" t="str">
        <f ca="1">'CÁLCULO FUNPRESP'!P334</f>
        <v/>
      </c>
      <c r="J334" s="140" t="str">
        <f>IF($B$2="Não","",'CÁLCULO FUNPRESP'!Q334)</f>
        <v/>
      </c>
      <c r="K334" s="140" t="str">
        <f>IF($B$2="Não","",'CÁLCULO FUNPRESP'!R334)</f>
        <v/>
      </c>
      <c r="L334" s="140" t="str">
        <f>IF($B$2="Não","",'CÁLCULO FUNPRESP'!S334)</f>
        <v/>
      </c>
      <c r="N334" s="164" t="str">
        <f ca="1">'CÁLCULO FUNPRESP'!U334</f>
        <v/>
      </c>
      <c r="O334" s="140" t="str">
        <f>IF($B$2="Não","",'CÁLCULO FUNPRESP'!Y334)</f>
        <v/>
      </c>
    </row>
    <row r="335" spans="9:15" x14ac:dyDescent="0.25">
      <c r="I335" s="164" t="str">
        <f ca="1">'CÁLCULO FUNPRESP'!P335</f>
        <v/>
      </c>
      <c r="J335" s="140" t="str">
        <f>IF($B$2="Não","",'CÁLCULO FUNPRESP'!Q335)</f>
        <v/>
      </c>
      <c r="K335" s="140" t="str">
        <f>IF($B$2="Não","",'CÁLCULO FUNPRESP'!R335)</f>
        <v/>
      </c>
      <c r="L335" s="140" t="str">
        <f>IF($B$2="Não","",'CÁLCULO FUNPRESP'!S335)</f>
        <v/>
      </c>
      <c r="N335" s="164" t="str">
        <f ca="1">'CÁLCULO FUNPRESP'!U335</f>
        <v/>
      </c>
      <c r="O335" s="140" t="str">
        <f>IF($B$2="Não","",'CÁLCULO FUNPRESP'!Y335)</f>
        <v/>
      </c>
    </row>
    <row r="336" spans="9:15" x14ac:dyDescent="0.25">
      <c r="I336" s="164" t="str">
        <f ca="1">'CÁLCULO FUNPRESP'!P336</f>
        <v/>
      </c>
      <c r="J336" s="140" t="str">
        <f>IF($B$2="Não","",'CÁLCULO FUNPRESP'!Q336)</f>
        <v/>
      </c>
      <c r="K336" s="140" t="str">
        <f>IF($B$2="Não","",'CÁLCULO FUNPRESP'!R336)</f>
        <v/>
      </c>
      <c r="L336" s="140" t="str">
        <f>IF($B$2="Não","",'CÁLCULO FUNPRESP'!S336)</f>
        <v/>
      </c>
      <c r="N336" s="164" t="str">
        <f ca="1">'CÁLCULO FUNPRESP'!U336</f>
        <v/>
      </c>
      <c r="O336" s="140" t="str">
        <f>IF($B$2="Não","",'CÁLCULO FUNPRESP'!Y336)</f>
        <v/>
      </c>
    </row>
    <row r="337" spans="9:15" x14ac:dyDescent="0.25">
      <c r="I337" s="164" t="str">
        <f ca="1">'CÁLCULO FUNPRESP'!P337</f>
        <v/>
      </c>
      <c r="J337" s="140" t="str">
        <f>IF($B$2="Não","",'CÁLCULO FUNPRESP'!Q337)</f>
        <v/>
      </c>
      <c r="K337" s="140" t="str">
        <f>IF($B$2="Não","",'CÁLCULO FUNPRESP'!R337)</f>
        <v/>
      </c>
      <c r="L337" s="140" t="str">
        <f>IF($B$2="Não","",'CÁLCULO FUNPRESP'!S337)</f>
        <v/>
      </c>
      <c r="N337" s="164" t="str">
        <f ca="1">'CÁLCULO FUNPRESP'!U337</f>
        <v/>
      </c>
      <c r="O337" s="140" t="str">
        <f>IF($B$2="Não","",'CÁLCULO FUNPRESP'!Y337)</f>
        <v/>
      </c>
    </row>
    <row r="338" spans="9:15" x14ac:dyDescent="0.25">
      <c r="I338" s="164" t="str">
        <f ca="1">'CÁLCULO FUNPRESP'!P338</f>
        <v/>
      </c>
      <c r="J338" s="140" t="str">
        <f>IF($B$2="Não","",'CÁLCULO FUNPRESP'!Q338)</f>
        <v/>
      </c>
      <c r="K338" s="140" t="str">
        <f>IF($B$2="Não","",'CÁLCULO FUNPRESP'!R338)</f>
        <v/>
      </c>
      <c r="L338" s="140" t="str">
        <f>IF($B$2="Não","",'CÁLCULO FUNPRESP'!S338)</f>
        <v/>
      </c>
      <c r="N338" s="164" t="str">
        <f ca="1">'CÁLCULO FUNPRESP'!U338</f>
        <v/>
      </c>
      <c r="O338" s="140" t="str">
        <f>IF($B$2="Não","",'CÁLCULO FUNPRESP'!Y338)</f>
        <v/>
      </c>
    </row>
    <row r="339" spans="9:15" x14ac:dyDescent="0.25">
      <c r="I339" s="164" t="str">
        <f ca="1">'CÁLCULO FUNPRESP'!P339</f>
        <v/>
      </c>
      <c r="J339" s="140" t="str">
        <f>IF($B$2="Não","",'CÁLCULO FUNPRESP'!Q339)</f>
        <v/>
      </c>
      <c r="K339" s="140" t="str">
        <f>IF($B$2="Não","",'CÁLCULO FUNPRESP'!R339)</f>
        <v/>
      </c>
      <c r="L339" s="140" t="str">
        <f>IF($B$2="Não","",'CÁLCULO FUNPRESP'!S339)</f>
        <v/>
      </c>
      <c r="N339" s="164" t="str">
        <f ca="1">'CÁLCULO FUNPRESP'!U339</f>
        <v/>
      </c>
      <c r="O339" s="140" t="str">
        <f>IF($B$2="Não","",'CÁLCULO FUNPRESP'!Y339)</f>
        <v/>
      </c>
    </row>
    <row r="340" spans="9:15" x14ac:dyDescent="0.25">
      <c r="I340" s="164" t="str">
        <f ca="1">'CÁLCULO FUNPRESP'!P340</f>
        <v/>
      </c>
      <c r="J340" s="140" t="str">
        <f>IF($B$2="Não","",'CÁLCULO FUNPRESP'!Q340)</f>
        <v/>
      </c>
      <c r="K340" s="140" t="str">
        <f>IF($B$2="Não","",'CÁLCULO FUNPRESP'!R340)</f>
        <v/>
      </c>
      <c r="L340" s="140" t="str">
        <f>IF($B$2="Não","",'CÁLCULO FUNPRESP'!S340)</f>
        <v/>
      </c>
      <c r="N340" s="164" t="str">
        <f ca="1">'CÁLCULO FUNPRESP'!U340</f>
        <v/>
      </c>
      <c r="O340" s="140" t="str">
        <f>IF($B$2="Não","",'CÁLCULO FUNPRESP'!Y340)</f>
        <v/>
      </c>
    </row>
    <row r="341" spans="9:15" x14ac:dyDescent="0.25">
      <c r="I341" s="164" t="str">
        <f ca="1">'CÁLCULO FUNPRESP'!P341</f>
        <v/>
      </c>
      <c r="J341" s="140" t="str">
        <f>IF($B$2="Não","",'CÁLCULO FUNPRESP'!Q341)</f>
        <v/>
      </c>
      <c r="K341" s="140" t="str">
        <f>IF($B$2="Não","",'CÁLCULO FUNPRESP'!R341)</f>
        <v/>
      </c>
      <c r="L341" s="140" t="str">
        <f>IF($B$2="Não","",'CÁLCULO FUNPRESP'!S341)</f>
        <v/>
      </c>
      <c r="N341" s="164" t="str">
        <f ca="1">'CÁLCULO FUNPRESP'!U341</f>
        <v/>
      </c>
      <c r="O341" s="140" t="str">
        <f>IF($B$2="Não","",'CÁLCULO FUNPRESP'!Y341)</f>
        <v/>
      </c>
    </row>
    <row r="342" spans="9:15" x14ac:dyDescent="0.25">
      <c r="I342" s="164" t="str">
        <f ca="1">'CÁLCULO FUNPRESP'!P342</f>
        <v/>
      </c>
      <c r="J342" s="140" t="str">
        <f>IF($B$2="Não","",'CÁLCULO FUNPRESP'!Q342)</f>
        <v/>
      </c>
      <c r="K342" s="140" t="str">
        <f>IF($B$2="Não","",'CÁLCULO FUNPRESP'!R342)</f>
        <v/>
      </c>
      <c r="L342" s="140" t="str">
        <f>IF($B$2="Não","",'CÁLCULO FUNPRESP'!S342)</f>
        <v/>
      </c>
      <c r="N342" s="164" t="str">
        <f ca="1">'CÁLCULO FUNPRESP'!U342</f>
        <v/>
      </c>
      <c r="O342" s="140" t="str">
        <f>IF($B$2="Não","",'CÁLCULO FUNPRESP'!Y342)</f>
        <v/>
      </c>
    </row>
    <row r="343" spans="9:15" x14ac:dyDescent="0.25">
      <c r="I343" s="164" t="str">
        <f ca="1">'CÁLCULO FUNPRESP'!P343</f>
        <v/>
      </c>
      <c r="J343" s="140" t="str">
        <f>IF($B$2="Não","",'CÁLCULO FUNPRESP'!Q343)</f>
        <v/>
      </c>
      <c r="K343" s="140" t="str">
        <f>IF($B$2="Não","",'CÁLCULO FUNPRESP'!R343)</f>
        <v/>
      </c>
      <c r="L343" s="140" t="str">
        <f>IF($B$2="Não","",'CÁLCULO FUNPRESP'!S343)</f>
        <v/>
      </c>
      <c r="N343" s="164" t="str">
        <f ca="1">'CÁLCULO FUNPRESP'!U343</f>
        <v/>
      </c>
      <c r="O343" s="140" t="str">
        <f>IF($B$2="Não","",'CÁLCULO FUNPRESP'!Y343)</f>
        <v/>
      </c>
    </row>
    <row r="344" spans="9:15" x14ac:dyDescent="0.25">
      <c r="I344" s="164" t="str">
        <f ca="1">'CÁLCULO FUNPRESP'!P344</f>
        <v/>
      </c>
      <c r="J344" s="140" t="str">
        <f>IF($B$2="Não","",'CÁLCULO FUNPRESP'!Q344)</f>
        <v/>
      </c>
      <c r="K344" s="140" t="str">
        <f>IF($B$2="Não","",'CÁLCULO FUNPRESP'!R344)</f>
        <v/>
      </c>
      <c r="L344" s="140" t="str">
        <f>IF($B$2="Não","",'CÁLCULO FUNPRESP'!S344)</f>
        <v/>
      </c>
      <c r="N344" s="164" t="str">
        <f ca="1">'CÁLCULO FUNPRESP'!U344</f>
        <v/>
      </c>
      <c r="O344" s="140" t="str">
        <f>IF($B$2="Não","",'CÁLCULO FUNPRESP'!Y344)</f>
        <v/>
      </c>
    </row>
    <row r="345" spans="9:15" x14ac:dyDescent="0.25">
      <c r="I345" s="164" t="str">
        <f ca="1">'CÁLCULO FUNPRESP'!P345</f>
        <v/>
      </c>
      <c r="J345" s="140" t="str">
        <f>IF($B$2="Não","",'CÁLCULO FUNPRESP'!Q345)</f>
        <v/>
      </c>
      <c r="K345" s="140" t="str">
        <f>IF($B$2="Não","",'CÁLCULO FUNPRESP'!R345)</f>
        <v/>
      </c>
      <c r="L345" s="140" t="str">
        <f>IF($B$2="Não","",'CÁLCULO FUNPRESP'!S345)</f>
        <v/>
      </c>
      <c r="N345" s="164" t="str">
        <f ca="1">'CÁLCULO FUNPRESP'!U345</f>
        <v/>
      </c>
      <c r="O345" s="140" t="str">
        <f>IF($B$2="Não","",'CÁLCULO FUNPRESP'!Y345)</f>
        <v/>
      </c>
    </row>
    <row r="346" spans="9:15" x14ac:dyDescent="0.25">
      <c r="I346" s="164" t="str">
        <f ca="1">'CÁLCULO FUNPRESP'!P346</f>
        <v/>
      </c>
      <c r="J346" s="140" t="str">
        <f>IF($B$2="Não","",'CÁLCULO FUNPRESP'!Q346)</f>
        <v/>
      </c>
      <c r="K346" s="140" t="str">
        <f>IF($B$2="Não","",'CÁLCULO FUNPRESP'!R346)</f>
        <v/>
      </c>
      <c r="L346" s="140" t="str">
        <f>IF($B$2="Não","",'CÁLCULO FUNPRESP'!S346)</f>
        <v/>
      </c>
      <c r="N346" s="164" t="str">
        <f ca="1">'CÁLCULO FUNPRESP'!U346</f>
        <v/>
      </c>
      <c r="O346" s="140" t="str">
        <f>IF($B$2="Não","",'CÁLCULO FUNPRESP'!Y346)</f>
        <v/>
      </c>
    </row>
    <row r="347" spans="9:15" x14ac:dyDescent="0.25">
      <c r="I347" s="164" t="str">
        <f ca="1">'CÁLCULO FUNPRESP'!P347</f>
        <v/>
      </c>
      <c r="J347" s="140" t="str">
        <f>IF($B$2="Não","",'CÁLCULO FUNPRESP'!Q347)</f>
        <v/>
      </c>
      <c r="K347" s="140" t="str">
        <f>IF($B$2="Não","",'CÁLCULO FUNPRESP'!R347)</f>
        <v/>
      </c>
      <c r="L347" s="140" t="str">
        <f>IF($B$2="Não","",'CÁLCULO FUNPRESP'!S347)</f>
        <v/>
      </c>
      <c r="N347" s="164" t="str">
        <f ca="1">'CÁLCULO FUNPRESP'!U347</f>
        <v/>
      </c>
      <c r="O347" s="140" t="str">
        <f>IF($B$2="Não","",'CÁLCULO FUNPRESP'!Y347)</f>
        <v/>
      </c>
    </row>
    <row r="348" spans="9:15" x14ac:dyDescent="0.25">
      <c r="I348" s="164" t="str">
        <f ca="1">'CÁLCULO FUNPRESP'!P348</f>
        <v/>
      </c>
      <c r="J348" s="140" t="str">
        <f>IF($B$2="Não","",'CÁLCULO FUNPRESP'!Q348)</f>
        <v/>
      </c>
      <c r="K348" s="140" t="str">
        <f>IF($B$2="Não","",'CÁLCULO FUNPRESP'!R348)</f>
        <v/>
      </c>
      <c r="L348" s="140" t="str">
        <f>IF($B$2="Não","",'CÁLCULO FUNPRESP'!S348)</f>
        <v/>
      </c>
      <c r="N348" s="164" t="str">
        <f ca="1">'CÁLCULO FUNPRESP'!U348</f>
        <v/>
      </c>
      <c r="O348" s="140" t="str">
        <f>IF($B$2="Não","",'CÁLCULO FUNPRESP'!Y348)</f>
        <v/>
      </c>
    </row>
    <row r="349" spans="9:15" x14ac:dyDescent="0.25">
      <c r="I349" s="164" t="str">
        <f ca="1">'CÁLCULO FUNPRESP'!P349</f>
        <v/>
      </c>
      <c r="J349" s="140" t="str">
        <f>IF($B$2="Não","",'CÁLCULO FUNPRESP'!Q349)</f>
        <v/>
      </c>
      <c r="K349" s="140" t="str">
        <f>IF($B$2="Não","",'CÁLCULO FUNPRESP'!R349)</f>
        <v/>
      </c>
      <c r="L349" s="140" t="str">
        <f>IF($B$2="Não","",'CÁLCULO FUNPRESP'!S349)</f>
        <v/>
      </c>
      <c r="N349" s="164" t="str">
        <f ca="1">'CÁLCULO FUNPRESP'!U349</f>
        <v/>
      </c>
      <c r="O349" s="140" t="str">
        <f>IF($B$2="Não","",'CÁLCULO FUNPRESP'!Y349)</f>
        <v/>
      </c>
    </row>
    <row r="350" spans="9:15" x14ac:dyDescent="0.25">
      <c r="I350" s="164" t="str">
        <f ca="1">'CÁLCULO FUNPRESP'!P350</f>
        <v/>
      </c>
      <c r="J350" s="140" t="str">
        <f>IF($B$2="Não","",'CÁLCULO FUNPRESP'!Q350)</f>
        <v/>
      </c>
      <c r="K350" s="140" t="str">
        <f>IF($B$2="Não","",'CÁLCULO FUNPRESP'!R350)</f>
        <v/>
      </c>
      <c r="L350" s="140" t="str">
        <f>IF($B$2="Não","",'CÁLCULO FUNPRESP'!S350)</f>
        <v/>
      </c>
      <c r="N350" s="164" t="str">
        <f ca="1">'CÁLCULO FUNPRESP'!U350</f>
        <v/>
      </c>
      <c r="O350" s="140" t="str">
        <f>IF($B$2="Não","",'CÁLCULO FUNPRESP'!Y350)</f>
        <v/>
      </c>
    </row>
    <row r="351" spans="9:15" x14ac:dyDescent="0.25">
      <c r="I351" s="164" t="str">
        <f ca="1">'CÁLCULO FUNPRESP'!P351</f>
        <v/>
      </c>
      <c r="J351" s="140" t="str">
        <f>IF($B$2="Não","",'CÁLCULO FUNPRESP'!Q351)</f>
        <v/>
      </c>
      <c r="K351" s="140" t="str">
        <f>IF($B$2="Não","",'CÁLCULO FUNPRESP'!R351)</f>
        <v/>
      </c>
      <c r="L351" s="140" t="str">
        <f>IF($B$2="Não","",'CÁLCULO FUNPRESP'!S351)</f>
        <v/>
      </c>
      <c r="N351" s="164" t="str">
        <f ca="1">'CÁLCULO FUNPRESP'!U351</f>
        <v/>
      </c>
      <c r="O351" s="140" t="str">
        <f>IF($B$2="Não","",'CÁLCULO FUNPRESP'!Y351)</f>
        <v/>
      </c>
    </row>
    <row r="352" spans="9:15" x14ac:dyDescent="0.25">
      <c r="I352" s="164" t="str">
        <f ca="1">'CÁLCULO FUNPRESP'!P352</f>
        <v/>
      </c>
      <c r="J352" s="140" t="str">
        <f>IF($B$2="Não","",'CÁLCULO FUNPRESP'!Q352)</f>
        <v/>
      </c>
      <c r="K352" s="140" t="str">
        <f>IF($B$2="Não","",'CÁLCULO FUNPRESP'!R352)</f>
        <v/>
      </c>
      <c r="L352" s="140" t="str">
        <f>IF($B$2="Não","",'CÁLCULO FUNPRESP'!S352)</f>
        <v/>
      </c>
      <c r="N352" s="164" t="str">
        <f ca="1">'CÁLCULO FUNPRESP'!U352</f>
        <v/>
      </c>
      <c r="O352" s="140" t="str">
        <f>IF($B$2="Não","",'CÁLCULO FUNPRESP'!Y352)</f>
        <v/>
      </c>
    </row>
    <row r="353" spans="9:15" x14ac:dyDescent="0.25">
      <c r="I353" s="164" t="str">
        <f ca="1">'CÁLCULO FUNPRESP'!P353</f>
        <v/>
      </c>
      <c r="J353" s="140" t="str">
        <f>IF($B$2="Não","",'CÁLCULO FUNPRESP'!Q353)</f>
        <v/>
      </c>
      <c r="K353" s="140" t="str">
        <f>IF($B$2="Não","",'CÁLCULO FUNPRESP'!R353)</f>
        <v/>
      </c>
      <c r="L353" s="140" t="str">
        <f>IF($B$2="Não","",'CÁLCULO FUNPRESP'!S353)</f>
        <v/>
      </c>
      <c r="N353" s="164" t="str">
        <f ca="1">'CÁLCULO FUNPRESP'!U353</f>
        <v/>
      </c>
      <c r="O353" s="140" t="str">
        <f>IF($B$2="Não","",'CÁLCULO FUNPRESP'!Y353)</f>
        <v/>
      </c>
    </row>
    <row r="354" spans="9:15" x14ac:dyDescent="0.25">
      <c r="I354" s="164" t="str">
        <f ca="1">'CÁLCULO FUNPRESP'!P354</f>
        <v/>
      </c>
      <c r="J354" s="140" t="str">
        <f>IF($B$2="Não","",'CÁLCULO FUNPRESP'!Q354)</f>
        <v/>
      </c>
      <c r="K354" s="140" t="str">
        <f>IF($B$2="Não","",'CÁLCULO FUNPRESP'!R354)</f>
        <v/>
      </c>
      <c r="L354" s="140" t="str">
        <f>IF($B$2="Não","",'CÁLCULO FUNPRESP'!S354)</f>
        <v/>
      </c>
      <c r="N354" s="164" t="str">
        <f ca="1">'CÁLCULO FUNPRESP'!U354</f>
        <v/>
      </c>
      <c r="O354" s="140" t="str">
        <f>IF($B$2="Não","",'CÁLCULO FUNPRESP'!Y354)</f>
        <v/>
      </c>
    </row>
    <row r="355" spans="9:15" x14ac:dyDescent="0.25">
      <c r="I355" s="164" t="str">
        <f ca="1">'CÁLCULO FUNPRESP'!P355</f>
        <v/>
      </c>
      <c r="J355" s="140" t="str">
        <f>IF($B$2="Não","",'CÁLCULO FUNPRESP'!Q355)</f>
        <v/>
      </c>
      <c r="K355" s="140" t="str">
        <f>IF($B$2="Não","",'CÁLCULO FUNPRESP'!R355)</f>
        <v/>
      </c>
      <c r="L355" s="140" t="str">
        <f>IF($B$2="Não","",'CÁLCULO FUNPRESP'!S355)</f>
        <v/>
      </c>
      <c r="N355" s="164" t="str">
        <f ca="1">'CÁLCULO FUNPRESP'!U355</f>
        <v/>
      </c>
      <c r="O355" s="140" t="str">
        <f>IF($B$2="Não","",'CÁLCULO FUNPRESP'!Y355)</f>
        <v/>
      </c>
    </row>
    <row r="356" spans="9:15" x14ac:dyDescent="0.25">
      <c r="I356" s="164" t="str">
        <f ca="1">'CÁLCULO FUNPRESP'!P356</f>
        <v/>
      </c>
      <c r="J356" s="140" t="str">
        <f>IF($B$2="Não","",'CÁLCULO FUNPRESP'!Q356)</f>
        <v/>
      </c>
      <c r="K356" s="140" t="str">
        <f>IF($B$2="Não","",'CÁLCULO FUNPRESP'!R356)</f>
        <v/>
      </c>
      <c r="L356" s="140" t="str">
        <f>IF($B$2="Não","",'CÁLCULO FUNPRESP'!S356)</f>
        <v/>
      </c>
      <c r="N356" s="164" t="str">
        <f ca="1">'CÁLCULO FUNPRESP'!U356</f>
        <v/>
      </c>
      <c r="O356" s="140" t="str">
        <f>IF($B$2="Não","",'CÁLCULO FUNPRESP'!Y356)</f>
        <v/>
      </c>
    </row>
    <row r="357" spans="9:15" x14ac:dyDescent="0.25">
      <c r="I357" s="164" t="str">
        <f ca="1">'CÁLCULO FUNPRESP'!P357</f>
        <v/>
      </c>
      <c r="J357" s="140" t="str">
        <f>IF($B$2="Não","",'CÁLCULO FUNPRESP'!Q357)</f>
        <v/>
      </c>
      <c r="K357" s="140" t="str">
        <f>IF($B$2="Não","",'CÁLCULO FUNPRESP'!R357)</f>
        <v/>
      </c>
      <c r="L357" s="140" t="str">
        <f>IF($B$2="Não","",'CÁLCULO FUNPRESP'!S357)</f>
        <v/>
      </c>
      <c r="N357" s="164" t="str">
        <f ca="1">'CÁLCULO FUNPRESP'!U357</f>
        <v/>
      </c>
      <c r="O357" s="140" t="str">
        <f>IF($B$2="Não","",'CÁLCULO FUNPRESP'!Y357)</f>
        <v/>
      </c>
    </row>
    <row r="358" spans="9:15" x14ac:dyDescent="0.25">
      <c r="I358" s="164" t="str">
        <f ca="1">'CÁLCULO FUNPRESP'!P358</f>
        <v/>
      </c>
      <c r="J358" s="140" t="str">
        <f>IF($B$2="Não","",'CÁLCULO FUNPRESP'!Q358)</f>
        <v/>
      </c>
      <c r="K358" s="140" t="str">
        <f>IF($B$2="Não","",'CÁLCULO FUNPRESP'!R358)</f>
        <v/>
      </c>
      <c r="L358" s="140" t="str">
        <f>IF($B$2="Não","",'CÁLCULO FUNPRESP'!S358)</f>
        <v/>
      </c>
      <c r="N358" s="164" t="str">
        <f ca="1">'CÁLCULO FUNPRESP'!U358</f>
        <v/>
      </c>
      <c r="O358" s="140" t="str">
        <f>IF($B$2="Não","",'CÁLCULO FUNPRESP'!Y358)</f>
        <v/>
      </c>
    </row>
    <row r="359" spans="9:15" x14ac:dyDescent="0.25">
      <c r="I359" s="164" t="str">
        <f ca="1">'CÁLCULO FUNPRESP'!P359</f>
        <v/>
      </c>
      <c r="J359" s="140" t="str">
        <f>IF($B$2="Não","",'CÁLCULO FUNPRESP'!Q359)</f>
        <v/>
      </c>
      <c r="K359" s="140" t="str">
        <f>IF($B$2="Não","",'CÁLCULO FUNPRESP'!R359)</f>
        <v/>
      </c>
      <c r="L359" s="140" t="str">
        <f>IF($B$2="Não","",'CÁLCULO FUNPRESP'!S359)</f>
        <v/>
      </c>
      <c r="N359" s="164" t="str">
        <f ca="1">'CÁLCULO FUNPRESP'!U359</f>
        <v/>
      </c>
      <c r="O359" s="140" t="str">
        <f>IF($B$2="Não","",'CÁLCULO FUNPRESP'!Y359)</f>
        <v/>
      </c>
    </row>
    <row r="360" spans="9:15" x14ac:dyDescent="0.25">
      <c r="I360" s="164" t="str">
        <f ca="1">'CÁLCULO FUNPRESP'!P360</f>
        <v/>
      </c>
      <c r="J360" s="140" t="str">
        <f>IF($B$2="Não","",'CÁLCULO FUNPRESP'!Q360)</f>
        <v/>
      </c>
      <c r="K360" s="140" t="str">
        <f>IF($B$2="Não","",'CÁLCULO FUNPRESP'!R360)</f>
        <v/>
      </c>
      <c r="L360" s="140" t="str">
        <f>IF($B$2="Não","",'CÁLCULO FUNPRESP'!S360)</f>
        <v/>
      </c>
      <c r="N360" s="164" t="str">
        <f ca="1">'CÁLCULO FUNPRESP'!U360</f>
        <v/>
      </c>
      <c r="O360" s="140" t="str">
        <f>IF($B$2="Não","",'CÁLCULO FUNPRESP'!Y360)</f>
        <v/>
      </c>
    </row>
    <row r="361" spans="9:15" x14ac:dyDescent="0.25">
      <c r="I361" s="164" t="str">
        <f ca="1">'CÁLCULO FUNPRESP'!P361</f>
        <v/>
      </c>
      <c r="J361" s="140" t="str">
        <f>IF($B$2="Não","",'CÁLCULO FUNPRESP'!Q361)</f>
        <v/>
      </c>
      <c r="K361" s="140" t="str">
        <f>IF($B$2="Não","",'CÁLCULO FUNPRESP'!R361)</f>
        <v/>
      </c>
      <c r="L361" s="140" t="str">
        <f>IF($B$2="Não","",'CÁLCULO FUNPRESP'!S361)</f>
        <v/>
      </c>
      <c r="N361" s="164" t="str">
        <f ca="1">'CÁLCULO FUNPRESP'!U361</f>
        <v/>
      </c>
      <c r="O361" s="140" t="str">
        <f>IF($B$2="Não","",'CÁLCULO FUNPRESP'!Y361)</f>
        <v/>
      </c>
    </row>
    <row r="362" spans="9:15" x14ac:dyDescent="0.25">
      <c r="I362" s="164" t="str">
        <f ca="1">'CÁLCULO FUNPRESP'!P362</f>
        <v/>
      </c>
      <c r="J362" s="140" t="str">
        <f>IF($B$2="Não","",'CÁLCULO FUNPRESP'!Q362)</f>
        <v/>
      </c>
      <c r="K362" s="140" t="str">
        <f>IF($B$2="Não","",'CÁLCULO FUNPRESP'!R362)</f>
        <v/>
      </c>
      <c r="L362" s="140" t="str">
        <f>IF($B$2="Não","",'CÁLCULO FUNPRESP'!S362)</f>
        <v/>
      </c>
      <c r="N362" s="164" t="str">
        <f ca="1">'CÁLCULO FUNPRESP'!U362</f>
        <v/>
      </c>
      <c r="O362" s="140" t="str">
        <f>IF($B$2="Não","",'CÁLCULO FUNPRESP'!Y362)</f>
        <v/>
      </c>
    </row>
    <row r="363" spans="9:15" x14ac:dyDescent="0.25">
      <c r="I363" s="164" t="str">
        <f ca="1">'CÁLCULO FUNPRESP'!P363</f>
        <v/>
      </c>
      <c r="J363" s="140" t="str">
        <f>IF($B$2="Não","",'CÁLCULO FUNPRESP'!Q363)</f>
        <v/>
      </c>
      <c r="K363" s="140" t="str">
        <f>IF($B$2="Não","",'CÁLCULO FUNPRESP'!R363)</f>
        <v/>
      </c>
      <c r="L363" s="140" t="str">
        <f>IF($B$2="Não","",'CÁLCULO FUNPRESP'!S363)</f>
        <v/>
      </c>
      <c r="N363" s="164" t="str">
        <f ca="1">'CÁLCULO FUNPRESP'!U363</f>
        <v/>
      </c>
      <c r="O363" s="140" t="str">
        <f>IF($B$2="Não","",'CÁLCULO FUNPRESP'!Y363)</f>
        <v/>
      </c>
    </row>
    <row r="364" spans="9:15" x14ac:dyDescent="0.25">
      <c r="I364" s="164" t="str">
        <f ca="1">'CÁLCULO FUNPRESP'!P364</f>
        <v/>
      </c>
      <c r="J364" s="140" t="str">
        <f>IF($B$2="Não","",'CÁLCULO FUNPRESP'!Q364)</f>
        <v/>
      </c>
      <c r="K364" s="140" t="str">
        <f>IF($B$2="Não","",'CÁLCULO FUNPRESP'!R364)</f>
        <v/>
      </c>
      <c r="L364" s="140" t="str">
        <f>IF($B$2="Não","",'CÁLCULO FUNPRESP'!S364)</f>
        <v/>
      </c>
      <c r="N364" s="164" t="str">
        <f ca="1">'CÁLCULO FUNPRESP'!U364</f>
        <v/>
      </c>
      <c r="O364" s="140" t="str">
        <f>IF($B$2="Não","",'CÁLCULO FUNPRESP'!Y364)</f>
        <v/>
      </c>
    </row>
    <row r="365" spans="9:15" x14ac:dyDescent="0.25">
      <c r="I365" s="164" t="str">
        <f ca="1">'CÁLCULO FUNPRESP'!P365</f>
        <v/>
      </c>
      <c r="J365" s="140" t="str">
        <f>IF($B$2="Não","",'CÁLCULO FUNPRESP'!Q365)</f>
        <v/>
      </c>
      <c r="K365" s="140" t="str">
        <f>IF($B$2="Não","",'CÁLCULO FUNPRESP'!R365)</f>
        <v/>
      </c>
      <c r="L365" s="140" t="str">
        <f>IF($B$2="Não","",'CÁLCULO FUNPRESP'!S365)</f>
        <v/>
      </c>
      <c r="N365" s="164" t="str">
        <f ca="1">'CÁLCULO FUNPRESP'!U365</f>
        <v/>
      </c>
      <c r="O365" s="140" t="str">
        <f>IF($B$2="Não","",'CÁLCULO FUNPRESP'!Y365)</f>
        <v/>
      </c>
    </row>
    <row r="366" spans="9:15" x14ac:dyDescent="0.25">
      <c r="I366" s="164" t="str">
        <f ca="1">'CÁLCULO FUNPRESP'!P366</f>
        <v/>
      </c>
      <c r="J366" s="140" t="str">
        <f>IF($B$2="Não","",'CÁLCULO FUNPRESP'!Q366)</f>
        <v/>
      </c>
      <c r="K366" s="140" t="str">
        <f>IF($B$2="Não","",'CÁLCULO FUNPRESP'!R366)</f>
        <v/>
      </c>
      <c r="L366" s="140" t="str">
        <f>IF($B$2="Não","",'CÁLCULO FUNPRESP'!S366)</f>
        <v/>
      </c>
      <c r="N366" s="164" t="str">
        <f ca="1">'CÁLCULO FUNPRESP'!U366</f>
        <v/>
      </c>
      <c r="O366" s="140" t="str">
        <f>IF($B$2="Não","",'CÁLCULO FUNPRESP'!Y366)</f>
        <v/>
      </c>
    </row>
    <row r="367" spans="9:15" x14ac:dyDescent="0.25">
      <c r="I367" s="164" t="str">
        <f ca="1">'CÁLCULO FUNPRESP'!P367</f>
        <v/>
      </c>
      <c r="J367" s="140" t="str">
        <f>IF($B$2="Não","",'CÁLCULO FUNPRESP'!Q367)</f>
        <v/>
      </c>
      <c r="K367" s="140" t="str">
        <f>IF($B$2="Não","",'CÁLCULO FUNPRESP'!R367)</f>
        <v/>
      </c>
      <c r="L367" s="140" t="str">
        <f>IF($B$2="Não","",'CÁLCULO FUNPRESP'!S367)</f>
        <v/>
      </c>
      <c r="N367" s="164" t="str">
        <f ca="1">'CÁLCULO FUNPRESP'!U367</f>
        <v/>
      </c>
      <c r="O367" s="140" t="str">
        <f>IF($B$2="Não","",'CÁLCULO FUNPRESP'!Y367)</f>
        <v/>
      </c>
    </row>
    <row r="368" spans="9:15" x14ac:dyDescent="0.25">
      <c r="I368" s="164" t="str">
        <f ca="1">'CÁLCULO FUNPRESP'!P368</f>
        <v/>
      </c>
      <c r="J368" s="140" t="str">
        <f>IF($B$2="Não","",'CÁLCULO FUNPRESP'!Q368)</f>
        <v/>
      </c>
      <c r="K368" s="140" t="str">
        <f>IF($B$2="Não","",'CÁLCULO FUNPRESP'!R368)</f>
        <v/>
      </c>
      <c r="L368" s="140" t="str">
        <f>IF($B$2="Não","",'CÁLCULO FUNPRESP'!S368)</f>
        <v/>
      </c>
      <c r="N368" s="164" t="str">
        <f ca="1">'CÁLCULO FUNPRESP'!U368</f>
        <v/>
      </c>
      <c r="O368" s="140" t="str">
        <f>IF($B$2="Não","",'CÁLCULO FUNPRESP'!Y368)</f>
        <v/>
      </c>
    </row>
    <row r="369" spans="9:15" x14ac:dyDescent="0.25">
      <c r="I369" s="164" t="str">
        <f ca="1">'CÁLCULO FUNPRESP'!P369</f>
        <v/>
      </c>
      <c r="J369" s="140" t="str">
        <f>IF($B$2="Não","",'CÁLCULO FUNPRESP'!Q369)</f>
        <v/>
      </c>
      <c r="K369" s="140" t="str">
        <f>IF($B$2="Não","",'CÁLCULO FUNPRESP'!R369)</f>
        <v/>
      </c>
      <c r="L369" s="140" t="str">
        <f>IF($B$2="Não","",'CÁLCULO FUNPRESP'!S369)</f>
        <v/>
      </c>
      <c r="N369" s="164" t="str">
        <f ca="1">'CÁLCULO FUNPRESP'!U369</f>
        <v/>
      </c>
      <c r="O369" s="140" t="str">
        <f>IF($B$2="Não","",'CÁLCULO FUNPRESP'!Y369)</f>
        <v/>
      </c>
    </row>
    <row r="370" spans="9:15" x14ac:dyDescent="0.25">
      <c r="I370" s="164" t="str">
        <f ca="1">'CÁLCULO FUNPRESP'!P370</f>
        <v/>
      </c>
      <c r="J370" s="140" t="str">
        <f>IF($B$2="Não","",'CÁLCULO FUNPRESP'!Q370)</f>
        <v/>
      </c>
      <c r="K370" s="140" t="str">
        <f>IF($B$2="Não","",'CÁLCULO FUNPRESP'!R370)</f>
        <v/>
      </c>
      <c r="L370" s="140" t="str">
        <f>IF($B$2="Não","",'CÁLCULO FUNPRESP'!S370)</f>
        <v/>
      </c>
      <c r="N370" s="164" t="str">
        <f ca="1">'CÁLCULO FUNPRESP'!U370</f>
        <v/>
      </c>
      <c r="O370" s="140" t="str">
        <f>IF($B$2="Não","",'CÁLCULO FUNPRESP'!Y370)</f>
        <v/>
      </c>
    </row>
    <row r="371" spans="9:15" x14ac:dyDescent="0.25">
      <c r="I371" s="164" t="str">
        <f ca="1">'CÁLCULO FUNPRESP'!P371</f>
        <v/>
      </c>
      <c r="J371" s="140" t="str">
        <f>IF($B$2="Não","",'CÁLCULO FUNPRESP'!Q371)</f>
        <v/>
      </c>
      <c r="K371" s="140" t="str">
        <f>IF($B$2="Não","",'CÁLCULO FUNPRESP'!R371)</f>
        <v/>
      </c>
      <c r="L371" s="140" t="str">
        <f>IF($B$2="Não","",'CÁLCULO FUNPRESP'!S371)</f>
        <v/>
      </c>
      <c r="N371" s="164" t="str">
        <f ca="1">'CÁLCULO FUNPRESP'!U371</f>
        <v/>
      </c>
      <c r="O371" s="140" t="str">
        <f>IF($B$2="Não","",'CÁLCULO FUNPRESP'!Y371)</f>
        <v/>
      </c>
    </row>
    <row r="372" spans="9:15" x14ac:dyDescent="0.25">
      <c r="I372" s="164" t="str">
        <f ca="1">'CÁLCULO FUNPRESP'!P372</f>
        <v/>
      </c>
      <c r="J372" s="140" t="str">
        <f>IF($B$2="Não","",'CÁLCULO FUNPRESP'!Q372)</f>
        <v/>
      </c>
      <c r="K372" s="140" t="str">
        <f>IF($B$2="Não","",'CÁLCULO FUNPRESP'!R372)</f>
        <v/>
      </c>
      <c r="L372" s="140" t="str">
        <f>IF($B$2="Não","",'CÁLCULO FUNPRESP'!S372)</f>
        <v/>
      </c>
      <c r="N372" s="164" t="str">
        <f ca="1">'CÁLCULO FUNPRESP'!U372</f>
        <v/>
      </c>
      <c r="O372" s="140" t="str">
        <f>IF($B$2="Não","",'CÁLCULO FUNPRESP'!Y372)</f>
        <v/>
      </c>
    </row>
    <row r="373" spans="9:15" x14ac:dyDescent="0.25">
      <c r="I373" s="164" t="str">
        <f ca="1">'CÁLCULO FUNPRESP'!P373</f>
        <v/>
      </c>
      <c r="J373" s="140" t="str">
        <f>IF($B$2="Não","",'CÁLCULO FUNPRESP'!Q373)</f>
        <v/>
      </c>
      <c r="K373" s="140" t="str">
        <f>IF($B$2="Não","",'CÁLCULO FUNPRESP'!R373)</f>
        <v/>
      </c>
      <c r="L373" s="140" t="str">
        <f>IF($B$2="Não","",'CÁLCULO FUNPRESP'!S373)</f>
        <v/>
      </c>
      <c r="N373" s="164" t="str">
        <f ca="1">'CÁLCULO FUNPRESP'!U373</f>
        <v/>
      </c>
      <c r="O373" s="140" t="str">
        <f>IF($B$2="Não","",'CÁLCULO FUNPRESP'!Y373)</f>
        <v/>
      </c>
    </row>
    <row r="374" spans="9:15" x14ac:dyDescent="0.25">
      <c r="I374" s="164" t="str">
        <f ca="1">'CÁLCULO FUNPRESP'!P374</f>
        <v/>
      </c>
      <c r="J374" s="140" t="str">
        <f>IF($B$2="Não","",'CÁLCULO FUNPRESP'!Q374)</f>
        <v/>
      </c>
      <c r="K374" s="140" t="str">
        <f>IF($B$2="Não","",'CÁLCULO FUNPRESP'!R374)</f>
        <v/>
      </c>
      <c r="L374" s="140" t="str">
        <f>IF($B$2="Não","",'CÁLCULO FUNPRESP'!S374)</f>
        <v/>
      </c>
      <c r="N374" s="164" t="str">
        <f ca="1">'CÁLCULO FUNPRESP'!U374</f>
        <v/>
      </c>
      <c r="O374" s="140" t="str">
        <f>IF($B$2="Não","",'CÁLCULO FUNPRESP'!Y374)</f>
        <v/>
      </c>
    </row>
    <row r="375" spans="9:15" x14ac:dyDescent="0.25">
      <c r="I375" s="164" t="str">
        <f ca="1">'CÁLCULO FUNPRESP'!P375</f>
        <v/>
      </c>
      <c r="J375" s="140" t="str">
        <f>IF($B$2="Não","",'CÁLCULO FUNPRESP'!Q375)</f>
        <v/>
      </c>
      <c r="K375" s="140" t="str">
        <f>IF($B$2="Não","",'CÁLCULO FUNPRESP'!R375)</f>
        <v/>
      </c>
      <c r="L375" s="140" t="str">
        <f>IF($B$2="Não","",'CÁLCULO FUNPRESP'!S375)</f>
        <v/>
      </c>
      <c r="N375" s="164" t="str">
        <f ca="1">'CÁLCULO FUNPRESP'!U375</f>
        <v/>
      </c>
      <c r="O375" s="140" t="str">
        <f>IF($B$2="Não","",'CÁLCULO FUNPRESP'!Y375)</f>
        <v/>
      </c>
    </row>
    <row r="376" spans="9:15" x14ac:dyDescent="0.25">
      <c r="I376" s="164" t="str">
        <f ca="1">'CÁLCULO FUNPRESP'!P376</f>
        <v/>
      </c>
      <c r="J376" s="140" t="str">
        <f>IF($B$2="Não","",'CÁLCULO FUNPRESP'!Q376)</f>
        <v/>
      </c>
      <c r="K376" s="140" t="str">
        <f>IF($B$2="Não","",'CÁLCULO FUNPRESP'!R376)</f>
        <v/>
      </c>
      <c r="L376" s="140" t="str">
        <f>IF($B$2="Não","",'CÁLCULO FUNPRESP'!S376)</f>
        <v/>
      </c>
      <c r="N376" s="164" t="str">
        <f ca="1">'CÁLCULO FUNPRESP'!U376</f>
        <v/>
      </c>
      <c r="O376" s="140" t="str">
        <f>IF($B$2="Não","",'CÁLCULO FUNPRESP'!Y376)</f>
        <v/>
      </c>
    </row>
    <row r="377" spans="9:15" x14ac:dyDescent="0.25">
      <c r="I377" s="164" t="str">
        <f ca="1">'CÁLCULO FUNPRESP'!P377</f>
        <v/>
      </c>
      <c r="J377" s="140" t="str">
        <f>IF($B$2="Não","",'CÁLCULO FUNPRESP'!Q377)</f>
        <v/>
      </c>
      <c r="K377" s="140" t="str">
        <f>IF($B$2="Não","",'CÁLCULO FUNPRESP'!R377)</f>
        <v/>
      </c>
      <c r="L377" s="140" t="str">
        <f>IF($B$2="Não","",'CÁLCULO FUNPRESP'!S377)</f>
        <v/>
      </c>
      <c r="N377" s="164" t="str">
        <f ca="1">'CÁLCULO FUNPRESP'!U377</f>
        <v/>
      </c>
      <c r="O377" s="140" t="str">
        <f>IF($B$2="Não","",'CÁLCULO FUNPRESP'!Y377)</f>
        <v/>
      </c>
    </row>
    <row r="378" spans="9:15" x14ac:dyDescent="0.25">
      <c r="I378" s="164" t="str">
        <f ca="1">'CÁLCULO FUNPRESP'!P378</f>
        <v/>
      </c>
      <c r="J378" s="140" t="str">
        <f>IF($B$2="Não","",'CÁLCULO FUNPRESP'!Q378)</f>
        <v/>
      </c>
      <c r="K378" s="140" t="str">
        <f>IF($B$2="Não","",'CÁLCULO FUNPRESP'!R378)</f>
        <v/>
      </c>
      <c r="L378" s="140" t="str">
        <f>IF($B$2="Não","",'CÁLCULO FUNPRESP'!S378)</f>
        <v/>
      </c>
      <c r="N378" s="164" t="str">
        <f ca="1">'CÁLCULO FUNPRESP'!U378</f>
        <v/>
      </c>
      <c r="O378" s="140" t="str">
        <f>IF($B$2="Não","",'CÁLCULO FUNPRESP'!Y378)</f>
        <v/>
      </c>
    </row>
    <row r="379" spans="9:15" x14ac:dyDescent="0.25">
      <c r="I379" s="164" t="str">
        <f ca="1">'CÁLCULO FUNPRESP'!P379</f>
        <v/>
      </c>
      <c r="J379" s="140" t="str">
        <f>IF($B$2="Não","",'CÁLCULO FUNPRESP'!Q379)</f>
        <v/>
      </c>
      <c r="K379" s="140" t="str">
        <f>IF($B$2="Não","",'CÁLCULO FUNPRESP'!R379)</f>
        <v/>
      </c>
      <c r="L379" s="140" t="str">
        <f>IF($B$2="Não","",'CÁLCULO FUNPRESP'!S379)</f>
        <v/>
      </c>
      <c r="N379" s="164" t="str">
        <f ca="1">'CÁLCULO FUNPRESP'!U379</f>
        <v/>
      </c>
      <c r="O379" s="140" t="str">
        <f>IF($B$2="Não","",'CÁLCULO FUNPRESP'!Y379)</f>
        <v/>
      </c>
    </row>
    <row r="380" spans="9:15" x14ac:dyDescent="0.25">
      <c r="I380" s="164" t="str">
        <f ca="1">'CÁLCULO FUNPRESP'!P380</f>
        <v/>
      </c>
      <c r="J380" s="140" t="str">
        <f>IF($B$2="Não","",'CÁLCULO FUNPRESP'!Q380)</f>
        <v/>
      </c>
      <c r="K380" s="140" t="str">
        <f>IF($B$2="Não","",'CÁLCULO FUNPRESP'!R380)</f>
        <v/>
      </c>
      <c r="L380" s="140" t="str">
        <f>IF($B$2="Não","",'CÁLCULO FUNPRESP'!S380)</f>
        <v/>
      </c>
      <c r="N380" s="164" t="str">
        <f ca="1">'CÁLCULO FUNPRESP'!U380</f>
        <v/>
      </c>
      <c r="O380" s="140" t="str">
        <f>IF($B$2="Não","",'CÁLCULO FUNPRESP'!Y380)</f>
        <v/>
      </c>
    </row>
    <row r="381" spans="9:15" x14ac:dyDescent="0.25">
      <c r="I381" s="164" t="str">
        <f ca="1">'CÁLCULO FUNPRESP'!P381</f>
        <v/>
      </c>
      <c r="J381" s="140" t="str">
        <f>IF($B$2="Não","",'CÁLCULO FUNPRESP'!Q381)</f>
        <v/>
      </c>
      <c r="K381" s="140" t="str">
        <f>IF($B$2="Não","",'CÁLCULO FUNPRESP'!R381)</f>
        <v/>
      </c>
      <c r="L381" s="140" t="str">
        <f>IF($B$2="Não","",'CÁLCULO FUNPRESP'!S381)</f>
        <v/>
      </c>
      <c r="N381" s="164" t="str">
        <f ca="1">'CÁLCULO FUNPRESP'!U381</f>
        <v/>
      </c>
      <c r="O381" s="140" t="str">
        <f>IF($B$2="Não","",'CÁLCULO FUNPRESP'!Y381)</f>
        <v/>
      </c>
    </row>
    <row r="382" spans="9:15" x14ac:dyDescent="0.25">
      <c r="I382" s="164" t="str">
        <f ca="1">'CÁLCULO FUNPRESP'!P382</f>
        <v/>
      </c>
      <c r="J382" s="140" t="str">
        <f>IF($B$2="Não","",'CÁLCULO FUNPRESP'!Q382)</f>
        <v/>
      </c>
      <c r="K382" s="140" t="str">
        <f>IF($B$2="Não","",'CÁLCULO FUNPRESP'!R382)</f>
        <v/>
      </c>
      <c r="L382" s="140" t="str">
        <f>IF($B$2="Não","",'CÁLCULO FUNPRESP'!S382)</f>
        <v/>
      </c>
      <c r="N382" s="164" t="str">
        <f ca="1">'CÁLCULO FUNPRESP'!U382</f>
        <v/>
      </c>
      <c r="O382" s="140" t="str">
        <f>IF($B$2="Não","",'CÁLCULO FUNPRESP'!Y382)</f>
        <v/>
      </c>
    </row>
    <row r="383" spans="9:15" x14ac:dyDescent="0.25">
      <c r="I383" s="164" t="str">
        <f ca="1">'CÁLCULO FUNPRESP'!P383</f>
        <v/>
      </c>
      <c r="J383" s="140" t="str">
        <f>IF($B$2="Não","",'CÁLCULO FUNPRESP'!Q383)</f>
        <v/>
      </c>
      <c r="K383" s="140" t="str">
        <f>IF($B$2="Não","",'CÁLCULO FUNPRESP'!R383)</f>
        <v/>
      </c>
      <c r="L383" s="140" t="str">
        <f>IF($B$2="Não","",'CÁLCULO FUNPRESP'!S383)</f>
        <v/>
      </c>
      <c r="N383" s="164" t="str">
        <f ca="1">'CÁLCULO FUNPRESP'!U383</f>
        <v/>
      </c>
      <c r="O383" s="140" t="str">
        <f>IF($B$2="Não","",'CÁLCULO FUNPRESP'!Y383)</f>
        <v/>
      </c>
    </row>
    <row r="384" spans="9:15" x14ac:dyDescent="0.25">
      <c r="I384" s="164" t="str">
        <f ca="1">'CÁLCULO FUNPRESP'!P384</f>
        <v/>
      </c>
      <c r="J384" s="140" t="str">
        <f>IF($B$2="Não","",'CÁLCULO FUNPRESP'!Q384)</f>
        <v/>
      </c>
      <c r="K384" s="140" t="str">
        <f>IF($B$2="Não","",'CÁLCULO FUNPRESP'!R384)</f>
        <v/>
      </c>
      <c r="L384" s="140" t="str">
        <f>IF($B$2="Não","",'CÁLCULO FUNPRESP'!S384)</f>
        <v/>
      </c>
      <c r="N384" s="164" t="str">
        <f ca="1">'CÁLCULO FUNPRESP'!U384</f>
        <v/>
      </c>
      <c r="O384" s="140" t="str">
        <f>IF($B$2="Não","",'CÁLCULO FUNPRESP'!Y384)</f>
        <v/>
      </c>
    </row>
    <row r="385" spans="9:15" x14ac:dyDescent="0.25">
      <c r="I385" s="164" t="str">
        <f ca="1">'CÁLCULO FUNPRESP'!P385</f>
        <v/>
      </c>
      <c r="J385" s="140" t="str">
        <f>IF($B$2="Não","",'CÁLCULO FUNPRESP'!Q385)</f>
        <v/>
      </c>
      <c r="K385" s="140" t="str">
        <f>IF($B$2="Não","",'CÁLCULO FUNPRESP'!R385)</f>
        <v/>
      </c>
      <c r="L385" s="140" t="str">
        <f>IF($B$2="Não","",'CÁLCULO FUNPRESP'!S385)</f>
        <v/>
      </c>
      <c r="N385" s="164" t="str">
        <f ca="1">'CÁLCULO FUNPRESP'!U385</f>
        <v/>
      </c>
      <c r="O385" s="140" t="str">
        <f>IF($B$2="Não","",'CÁLCULO FUNPRESP'!Y385)</f>
        <v/>
      </c>
    </row>
    <row r="386" spans="9:15" x14ac:dyDescent="0.25">
      <c r="I386" s="164" t="str">
        <f ca="1">'CÁLCULO FUNPRESP'!P386</f>
        <v/>
      </c>
      <c r="J386" s="140" t="str">
        <f>IF($B$2="Não","",'CÁLCULO FUNPRESP'!Q386)</f>
        <v/>
      </c>
      <c r="K386" s="140" t="str">
        <f>IF($B$2="Não","",'CÁLCULO FUNPRESP'!R386)</f>
        <v/>
      </c>
      <c r="L386" s="140" t="str">
        <f>IF($B$2="Não","",'CÁLCULO FUNPRESP'!S386)</f>
        <v/>
      </c>
      <c r="N386" s="164" t="str">
        <f ca="1">'CÁLCULO FUNPRESP'!U386</f>
        <v/>
      </c>
      <c r="O386" s="140" t="str">
        <f>IF($B$2="Não","",'CÁLCULO FUNPRESP'!Y386)</f>
        <v/>
      </c>
    </row>
    <row r="387" spans="9:15" x14ac:dyDescent="0.25">
      <c r="I387" s="164" t="str">
        <f ca="1">'CÁLCULO FUNPRESP'!P387</f>
        <v/>
      </c>
      <c r="J387" s="140" t="str">
        <f>IF($B$2="Não","",'CÁLCULO FUNPRESP'!Q387)</f>
        <v/>
      </c>
      <c r="K387" s="140" t="str">
        <f>IF($B$2="Não","",'CÁLCULO FUNPRESP'!R387)</f>
        <v/>
      </c>
      <c r="L387" s="140" t="str">
        <f>IF($B$2="Não","",'CÁLCULO FUNPRESP'!S387)</f>
        <v/>
      </c>
      <c r="N387" s="164" t="str">
        <f ca="1">'CÁLCULO FUNPRESP'!U387</f>
        <v/>
      </c>
      <c r="O387" s="140" t="str">
        <f>IF($B$2="Não","",'CÁLCULO FUNPRESP'!Y387)</f>
        <v/>
      </c>
    </row>
    <row r="388" spans="9:15" x14ac:dyDescent="0.25">
      <c r="I388" s="164" t="str">
        <f ca="1">'CÁLCULO FUNPRESP'!P388</f>
        <v/>
      </c>
      <c r="J388" s="140" t="str">
        <f>IF($B$2="Não","",'CÁLCULO FUNPRESP'!Q388)</f>
        <v/>
      </c>
      <c r="K388" s="140" t="str">
        <f>IF($B$2="Não","",'CÁLCULO FUNPRESP'!R388)</f>
        <v/>
      </c>
      <c r="L388" s="140" t="str">
        <f>IF($B$2="Não","",'CÁLCULO FUNPRESP'!S388)</f>
        <v/>
      </c>
      <c r="N388" s="164" t="str">
        <f ca="1">'CÁLCULO FUNPRESP'!U388</f>
        <v/>
      </c>
      <c r="O388" s="140" t="str">
        <f>IF($B$2="Não","",'CÁLCULO FUNPRESP'!Y388)</f>
        <v/>
      </c>
    </row>
    <row r="389" spans="9:15" x14ac:dyDescent="0.25">
      <c r="I389" s="164" t="str">
        <f ca="1">'CÁLCULO FUNPRESP'!P389</f>
        <v/>
      </c>
      <c r="J389" s="140" t="str">
        <f>IF($B$2="Não","",'CÁLCULO FUNPRESP'!Q389)</f>
        <v/>
      </c>
      <c r="K389" s="140" t="str">
        <f>IF($B$2="Não","",'CÁLCULO FUNPRESP'!R389)</f>
        <v/>
      </c>
      <c r="L389" s="140" t="str">
        <f>IF($B$2="Não","",'CÁLCULO FUNPRESP'!S389)</f>
        <v/>
      </c>
      <c r="N389" s="164" t="str">
        <f ca="1">'CÁLCULO FUNPRESP'!U389</f>
        <v/>
      </c>
      <c r="O389" s="140" t="str">
        <f>IF($B$2="Não","",'CÁLCULO FUNPRESP'!Y389)</f>
        <v/>
      </c>
    </row>
    <row r="390" spans="9:15" x14ac:dyDescent="0.25">
      <c r="I390" s="164" t="str">
        <f ca="1">'CÁLCULO FUNPRESP'!P390</f>
        <v/>
      </c>
      <c r="J390" s="140" t="str">
        <f>IF($B$2="Não","",'CÁLCULO FUNPRESP'!Q390)</f>
        <v/>
      </c>
      <c r="K390" s="140" t="str">
        <f>IF($B$2="Não","",'CÁLCULO FUNPRESP'!R390)</f>
        <v/>
      </c>
      <c r="L390" s="140" t="str">
        <f>IF($B$2="Não","",'CÁLCULO FUNPRESP'!S390)</f>
        <v/>
      </c>
      <c r="N390" s="164" t="str">
        <f ca="1">'CÁLCULO FUNPRESP'!U390</f>
        <v/>
      </c>
      <c r="O390" s="140" t="str">
        <f>IF($B$2="Não","",'CÁLCULO FUNPRESP'!Y390)</f>
        <v/>
      </c>
    </row>
    <row r="391" spans="9:15" x14ac:dyDescent="0.25">
      <c r="I391" s="164" t="str">
        <f ca="1">'CÁLCULO FUNPRESP'!P391</f>
        <v/>
      </c>
      <c r="J391" s="140" t="str">
        <f>IF($B$2="Não","",'CÁLCULO FUNPRESP'!Q391)</f>
        <v/>
      </c>
      <c r="K391" s="140" t="str">
        <f>IF($B$2="Não","",'CÁLCULO FUNPRESP'!R391)</f>
        <v/>
      </c>
      <c r="L391" s="140" t="str">
        <f>IF($B$2="Não","",'CÁLCULO FUNPRESP'!S391)</f>
        <v/>
      </c>
      <c r="N391" s="164" t="str">
        <f ca="1">'CÁLCULO FUNPRESP'!U391</f>
        <v/>
      </c>
      <c r="O391" s="140" t="str">
        <f>IF($B$2="Não","",'CÁLCULO FUNPRESP'!Y391)</f>
        <v/>
      </c>
    </row>
    <row r="392" spans="9:15" x14ac:dyDescent="0.25">
      <c r="I392" s="164" t="str">
        <f ca="1">'CÁLCULO FUNPRESP'!P392</f>
        <v/>
      </c>
      <c r="J392" s="140" t="str">
        <f>IF($B$2="Não","",'CÁLCULO FUNPRESP'!Q392)</f>
        <v/>
      </c>
      <c r="K392" s="140" t="str">
        <f>IF($B$2="Não","",'CÁLCULO FUNPRESP'!R392)</f>
        <v/>
      </c>
      <c r="L392" s="140" t="str">
        <f>IF($B$2="Não","",'CÁLCULO FUNPRESP'!S392)</f>
        <v/>
      </c>
      <c r="N392" s="164" t="str">
        <f ca="1">'CÁLCULO FUNPRESP'!U392</f>
        <v/>
      </c>
      <c r="O392" s="140" t="str">
        <f>IF($B$2="Não","",'CÁLCULO FUNPRESP'!Y392)</f>
        <v/>
      </c>
    </row>
    <row r="393" spans="9:15" x14ac:dyDescent="0.25">
      <c r="I393" s="164" t="str">
        <f ca="1">'CÁLCULO FUNPRESP'!P393</f>
        <v/>
      </c>
      <c r="J393" s="140" t="str">
        <f>IF($B$2="Não","",'CÁLCULO FUNPRESP'!Q393)</f>
        <v/>
      </c>
      <c r="K393" s="140" t="str">
        <f>IF($B$2="Não","",'CÁLCULO FUNPRESP'!R393)</f>
        <v/>
      </c>
      <c r="L393" s="140" t="str">
        <f>IF($B$2="Não","",'CÁLCULO FUNPRESP'!S393)</f>
        <v/>
      </c>
      <c r="N393" s="164" t="str">
        <f ca="1">'CÁLCULO FUNPRESP'!U393</f>
        <v/>
      </c>
      <c r="O393" s="140" t="str">
        <f>IF($B$2="Não","",'CÁLCULO FUNPRESP'!Y393)</f>
        <v/>
      </c>
    </row>
    <row r="394" spans="9:15" x14ac:dyDescent="0.25">
      <c r="I394" s="164" t="str">
        <f ca="1">'CÁLCULO FUNPRESP'!P394</f>
        <v/>
      </c>
      <c r="J394" s="140" t="str">
        <f>IF($B$2="Não","",'CÁLCULO FUNPRESP'!Q394)</f>
        <v/>
      </c>
      <c r="K394" s="140" t="str">
        <f>IF($B$2="Não","",'CÁLCULO FUNPRESP'!R394)</f>
        <v/>
      </c>
      <c r="L394" s="140" t="str">
        <f>IF($B$2="Não","",'CÁLCULO FUNPRESP'!S394)</f>
        <v/>
      </c>
      <c r="N394" s="164" t="str">
        <f ca="1">'CÁLCULO FUNPRESP'!U394</f>
        <v/>
      </c>
      <c r="O394" s="140" t="str">
        <f>IF($B$2="Não","",'CÁLCULO FUNPRESP'!Y394)</f>
        <v/>
      </c>
    </row>
    <row r="395" spans="9:15" x14ac:dyDescent="0.25">
      <c r="I395" s="164" t="str">
        <f ca="1">'CÁLCULO FUNPRESP'!P395</f>
        <v/>
      </c>
      <c r="J395" s="140" t="str">
        <f>IF($B$2="Não","",'CÁLCULO FUNPRESP'!Q395)</f>
        <v/>
      </c>
      <c r="K395" s="140" t="str">
        <f>IF($B$2="Não","",'CÁLCULO FUNPRESP'!R395)</f>
        <v/>
      </c>
      <c r="L395" s="140" t="str">
        <f>IF($B$2="Não","",'CÁLCULO FUNPRESP'!S395)</f>
        <v/>
      </c>
      <c r="N395" s="164" t="str">
        <f ca="1">'CÁLCULO FUNPRESP'!U395</f>
        <v/>
      </c>
      <c r="O395" s="140" t="str">
        <f>IF($B$2="Não","",'CÁLCULO FUNPRESP'!Y395)</f>
        <v/>
      </c>
    </row>
    <row r="396" spans="9:15" x14ac:dyDescent="0.25">
      <c r="I396" s="164" t="str">
        <f ca="1">'CÁLCULO FUNPRESP'!P396</f>
        <v/>
      </c>
      <c r="J396" s="140" t="str">
        <f>IF($B$2="Não","",'CÁLCULO FUNPRESP'!Q396)</f>
        <v/>
      </c>
      <c r="K396" s="140" t="str">
        <f>IF($B$2="Não","",'CÁLCULO FUNPRESP'!R396)</f>
        <v/>
      </c>
      <c r="L396" s="140" t="str">
        <f>IF($B$2="Não","",'CÁLCULO FUNPRESP'!S396)</f>
        <v/>
      </c>
      <c r="N396" s="164" t="str">
        <f ca="1">'CÁLCULO FUNPRESP'!U396</f>
        <v/>
      </c>
      <c r="O396" s="140" t="str">
        <f>IF($B$2="Não","",'CÁLCULO FUNPRESP'!Y396)</f>
        <v/>
      </c>
    </row>
    <row r="397" spans="9:15" x14ac:dyDescent="0.25">
      <c r="I397" s="164" t="str">
        <f ca="1">'CÁLCULO FUNPRESP'!P397</f>
        <v/>
      </c>
      <c r="J397" s="140" t="str">
        <f>IF($B$2="Não","",'CÁLCULO FUNPRESP'!Q397)</f>
        <v/>
      </c>
      <c r="K397" s="140" t="str">
        <f>IF($B$2="Não","",'CÁLCULO FUNPRESP'!R397)</f>
        <v/>
      </c>
      <c r="L397" s="140" t="str">
        <f>IF($B$2="Não","",'CÁLCULO FUNPRESP'!S397)</f>
        <v/>
      </c>
      <c r="N397" s="164" t="str">
        <f ca="1">'CÁLCULO FUNPRESP'!U397</f>
        <v/>
      </c>
      <c r="O397" s="140" t="str">
        <f>IF($B$2="Não","",'CÁLCULO FUNPRESP'!Y397)</f>
        <v/>
      </c>
    </row>
    <row r="398" spans="9:15" x14ac:dyDescent="0.25">
      <c r="I398" s="164" t="str">
        <f ca="1">'CÁLCULO FUNPRESP'!P398</f>
        <v/>
      </c>
      <c r="J398" s="140" t="str">
        <f>IF($B$2="Não","",'CÁLCULO FUNPRESP'!Q398)</f>
        <v/>
      </c>
      <c r="K398" s="140" t="str">
        <f>IF($B$2="Não","",'CÁLCULO FUNPRESP'!R398)</f>
        <v/>
      </c>
      <c r="L398" s="140" t="str">
        <f>IF($B$2="Não","",'CÁLCULO FUNPRESP'!S398)</f>
        <v/>
      </c>
      <c r="N398" s="164" t="str">
        <f ca="1">'CÁLCULO FUNPRESP'!U398</f>
        <v/>
      </c>
      <c r="O398" s="140" t="str">
        <f>IF($B$2="Não","",'CÁLCULO FUNPRESP'!Y398)</f>
        <v/>
      </c>
    </row>
    <row r="399" spans="9:15" x14ac:dyDescent="0.25">
      <c r="I399" s="164" t="str">
        <f ca="1">'CÁLCULO FUNPRESP'!P399</f>
        <v/>
      </c>
      <c r="J399" s="140" t="str">
        <f>IF($B$2="Não","",'CÁLCULO FUNPRESP'!Q399)</f>
        <v/>
      </c>
      <c r="K399" s="140" t="str">
        <f>IF($B$2="Não","",'CÁLCULO FUNPRESP'!R399)</f>
        <v/>
      </c>
      <c r="L399" s="140" t="str">
        <f>IF($B$2="Não","",'CÁLCULO FUNPRESP'!S399)</f>
        <v/>
      </c>
      <c r="N399" s="164" t="str">
        <f ca="1">'CÁLCULO FUNPRESP'!U399</f>
        <v/>
      </c>
      <c r="O399" s="140" t="str">
        <f>IF($B$2="Não","",'CÁLCULO FUNPRESP'!Y399)</f>
        <v/>
      </c>
    </row>
    <row r="400" spans="9:15" x14ac:dyDescent="0.25">
      <c r="I400" s="164" t="str">
        <f ca="1">'CÁLCULO FUNPRESP'!P400</f>
        <v/>
      </c>
      <c r="J400" s="140" t="str">
        <f>IF($B$2="Não","",'CÁLCULO FUNPRESP'!Q400)</f>
        <v/>
      </c>
      <c r="K400" s="140" t="str">
        <f>IF($B$2="Não","",'CÁLCULO FUNPRESP'!R400)</f>
        <v/>
      </c>
      <c r="L400" s="140" t="str">
        <f>IF($B$2="Não","",'CÁLCULO FUNPRESP'!S400)</f>
        <v/>
      </c>
      <c r="N400" s="164" t="str">
        <f ca="1">'CÁLCULO FUNPRESP'!U400</f>
        <v/>
      </c>
      <c r="O400" s="140" t="str">
        <f>IF($B$2="Não","",'CÁLCULO FUNPRESP'!Y400)</f>
        <v/>
      </c>
    </row>
    <row r="401" spans="9:15" x14ac:dyDescent="0.25">
      <c r="I401" s="164" t="str">
        <f ca="1">'CÁLCULO FUNPRESP'!P401</f>
        <v/>
      </c>
      <c r="J401" s="140" t="str">
        <f>IF($B$2="Não","",'CÁLCULO FUNPRESP'!Q401)</f>
        <v/>
      </c>
      <c r="K401" s="140" t="str">
        <f>IF($B$2="Não","",'CÁLCULO FUNPRESP'!R401)</f>
        <v/>
      </c>
      <c r="L401" s="140" t="str">
        <f>IF($B$2="Não","",'CÁLCULO FUNPRESP'!S401)</f>
        <v/>
      </c>
      <c r="N401" s="164" t="str">
        <f ca="1">'CÁLCULO FUNPRESP'!U401</f>
        <v/>
      </c>
      <c r="O401" s="140" t="str">
        <f>IF($B$2="Não","",'CÁLCULO FUNPRESP'!Y401)</f>
        <v/>
      </c>
    </row>
    <row r="402" spans="9:15" x14ac:dyDescent="0.25">
      <c r="I402" s="164" t="str">
        <f ca="1">'CÁLCULO FUNPRESP'!P402</f>
        <v/>
      </c>
      <c r="J402" s="140" t="str">
        <f>IF($B$2="Não","",'CÁLCULO FUNPRESP'!Q402)</f>
        <v/>
      </c>
      <c r="K402" s="140" t="str">
        <f>IF($B$2="Não","",'CÁLCULO FUNPRESP'!R402)</f>
        <v/>
      </c>
      <c r="L402" s="140" t="str">
        <f>IF($B$2="Não","",'CÁLCULO FUNPRESP'!S402)</f>
        <v/>
      </c>
      <c r="N402" s="164" t="str">
        <f ca="1">'CÁLCULO FUNPRESP'!U402</f>
        <v/>
      </c>
      <c r="O402" s="140" t="str">
        <f>IF($B$2="Não","",'CÁLCULO FUNPRESP'!Y402)</f>
        <v/>
      </c>
    </row>
    <row r="403" spans="9:15" x14ac:dyDescent="0.25">
      <c r="I403" s="164" t="str">
        <f ca="1">'CÁLCULO FUNPRESP'!P403</f>
        <v/>
      </c>
      <c r="J403" s="140" t="str">
        <f>IF($B$2="Não","",'CÁLCULO FUNPRESP'!Q403)</f>
        <v/>
      </c>
      <c r="K403" s="140" t="str">
        <f>IF($B$2="Não","",'CÁLCULO FUNPRESP'!R403)</f>
        <v/>
      </c>
      <c r="L403" s="140" t="str">
        <f>IF($B$2="Não","",'CÁLCULO FUNPRESP'!S403)</f>
        <v/>
      </c>
      <c r="N403" s="164" t="str">
        <f ca="1">'CÁLCULO FUNPRESP'!U403</f>
        <v/>
      </c>
      <c r="O403" s="140" t="str">
        <f>IF($B$2="Não","",'CÁLCULO FUNPRESP'!Y403)</f>
        <v/>
      </c>
    </row>
    <row r="404" spans="9:15" x14ac:dyDescent="0.25">
      <c r="I404" s="164" t="str">
        <f ca="1">'CÁLCULO FUNPRESP'!P404</f>
        <v/>
      </c>
      <c r="J404" s="140" t="str">
        <f>IF($B$2="Não","",'CÁLCULO FUNPRESP'!Q404)</f>
        <v/>
      </c>
      <c r="K404" s="140" t="str">
        <f>IF($B$2="Não","",'CÁLCULO FUNPRESP'!R404)</f>
        <v/>
      </c>
      <c r="L404" s="140" t="str">
        <f>IF($B$2="Não","",'CÁLCULO FUNPRESP'!S404)</f>
        <v/>
      </c>
      <c r="N404" s="164" t="str">
        <f ca="1">'CÁLCULO FUNPRESP'!U404</f>
        <v/>
      </c>
      <c r="O404" s="140" t="str">
        <f>IF($B$2="Não","",'CÁLCULO FUNPRESP'!Y404)</f>
        <v/>
      </c>
    </row>
    <row r="405" spans="9:15" x14ac:dyDescent="0.25">
      <c r="I405" s="164" t="str">
        <f ca="1">'CÁLCULO FUNPRESP'!P405</f>
        <v/>
      </c>
      <c r="J405" s="140" t="str">
        <f>IF($B$2="Não","",'CÁLCULO FUNPRESP'!Q405)</f>
        <v/>
      </c>
      <c r="K405" s="140" t="str">
        <f>IF($B$2="Não","",'CÁLCULO FUNPRESP'!R405)</f>
        <v/>
      </c>
      <c r="L405" s="140" t="str">
        <f>IF($B$2="Não","",'CÁLCULO FUNPRESP'!S405)</f>
        <v/>
      </c>
      <c r="N405" s="164" t="str">
        <f ca="1">'CÁLCULO FUNPRESP'!U405</f>
        <v/>
      </c>
      <c r="O405" s="140" t="str">
        <f>IF($B$2="Não","",'CÁLCULO FUNPRESP'!Y405)</f>
        <v/>
      </c>
    </row>
    <row r="406" spans="9:15" x14ac:dyDescent="0.25">
      <c r="I406" s="164" t="str">
        <f ca="1">'CÁLCULO FUNPRESP'!P406</f>
        <v/>
      </c>
      <c r="J406" s="140" t="str">
        <f>IF($B$2="Não","",'CÁLCULO FUNPRESP'!Q406)</f>
        <v/>
      </c>
      <c r="K406" s="140" t="str">
        <f>IF($B$2="Não","",'CÁLCULO FUNPRESP'!R406)</f>
        <v/>
      </c>
      <c r="L406" s="140" t="str">
        <f>IF($B$2="Não","",'CÁLCULO FUNPRESP'!S406)</f>
        <v/>
      </c>
      <c r="N406" s="164" t="str">
        <f ca="1">'CÁLCULO FUNPRESP'!U406</f>
        <v/>
      </c>
      <c r="O406" s="140" t="str">
        <f>IF($B$2="Não","",'CÁLCULO FUNPRESP'!Y406)</f>
        <v/>
      </c>
    </row>
    <row r="407" spans="9:15" x14ac:dyDescent="0.25">
      <c r="I407" s="164" t="str">
        <f ca="1">'CÁLCULO FUNPRESP'!P407</f>
        <v/>
      </c>
      <c r="J407" s="140" t="str">
        <f>IF($B$2="Não","",'CÁLCULO FUNPRESP'!Q407)</f>
        <v/>
      </c>
      <c r="K407" s="140" t="str">
        <f>IF($B$2="Não","",'CÁLCULO FUNPRESP'!R407)</f>
        <v/>
      </c>
      <c r="L407" s="140" t="str">
        <f>IF($B$2="Não","",'CÁLCULO FUNPRESP'!S407)</f>
        <v/>
      </c>
      <c r="N407" s="164" t="str">
        <f ca="1">'CÁLCULO FUNPRESP'!U407</f>
        <v/>
      </c>
      <c r="O407" s="140" t="str">
        <f>IF($B$2="Não","",'CÁLCULO FUNPRESP'!Y407)</f>
        <v/>
      </c>
    </row>
    <row r="408" spans="9:15" x14ac:dyDescent="0.25">
      <c r="I408" s="164" t="str">
        <f ca="1">'CÁLCULO FUNPRESP'!P408</f>
        <v/>
      </c>
      <c r="J408" s="140" t="str">
        <f>IF($B$2="Não","",'CÁLCULO FUNPRESP'!Q408)</f>
        <v/>
      </c>
      <c r="K408" s="140" t="str">
        <f>IF($B$2="Não","",'CÁLCULO FUNPRESP'!R408)</f>
        <v/>
      </c>
      <c r="L408" s="140" t="str">
        <f>IF($B$2="Não","",'CÁLCULO FUNPRESP'!S408)</f>
        <v/>
      </c>
      <c r="N408" s="164" t="str">
        <f ca="1">'CÁLCULO FUNPRESP'!U408</f>
        <v/>
      </c>
      <c r="O408" s="140" t="str">
        <f>IF($B$2="Não","",'CÁLCULO FUNPRESP'!Y408)</f>
        <v/>
      </c>
    </row>
    <row r="409" spans="9:15" x14ac:dyDescent="0.25">
      <c r="I409" s="164" t="str">
        <f ca="1">'CÁLCULO FUNPRESP'!P409</f>
        <v/>
      </c>
      <c r="J409" s="140" t="str">
        <f>IF($B$2="Não","",'CÁLCULO FUNPRESP'!Q409)</f>
        <v/>
      </c>
      <c r="K409" s="140" t="str">
        <f>IF($B$2="Não","",'CÁLCULO FUNPRESP'!R409)</f>
        <v/>
      </c>
      <c r="L409" s="140" t="str">
        <f>IF($B$2="Não","",'CÁLCULO FUNPRESP'!S409)</f>
        <v/>
      </c>
      <c r="N409" s="164" t="str">
        <f ca="1">'CÁLCULO FUNPRESP'!U409</f>
        <v/>
      </c>
      <c r="O409" s="140" t="str">
        <f>IF($B$2="Não","",'CÁLCULO FUNPRESP'!Y409)</f>
        <v/>
      </c>
    </row>
    <row r="410" spans="9:15" x14ac:dyDescent="0.25">
      <c r="I410" s="164" t="str">
        <f ca="1">'CÁLCULO FUNPRESP'!P410</f>
        <v/>
      </c>
      <c r="J410" s="140" t="str">
        <f>IF($B$2="Não","",'CÁLCULO FUNPRESP'!Q410)</f>
        <v/>
      </c>
      <c r="K410" s="140" t="str">
        <f>IF($B$2="Não","",'CÁLCULO FUNPRESP'!R410)</f>
        <v/>
      </c>
      <c r="L410" s="140" t="str">
        <f>IF($B$2="Não","",'CÁLCULO FUNPRESP'!S410)</f>
        <v/>
      </c>
      <c r="N410" s="164" t="str">
        <f ca="1">'CÁLCULO FUNPRESP'!U410</f>
        <v/>
      </c>
      <c r="O410" s="140" t="str">
        <f>IF($B$2="Não","",'CÁLCULO FUNPRESP'!Y410)</f>
        <v/>
      </c>
    </row>
    <row r="411" spans="9:15" x14ac:dyDescent="0.25">
      <c r="I411" s="164" t="str">
        <f ca="1">'CÁLCULO FUNPRESP'!P411</f>
        <v/>
      </c>
      <c r="J411" s="140" t="str">
        <f>IF($B$2="Não","",'CÁLCULO FUNPRESP'!Q411)</f>
        <v/>
      </c>
      <c r="K411" s="140" t="str">
        <f>IF($B$2="Não","",'CÁLCULO FUNPRESP'!R411)</f>
        <v/>
      </c>
      <c r="L411" s="140" t="str">
        <f>IF($B$2="Não","",'CÁLCULO FUNPRESP'!S411)</f>
        <v/>
      </c>
      <c r="N411" s="164" t="str">
        <f ca="1">'CÁLCULO FUNPRESP'!U411</f>
        <v/>
      </c>
      <c r="O411" s="140" t="str">
        <f>IF($B$2="Não","",'CÁLCULO FUNPRESP'!Y411)</f>
        <v/>
      </c>
    </row>
    <row r="412" spans="9:15" x14ac:dyDescent="0.25">
      <c r="I412" s="164" t="str">
        <f ca="1">'CÁLCULO FUNPRESP'!P412</f>
        <v/>
      </c>
      <c r="J412" s="140" t="str">
        <f>IF($B$2="Não","",'CÁLCULO FUNPRESP'!Q412)</f>
        <v/>
      </c>
      <c r="K412" s="140" t="str">
        <f>IF($B$2="Não","",'CÁLCULO FUNPRESP'!R412)</f>
        <v/>
      </c>
      <c r="L412" s="140" t="str">
        <f>IF($B$2="Não","",'CÁLCULO FUNPRESP'!S412)</f>
        <v/>
      </c>
      <c r="N412" s="164" t="str">
        <f ca="1">'CÁLCULO FUNPRESP'!U412</f>
        <v/>
      </c>
      <c r="O412" s="140" t="str">
        <f>IF($B$2="Não","",'CÁLCULO FUNPRESP'!Y412)</f>
        <v/>
      </c>
    </row>
    <row r="413" spans="9:15" x14ac:dyDescent="0.25">
      <c r="I413" s="164" t="str">
        <f ca="1">'CÁLCULO FUNPRESP'!P413</f>
        <v/>
      </c>
      <c r="J413" s="140" t="str">
        <f>IF($B$2="Não","",'CÁLCULO FUNPRESP'!Q413)</f>
        <v/>
      </c>
      <c r="K413" s="140" t="str">
        <f>IF($B$2="Não","",'CÁLCULO FUNPRESP'!R413)</f>
        <v/>
      </c>
      <c r="L413" s="140" t="str">
        <f>IF($B$2="Não","",'CÁLCULO FUNPRESP'!S413)</f>
        <v/>
      </c>
      <c r="N413" s="164" t="str">
        <f ca="1">'CÁLCULO FUNPRESP'!U413</f>
        <v/>
      </c>
      <c r="O413" s="140" t="str">
        <f>IF($B$2="Não","",'CÁLCULO FUNPRESP'!Y413)</f>
        <v/>
      </c>
    </row>
    <row r="414" spans="9:15" x14ac:dyDescent="0.25">
      <c r="I414" s="164" t="str">
        <f ca="1">'CÁLCULO FUNPRESP'!P414</f>
        <v/>
      </c>
      <c r="J414" s="140" t="str">
        <f>IF($B$2="Não","",'CÁLCULO FUNPRESP'!Q414)</f>
        <v/>
      </c>
      <c r="K414" s="140" t="str">
        <f>IF($B$2="Não","",'CÁLCULO FUNPRESP'!R414)</f>
        <v/>
      </c>
      <c r="L414" s="140" t="str">
        <f>IF($B$2="Não","",'CÁLCULO FUNPRESP'!S414)</f>
        <v/>
      </c>
      <c r="N414" s="164" t="str">
        <f ca="1">'CÁLCULO FUNPRESP'!U414</f>
        <v/>
      </c>
      <c r="O414" s="140" t="str">
        <f>IF($B$2="Não","",'CÁLCULO FUNPRESP'!Y414)</f>
        <v/>
      </c>
    </row>
    <row r="415" spans="9:15" x14ac:dyDescent="0.25">
      <c r="I415" s="164" t="str">
        <f ca="1">'CÁLCULO FUNPRESP'!P415</f>
        <v/>
      </c>
      <c r="J415" s="140" t="str">
        <f>IF($B$2="Não","",'CÁLCULO FUNPRESP'!Q415)</f>
        <v/>
      </c>
      <c r="K415" s="140" t="str">
        <f>IF($B$2="Não","",'CÁLCULO FUNPRESP'!R415)</f>
        <v/>
      </c>
      <c r="L415" s="140" t="str">
        <f>IF($B$2="Não","",'CÁLCULO FUNPRESP'!S415)</f>
        <v/>
      </c>
      <c r="N415" s="164" t="str">
        <f ca="1">'CÁLCULO FUNPRESP'!U415</f>
        <v/>
      </c>
      <c r="O415" s="140" t="str">
        <f>IF($B$2="Não","",'CÁLCULO FUNPRESP'!Y415)</f>
        <v/>
      </c>
    </row>
    <row r="416" spans="9:15" x14ac:dyDescent="0.25">
      <c r="I416" s="164" t="str">
        <f ca="1">'CÁLCULO FUNPRESP'!P416</f>
        <v/>
      </c>
      <c r="J416" s="140" t="str">
        <f>IF($B$2="Não","",'CÁLCULO FUNPRESP'!Q416)</f>
        <v/>
      </c>
      <c r="K416" s="140" t="str">
        <f>IF($B$2="Não","",'CÁLCULO FUNPRESP'!R416)</f>
        <v/>
      </c>
      <c r="L416" s="140" t="str">
        <f>IF($B$2="Não","",'CÁLCULO FUNPRESP'!S416)</f>
        <v/>
      </c>
      <c r="N416" s="164" t="str">
        <f ca="1">'CÁLCULO FUNPRESP'!U416</f>
        <v/>
      </c>
      <c r="O416" s="140" t="str">
        <f>IF($B$2="Não","",'CÁLCULO FUNPRESP'!Y416)</f>
        <v/>
      </c>
    </row>
    <row r="417" spans="9:15" x14ac:dyDescent="0.25">
      <c r="I417" s="164" t="str">
        <f ca="1">'CÁLCULO FUNPRESP'!P417</f>
        <v/>
      </c>
      <c r="J417" s="140" t="str">
        <f>IF($B$2="Não","",'CÁLCULO FUNPRESP'!Q417)</f>
        <v/>
      </c>
      <c r="K417" s="140" t="str">
        <f>IF($B$2="Não","",'CÁLCULO FUNPRESP'!R417)</f>
        <v/>
      </c>
      <c r="L417" s="140" t="str">
        <f>IF($B$2="Não","",'CÁLCULO FUNPRESP'!S417)</f>
        <v/>
      </c>
      <c r="N417" s="164" t="str">
        <f ca="1">'CÁLCULO FUNPRESP'!U417</f>
        <v/>
      </c>
      <c r="O417" s="140" t="str">
        <f>IF($B$2="Não","",'CÁLCULO FUNPRESP'!Y417)</f>
        <v/>
      </c>
    </row>
    <row r="418" spans="9:15" x14ac:dyDescent="0.25">
      <c r="I418" s="164" t="str">
        <f ca="1">'CÁLCULO FUNPRESP'!P418</f>
        <v/>
      </c>
      <c r="J418" s="140" t="str">
        <f>IF($B$2="Não","",'CÁLCULO FUNPRESP'!Q418)</f>
        <v/>
      </c>
      <c r="K418" s="140" t="str">
        <f>IF($B$2="Não","",'CÁLCULO FUNPRESP'!R418)</f>
        <v/>
      </c>
      <c r="L418" s="140" t="str">
        <f>IF($B$2="Não","",'CÁLCULO FUNPRESP'!S418)</f>
        <v/>
      </c>
      <c r="N418" s="164" t="str">
        <f ca="1">'CÁLCULO FUNPRESP'!U418</f>
        <v/>
      </c>
      <c r="O418" s="140" t="str">
        <f>IF($B$2="Não","",'CÁLCULO FUNPRESP'!Y418)</f>
        <v/>
      </c>
    </row>
    <row r="419" spans="9:15" x14ac:dyDescent="0.25">
      <c r="I419" s="164" t="str">
        <f ca="1">'CÁLCULO FUNPRESP'!P419</f>
        <v/>
      </c>
      <c r="J419" s="140" t="str">
        <f>IF($B$2="Não","",'CÁLCULO FUNPRESP'!Q419)</f>
        <v/>
      </c>
      <c r="K419" s="140" t="str">
        <f>IF($B$2="Não","",'CÁLCULO FUNPRESP'!R419)</f>
        <v/>
      </c>
      <c r="L419" s="140" t="str">
        <f>IF($B$2="Não","",'CÁLCULO FUNPRESP'!S419)</f>
        <v/>
      </c>
      <c r="N419" s="164" t="str">
        <f ca="1">'CÁLCULO FUNPRESP'!U419</f>
        <v/>
      </c>
      <c r="O419" s="140" t="str">
        <f>IF($B$2="Não","",'CÁLCULO FUNPRESP'!Y419)</f>
        <v/>
      </c>
    </row>
    <row r="420" spans="9:15" x14ac:dyDescent="0.25">
      <c r="I420" s="164" t="str">
        <f ca="1">'CÁLCULO FUNPRESP'!P420</f>
        <v/>
      </c>
      <c r="J420" s="140" t="str">
        <f>IF($B$2="Não","",'CÁLCULO FUNPRESP'!Q420)</f>
        <v/>
      </c>
      <c r="K420" s="140" t="str">
        <f>IF($B$2="Não","",'CÁLCULO FUNPRESP'!R420)</f>
        <v/>
      </c>
      <c r="L420" s="140" t="str">
        <f>IF($B$2="Não","",'CÁLCULO FUNPRESP'!S420)</f>
        <v/>
      </c>
      <c r="N420" s="164" t="str">
        <f ca="1">'CÁLCULO FUNPRESP'!U420</f>
        <v/>
      </c>
      <c r="O420" s="140" t="str">
        <f>IF($B$2="Não","",'CÁLCULO FUNPRESP'!Y420)</f>
        <v/>
      </c>
    </row>
    <row r="421" spans="9:15" x14ac:dyDescent="0.25">
      <c r="I421" s="164" t="str">
        <f ca="1">'CÁLCULO FUNPRESP'!P421</f>
        <v/>
      </c>
      <c r="J421" s="140" t="str">
        <f>IF($B$2="Não","",'CÁLCULO FUNPRESP'!Q421)</f>
        <v/>
      </c>
      <c r="K421" s="140" t="str">
        <f>IF($B$2="Não","",'CÁLCULO FUNPRESP'!R421)</f>
        <v/>
      </c>
      <c r="L421" s="140" t="str">
        <f>IF($B$2="Não","",'CÁLCULO FUNPRESP'!S421)</f>
        <v/>
      </c>
      <c r="N421" s="164" t="str">
        <f ca="1">'CÁLCULO FUNPRESP'!U421</f>
        <v/>
      </c>
      <c r="O421" s="140" t="str">
        <f>IF($B$2="Não","",'CÁLCULO FUNPRESP'!Y421)</f>
        <v/>
      </c>
    </row>
    <row r="422" spans="9:15" x14ac:dyDescent="0.25">
      <c r="I422" s="164" t="str">
        <f ca="1">'CÁLCULO FUNPRESP'!P422</f>
        <v/>
      </c>
      <c r="J422" s="140" t="str">
        <f>IF($B$2="Não","",'CÁLCULO FUNPRESP'!Q422)</f>
        <v/>
      </c>
      <c r="K422" s="140" t="str">
        <f>IF($B$2="Não","",'CÁLCULO FUNPRESP'!R422)</f>
        <v/>
      </c>
      <c r="L422" s="140" t="str">
        <f>IF($B$2="Não","",'CÁLCULO FUNPRESP'!S422)</f>
        <v/>
      </c>
      <c r="N422" s="164" t="str">
        <f ca="1">'CÁLCULO FUNPRESP'!U422</f>
        <v/>
      </c>
      <c r="O422" s="140" t="str">
        <f>IF($B$2="Não","",'CÁLCULO FUNPRESP'!Y422)</f>
        <v/>
      </c>
    </row>
    <row r="423" spans="9:15" x14ac:dyDescent="0.25">
      <c r="I423" s="164" t="str">
        <f ca="1">'CÁLCULO FUNPRESP'!P423</f>
        <v/>
      </c>
      <c r="J423" s="140" t="str">
        <f>IF($B$2="Não","",'CÁLCULO FUNPRESP'!Q423)</f>
        <v/>
      </c>
      <c r="K423" s="140" t="str">
        <f>IF($B$2="Não","",'CÁLCULO FUNPRESP'!R423)</f>
        <v/>
      </c>
      <c r="L423" s="140" t="str">
        <f>IF($B$2="Não","",'CÁLCULO FUNPRESP'!S423)</f>
        <v/>
      </c>
      <c r="N423" s="164" t="str">
        <f ca="1">'CÁLCULO FUNPRESP'!U423</f>
        <v/>
      </c>
      <c r="O423" s="140" t="str">
        <f>IF($B$2="Não","",'CÁLCULO FUNPRESP'!Y423)</f>
        <v/>
      </c>
    </row>
    <row r="424" spans="9:15" x14ac:dyDescent="0.25">
      <c r="I424" s="164" t="str">
        <f ca="1">'CÁLCULO FUNPRESP'!P424</f>
        <v/>
      </c>
      <c r="J424" s="140" t="str">
        <f>IF($B$2="Não","",'CÁLCULO FUNPRESP'!Q424)</f>
        <v/>
      </c>
      <c r="K424" s="140" t="str">
        <f>IF($B$2="Não","",'CÁLCULO FUNPRESP'!R424)</f>
        <v/>
      </c>
      <c r="L424" s="140" t="str">
        <f>IF($B$2="Não","",'CÁLCULO FUNPRESP'!S424)</f>
        <v/>
      </c>
      <c r="N424" s="164" t="str">
        <f ca="1">'CÁLCULO FUNPRESP'!U424</f>
        <v/>
      </c>
      <c r="O424" s="140" t="str">
        <f>IF($B$2="Não","",'CÁLCULO FUNPRESP'!Y424)</f>
        <v/>
      </c>
    </row>
    <row r="425" spans="9:15" x14ac:dyDescent="0.25">
      <c r="I425" s="164" t="str">
        <f ca="1">'CÁLCULO FUNPRESP'!P425</f>
        <v/>
      </c>
      <c r="J425" s="140" t="str">
        <f>IF($B$2="Não","",'CÁLCULO FUNPRESP'!Q425)</f>
        <v/>
      </c>
      <c r="K425" s="140" t="str">
        <f>IF($B$2="Não","",'CÁLCULO FUNPRESP'!R425)</f>
        <v/>
      </c>
      <c r="L425" s="140" t="str">
        <f>IF($B$2="Não","",'CÁLCULO FUNPRESP'!S425)</f>
        <v/>
      </c>
      <c r="N425" s="164" t="str">
        <f ca="1">'CÁLCULO FUNPRESP'!U425</f>
        <v/>
      </c>
      <c r="O425" s="140" t="str">
        <f>IF($B$2="Não","",'CÁLCULO FUNPRESP'!Y425)</f>
        <v/>
      </c>
    </row>
    <row r="426" spans="9:15" x14ac:dyDescent="0.25">
      <c r="I426" s="164" t="str">
        <f ca="1">'CÁLCULO FUNPRESP'!P426</f>
        <v/>
      </c>
      <c r="J426" s="140" t="str">
        <f>IF($B$2="Não","",'CÁLCULO FUNPRESP'!Q426)</f>
        <v/>
      </c>
      <c r="K426" s="140" t="str">
        <f>IF($B$2="Não","",'CÁLCULO FUNPRESP'!R426)</f>
        <v/>
      </c>
      <c r="L426" s="140" t="str">
        <f>IF($B$2="Não","",'CÁLCULO FUNPRESP'!S426)</f>
        <v/>
      </c>
      <c r="N426" s="164" t="str">
        <f ca="1">'CÁLCULO FUNPRESP'!U426</f>
        <v/>
      </c>
      <c r="O426" s="140" t="str">
        <f>IF($B$2="Não","",'CÁLCULO FUNPRESP'!Y426)</f>
        <v/>
      </c>
    </row>
    <row r="427" spans="9:15" x14ac:dyDescent="0.25">
      <c r="I427" s="164" t="str">
        <f ca="1">'CÁLCULO FUNPRESP'!P427</f>
        <v/>
      </c>
      <c r="J427" s="140" t="str">
        <f>IF($B$2="Não","",'CÁLCULO FUNPRESP'!Q427)</f>
        <v/>
      </c>
      <c r="K427" s="140" t="str">
        <f>IF($B$2="Não","",'CÁLCULO FUNPRESP'!R427)</f>
        <v/>
      </c>
      <c r="L427" s="140" t="str">
        <f>IF($B$2="Não","",'CÁLCULO FUNPRESP'!S427)</f>
        <v/>
      </c>
      <c r="N427" s="164" t="str">
        <f ca="1">'CÁLCULO FUNPRESP'!U427</f>
        <v/>
      </c>
      <c r="O427" s="140" t="str">
        <f>IF($B$2="Não","",'CÁLCULO FUNPRESP'!Y427)</f>
        <v/>
      </c>
    </row>
    <row r="428" spans="9:15" x14ac:dyDescent="0.25">
      <c r="I428" s="164" t="str">
        <f ca="1">'CÁLCULO FUNPRESP'!P428</f>
        <v/>
      </c>
      <c r="J428" s="140" t="str">
        <f>IF($B$2="Não","",'CÁLCULO FUNPRESP'!Q428)</f>
        <v/>
      </c>
      <c r="K428" s="140" t="str">
        <f>IF($B$2="Não","",'CÁLCULO FUNPRESP'!R428)</f>
        <v/>
      </c>
      <c r="L428" s="140" t="str">
        <f>IF($B$2="Não","",'CÁLCULO FUNPRESP'!S428)</f>
        <v/>
      </c>
      <c r="N428" s="164" t="str">
        <f ca="1">'CÁLCULO FUNPRESP'!U428</f>
        <v/>
      </c>
      <c r="O428" s="140" t="str">
        <f>IF($B$2="Não","",'CÁLCULO FUNPRESP'!Y428)</f>
        <v/>
      </c>
    </row>
    <row r="429" spans="9:15" x14ac:dyDescent="0.25">
      <c r="I429" s="164" t="str">
        <f ca="1">'CÁLCULO FUNPRESP'!P429</f>
        <v/>
      </c>
      <c r="J429" s="140" t="str">
        <f>IF($B$2="Não","",'CÁLCULO FUNPRESP'!Q429)</f>
        <v/>
      </c>
      <c r="K429" s="140" t="str">
        <f>IF($B$2="Não","",'CÁLCULO FUNPRESP'!R429)</f>
        <v/>
      </c>
      <c r="L429" s="140" t="str">
        <f>IF($B$2="Não","",'CÁLCULO FUNPRESP'!S429)</f>
        <v/>
      </c>
      <c r="N429" s="164" t="str">
        <f ca="1">'CÁLCULO FUNPRESP'!U429</f>
        <v/>
      </c>
      <c r="O429" s="140" t="str">
        <f>IF($B$2="Não","",'CÁLCULO FUNPRESP'!Y429)</f>
        <v/>
      </c>
    </row>
    <row r="430" spans="9:15" x14ac:dyDescent="0.25">
      <c r="I430" s="164" t="str">
        <f ca="1">'CÁLCULO FUNPRESP'!P430</f>
        <v/>
      </c>
      <c r="J430" s="140" t="str">
        <f>IF($B$2="Não","",'CÁLCULO FUNPRESP'!Q430)</f>
        <v/>
      </c>
      <c r="K430" s="140" t="str">
        <f>IF($B$2="Não","",'CÁLCULO FUNPRESP'!R430)</f>
        <v/>
      </c>
      <c r="L430" s="140" t="str">
        <f>IF($B$2="Não","",'CÁLCULO FUNPRESP'!S430)</f>
        <v/>
      </c>
      <c r="N430" s="164" t="str">
        <f ca="1">'CÁLCULO FUNPRESP'!U430</f>
        <v/>
      </c>
      <c r="O430" s="140" t="str">
        <f>IF($B$2="Não","",'CÁLCULO FUNPRESP'!Y430)</f>
        <v/>
      </c>
    </row>
    <row r="431" spans="9:15" x14ac:dyDescent="0.25">
      <c r="I431" s="164" t="str">
        <f ca="1">'CÁLCULO FUNPRESP'!P431</f>
        <v/>
      </c>
      <c r="J431" s="140" t="str">
        <f>IF($B$2="Não","",'CÁLCULO FUNPRESP'!Q431)</f>
        <v/>
      </c>
      <c r="K431" s="140" t="str">
        <f>IF($B$2="Não","",'CÁLCULO FUNPRESP'!R431)</f>
        <v/>
      </c>
      <c r="L431" s="140" t="str">
        <f>IF($B$2="Não","",'CÁLCULO FUNPRESP'!S431)</f>
        <v/>
      </c>
      <c r="N431" s="164" t="str">
        <f ca="1">'CÁLCULO FUNPRESP'!U431</f>
        <v/>
      </c>
      <c r="O431" s="140" t="str">
        <f>IF($B$2="Não","",'CÁLCULO FUNPRESP'!Y431)</f>
        <v/>
      </c>
    </row>
    <row r="432" spans="9:15" x14ac:dyDescent="0.25">
      <c r="I432" s="164" t="str">
        <f ca="1">'CÁLCULO FUNPRESP'!P432</f>
        <v/>
      </c>
      <c r="J432" s="140" t="str">
        <f>IF($B$2="Não","",'CÁLCULO FUNPRESP'!Q432)</f>
        <v/>
      </c>
      <c r="K432" s="140" t="str">
        <f>IF($B$2="Não","",'CÁLCULO FUNPRESP'!R432)</f>
        <v/>
      </c>
      <c r="L432" s="140" t="str">
        <f>IF($B$2="Não","",'CÁLCULO FUNPRESP'!S432)</f>
        <v/>
      </c>
      <c r="N432" s="164" t="str">
        <f ca="1">'CÁLCULO FUNPRESP'!U432</f>
        <v/>
      </c>
      <c r="O432" s="140" t="str">
        <f>IF($B$2="Não","",'CÁLCULO FUNPRESP'!Y432)</f>
        <v/>
      </c>
    </row>
    <row r="433" spans="9:15" x14ac:dyDescent="0.25">
      <c r="I433" s="164" t="str">
        <f ca="1">'CÁLCULO FUNPRESP'!P433</f>
        <v/>
      </c>
      <c r="J433" s="140" t="str">
        <f>IF($B$2="Não","",'CÁLCULO FUNPRESP'!Q433)</f>
        <v/>
      </c>
      <c r="K433" s="140" t="str">
        <f>IF($B$2="Não","",'CÁLCULO FUNPRESP'!R433)</f>
        <v/>
      </c>
      <c r="L433" s="140" t="str">
        <f>IF($B$2="Não","",'CÁLCULO FUNPRESP'!S433)</f>
        <v/>
      </c>
      <c r="N433" s="164" t="str">
        <f ca="1">'CÁLCULO FUNPRESP'!U433</f>
        <v/>
      </c>
      <c r="O433" s="140" t="str">
        <f>IF($B$2="Não","",'CÁLCULO FUNPRESP'!Y433)</f>
        <v/>
      </c>
    </row>
    <row r="434" spans="9:15" x14ac:dyDescent="0.25">
      <c r="I434" s="164" t="str">
        <f ca="1">'CÁLCULO FUNPRESP'!P434</f>
        <v/>
      </c>
      <c r="J434" s="140" t="str">
        <f>IF($B$2="Não","",'CÁLCULO FUNPRESP'!Q434)</f>
        <v/>
      </c>
      <c r="K434" s="140" t="str">
        <f>IF($B$2="Não","",'CÁLCULO FUNPRESP'!R434)</f>
        <v/>
      </c>
      <c r="L434" s="140" t="str">
        <f>IF($B$2="Não","",'CÁLCULO FUNPRESP'!S434)</f>
        <v/>
      </c>
      <c r="N434" s="164" t="str">
        <f ca="1">'CÁLCULO FUNPRESP'!U434</f>
        <v/>
      </c>
      <c r="O434" s="140" t="str">
        <f>IF($B$2="Não","",'CÁLCULO FUNPRESP'!Y434)</f>
        <v/>
      </c>
    </row>
    <row r="435" spans="9:15" x14ac:dyDescent="0.25">
      <c r="I435" s="164" t="str">
        <f ca="1">'CÁLCULO FUNPRESP'!P435</f>
        <v/>
      </c>
      <c r="J435" s="140" t="str">
        <f>IF($B$2="Não","",'CÁLCULO FUNPRESP'!Q435)</f>
        <v/>
      </c>
      <c r="K435" s="140" t="str">
        <f>IF($B$2="Não","",'CÁLCULO FUNPRESP'!R435)</f>
        <v/>
      </c>
      <c r="L435" s="140" t="str">
        <f>IF($B$2="Não","",'CÁLCULO FUNPRESP'!S435)</f>
        <v/>
      </c>
      <c r="N435" s="164" t="str">
        <f ca="1">'CÁLCULO FUNPRESP'!U435</f>
        <v/>
      </c>
      <c r="O435" s="140" t="str">
        <f>IF($B$2="Não","",'CÁLCULO FUNPRESP'!Y435)</f>
        <v/>
      </c>
    </row>
    <row r="436" spans="9:15" x14ac:dyDescent="0.25">
      <c r="I436" s="164" t="str">
        <f ca="1">'CÁLCULO FUNPRESP'!P436</f>
        <v/>
      </c>
      <c r="J436" s="140" t="str">
        <f>IF($B$2="Não","",'CÁLCULO FUNPRESP'!Q436)</f>
        <v/>
      </c>
      <c r="K436" s="140" t="str">
        <f>IF($B$2="Não","",'CÁLCULO FUNPRESP'!R436)</f>
        <v/>
      </c>
      <c r="L436" s="140" t="str">
        <f>IF($B$2="Não","",'CÁLCULO FUNPRESP'!S436)</f>
        <v/>
      </c>
      <c r="N436" s="164" t="str">
        <f ca="1">'CÁLCULO FUNPRESP'!U436</f>
        <v/>
      </c>
      <c r="O436" s="140" t="str">
        <f>IF($B$2="Não","",'CÁLCULO FUNPRESP'!Y436)</f>
        <v/>
      </c>
    </row>
    <row r="437" spans="9:15" x14ac:dyDescent="0.25">
      <c r="I437" s="164" t="str">
        <f ca="1">'CÁLCULO FUNPRESP'!P437</f>
        <v/>
      </c>
      <c r="J437" s="140" t="str">
        <f>IF($B$2="Não","",'CÁLCULO FUNPRESP'!Q437)</f>
        <v/>
      </c>
      <c r="K437" s="140" t="str">
        <f>IF($B$2="Não","",'CÁLCULO FUNPRESP'!R437)</f>
        <v/>
      </c>
      <c r="L437" s="140" t="str">
        <f>IF($B$2="Não","",'CÁLCULO FUNPRESP'!S437)</f>
        <v/>
      </c>
      <c r="N437" s="164" t="str">
        <f ca="1">'CÁLCULO FUNPRESP'!U437</f>
        <v/>
      </c>
      <c r="O437" s="140" t="str">
        <f>IF($B$2="Não","",'CÁLCULO FUNPRESP'!Y437)</f>
        <v/>
      </c>
    </row>
    <row r="438" spans="9:15" x14ac:dyDescent="0.25">
      <c r="I438" s="164" t="str">
        <f ca="1">'CÁLCULO FUNPRESP'!P438</f>
        <v/>
      </c>
      <c r="J438" s="140" t="str">
        <f>IF($B$2="Não","",'CÁLCULO FUNPRESP'!Q438)</f>
        <v/>
      </c>
      <c r="K438" s="140" t="str">
        <f>IF($B$2="Não","",'CÁLCULO FUNPRESP'!R438)</f>
        <v/>
      </c>
      <c r="L438" s="140" t="str">
        <f>IF($B$2="Não","",'CÁLCULO FUNPRESP'!S438)</f>
        <v/>
      </c>
      <c r="N438" s="164" t="str">
        <f ca="1">'CÁLCULO FUNPRESP'!U438</f>
        <v/>
      </c>
      <c r="O438" s="140" t="str">
        <f>IF($B$2="Não","",'CÁLCULO FUNPRESP'!Y438)</f>
        <v/>
      </c>
    </row>
    <row r="439" spans="9:15" x14ac:dyDescent="0.25">
      <c r="I439" s="164" t="str">
        <f ca="1">'CÁLCULO FUNPRESP'!P439</f>
        <v/>
      </c>
      <c r="J439" s="140" t="str">
        <f>IF($B$2="Não","",'CÁLCULO FUNPRESP'!Q439)</f>
        <v/>
      </c>
      <c r="K439" s="140" t="str">
        <f>IF($B$2="Não","",'CÁLCULO FUNPRESP'!R439)</f>
        <v/>
      </c>
      <c r="L439" s="140" t="str">
        <f>IF($B$2="Não","",'CÁLCULO FUNPRESP'!S439)</f>
        <v/>
      </c>
      <c r="N439" s="164" t="str">
        <f ca="1">'CÁLCULO FUNPRESP'!U439</f>
        <v/>
      </c>
      <c r="O439" s="140" t="str">
        <f>IF($B$2="Não","",'CÁLCULO FUNPRESP'!Y439)</f>
        <v/>
      </c>
    </row>
    <row r="440" spans="9:15" x14ac:dyDescent="0.25">
      <c r="I440" s="164" t="str">
        <f ca="1">'CÁLCULO FUNPRESP'!P440</f>
        <v/>
      </c>
      <c r="J440" s="140" t="str">
        <f>IF($B$2="Não","",'CÁLCULO FUNPRESP'!Q440)</f>
        <v/>
      </c>
      <c r="K440" s="140" t="str">
        <f>IF($B$2="Não","",'CÁLCULO FUNPRESP'!R440)</f>
        <v/>
      </c>
      <c r="L440" s="140" t="str">
        <f>IF($B$2="Não","",'CÁLCULO FUNPRESP'!S440)</f>
        <v/>
      </c>
      <c r="N440" s="164" t="str">
        <f ca="1">'CÁLCULO FUNPRESP'!U440</f>
        <v/>
      </c>
      <c r="O440" s="140" t="str">
        <f>IF($B$2="Não","",'CÁLCULO FUNPRESP'!Y440)</f>
        <v/>
      </c>
    </row>
    <row r="441" spans="9:15" x14ac:dyDescent="0.25">
      <c r="I441" s="164" t="str">
        <f ca="1">'CÁLCULO FUNPRESP'!P441</f>
        <v/>
      </c>
      <c r="J441" s="140" t="str">
        <f>IF($B$2="Não","",'CÁLCULO FUNPRESP'!Q441)</f>
        <v/>
      </c>
      <c r="K441" s="140" t="str">
        <f>IF($B$2="Não","",'CÁLCULO FUNPRESP'!R441)</f>
        <v/>
      </c>
      <c r="L441" s="140" t="str">
        <f>IF($B$2="Não","",'CÁLCULO FUNPRESP'!S441)</f>
        <v/>
      </c>
      <c r="N441" s="164" t="str">
        <f ca="1">'CÁLCULO FUNPRESP'!U441</f>
        <v/>
      </c>
      <c r="O441" s="140" t="str">
        <f>IF($B$2="Não","",'CÁLCULO FUNPRESP'!Y441)</f>
        <v/>
      </c>
    </row>
    <row r="442" spans="9:15" x14ac:dyDescent="0.25">
      <c r="I442" s="164" t="str">
        <f ca="1">'CÁLCULO FUNPRESP'!P442</f>
        <v/>
      </c>
      <c r="J442" s="140" t="str">
        <f>IF($B$2="Não","",'CÁLCULO FUNPRESP'!Q442)</f>
        <v/>
      </c>
      <c r="K442" s="140" t="str">
        <f>IF($B$2="Não","",'CÁLCULO FUNPRESP'!R442)</f>
        <v/>
      </c>
      <c r="L442" s="140" t="str">
        <f>IF($B$2="Não","",'CÁLCULO FUNPRESP'!S442)</f>
        <v/>
      </c>
      <c r="N442" s="164" t="str">
        <f ca="1">'CÁLCULO FUNPRESP'!U442</f>
        <v/>
      </c>
      <c r="O442" s="140" t="str">
        <f>IF($B$2="Não","",'CÁLCULO FUNPRESP'!Y442)</f>
        <v/>
      </c>
    </row>
    <row r="443" spans="9:15" x14ac:dyDescent="0.25">
      <c r="I443" s="164" t="str">
        <f ca="1">'CÁLCULO FUNPRESP'!P443</f>
        <v/>
      </c>
      <c r="J443" s="140" t="str">
        <f>IF($B$2="Não","",'CÁLCULO FUNPRESP'!Q443)</f>
        <v/>
      </c>
      <c r="K443" s="140" t="str">
        <f>IF($B$2="Não","",'CÁLCULO FUNPRESP'!R443)</f>
        <v/>
      </c>
      <c r="L443" s="140" t="str">
        <f>IF($B$2="Não","",'CÁLCULO FUNPRESP'!S443)</f>
        <v/>
      </c>
      <c r="N443" s="164" t="str">
        <f ca="1">'CÁLCULO FUNPRESP'!U443</f>
        <v/>
      </c>
      <c r="O443" s="140" t="str">
        <f>IF($B$2="Não","",'CÁLCULO FUNPRESP'!Y443)</f>
        <v/>
      </c>
    </row>
    <row r="444" spans="9:15" x14ac:dyDescent="0.25">
      <c r="I444" s="164" t="str">
        <f ca="1">'CÁLCULO FUNPRESP'!P444</f>
        <v/>
      </c>
      <c r="J444" s="140" t="str">
        <f>IF($B$2="Não","",'CÁLCULO FUNPRESP'!Q444)</f>
        <v/>
      </c>
      <c r="K444" s="140" t="str">
        <f>IF($B$2="Não","",'CÁLCULO FUNPRESP'!R444)</f>
        <v/>
      </c>
      <c r="L444" s="140" t="str">
        <f>IF($B$2="Não","",'CÁLCULO FUNPRESP'!S444)</f>
        <v/>
      </c>
      <c r="N444" s="164" t="str">
        <f ca="1">'CÁLCULO FUNPRESP'!U444</f>
        <v/>
      </c>
      <c r="O444" s="140" t="str">
        <f>IF($B$2="Não","",'CÁLCULO FUNPRESP'!Y444)</f>
        <v/>
      </c>
    </row>
    <row r="445" spans="9:15" x14ac:dyDescent="0.25">
      <c r="I445" s="164" t="str">
        <f ca="1">'CÁLCULO FUNPRESP'!P445</f>
        <v/>
      </c>
      <c r="J445" s="140" t="str">
        <f>IF($B$2="Não","",'CÁLCULO FUNPRESP'!Q445)</f>
        <v/>
      </c>
      <c r="K445" s="140" t="str">
        <f>IF($B$2="Não","",'CÁLCULO FUNPRESP'!R445)</f>
        <v/>
      </c>
      <c r="L445" s="140" t="str">
        <f>IF($B$2="Não","",'CÁLCULO FUNPRESP'!S445)</f>
        <v/>
      </c>
      <c r="N445" s="164" t="str">
        <f ca="1">'CÁLCULO FUNPRESP'!U445</f>
        <v/>
      </c>
      <c r="O445" s="140" t="str">
        <f>IF($B$2="Não","",'CÁLCULO FUNPRESP'!Y445)</f>
        <v/>
      </c>
    </row>
    <row r="446" spans="9:15" x14ac:dyDescent="0.25">
      <c r="I446" s="164" t="str">
        <f ca="1">'CÁLCULO FUNPRESP'!P446</f>
        <v/>
      </c>
      <c r="J446" s="140" t="str">
        <f>IF($B$2="Não","",'CÁLCULO FUNPRESP'!Q446)</f>
        <v/>
      </c>
      <c r="K446" s="140" t="str">
        <f>IF($B$2="Não","",'CÁLCULO FUNPRESP'!R446)</f>
        <v/>
      </c>
      <c r="L446" s="140" t="str">
        <f>IF($B$2="Não","",'CÁLCULO FUNPRESP'!S446)</f>
        <v/>
      </c>
      <c r="N446" s="164" t="str">
        <f ca="1">'CÁLCULO FUNPRESP'!U446</f>
        <v/>
      </c>
      <c r="O446" s="140" t="str">
        <f>IF($B$2="Não","",'CÁLCULO FUNPRESP'!Y446)</f>
        <v/>
      </c>
    </row>
    <row r="447" spans="9:15" x14ac:dyDescent="0.25">
      <c r="I447" s="164" t="str">
        <f ca="1">'CÁLCULO FUNPRESP'!P447</f>
        <v/>
      </c>
      <c r="J447" s="140" t="str">
        <f>IF($B$2="Não","",'CÁLCULO FUNPRESP'!Q447)</f>
        <v/>
      </c>
      <c r="K447" s="140" t="str">
        <f>IF($B$2="Não","",'CÁLCULO FUNPRESP'!R447)</f>
        <v/>
      </c>
      <c r="L447" s="140" t="str">
        <f>IF($B$2="Não","",'CÁLCULO FUNPRESP'!S447)</f>
        <v/>
      </c>
      <c r="N447" s="164" t="str">
        <f ca="1">'CÁLCULO FUNPRESP'!U447</f>
        <v/>
      </c>
      <c r="O447" s="140" t="str">
        <f>IF($B$2="Não","",'CÁLCULO FUNPRESP'!Y447)</f>
        <v/>
      </c>
    </row>
    <row r="448" spans="9:15" x14ac:dyDescent="0.25">
      <c r="I448" s="164" t="str">
        <f ca="1">'CÁLCULO FUNPRESP'!P448</f>
        <v/>
      </c>
      <c r="J448" s="140" t="str">
        <f>IF($B$2="Não","",'CÁLCULO FUNPRESP'!Q448)</f>
        <v/>
      </c>
      <c r="K448" s="140" t="str">
        <f>IF($B$2="Não","",'CÁLCULO FUNPRESP'!R448)</f>
        <v/>
      </c>
      <c r="L448" s="140" t="str">
        <f>IF($B$2="Não","",'CÁLCULO FUNPRESP'!S448)</f>
        <v/>
      </c>
      <c r="N448" s="164" t="str">
        <f ca="1">'CÁLCULO FUNPRESP'!U448</f>
        <v/>
      </c>
      <c r="O448" s="140" t="str">
        <f>IF($B$2="Não","",'CÁLCULO FUNPRESP'!Y448)</f>
        <v/>
      </c>
    </row>
    <row r="449" spans="9:15" x14ac:dyDescent="0.25">
      <c r="I449" s="164" t="str">
        <f ca="1">'CÁLCULO FUNPRESP'!P449</f>
        <v/>
      </c>
      <c r="J449" s="140" t="str">
        <f>IF($B$2="Não","",'CÁLCULO FUNPRESP'!Q449)</f>
        <v/>
      </c>
      <c r="K449" s="140" t="str">
        <f>IF($B$2="Não","",'CÁLCULO FUNPRESP'!R449)</f>
        <v/>
      </c>
      <c r="L449" s="140" t="str">
        <f>IF($B$2="Não","",'CÁLCULO FUNPRESP'!S449)</f>
        <v/>
      </c>
      <c r="N449" s="164" t="str">
        <f ca="1">'CÁLCULO FUNPRESP'!U449</f>
        <v/>
      </c>
      <c r="O449" s="140" t="str">
        <f>IF($B$2="Não","",'CÁLCULO FUNPRESP'!Y449)</f>
        <v/>
      </c>
    </row>
    <row r="450" spans="9:15" x14ac:dyDescent="0.25">
      <c r="I450" s="164" t="str">
        <f ca="1">'CÁLCULO FUNPRESP'!P450</f>
        <v/>
      </c>
      <c r="J450" s="140" t="str">
        <f>IF($B$2="Não","",'CÁLCULO FUNPRESP'!Q450)</f>
        <v/>
      </c>
      <c r="K450" s="140" t="str">
        <f>IF($B$2="Não","",'CÁLCULO FUNPRESP'!R450)</f>
        <v/>
      </c>
      <c r="L450" s="140" t="str">
        <f>IF($B$2="Não","",'CÁLCULO FUNPRESP'!S450)</f>
        <v/>
      </c>
      <c r="N450" s="164" t="str">
        <f ca="1">'CÁLCULO FUNPRESP'!U450</f>
        <v/>
      </c>
      <c r="O450" s="140" t="str">
        <f>IF($B$2="Não","",'CÁLCULO FUNPRESP'!Y450)</f>
        <v/>
      </c>
    </row>
    <row r="451" spans="9:15" x14ac:dyDescent="0.25">
      <c r="I451" s="164" t="str">
        <f ca="1">'CÁLCULO FUNPRESP'!P451</f>
        <v/>
      </c>
      <c r="J451" s="140" t="str">
        <f>IF($B$2="Não","",'CÁLCULO FUNPRESP'!Q451)</f>
        <v/>
      </c>
      <c r="K451" s="140" t="str">
        <f>IF($B$2="Não","",'CÁLCULO FUNPRESP'!R451)</f>
        <v/>
      </c>
      <c r="L451" s="140" t="str">
        <f>IF($B$2="Não","",'CÁLCULO FUNPRESP'!S451)</f>
        <v/>
      </c>
      <c r="N451" s="164" t="str">
        <f ca="1">'CÁLCULO FUNPRESP'!U451</f>
        <v/>
      </c>
      <c r="O451" s="140" t="str">
        <f>IF($B$2="Não","",'CÁLCULO FUNPRESP'!Y451)</f>
        <v/>
      </c>
    </row>
    <row r="452" spans="9:15" x14ac:dyDescent="0.25">
      <c r="I452" s="164" t="str">
        <f ca="1">'CÁLCULO FUNPRESP'!P452</f>
        <v/>
      </c>
      <c r="J452" s="140" t="str">
        <f>IF($B$2="Não","",'CÁLCULO FUNPRESP'!Q452)</f>
        <v/>
      </c>
      <c r="K452" s="140" t="str">
        <f>IF($B$2="Não","",'CÁLCULO FUNPRESP'!R452)</f>
        <v/>
      </c>
      <c r="L452" s="140" t="str">
        <f>IF($B$2="Não","",'CÁLCULO FUNPRESP'!S452)</f>
        <v/>
      </c>
      <c r="N452" s="164" t="str">
        <f ca="1">'CÁLCULO FUNPRESP'!U452</f>
        <v/>
      </c>
      <c r="O452" s="140" t="str">
        <f>IF($B$2="Não","",'CÁLCULO FUNPRESP'!Y452)</f>
        <v/>
      </c>
    </row>
    <row r="453" spans="9:15" x14ac:dyDescent="0.25">
      <c r="I453" s="164" t="str">
        <f ca="1">'CÁLCULO FUNPRESP'!P453</f>
        <v/>
      </c>
      <c r="J453" s="140" t="str">
        <f>IF($B$2="Não","",'CÁLCULO FUNPRESP'!Q453)</f>
        <v/>
      </c>
      <c r="K453" s="140" t="str">
        <f>IF($B$2="Não","",'CÁLCULO FUNPRESP'!R453)</f>
        <v/>
      </c>
      <c r="L453" s="140" t="str">
        <f>IF($B$2="Não","",'CÁLCULO FUNPRESP'!S453)</f>
        <v/>
      </c>
      <c r="N453" s="164" t="str">
        <f ca="1">'CÁLCULO FUNPRESP'!U453</f>
        <v/>
      </c>
      <c r="O453" s="140" t="str">
        <f>IF($B$2="Não","",'CÁLCULO FUNPRESP'!Y453)</f>
        <v/>
      </c>
    </row>
    <row r="454" spans="9:15" x14ac:dyDescent="0.25">
      <c r="I454" s="164" t="str">
        <f ca="1">'CÁLCULO FUNPRESP'!P454</f>
        <v/>
      </c>
      <c r="J454" s="140" t="str">
        <f>IF($B$2="Não","",'CÁLCULO FUNPRESP'!Q454)</f>
        <v/>
      </c>
      <c r="K454" s="140" t="str">
        <f>IF($B$2="Não","",'CÁLCULO FUNPRESP'!R454)</f>
        <v/>
      </c>
      <c r="L454" s="140" t="str">
        <f>IF($B$2="Não","",'CÁLCULO FUNPRESP'!S454)</f>
        <v/>
      </c>
      <c r="N454" s="164" t="str">
        <f ca="1">'CÁLCULO FUNPRESP'!U454</f>
        <v/>
      </c>
      <c r="O454" s="140" t="str">
        <f>IF($B$2="Não","",'CÁLCULO FUNPRESP'!Y454)</f>
        <v/>
      </c>
    </row>
    <row r="455" spans="9:15" x14ac:dyDescent="0.25">
      <c r="I455" s="164" t="str">
        <f ca="1">'CÁLCULO FUNPRESP'!P455</f>
        <v/>
      </c>
      <c r="J455" s="140" t="str">
        <f>IF($B$2="Não","",'CÁLCULO FUNPRESP'!Q455)</f>
        <v/>
      </c>
      <c r="K455" s="140" t="str">
        <f>IF($B$2="Não","",'CÁLCULO FUNPRESP'!R455)</f>
        <v/>
      </c>
      <c r="L455" s="140" t="str">
        <f>IF($B$2="Não","",'CÁLCULO FUNPRESP'!S455)</f>
        <v/>
      </c>
      <c r="N455" s="164" t="str">
        <f ca="1">'CÁLCULO FUNPRESP'!U455</f>
        <v/>
      </c>
      <c r="O455" s="140" t="str">
        <f>IF($B$2="Não","",'CÁLCULO FUNPRESP'!Y455)</f>
        <v/>
      </c>
    </row>
    <row r="456" spans="9:15" x14ac:dyDescent="0.25">
      <c r="I456" s="164" t="str">
        <f ca="1">'CÁLCULO FUNPRESP'!P456</f>
        <v/>
      </c>
      <c r="J456" s="140" t="str">
        <f>IF($B$2="Não","",'CÁLCULO FUNPRESP'!Q456)</f>
        <v/>
      </c>
      <c r="K456" s="140" t="str">
        <f>IF($B$2="Não","",'CÁLCULO FUNPRESP'!R456)</f>
        <v/>
      </c>
      <c r="L456" s="140" t="str">
        <f>IF($B$2="Não","",'CÁLCULO FUNPRESP'!S456)</f>
        <v/>
      </c>
      <c r="N456" s="164" t="str">
        <f ca="1">'CÁLCULO FUNPRESP'!U456</f>
        <v/>
      </c>
      <c r="O456" s="140" t="str">
        <f>IF($B$2="Não","",'CÁLCULO FUNPRESP'!Y456)</f>
        <v/>
      </c>
    </row>
    <row r="457" spans="9:15" x14ac:dyDescent="0.25">
      <c r="I457" s="164" t="str">
        <f ca="1">'CÁLCULO FUNPRESP'!P457</f>
        <v/>
      </c>
      <c r="J457" s="140" t="str">
        <f>IF($B$2="Não","",'CÁLCULO FUNPRESP'!Q457)</f>
        <v/>
      </c>
      <c r="K457" s="140" t="str">
        <f>IF($B$2="Não","",'CÁLCULO FUNPRESP'!R457)</f>
        <v/>
      </c>
      <c r="L457" s="140" t="str">
        <f>IF($B$2="Não","",'CÁLCULO FUNPRESP'!S457)</f>
        <v/>
      </c>
      <c r="N457" s="164" t="str">
        <f ca="1">'CÁLCULO FUNPRESP'!U457</f>
        <v/>
      </c>
      <c r="O457" s="140" t="str">
        <f>IF($B$2="Não","",'CÁLCULO FUNPRESP'!Y457)</f>
        <v/>
      </c>
    </row>
    <row r="458" spans="9:15" x14ac:dyDescent="0.25">
      <c r="I458" s="164" t="str">
        <f ca="1">'CÁLCULO FUNPRESP'!P458</f>
        <v/>
      </c>
      <c r="J458" s="140" t="str">
        <f>IF($B$2="Não","",'CÁLCULO FUNPRESP'!Q458)</f>
        <v/>
      </c>
      <c r="K458" s="140" t="str">
        <f>IF($B$2="Não","",'CÁLCULO FUNPRESP'!R458)</f>
        <v/>
      </c>
      <c r="L458" s="140" t="str">
        <f>IF($B$2="Não","",'CÁLCULO FUNPRESP'!S458)</f>
        <v/>
      </c>
      <c r="N458" s="164" t="str">
        <f ca="1">'CÁLCULO FUNPRESP'!U458</f>
        <v/>
      </c>
      <c r="O458" s="140" t="str">
        <f>IF($B$2="Não","",'CÁLCULO FUNPRESP'!Y458)</f>
        <v/>
      </c>
    </row>
    <row r="459" spans="9:15" x14ac:dyDescent="0.25">
      <c r="I459" s="164" t="str">
        <f ca="1">'CÁLCULO FUNPRESP'!P459</f>
        <v/>
      </c>
      <c r="J459" s="140" t="str">
        <f>IF($B$2="Não","",'CÁLCULO FUNPRESP'!Q459)</f>
        <v/>
      </c>
      <c r="K459" s="140" t="str">
        <f>IF($B$2="Não","",'CÁLCULO FUNPRESP'!R459)</f>
        <v/>
      </c>
      <c r="L459" s="140" t="str">
        <f>IF($B$2="Não","",'CÁLCULO FUNPRESP'!S459)</f>
        <v/>
      </c>
      <c r="N459" s="164" t="str">
        <f ca="1">'CÁLCULO FUNPRESP'!U459</f>
        <v/>
      </c>
      <c r="O459" s="140" t="str">
        <f>IF($B$2="Não","",'CÁLCULO FUNPRESP'!Y459)</f>
        <v/>
      </c>
    </row>
    <row r="460" spans="9:15" x14ac:dyDescent="0.25">
      <c r="I460" s="164" t="str">
        <f ca="1">'CÁLCULO FUNPRESP'!P460</f>
        <v/>
      </c>
      <c r="J460" s="140" t="str">
        <f>IF($B$2="Não","",'CÁLCULO FUNPRESP'!Q460)</f>
        <v/>
      </c>
      <c r="K460" s="140" t="str">
        <f>IF($B$2="Não","",'CÁLCULO FUNPRESP'!R460)</f>
        <v/>
      </c>
      <c r="L460" s="140" t="str">
        <f>IF($B$2="Não","",'CÁLCULO FUNPRESP'!S460)</f>
        <v/>
      </c>
      <c r="N460" s="164" t="str">
        <f ca="1">'CÁLCULO FUNPRESP'!U460</f>
        <v/>
      </c>
      <c r="O460" s="140" t="str">
        <f>IF($B$2="Não","",'CÁLCULO FUNPRESP'!Y460)</f>
        <v/>
      </c>
    </row>
    <row r="461" spans="9:15" x14ac:dyDescent="0.25">
      <c r="I461" s="164" t="str">
        <f ca="1">'CÁLCULO FUNPRESP'!P461</f>
        <v/>
      </c>
      <c r="J461" s="140" t="str">
        <f>IF($B$2="Não","",'CÁLCULO FUNPRESP'!Q461)</f>
        <v/>
      </c>
      <c r="K461" s="140" t="str">
        <f>IF($B$2="Não","",'CÁLCULO FUNPRESP'!R461)</f>
        <v/>
      </c>
      <c r="L461" s="140" t="str">
        <f>IF($B$2="Não","",'CÁLCULO FUNPRESP'!S461)</f>
        <v/>
      </c>
      <c r="N461" s="164" t="str">
        <f ca="1">'CÁLCULO FUNPRESP'!U461</f>
        <v/>
      </c>
      <c r="O461" s="140" t="str">
        <f>IF($B$2="Não","",'CÁLCULO FUNPRESP'!Y461)</f>
        <v/>
      </c>
    </row>
    <row r="462" spans="9:15" x14ac:dyDescent="0.25">
      <c r="I462" s="164" t="str">
        <f ca="1">'CÁLCULO FUNPRESP'!P462</f>
        <v/>
      </c>
      <c r="J462" s="140" t="str">
        <f>IF($B$2="Não","",'CÁLCULO FUNPRESP'!Q462)</f>
        <v/>
      </c>
      <c r="K462" s="140" t="str">
        <f>IF($B$2="Não","",'CÁLCULO FUNPRESP'!R462)</f>
        <v/>
      </c>
      <c r="L462" s="140" t="str">
        <f>IF($B$2="Não","",'CÁLCULO FUNPRESP'!S462)</f>
        <v/>
      </c>
      <c r="N462" s="164" t="str">
        <f ca="1">'CÁLCULO FUNPRESP'!U462</f>
        <v/>
      </c>
      <c r="O462" s="140" t="str">
        <f>IF($B$2="Não","",'CÁLCULO FUNPRESP'!Y462)</f>
        <v/>
      </c>
    </row>
    <row r="463" spans="9:15" x14ac:dyDescent="0.25">
      <c r="I463" s="164" t="str">
        <f ca="1">'CÁLCULO FUNPRESP'!P463</f>
        <v/>
      </c>
      <c r="J463" s="140" t="str">
        <f>IF($B$2="Não","",'CÁLCULO FUNPRESP'!Q463)</f>
        <v/>
      </c>
      <c r="K463" s="140" t="str">
        <f>IF($B$2="Não","",'CÁLCULO FUNPRESP'!R463)</f>
        <v/>
      </c>
      <c r="L463" s="140" t="str">
        <f>IF($B$2="Não","",'CÁLCULO FUNPRESP'!S463)</f>
        <v/>
      </c>
      <c r="N463" s="164" t="str">
        <f ca="1">'CÁLCULO FUNPRESP'!U463</f>
        <v/>
      </c>
      <c r="O463" s="140" t="str">
        <f>IF($B$2="Não","",'CÁLCULO FUNPRESP'!Y463)</f>
        <v/>
      </c>
    </row>
    <row r="464" spans="9:15" x14ac:dyDescent="0.25">
      <c r="I464" s="164" t="str">
        <f ca="1">'CÁLCULO FUNPRESP'!P464</f>
        <v/>
      </c>
      <c r="J464" s="140" t="str">
        <f>IF($B$2="Não","",'CÁLCULO FUNPRESP'!Q464)</f>
        <v/>
      </c>
      <c r="K464" s="140" t="str">
        <f>IF($B$2="Não","",'CÁLCULO FUNPRESP'!R464)</f>
        <v/>
      </c>
      <c r="L464" s="140" t="str">
        <f>IF($B$2="Não","",'CÁLCULO FUNPRESP'!S464)</f>
        <v/>
      </c>
      <c r="N464" s="164" t="str">
        <f ca="1">'CÁLCULO FUNPRESP'!U464</f>
        <v/>
      </c>
      <c r="O464" s="140" t="str">
        <f>IF($B$2="Não","",'CÁLCULO FUNPRESP'!Y464)</f>
        <v/>
      </c>
    </row>
    <row r="465" spans="9:15" x14ac:dyDescent="0.25">
      <c r="I465" s="164" t="str">
        <f ca="1">'CÁLCULO FUNPRESP'!P465</f>
        <v/>
      </c>
      <c r="J465" s="140" t="str">
        <f>IF($B$2="Não","",'CÁLCULO FUNPRESP'!Q465)</f>
        <v/>
      </c>
      <c r="K465" s="140" t="str">
        <f>IF($B$2="Não","",'CÁLCULO FUNPRESP'!R465)</f>
        <v/>
      </c>
      <c r="L465" s="140" t="str">
        <f>IF($B$2="Não","",'CÁLCULO FUNPRESP'!S465)</f>
        <v/>
      </c>
      <c r="N465" s="164" t="str">
        <f ca="1">'CÁLCULO FUNPRESP'!U465</f>
        <v/>
      </c>
      <c r="O465" s="140" t="str">
        <f>IF($B$2="Não","",'CÁLCULO FUNPRESP'!Y465)</f>
        <v/>
      </c>
    </row>
    <row r="466" spans="9:15" x14ac:dyDescent="0.25">
      <c r="I466" s="164" t="str">
        <f ca="1">'CÁLCULO FUNPRESP'!P466</f>
        <v/>
      </c>
      <c r="J466" s="140" t="str">
        <f>IF($B$2="Não","",'CÁLCULO FUNPRESP'!Q466)</f>
        <v/>
      </c>
      <c r="K466" s="140" t="str">
        <f>IF($B$2="Não","",'CÁLCULO FUNPRESP'!R466)</f>
        <v/>
      </c>
      <c r="L466" s="140" t="str">
        <f>IF($B$2="Não","",'CÁLCULO FUNPRESP'!S466)</f>
        <v/>
      </c>
      <c r="N466" s="164" t="str">
        <f ca="1">'CÁLCULO FUNPRESP'!U466</f>
        <v/>
      </c>
      <c r="O466" s="140" t="str">
        <f>IF($B$2="Não","",'CÁLCULO FUNPRESP'!Y466)</f>
        <v/>
      </c>
    </row>
    <row r="467" spans="9:15" x14ac:dyDescent="0.25">
      <c r="I467" s="164" t="str">
        <f ca="1">'CÁLCULO FUNPRESP'!P467</f>
        <v/>
      </c>
      <c r="J467" s="140" t="str">
        <f>IF($B$2="Não","",'CÁLCULO FUNPRESP'!Q467)</f>
        <v/>
      </c>
      <c r="K467" s="140" t="str">
        <f>IF($B$2="Não","",'CÁLCULO FUNPRESP'!R467)</f>
        <v/>
      </c>
      <c r="L467" s="140" t="str">
        <f>IF($B$2="Não","",'CÁLCULO FUNPRESP'!S467)</f>
        <v/>
      </c>
      <c r="N467" s="164" t="str">
        <f ca="1">'CÁLCULO FUNPRESP'!U467</f>
        <v/>
      </c>
      <c r="O467" s="140" t="str">
        <f>IF($B$2="Não","",'CÁLCULO FUNPRESP'!Y467)</f>
        <v/>
      </c>
    </row>
    <row r="468" spans="9:15" x14ac:dyDescent="0.25">
      <c r="I468" s="164" t="str">
        <f ca="1">'CÁLCULO FUNPRESP'!P468</f>
        <v/>
      </c>
      <c r="J468" s="140" t="str">
        <f>IF($B$2="Não","",'CÁLCULO FUNPRESP'!Q468)</f>
        <v/>
      </c>
      <c r="K468" s="140" t="str">
        <f>IF($B$2="Não","",'CÁLCULO FUNPRESP'!R468)</f>
        <v/>
      </c>
      <c r="L468" s="140" t="str">
        <f>IF($B$2="Não","",'CÁLCULO FUNPRESP'!S468)</f>
        <v/>
      </c>
      <c r="N468" s="164" t="str">
        <f ca="1">'CÁLCULO FUNPRESP'!U468</f>
        <v/>
      </c>
      <c r="O468" s="140" t="str">
        <f>IF($B$2="Não","",'CÁLCULO FUNPRESP'!Y468)</f>
        <v/>
      </c>
    </row>
    <row r="469" spans="9:15" x14ac:dyDescent="0.25">
      <c r="I469" s="164" t="str">
        <f ca="1">'CÁLCULO FUNPRESP'!P469</f>
        <v/>
      </c>
      <c r="J469" s="140" t="str">
        <f>IF($B$2="Não","",'CÁLCULO FUNPRESP'!Q469)</f>
        <v/>
      </c>
      <c r="K469" s="140" t="str">
        <f>IF($B$2="Não","",'CÁLCULO FUNPRESP'!R469)</f>
        <v/>
      </c>
      <c r="L469" s="140" t="str">
        <f>IF($B$2="Não","",'CÁLCULO FUNPRESP'!S469)</f>
        <v/>
      </c>
      <c r="N469" s="164" t="str">
        <f ca="1">'CÁLCULO FUNPRESP'!U469</f>
        <v/>
      </c>
      <c r="O469" s="140" t="str">
        <f>IF($B$2="Não","",'CÁLCULO FUNPRESP'!Y469)</f>
        <v/>
      </c>
    </row>
    <row r="470" spans="9:15" x14ac:dyDescent="0.25">
      <c r="I470" s="164" t="str">
        <f ca="1">'CÁLCULO FUNPRESP'!P470</f>
        <v/>
      </c>
      <c r="J470" s="140" t="str">
        <f>IF($B$2="Não","",'CÁLCULO FUNPRESP'!Q470)</f>
        <v/>
      </c>
      <c r="K470" s="140" t="str">
        <f>IF($B$2="Não","",'CÁLCULO FUNPRESP'!R470)</f>
        <v/>
      </c>
      <c r="L470" s="140" t="str">
        <f>IF($B$2="Não","",'CÁLCULO FUNPRESP'!S470)</f>
        <v/>
      </c>
      <c r="N470" s="164" t="str">
        <f ca="1">'CÁLCULO FUNPRESP'!U470</f>
        <v/>
      </c>
      <c r="O470" s="140" t="str">
        <f>IF($B$2="Não","",'CÁLCULO FUNPRESP'!Y470)</f>
        <v/>
      </c>
    </row>
    <row r="471" spans="9:15" x14ac:dyDescent="0.25">
      <c r="I471" s="164" t="str">
        <f ca="1">'CÁLCULO FUNPRESP'!P471</f>
        <v/>
      </c>
      <c r="J471" s="140" t="str">
        <f>IF($B$2="Não","",'CÁLCULO FUNPRESP'!Q471)</f>
        <v/>
      </c>
      <c r="K471" s="140" t="str">
        <f>IF($B$2="Não","",'CÁLCULO FUNPRESP'!R471)</f>
        <v/>
      </c>
      <c r="L471" s="140" t="str">
        <f>IF($B$2="Não","",'CÁLCULO FUNPRESP'!S471)</f>
        <v/>
      </c>
      <c r="N471" s="164" t="str">
        <f ca="1">'CÁLCULO FUNPRESP'!U471</f>
        <v/>
      </c>
      <c r="O471" s="140" t="str">
        <f>IF($B$2="Não","",'CÁLCULO FUNPRESP'!Y471)</f>
        <v/>
      </c>
    </row>
    <row r="472" spans="9:15" x14ac:dyDescent="0.25">
      <c r="I472" s="164" t="str">
        <f ca="1">'CÁLCULO FUNPRESP'!P472</f>
        <v/>
      </c>
      <c r="J472" s="140" t="str">
        <f>IF($B$2="Não","",'CÁLCULO FUNPRESP'!Q472)</f>
        <v/>
      </c>
      <c r="K472" s="140" t="str">
        <f>IF($B$2="Não","",'CÁLCULO FUNPRESP'!R472)</f>
        <v/>
      </c>
      <c r="L472" s="140" t="str">
        <f>IF($B$2="Não","",'CÁLCULO FUNPRESP'!S472)</f>
        <v/>
      </c>
      <c r="N472" s="164" t="str">
        <f ca="1">'CÁLCULO FUNPRESP'!U472</f>
        <v/>
      </c>
      <c r="O472" s="140" t="str">
        <f>IF($B$2="Não","",'CÁLCULO FUNPRESP'!Y472)</f>
        <v/>
      </c>
    </row>
    <row r="473" spans="9:15" x14ac:dyDescent="0.25">
      <c r="I473" s="164" t="str">
        <f ca="1">'CÁLCULO FUNPRESP'!P473</f>
        <v/>
      </c>
      <c r="J473" s="140" t="str">
        <f>IF($B$2="Não","",'CÁLCULO FUNPRESP'!Q473)</f>
        <v/>
      </c>
      <c r="K473" s="140" t="str">
        <f>IF($B$2="Não","",'CÁLCULO FUNPRESP'!R473)</f>
        <v/>
      </c>
      <c r="L473" s="140" t="str">
        <f>IF($B$2="Não","",'CÁLCULO FUNPRESP'!S473)</f>
        <v/>
      </c>
      <c r="N473" s="164" t="str">
        <f ca="1">'CÁLCULO FUNPRESP'!U473</f>
        <v/>
      </c>
      <c r="O473" s="140" t="str">
        <f>IF($B$2="Não","",'CÁLCULO FUNPRESP'!Y473)</f>
        <v/>
      </c>
    </row>
    <row r="474" spans="9:15" x14ac:dyDescent="0.25">
      <c r="I474" s="164" t="str">
        <f ca="1">'CÁLCULO FUNPRESP'!P474</f>
        <v/>
      </c>
      <c r="J474" s="140" t="str">
        <f>IF($B$2="Não","",'CÁLCULO FUNPRESP'!Q474)</f>
        <v/>
      </c>
      <c r="K474" s="140" t="str">
        <f>IF($B$2="Não","",'CÁLCULO FUNPRESP'!R474)</f>
        <v/>
      </c>
      <c r="L474" s="140" t="str">
        <f>IF($B$2="Não","",'CÁLCULO FUNPRESP'!S474)</f>
        <v/>
      </c>
      <c r="N474" s="164" t="str">
        <f ca="1">'CÁLCULO FUNPRESP'!U474</f>
        <v/>
      </c>
      <c r="O474" s="140" t="str">
        <f>IF($B$2="Não","",'CÁLCULO FUNPRESP'!Y474)</f>
        <v/>
      </c>
    </row>
    <row r="475" spans="9:15" x14ac:dyDescent="0.25">
      <c r="I475" s="164" t="str">
        <f ca="1">'CÁLCULO FUNPRESP'!P475</f>
        <v/>
      </c>
      <c r="J475" s="140" t="str">
        <f>IF($B$2="Não","",'CÁLCULO FUNPRESP'!Q475)</f>
        <v/>
      </c>
      <c r="K475" s="140" t="str">
        <f>IF($B$2="Não","",'CÁLCULO FUNPRESP'!R475)</f>
        <v/>
      </c>
      <c r="L475" s="140" t="str">
        <f>IF($B$2="Não","",'CÁLCULO FUNPRESP'!S475)</f>
        <v/>
      </c>
      <c r="N475" s="164" t="str">
        <f ca="1">'CÁLCULO FUNPRESP'!U475</f>
        <v/>
      </c>
      <c r="O475" s="140" t="str">
        <f>IF($B$2="Não","",'CÁLCULO FUNPRESP'!Y475)</f>
        <v/>
      </c>
    </row>
    <row r="476" spans="9:15" x14ac:dyDescent="0.25">
      <c r="I476" s="164" t="str">
        <f ca="1">'CÁLCULO FUNPRESP'!P476</f>
        <v/>
      </c>
      <c r="J476" s="140" t="str">
        <f>IF($B$2="Não","",'CÁLCULO FUNPRESP'!Q476)</f>
        <v/>
      </c>
      <c r="K476" s="140" t="str">
        <f>IF($B$2="Não","",'CÁLCULO FUNPRESP'!R476)</f>
        <v/>
      </c>
      <c r="L476" s="140" t="str">
        <f>IF($B$2="Não","",'CÁLCULO FUNPRESP'!S476)</f>
        <v/>
      </c>
      <c r="N476" s="164" t="str">
        <f ca="1">'CÁLCULO FUNPRESP'!U476</f>
        <v/>
      </c>
      <c r="O476" s="140" t="str">
        <f>IF($B$2="Não","",'CÁLCULO FUNPRESP'!Y476)</f>
        <v/>
      </c>
    </row>
    <row r="477" spans="9:15" x14ac:dyDescent="0.25">
      <c r="I477" s="164" t="str">
        <f ca="1">'CÁLCULO FUNPRESP'!P477</f>
        <v/>
      </c>
      <c r="J477" s="140" t="str">
        <f>IF($B$2="Não","",'CÁLCULO FUNPRESP'!Q477)</f>
        <v/>
      </c>
      <c r="K477" s="140" t="str">
        <f>IF($B$2="Não","",'CÁLCULO FUNPRESP'!R477)</f>
        <v/>
      </c>
      <c r="L477" s="140" t="str">
        <f>IF($B$2="Não","",'CÁLCULO FUNPRESP'!S477)</f>
        <v/>
      </c>
      <c r="N477" s="164" t="str">
        <f ca="1">'CÁLCULO FUNPRESP'!U477</f>
        <v/>
      </c>
      <c r="O477" s="140" t="str">
        <f>IF($B$2="Não","",'CÁLCULO FUNPRESP'!Y477)</f>
        <v/>
      </c>
    </row>
    <row r="478" spans="9:15" x14ac:dyDescent="0.25">
      <c r="I478" s="164" t="str">
        <f ca="1">'CÁLCULO FUNPRESP'!P478</f>
        <v/>
      </c>
      <c r="J478" s="140" t="str">
        <f>IF($B$2="Não","",'CÁLCULO FUNPRESP'!Q478)</f>
        <v/>
      </c>
      <c r="K478" s="140" t="str">
        <f>IF($B$2="Não","",'CÁLCULO FUNPRESP'!R478)</f>
        <v/>
      </c>
      <c r="L478" s="140" t="str">
        <f>IF($B$2="Não","",'CÁLCULO FUNPRESP'!S478)</f>
        <v/>
      </c>
      <c r="N478" s="164" t="str">
        <f ca="1">'CÁLCULO FUNPRESP'!U478</f>
        <v/>
      </c>
      <c r="O478" s="140" t="str">
        <f>IF($B$2="Não","",'CÁLCULO FUNPRESP'!Y478)</f>
        <v/>
      </c>
    </row>
    <row r="479" spans="9:15" x14ac:dyDescent="0.25">
      <c r="I479" s="164" t="str">
        <f ca="1">'CÁLCULO FUNPRESP'!P479</f>
        <v/>
      </c>
      <c r="J479" s="140" t="str">
        <f>IF($B$2="Não","",'CÁLCULO FUNPRESP'!Q479)</f>
        <v/>
      </c>
      <c r="K479" s="140" t="str">
        <f>IF($B$2="Não","",'CÁLCULO FUNPRESP'!R479)</f>
        <v/>
      </c>
      <c r="L479" s="140" t="str">
        <f>IF($B$2="Não","",'CÁLCULO FUNPRESP'!S479)</f>
        <v/>
      </c>
      <c r="N479" s="164" t="str">
        <f ca="1">'CÁLCULO FUNPRESP'!U479</f>
        <v/>
      </c>
      <c r="O479" s="140" t="str">
        <f>IF($B$2="Não","",'CÁLCULO FUNPRESP'!Y479)</f>
        <v/>
      </c>
    </row>
    <row r="480" spans="9:15" x14ac:dyDescent="0.25">
      <c r="I480" s="164" t="str">
        <f ca="1">'CÁLCULO FUNPRESP'!P480</f>
        <v/>
      </c>
      <c r="J480" s="140" t="str">
        <f>IF($B$2="Não","",'CÁLCULO FUNPRESP'!Q480)</f>
        <v/>
      </c>
      <c r="K480" s="140" t="str">
        <f>IF($B$2="Não","",'CÁLCULO FUNPRESP'!R480)</f>
        <v/>
      </c>
      <c r="L480" s="140" t="str">
        <f>IF($B$2="Não","",'CÁLCULO FUNPRESP'!S480)</f>
        <v/>
      </c>
      <c r="N480" s="164" t="str">
        <f ca="1">'CÁLCULO FUNPRESP'!U480</f>
        <v/>
      </c>
      <c r="O480" s="140" t="str">
        <f>IF($B$2="Não","",'CÁLCULO FUNPRESP'!Y480)</f>
        <v/>
      </c>
    </row>
    <row r="481" spans="9:15" x14ac:dyDescent="0.25">
      <c r="I481" s="164" t="str">
        <f ca="1">'CÁLCULO FUNPRESP'!P481</f>
        <v/>
      </c>
      <c r="J481" s="140" t="str">
        <f>IF($B$2="Não","",'CÁLCULO FUNPRESP'!Q481)</f>
        <v/>
      </c>
      <c r="K481" s="140" t="str">
        <f>IF($B$2="Não","",'CÁLCULO FUNPRESP'!R481)</f>
        <v/>
      </c>
      <c r="L481" s="140" t="str">
        <f>IF($B$2="Não","",'CÁLCULO FUNPRESP'!S481)</f>
        <v/>
      </c>
      <c r="N481" s="164" t="str">
        <f ca="1">'CÁLCULO FUNPRESP'!U481</f>
        <v/>
      </c>
      <c r="O481" s="140" t="str">
        <f>IF($B$2="Não","",'CÁLCULO FUNPRESP'!Y481)</f>
        <v/>
      </c>
    </row>
    <row r="482" spans="9:15" x14ac:dyDescent="0.25">
      <c r="I482" s="164" t="str">
        <f ca="1">'CÁLCULO FUNPRESP'!P482</f>
        <v/>
      </c>
      <c r="J482" s="140" t="str">
        <f>IF($B$2="Não","",'CÁLCULO FUNPRESP'!Q482)</f>
        <v/>
      </c>
      <c r="K482" s="140" t="str">
        <f>IF($B$2="Não","",'CÁLCULO FUNPRESP'!R482)</f>
        <v/>
      </c>
      <c r="L482" s="140" t="str">
        <f>IF($B$2="Não","",'CÁLCULO FUNPRESP'!S482)</f>
        <v/>
      </c>
      <c r="N482" s="164" t="str">
        <f ca="1">'CÁLCULO FUNPRESP'!U482</f>
        <v/>
      </c>
      <c r="O482" s="140" t="str">
        <f>IF($B$2="Não","",'CÁLCULO FUNPRESP'!Y482)</f>
        <v/>
      </c>
    </row>
    <row r="483" spans="9:15" x14ac:dyDescent="0.25">
      <c r="I483" s="164" t="str">
        <f ca="1">'CÁLCULO FUNPRESP'!P483</f>
        <v/>
      </c>
      <c r="J483" s="140" t="str">
        <f>IF($B$2="Não","",'CÁLCULO FUNPRESP'!Q483)</f>
        <v/>
      </c>
      <c r="K483" s="140" t="str">
        <f>IF($B$2="Não","",'CÁLCULO FUNPRESP'!R483)</f>
        <v/>
      </c>
      <c r="L483" s="140" t="str">
        <f>IF($B$2="Não","",'CÁLCULO FUNPRESP'!S483)</f>
        <v/>
      </c>
      <c r="N483" s="164" t="str">
        <f ca="1">'CÁLCULO FUNPRESP'!U483</f>
        <v/>
      </c>
      <c r="O483" s="140" t="str">
        <f>IF($B$2="Não","",'CÁLCULO FUNPRESP'!Y483)</f>
        <v/>
      </c>
    </row>
    <row r="484" spans="9:15" x14ac:dyDescent="0.25">
      <c r="I484" s="164" t="str">
        <f ca="1">'CÁLCULO FUNPRESP'!P484</f>
        <v/>
      </c>
      <c r="J484" s="140" t="str">
        <f>IF($B$2="Não","",'CÁLCULO FUNPRESP'!Q484)</f>
        <v/>
      </c>
      <c r="K484" s="140" t="str">
        <f>IF($B$2="Não","",'CÁLCULO FUNPRESP'!R484)</f>
        <v/>
      </c>
      <c r="L484" s="140" t="str">
        <f>IF($B$2="Não","",'CÁLCULO FUNPRESP'!S484)</f>
        <v/>
      </c>
      <c r="N484" s="164" t="str">
        <f ca="1">'CÁLCULO FUNPRESP'!U484</f>
        <v/>
      </c>
      <c r="O484" s="140" t="str">
        <f>IF($B$2="Não","",'CÁLCULO FUNPRESP'!Y484)</f>
        <v/>
      </c>
    </row>
    <row r="485" spans="9:15" x14ac:dyDescent="0.25">
      <c r="I485" s="164" t="str">
        <f ca="1">'CÁLCULO FUNPRESP'!P485</f>
        <v/>
      </c>
      <c r="J485" s="140" t="str">
        <f>IF($B$2="Não","",'CÁLCULO FUNPRESP'!Q485)</f>
        <v/>
      </c>
      <c r="K485" s="140" t="str">
        <f>IF($B$2="Não","",'CÁLCULO FUNPRESP'!R485)</f>
        <v/>
      </c>
      <c r="L485" s="140" t="str">
        <f>IF($B$2="Não","",'CÁLCULO FUNPRESP'!S485)</f>
        <v/>
      </c>
      <c r="N485" s="164" t="str">
        <f ca="1">'CÁLCULO FUNPRESP'!U485</f>
        <v/>
      </c>
      <c r="O485" s="140" t="str">
        <f>IF($B$2="Não","",'CÁLCULO FUNPRESP'!Y485)</f>
        <v/>
      </c>
    </row>
    <row r="486" spans="9:15" x14ac:dyDescent="0.25">
      <c r="I486" s="164" t="str">
        <f ca="1">'CÁLCULO FUNPRESP'!P486</f>
        <v/>
      </c>
      <c r="J486" s="140" t="str">
        <f>IF($B$2="Não","",'CÁLCULO FUNPRESP'!Q486)</f>
        <v/>
      </c>
      <c r="K486" s="140" t="str">
        <f>IF($B$2="Não","",'CÁLCULO FUNPRESP'!R486)</f>
        <v/>
      </c>
      <c r="L486" s="140" t="str">
        <f>IF($B$2="Não","",'CÁLCULO FUNPRESP'!S486)</f>
        <v/>
      </c>
      <c r="N486" s="164" t="str">
        <f ca="1">'CÁLCULO FUNPRESP'!U486</f>
        <v/>
      </c>
      <c r="O486" s="140" t="str">
        <f>IF($B$2="Não","",'CÁLCULO FUNPRESP'!Y486)</f>
        <v/>
      </c>
    </row>
    <row r="487" spans="9:15" x14ac:dyDescent="0.25">
      <c r="I487" s="164" t="str">
        <f ca="1">'CÁLCULO FUNPRESP'!P487</f>
        <v/>
      </c>
      <c r="J487" s="140" t="str">
        <f>IF($B$2="Não","",'CÁLCULO FUNPRESP'!Q487)</f>
        <v/>
      </c>
      <c r="K487" s="140" t="str">
        <f>IF($B$2="Não","",'CÁLCULO FUNPRESP'!R487)</f>
        <v/>
      </c>
      <c r="L487" s="140" t="str">
        <f>IF($B$2="Não","",'CÁLCULO FUNPRESP'!S487)</f>
        <v/>
      </c>
      <c r="N487" s="164" t="str">
        <f ca="1">'CÁLCULO FUNPRESP'!U487</f>
        <v/>
      </c>
      <c r="O487" s="140" t="str">
        <f>IF($B$2="Não","",'CÁLCULO FUNPRESP'!Y487)</f>
        <v/>
      </c>
    </row>
    <row r="488" spans="9:15" x14ac:dyDescent="0.25">
      <c r="I488" s="164" t="str">
        <f ca="1">'CÁLCULO FUNPRESP'!P488</f>
        <v/>
      </c>
      <c r="J488" s="140" t="str">
        <f>IF($B$2="Não","",'CÁLCULO FUNPRESP'!Q488)</f>
        <v/>
      </c>
      <c r="K488" s="140" t="str">
        <f>IF($B$2="Não","",'CÁLCULO FUNPRESP'!R488)</f>
        <v/>
      </c>
      <c r="L488" s="140" t="str">
        <f>IF($B$2="Não","",'CÁLCULO FUNPRESP'!S488)</f>
        <v/>
      </c>
      <c r="N488" s="164" t="str">
        <f ca="1">'CÁLCULO FUNPRESP'!U488</f>
        <v/>
      </c>
      <c r="O488" s="140" t="str">
        <f>IF($B$2="Não","",'CÁLCULO FUNPRESP'!Y488)</f>
        <v/>
      </c>
    </row>
    <row r="489" spans="9:15" x14ac:dyDescent="0.25">
      <c r="I489" s="164" t="str">
        <f ca="1">'CÁLCULO FUNPRESP'!P489</f>
        <v/>
      </c>
      <c r="J489" s="140" t="str">
        <f>IF($B$2="Não","",'CÁLCULO FUNPRESP'!Q489)</f>
        <v/>
      </c>
      <c r="K489" s="140" t="str">
        <f>IF($B$2="Não","",'CÁLCULO FUNPRESP'!R489)</f>
        <v/>
      </c>
      <c r="L489" s="140" t="str">
        <f>IF($B$2="Não","",'CÁLCULO FUNPRESP'!S489)</f>
        <v/>
      </c>
      <c r="N489" s="164" t="str">
        <f ca="1">'CÁLCULO FUNPRESP'!U489</f>
        <v/>
      </c>
      <c r="O489" s="140" t="str">
        <f>IF($B$2="Não","",'CÁLCULO FUNPRESP'!Y489)</f>
        <v/>
      </c>
    </row>
    <row r="490" spans="9:15" x14ac:dyDescent="0.25">
      <c r="I490" s="164" t="str">
        <f ca="1">'CÁLCULO FUNPRESP'!P490</f>
        <v/>
      </c>
      <c r="J490" s="140" t="str">
        <f>IF($B$2="Não","",'CÁLCULO FUNPRESP'!Q490)</f>
        <v/>
      </c>
      <c r="K490" s="140" t="str">
        <f>IF($B$2="Não","",'CÁLCULO FUNPRESP'!R490)</f>
        <v/>
      </c>
      <c r="L490" s="140" t="str">
        <f>IF($B$2="Não","",'CÁLCULO FUNPRESP'!S490)</f>
        <v/>
      </c>
      <c r="N490" s="164" t="str">
        <f ca="1">'CÁLCULO FUNPRESP'!U490</f>
        <v/>
      </c>
      <c r="O490" s="140" t="str">
        <f>IF($B$2="Não","",'CÁLCULO FUNPRESP'!Y490)</f>
        <v/>
      </c>
    </row>
    <row r="491" spans="9:15" x14ac:dyDescent="0.25">
      <c r="I491" s="164" t="str">
        <f ca="1">'CÁLCULO FUNPRESP'!P491</f>
        <v/>
      </c>
      <c r="J491" s="140" t="str">
        <f>IF($B$2="Não","",'CÁLCULO FUNPRESP'!Q491)</f>
        <v/>
      </c>
      <c r="K491" s="140" t="str">
        <f>IF($B$2="Não","",'CÁLCULO FUNPRESP'!R491)</f>
        <v/>
      </c>
      <c r="L491" s="140" t="str">
        <f>IF($B$2="Não","",'CÁLCULO FUNPRESP'!S491)</f>
        <v/>
      </c>
      <c r="N491" s="164" t="str">
        <f ca="1">'CÁLCULO FUNPRESP'!U491</f>
        <v/>
      </c>
      <c r="O491" s="140" t="str">
        <f>IF($B$2="Não","",'CÁLCULO FUNPRESP'!Y491)</f>
        <v/>
      </c>
    </row>
    <row r="492" spans="9:15" x14ac:dyDescent="0.25">
      <c r="I492" s="164" t="str">
        <f ca="1">'CÁLCULO FUNPRESP'!P492</f>
        <v/>
      </c>
      <c r="J492" s="140" t="str">
        <f>IF($B$2="Não","",'CÁLCULO FUNPRESP'!Q492)</f>
        <v/>
      </c>
      <c r="K492" s="140" t="str">
        <f>IF($B$2="Não","",'CÁLCULO FUNPRESP'!R492)</f>
        <v/>
      </c>
      <c r="L492" s="140" t="str">
        <f>IF($B$2="Não","",'CÁLCULO FUNPRESP'!S492)</f>
        <v/>
      </c>
      <c r="N492" s="164" t="str">
        <f ca="1">'CÁLCULO FUNPRESP'!U492</f>
        <v/>
      </c>
      <c r="O492" s="140" t="str">
        <f>IF($B$2="Não","",'CÁLCULO FUNPRESP'!Y492)</f>
        <v/>
      </c>
    </row>
    <row r="493" spans="9:15" x14ac:dyDescent="0.25">
      <c r="I493" s="164" t="str">
        <f ca="1">'CÁLCULO FUNPRESP'!P493</f>
        <v/>
      </c>
      <c r="J493" s="140" t="str">
        <f>IF($B$2="Não","",'CÁLCULO FUNPRESP'!Q493)</f>
        <v/>
      </c>
      <c r="K493" s="140" t="str">
        <f>IF($B$2="Não","",'CÁLCULO FUNPRESP'!R493)</f>
        <v/>
      </c>
      <c r="L493" s="140" t="str">
        <f>IF($B$2="Não","",'CÁLCULO FUNPRESP'!S493)</f>
        <v/>
      </c>
      <c r="N493" s="164" t="str">
        <f ca="1">'CÁLCULO FUNPRESP'!U493</f>
        <v/>
      </c>
      <c r="O493" s="140" t="str">
        <f>IF($B$2="Não","",'CÁLCULO FUNPRESP'!Y493)</f>
        <v/>
      </c>
    </row>
    <row r="494" spans="9:15" x14ac:dyDescent="0.25">
      <c r="I494" s="164" t="str">
        <f ca="1">'CÁLCULO FUNPRESP'!P494</f>
        <v/>
      </c>
      <c r="J494" s="140" t="str">
        <f>IF($B$2="Não","",'CÁLCULO FUNPRESP'!Q494)</f>
        <v/>
      </c>
      <c r="K494" s="140" t="str">
        <f>IF($B$2="Não","",'CÁLCULO FUNPRESP'!R494)</f>
        <v/>
      </c>
      <c r="L494" s="140" t="str">
        <f>IF($B$2="Não","",'CÁLCULO FUNPRESP'!S494)</f>
        <v/>
      </c>
      <c r="N494" s="164" t="str">
        <f ca="1">'CÁLCULO FUNPRESP'!U494</f>
        <v/>
      </c>
      <c r="O494" s="140" t="str">
        <f>IF($B$2="Não","",'CÁLCULO FUNPRESP'!Y494)</f>
        <v/>
      </c>
    </row>
    <row r="495" spans="9:15" x14ac:dyDescent="0.25">
      <c r="I495" s="164" t="str">
        <f ca="1">'CÁLCULO FUNPRESP'!P495</f>
        <v/>
      </c>
      <c r="J495" s="140" t="str">
        <f>IF($B$2="Não","",'CÁLCULO FUNPRESP'!Q495)</f>
        <v/>
      </c>
      <c r="K495" s="140" t="str">
        <f>IF($B$2="Não","",'CÁLCULO FUNPRESP'!R495)</f>
        <v/>
      </c>
      <c r="L495" s="140" t="str">
        <f>IF($B$2="Não","",'CÁLCULO FUNPRESP'!S495)</f>
        <v/>
      </c>
      <c r="N495" s="164" t="str">
        <f ca="1">'CÁLCULO FUNPRESP'!U495</f>
        <v/>
      </c>
      <c r="O495" s="140" t="str">
        <f>IF($B$2="Não","",'CÁLCULO FUNPRESP'!Y495)</f>
        <v/>
      </c>
    </row>
    <row r="496" spans="9:15" x14ac:dyDescent="0.25">
      <c r="I496" s="164" t="str">
        <f ca="1">'CÁLCULO FUNPRESP'!P496</f>
        <v/>
      </c>
      <c r="J496" s="140" t="str">
        <f>IF($B$2="Não","",'CÁLCULO FUNPRESP'!Q496)</f>
        <v/>
      </c>
      <c r="K496" s="140" t="str">
        <f>IF($B$2="Não","",'CÁLCULO FUNPRESP'!R496)</f>
        <v/>
      </c>
      <c r="L496" s="140" t="str">
        <f>IF($B$2="Não","",'CÁLCULO FUNPRESP'!S496)</f>
        <v/>
      </c>
      <c r="N496" s="164" t="str">
        <f ca="1">'CÁLCULO FUNPRESP'!U496</f>
        <v/>
      </c>
      <c r="O496" s="140" t="str">
        <f>IF($B$2="Não","",'CÁLCULO FUNPRESP'!Y496)</f>
        <v/>
      </c>
    </row>
    <row r="497" spans="9:15" x14ac:dyDescent="0.25">
      <c r="I497" s="164" t="str">
        <f ca="1">'CÁLCULO FUNPRESP'!P497</f>
        <v/>
      </c>
      <c r="J497" s="140" t="str">
        <f>IF($B$2="Não","",'CÁLCULO FUNPRESP'!Q497)</f>
        <v/>
      </c>
      <c r="K497" s="140" t="str">
        <f>IF($B$2="Não","",'CÁLCULO FUNPRESP'!R497)</f>
        <v/>
      </c>
      <c r="L497" s="140" t="str">
        <f>IF($B$2="Não","",'CÁLCULO FUNPRESP'!S497)</f>
        <v/>
      </c>
      <c r="N497" s="164" t="str">
        <f ca="1">'CÁLCULO FUNPRESP'!U497</f>
        <v/>
      </c>
      <c r="O497" s="140" t="str">
        <f>IF($B$2="Não","",'CÁLCULO FUNPRESP'!Y497)</f>
        <v/>
      </c>
    </row>
    <row r="498" spans="9:15" x14ac:dyDescent="0.25">
      <c r="I498" s="164" t="str">
        <f ca="1">'CÁLCULO FUNPRESP'!P498</f>
        <v/>
      </c>
      <c r="J498" s="140" t="str">
        <f>IF($B$2="Não","",'CÁLCULO FUNPRESP'!Q498)</f>
        <v/>
      </c>
      <c r="K498" s="140" t="str">
        <f>IF($B$2="Não","",'CÁLCULO FUNPRESP'!R498)</f>
        <v/>
      </c>
      <c r="L498" s="140" t="str">
        <f>IF($B$2="Não","",'CÁLCULO FUNPRESP'!S498)</f>
        <v/>
      </c>
      <c r="N498" s="164" t="str">
        <f ca="1">'CÁLCULO FUNPRESP'!U498</f>
        <v/>
      </c>
      <c r="O498" s="140" t="str">
        <f>IF($B$2="Não","",'CÁLCULO FUNPRESP'!Y498)</f>
        <v/>
      </c>
    </row>
    <row r="499" spans="9:15" x14ac:dyDescent="0.25">
      <c r="I499" s="164" t="str">
        <f ca="1">'CÁLCULO FUNPRESP'!P499</f>
        <v/>
      </c>
      <c r="J499" s="140" t="str">
        <f>IF($B$2="Não","",'CÁLCULO FUNPRESP'!Q499)</f>
        <v/>
      </c>
      <c r="K499" s="140" t="str">
        <f>IF($B$2="Não","",'CÁLCULO FUNPRESP'!R499)</f>
        <v/>
      </c>
      <c r="L499" s="140" t="str">
        <f>IF($B$2="Não","",'CÁLCULO FUNPRESP'!S499)</f>
        <v/>
      </c>
      <c r="N499" s="164" t="str">
        <f ca="1">'CÁLCULO FUNPRESP'!U499</f>
        <v/>
      </c>
      <c r="O499" s="140" t="str">
        <f>IF($B$2="Não","",'CÁLCULO FUNPRESP'!Y499)</f>
        <v/>
      </c>
    </row>
    <row r="500" spans="9:15" x14ac:dyDescent="0.25">
      <c r="I500" s="164" t="str">
        <f ca="1">'CÁLCULO FUNPRESP'!P500</f>
        <v/>
      </c>
      <c r="J500" s="140" t="str">
        <f>IF($B$2="Não","",'CÁLCULO FUNPRESP'!Q500)</f>
        <v/>
      </c>
      <c r="K500" s="140" t="str">
        <f>IF($B$2="Não","",'CÁLCULO FUNPRESP'!R500)</f>
        <v/>
      </c>
      <c r="L500" s="140" t="str">
        <f>IF($B$2="Não","",'CÁLCULO FUNPRESP'!S500)</f>
        <v/>
      </c>
      <c r="N500" s="164" t="str">
        <f ca="1">'CÁLCULO FUNPRESP'!U500</f>
        <v/>
      </c>
      <c r="O500" s="140" t="str">
        <f>IF($B$2="Não","",'CÁLCULO FUNPRESP'!Y500)</f>
        <v/>
      </c>
    </row>
    <row r="501" spans="9:15" x14ac:dyDescent="0.25">
      <c r="I501" s="164" t="str">
        <f ca="1">'CÁLCULO FUNPRESP'!P501</f>
        <v/>
      </c>
      <c r="J501" s="140" t="str">
        <f>IF($B$2="Não","",'CÁLCULO FUNPRESP'!Q501)</f>
        <v/>
      </c>
      <c r="K501" s="140" t="str">
        <f>IF($B$2="Não","",'CÁLCULO FUNPRESP'!R501)</f>
        <v/>
      </c>
      <c r="L501" s="140" t="str">
        <f>IF($B$2="Não","",'CÁLCULO FUNPRESP'!S501)</f>
        <v/>
      </c>
      <c r="N501" s="164" t="str">
        <f ca="1">'CÁLCULO FUNPRESP'!U501</f>
        <v/>
      </c>
      <c r="O501" s="140" t="str">
        <f>IF($B$2="Não","",'CÁLCULO FUNPRESP'!Y501)</f>
        <v/>
      </c>
    </row>
    <row r="502" spans="9:15" x14ac:dyDescent="0.25">
      <c r="I502" s="164" t="str">
        <f ca="1">'CÁLCULO FUNPRESP'!P502</f>
        <v/>
      </c>
      <c r="J502" s="140" t="str">
        <f>IF($B$2="Não","",'CÁLCULO FUNPRESP'!Q502)</f>
        <v/>
      </c>
      <c r="K502" s="140" t="str">
        <f>IF($B$2="Não","",'CÁLCULO FUNPRESP'!R502)</f>
        <v/>
      </c>
      <c r="L502" s="140" t="str">
        <f>IF($B$2="Não","",'CÁLCULO FUNPRESP'!S502)</f>
        <v/>
      </c>
      <c r="N502" s="164" t="str">
        <f ca="1">'CÁLCULO FUNPRESP'!U502</f>
        <v/>
      </c>
      <c r="O502" s="140" t="str">
        <f>IF($B$2="Não","",'CÁLCULO FUNPRESP'!Y502)</f>
        <v/>
      </c>
    </row>
    <row r="503" spans="9:15" x14ac:dyDescent="0.25">
      <c r="I503" s="164" t="str">
        <f ca="1">'CÁLCULO FUNPRESP'!P503</f>
        <v/>
      </c>
      <c r="J503" s="140" t="str">
        <f>IF($B$2="Não","",'CÁLCULO FUNPRESP'!Q503)</f>
        <v/>
      </c>
      <c r="K503" s="140" t="str">
        <f>IF($B$2="Não","",'CÁLCULO FUNPRESP'!R503)</f>
        <v/>
      </c>
      <c r="L503" s="140" t="str">
        <f>IF($B$2="Não","",'CÁLCULO FUNPRESP'!S503)</f>
        <v/>
      </c>
      <c r="N503" s="164" t="str">
        <f ca="1">'CÁLCULO FUNPRESP'!U503</f>
        <v/>
      </c>
      <c r="O503" s="140" t="str">
        <f>IF($B$2="Não","",'CÁLCULO FUNPRESP'!Y503)</f>
        <v/>
      </c>
    </row>
    <row r="504" spans="9:15" x14ac:dyDescent="0.25">
      <c r="I504" s="164" t="str">
        <f ca="1">'CÁLCULO FUNPRESP'!P504</f>
        <v/>
      </c>
      <c r="J504" s="140" t="str">
        <f>IF($B$2="Não","",'CÁLCULO FUNPRESP'!Q504)</f>
        <v/>
      </c>
      <c r="K504" s="140" t="str">
        <f>IF($B$2="Não","",'CÁLCULO FUNPRESP'!R504)</f>
        <v/>
      </c>
      <c r="L504" s="140" t="str">
        <f>IF($B$2="Não","",'CÁLCULO FUNPRESP'!S504)</f>
        <v/>
      </c>
      <c r="N504" s="164" t="str">
        <f ca="1">'CÁLCULO FUNPRESP'!U504</f>
        <v/>
      </c>
      <c r="O504" s="140" t="str">
        <f>IF($B$2="Não","",'CÁLCULO FUNPRESP'!Y504)</f>
        <v/>
      </c>
    </row>
    <row r="505" spans="9:15" x14ac:dyDescent="0.25">
      <c r="I505" s="164" t="str">
        <f ca="1">'CÁLCULO FUNPRESP'!P505</f>
        <v/>
      </c>
      <c r="J505" s="140" t="str">
        <f>IF($B$2="Não","",'CÁLCULO FUNPRESP'!Q505)</f>
        <v/>
      </c>
      <c r="K505" s="140" t="str">
        <f>IF($B$2="Não","",'CÁLCULO FUNPRESP'!R505)</f>
        <v/>
      </c>
      <c r="L505" s="140" t="str">
        <f>IF($B$2="Não","",'CÁLCULO FUNPRESP'!S505)</f>
        <v/>
      </c>
      <c r="N505" s="164" t="str">
        <f ca="1">'CÁLCULO FUNPRESP'!U505</f>
        <v/>
      </c>
      <c r="O505" s="140" t="str">
        <f>IF($B$2="Não","",'CÁLCULO FUNPRESP'!Y505)</f>
        <v/>
      </c>
    </row>
    <row r="506" spans="9:15" x14ac:dyDescent="0.25">
      <c r="I506" s="164" t="str">
        <f ca="1">'CÁLCULO FUNPRESP'!P506</f>
        <v/>
      </c>
      <c r="J506" s="140" t="str">
        <f>IF($B$2="Não","",'CÁLCULO FUNPRESP'!Q506)</f>
        <v/>
      </c>
      <c r="K506" s="140" t="str">
        <f>IF($B$2="Não","",'CÁLCULO FUNPRESP'!R506)</f>
        <v/>
      </c>
      <c r="L506" s="140" t="str">
        <f>IF($B$2="Não","",'CÁLCULO FUNPRESP'!S506)</f>
        <v/>
      </c>
      <c r="N506" s="164" t="str">
        <f ca="1">'CÁLCULO FUNPRESP'!U506</f>
        <v/>
      </c>
      <c r="O506" s="140" t="str">
        <f>IF($B$2="Não","",'CÁLCULO FUNPRESP'!Y506)</f>
        <v/>
      </c>
    </row>
    <row r="507" spans="9:15" x14ac:dyDescent="0.25">
      <c r="I507" s="164" t="str">
        <f ca="1">'CÁLCULO FUNPRESP'!P507</f>
        <v/>
      </c>
      <c r="J507" s="140" t="str">
        <f>IF($B$2="Não","",'CÁLCULO FUNPRESP'!Q507)</f>
        <v/>
      </c>
      <c r="K507" s="140" t="str">
        <f>IF($B$2="Não","",'CÁLCULO FUNPRESP'!R507)</f>
        <v/>
      </c>
      <c r="L507" s="140" t="str">
        <f>IF($B$2="Não","",'CÁLCULO FUNPRESP'!S507)</f>
        <v/>
      </c>
      <c r="N507" s="164" t="str">
        <f ca="1">'CÁLCULO FUNPRESP'!U507</f>
        <v/>
      </c>
      <c r="O507" s="140" t="str">
        <f>IF($B$2="Não","",'CÁLCULO FUNPRESP'!Y507)</f>
        <v/>
      </c>
    </row>
    <row r="508" spans="9:15" x14ac:dyDescent="0.25">
      <c r="I508" s="164" t="str">
        <f ca="1">'CÁLCULO FUNPRESP'!P508</f>
        <v/>
      </c>
      <c r="J508" s="140" t="str">
        <f>IF($B$2="Não","",'CÁLCULO FUNPRESP'!Q508)</f>
        <v/>
      </c>
      <c r="K508" s="140" t="str">
        <f>IF($B$2="Não","",'CÁLCULO FUNPRESP'!R508)</f>
        <v/>
      </c>
      <c r="L508" s="140" t="str">
        <f>IF($B$2="Não","",'CÁLCULO FUNPRESP'!S508)</f>
        <v/>
      </c>
      <c r="N508" s="164" t="str">
        <f ca="1">'CÁLCULO FUNPRESP'!U508</f>
        <v/>
      </c>
      <c r="O508" s="140" t="str">
        <f>IF($B$2="Não","",'CÁLCULO FUNPRESP'!Y508)</f>
        <v/>
      </c>
    </row>
    <row r="509" spans="9:15" x14ac:dyDescent="0.25">
      <c r="I509" s="164" t="str">
        <f ca="1">'CÁLCULO FUNPRESP'!P509</f>
        <v/>
      </c>
      <c r="J509" s="140" t="str">
        <f>IF($B$2="Não","",'CÁLCULO FUNPRESP'!Q509)</f>
        <v/>
      </c>
      <c r="K509" s="140" t="str">
        <f>IF($B$2="Não","",'CÁLCULO FUNPRESP'!R509)</f>
        <v/>
      </c>
      <c r="L509" s="140" t="str">
        <f>IF($B$2="Não","",'CÁLCULO FUNPRESP'!S509)</f>
        <v/>
      </c>
      <c r="N509" s="164" t="str">
        <f ca="1">'CÁLCULO FUNPRESP'!U509</f>
        <v/>
      </c>
      <c r="O509" s="140" t="str">
        <f>IF($B$2="Não","",'CÁLCULO FUNPRESP'!Y509)</f>
        <v/>
      </c>
    </row>
    <row r="510" spans="9:15" x14ac:dyDescent="0.25">
      <c r="I510" s="164" t="str">
        <f ca="1">'CÁLCULO FUNPRESP'!P510</f>
        <v/>
      </c>
      <c r="J510" s="140" t="str">
        <f>IF($B$2="Não","",'CÁLCULO FUNPRESP'!Q510)</f>
        <v/>
      </c>
      <c r="K510" s="140" t="str">
        <f>IF($B$2="Não","",'CÁLCULO FUNPRESP'!R510)</f>
        <v/>
      </c>
      <c r="L510" s="140" t="str">
        <f>IF($B$2="Não","",'CÁLCULO FUNPRESP'!S510)</f>
        <v/>
      </c>
      <c r="N510" s="164" t="str">
        <f ca="1">'CÁLCULO FUNPRESP'!U510</f>
        <v/>
      </c>
      <c r="O510" s="140" t="str">
        <f>IF($B$2="Não","",'CÁLCULO FUNPRESP'!Y510)</f>
        <v/>
      </c>
    </row>
    <row r="511" spans="9:15" x14ac:dyDescent="0.25">
      <c r="I511" s="164" t="str">
        <f ca="1">'CÁLCULO FUNPRESP'!P511</f>
        <v/>
      </c>
      <c r="J511" s="140" t="str">
        <f>IF($B$2="Não","",'CÁLCULO FUNPRESP'!Q511)</f>
        <v/>
      </c>
      <c r="K511" s="140" t="str">
        <f>IF($B$2="Não","",'CÁLCULO FUNPRESP'!R511)</f>
        <v/>
      </c>
      <c r="L511" s="140" t="str">
        <f>IF($B$2="Não","",'CÁLCULO FUNPRESP'!S511)</f>
        <v/>
      </c>
      <c r="N511" s="164" t="str">
        <f ca="1">'CÁLCULO FUNPRESP'!U511</f>
        <v/>
      </c>
      <c r="O511" s="140" t="str">
        <f>IF($B$2="Não","",'CÁLCULO FUNPRESP'!Y511)</f>
        <v/>
      </c>
    </row>
    <row r="512" spans="9:15" x14ac:dyDescent="0.25">
      <c r="I512" s="164" t="str">
        <f ca="1">'CÁLCULO FUNPRESP'!P512</f>
        <v/>
      </c>
      <c r="J512" s="140" t="str">
        <f>IF($B$2="Não","",'CÁLCULO FUNPRESP'!Q512)</f>
        <v/>
      </c>
      <c r="K512" s="140" t="str">
        <f>IF($B$2="Não","",'CÁLCULO FUNPRESP'!R512)</f>
        <v/>
      </c>
      <c r="L512" s="140" t="str">
        <f>IF($B$2="Não","",'CÁLCULO FUNPRESP'!S512)</f>
        <v/>
      </c>
      <c r="N512" s="164" t="str">
        <f ca="1">'CÁLCULO FUNPRESP'!U512</f>
        <v/>
      </c>
      <c r="O512" s="140" t="str">
        <f>IF($B$2="Não","",'CÁLCULO FUNPRESP'!Y512)</f>
        <v/>
      </c>
    </row>
    <row r="513" spans="9:15" x14ac:dyDescent="0.25">
      <c r="I513" s="164" t="str">
        <f ca="1">'CÁLCULO FUNPRESP'!P513</f>
        <v/>
      </c>
      <c r="J513" s="140" t="str">
        <f>IF($B$2="Não","",'CÁLCULO FUNPRESP'!Q513)</f>
        <v/>
      </c>
      <c r="K513" s="140" t="str">
        <f>IF($B$2="Não","",'CÁLCULO FUNPRESP'!R513)</f>
        <v/>
      </c>
      <c r="L513" s="140" t="str">
        <f>IF($B$2="Não","",'CÁLCULO FUNPRESP'!S513)</f>
        <v/>
      </c>
      <c r="N513" s="164" t="str">
        <f ca="1">'CÁLCULO FUNPRESP'!U513</f>
        <v/>
      </c>
      <c r="O513" s="140" t="str">
        <f>IF($B$2="Não","",'CÁLCULO FUNPRESP'!Y513)</f>
        <v/>
      </c>
    </row>
    <row r="514" spans="9:15" x14ac:dyDescent="0.25">
      <c r="I514" s="164" t="str">
        <f ca="1">'CÁLCULO FUNPRESP'!P514</f>
        <v/>
      </c>
      <c r="J514" s="140" t="str">
        <f>IF($B$2="Não","",'CÁLCULO FUNPRESP'!Q514)</f>
        <v/>
      </c>
      <c r="K514" s="140" t="str">
        <f>IF($B$2="Não","",'CÁLCULO FUNPRESP'!R514)</f>
        <v/>
      </c>
      <c r="L514" s="140" t="str">
        <f>IF($B$2="Não","",'CÁLCULO FUNPRESP'!S514)</f>
        <v/>
      </c>
      <c r="N514" s="164" t="str">
        <f ca="1">'CÁLCULO FUNPRESP'!U514</f>
        <v/>
      </c>
      <c r="O514" s="140" t="str">
        <f>IF($B$2="Não","",'CÁLCULO FUNPRESP'!Y514)</f>
        <v/>
      </c>
    </row>
    <row r="515" spans="9:15" x14ac:dyDescent="0.25">
      <c r="I515" s="164" t="str">
        <f ca="1">'CÁLCULO FUNPRESP'!P515</f>
        <v/>
      </c>
      <c r="J515" s="140" t="str">
        <f>IF($B$2="Não","",'CÁLCULO FUNPRESP'!Q515)</f>
        <v/>
      </c>
      <c r="K515" s="140" t="str">
        <f>IF($B$2="Não","",'CÁLCULO FUNPRESP'!R515)</f>
        <v/>
      </c>
      <c r="L515" s="140" t="str">
        <f>IF($B$2="Não","",'CÁLCULO FUNPRESP'!S515)</f>
        <v/>
      </c>
      <c r="N515" s="164" t="str">
        <f ca="1">'CÁLCULO FUNPRESP'!U515</f>
        <v/>
      </c>
      <c r="O515" s="140" t="str">
        <f>IF($B$2="Não","",'CÁLCULO FUNPRESP'!Y515)</f>
        <v/>
      </c>
    </row>
    <row r="516" spans="9:15" x14ac:dyDescent="0.25">
      <c r="I516" s="164" t="str">
        <f ca="1">'CÁLCULO FUNPRESP'!P516</f>
        <v/>
      </c>
      <c r="J516" s="140" t="str">
        <f>IF($B$2="Não","",'CÁLCULO FUNPRESP'!Q516)</f>
        <v/>
      </c>
      <c r="K516" s="140" t="str">
        <f>IF($B$2="Não","",'CÁLCULO FUNPRESP'!R516)</f>
        <v/>
      </c>
      <c r="L516" s="140" t="str">
        <f>IF($B$2="Não","",'CÁLCULO FUNPRESP'!S516)</f>
        <v/>
      </c>
      <c r="N516" s="164" t="str">
        <f ca="1">'CÁLCULO FUNPRESP'!U516</f>
        <v/>
      </c>
      <c r="O516" s="140" t="str">
        <f>IF($B$2="Não","",'CÁLCULO FUNPRESP'!Y516)</f>
        <v/>
      </c>
    </row>
    <row r="517" spans="9:15" x14ac:dyDescent="0.25">
      <c r="I517" s="164" t="str">
        <f ca="1">'CÁLCULO FUNPRESP'!P517</f>
        <v/>
      </c>
      <c r="J517" s="140" t="str">
        <f>IF($B$2="Não","",'CÁLCULO FUNPRESP'!Q517)</f>
        <v/>
      </c>
      <c r="K517" s="140" t="str">
        <f>IF($B$2="Não","",'CÁLCULO FUNPRESP'!R517)</f>
        <v/>
      </c>
      <c r="L517" s="140" t="str">
        <f>IF($B$2="Não","",'CÁLCULO FUNPRESP'!S517)</f>
        <v/>
      </c>
      <c r="N517" s="164" t="str">
        <f ca="1">'CÁLCULO FUNPRESP'!U517</f>
        <v/>
      </c>
      <c r="O517" s="140" t="str">
        <f>IF($B$2="Não","",'CÁLCULO FUNPRESP'!Y517)</f>
        <v/>
      </c>
    </row>
    <row r="518" spans="9:15" x14ac:dyDescent="0.25">
      <c r="I518" s="164" t="str">
        <f ca="1">'CÁLCULO FUNPRESP'!P518</f>
        <v/>
      </c>
      <c r="J518" s="140" t="str">
        <f>IF($B$2="Não","",'CÁLCULO FUNPRESP'!Q518)</f>
        <v/>
      </c>
      <c r="K518" s="140" t="str">
        <f>IF($B$2="Não","",'CÁLCULO FUNPRESP'!R518)</f>
        <v/>
      </c>
      <c r="L518" s="140" t="str">
        <f>IF($B$2="Não","",'CÁLCULO FUNPRESP'!S518)</f>
        <v/>
      </c>
      <c r="N518" s="164" t="str">
        <f ca="1">'CÁLCULO FUNPRESP'!U518</f>
        <v/>
      </c>
      <c r="O518" s="140" t="str">
        <f>IF($B$2="Não","",'CÁLCULO FUNPRESP'!Y518)</f>
        <v/>
      </c>
    </row>
    <row r="519" spans="9:15" x14ac:dyDescent="0.25">
      <c r="I519" s="164" t="str">
        <f ca="1">'CÁLCULO FUNPRESP'!P519</f>
        <v/>
      </c>
      <c r="J519" s="140" t="str">
        <f>IF($B$2="Não","",'CÁLCULO FUNPRESP'!Q519)</f>
        <v/>
      </c>
      <c r="K519" s="140" t="str">
        <f>IF($B$2="Não","",'CÁLCULO FUNPRESP'!R519)</f>
        <v/>
      </c>
      <c r="L519" s="140" t="str">
        <f>IF($B$2="Não","",'CÁLCULO FUNPRESP'!S519)</f>
        <v/>
      </c>
      <c r="N519" s="164" t="str">
        <f ca="1">'CÁLCULO FUNPRESP'!U519</f>
        <v/>
      </c>
      <c r="O519" s="140" t="str">
        <f>IF($B$2="Não","",'CÁLCULO FUNPRESP'!Y519)</f>
        <v/>
      </c>
    </row>
    <row r="520" spans="9:15" x14ac:dyDescent="0.25">
      <c r="I520" s="164" t="str">
        <f ca="1">'CÁLCULO FUNPRESP'!P520</f>
        <v/>
      </c>
      <c r="J520" s="140" t="str">
        <f>IF($B$2="Não","",'CÁLCULO FUNPRESP'!Q520)</f>
        <v/>
      </c>
      <c r="K520" s="140" t="str">
        <f>IF($B$2="Não","",'CÁLCULO FUNPRESP'!R520)</f>
        <v/>
      </c>
      <c r="L520" s="140" t="str">
        <f>IF($B$2="Não","",'CÁLCULO FUNPRESP'!S520)</f>
        <v/>
      </c>
      <c r="N520" s="164" t="str">
        <f ca="1">'CÁLCULO FUNPRESP'!U520</f>
        <v/>
      </c>
      <c r="O520" s="140" t="str">
        <f>IF($B$2="Não","",'CÁLCULO FUNPRESP'!Y520)</f>
        <v/>
      </c>
    </row>
    <row r="521" spans="9:15" x14ac:dyDescent="0.25">
      <c r="I521" s="164" t="str">
        <f ca="1">'CÁLCULO FUNPRESP'!P521</f>
        <v/>
      </c>
      <c r="J521" s="140" t="str">
        <f>IF($B$2="Não","",'CÁLCULO FUNPRESP'!Q521)</f>
        <v/>
      </c>
      <c r="K521" s="140" t="str">
        <f>IF($B$2="Não","",'CÁLCULO FUNPRESP'!R521)</f>
        <v/>
      </c>
      <c r="L521" s="140" t="str">
        <f>IF($B$2="Não","",'CÁLCULO FUNPRESP'!S521)</f>
        <v/>
      </c>
      <c r="N521" s="164" t="str">
        <f ca="1">'CÁLCULO FUNPRESP'!U521</f>
        <v/>
      </c>
      <c r="O521" s="140" t="str">
        <f>IF($B$2="Não","",'CÁLCULO FUNPRESP'!Y521)</f>
        <v/>
      </c>
    </row>
    <row r="522" spans="9:15" x14ac:dyDescent="0.25">
      <c r="I522" s="164" t="str">
        <f ca="1">'CÁLCULO FUNPRESP'!P522</f>
        <v/>
      </c>
      <c r="J522" s="140" t="str">
        <f>IF($B$2="Não","",'CÁLCULO FUNPRESP'!Q522)</f>
        <v/>
      </c>
      <c r="K522" s="140" t="str">
        <f>IF($B$2="Não","",'CÁLCULO FUNPRESP'!R522)</f>
        <v/>
      </c>
      <c r="L522" s="140" t="str">
        <f>IF($B$2="Não","",'CÁLCULO FUNPRESP'!S522)</f>
        <v/>
      </c>
      <c r="N522" s="164" t="str">
        <f ca="1">'CÁLCULO FUNPRESP'!U522</f>
        <v/>
      </c>
      <c r="O522" s="140" t="str">
        <f>IF($B$2="Não","",'CÁLCULO FUNPRESP'!Y522)</f>
        <v/>
      </c>
    </row>
    <row r="523" spans="9:15" x14ac:dyDescent="0.25">
      <c r="I523" s="164" t="str">
        <f ca="1">'CÁLCULO FUNPRESP'!P523</f>
        <v/>
      </c>
      <c r="J523" s="140" t="str">
        <f>IF($B$2="Não","",'CÁLCULO FUNPRESP'!Q523)</f>
        <v/>
      </c>
      <c r="K523" s="140" t="str">
        <f>IF($B$2="Não","",'CÁLCULO FUNPRESP'!R523)</f>
        <v/>
      </c>
      <c r="L523" s="140" t="str">
        <f>IF($B$2="Não","",'CÁLCULO FUNPRESP'!S523)</f>
        <v/>
      </c>
      <c r="N523" s="164" t="str">
        <f ca="1">'CÁLCULO FUNPRESP'!U523</f>
        <v/>
      </c>
      <c r="O523" s="140" t="str">
        <f>IF($B$2="Não","",'CÁLCULO FUNPRESP'!Y523)</f>
        <v/>
      </c>
    </row>
    <row r="524" spans="9:15" x14ac:dyDescent="0.25">
      <c r="I524" s="164" t="str">
        <f ca="1">'CÁLCULO FUNPRESP'!P524</f>
        <v/>
      </c>
      <c r="J524" s="140" t="str">
        <f>IF($B$2="Não","",'CÁLCULO FUNPRESP'!Q524)</f>
        <v/>
      </c>
      <c r="K524" s="140" t="str">
        <f>IF($B$2="Não","",'CÁLCULO FUNPRESP'!R524)</f>
        <v/>
      </c>
      <c r="L524" s="140" t="str">
        <f>IF($B$2="Não","",'CÁLCULO FUNPRESP'!S524)</f>
        <v/>
      </c>
      <c r="N524" s="164" t="str">
        <f ca="1">'CÁLCULO FUNPRESP'!U524</f>
        <v/>
      </c>
      <c r="O524" s="140" t="str">
        <f>IF($B$2="Não","",'CÁLCULO FUNPRESP'!Y524)</f>
        <v/>
      </c>
    </row>
    <row r="525" spans="9:15" x14ac:dyDescent="0.25">
      <c r="I525" s="164" t="str">
        <f ca="1">'CÁLCULO FUNPRESP'!P525</f>
        <v/>
      </c>
      <c r="J525" s="140" t="str">
        <f>IF($B$2="Não","",'CÁLCULO FUNPRESP'!Q525)</f>
        <v/>
      </c>
      <c r="K525" s="140" t="str">
        <f>IF($B$2="Não","",'CÁLCULO FUNPRESP'!R525)</f>
        <v/>
      </c>
      <c r="L525" s="140" t="str">
        <f>IF($B$2="Não","",'CÁLCULO FUNPRESP'!S525)</f>
        <v/>
      </c>
      <c r="N525" s="164" t="str">
        <f ca="1">'CÁLCULO FUNPRESP'!U525</f>
        <v/>
      </c>
      <c r="O525" s="140" t="str">
        <f>IF($B$2="Não","",'CÁLCULO FUNPRESP'!Y525)</f>
        <v/>
      </c>
    </row>
    <row r="526" spans="9:15" x14ac:dyDescent="0.25">
      <c r="I526" s="164" t="str">
        <f ca="1">'CÁLCULO FUNPRESP'!P526</f>
        <v/>
      </c>
      <c r="J526" s="140" t="str">
        <f>IF($B$2="Não","",'CÁLCULO FUNPRESP'!Q526)</f>
        <v/>
      </c>
      <c r="K526" s="140" t="str">
        <f>IF($B$2="Não","",'CÁLCULO FUNPRESP'!R526)</f>
        <v/>
      </c>
      <c r="L526" s="140" t="str">
        <f>IF($B$2="Não","",'CÁLCULO FUNPRESP'!S526)</f>
        <v/>
      </c>
      <c r="N526" s="164" t="str">
        <f ca="1">'CÁLCULO FUNPRESP'!U526</f>
        <v/>
      </c>
      <c r="O526" s="140" t="str">
        <f>IF($B$2="Não","",'CÁLCULO FUNPRESP'!Y526)</f>
        <v/>
      </c>
    </row>
    <row r="527" spans="9:15" x14ac:dyDescent="0.25">
      <c r="I527" s="164" t="str">
        <f ca="1">'CÁLCULO FUNPRESP'!P527</f>
        <v/>
      </c>
      <c r="J527" s="140" t="str">
        <f>IF($B$2="Não","",'CÁLCULO FUNPRESP'!Q527)</f>
        <v/>
      </c>
      <c r="K527" s="140" t="str">
        <f>IF($B$2="Não","",'CÁLCULO FUNPRESP'!R527)</f>
        <v/>
      </c>
      <c r="L527" s="140" t="str">
        <f>IF($B$2="Não","",'CÁLCULO FUNPRESP'!S527)</f>
        <v/>
      </c>
      <c r="N527" s="164" t="str">
        <f ca="1">'CÁLCULO FUNPRESP'!U527</f>
        <v/>
      </c>
      <c r="O527" s="140" t="str">
        <f>IF($B$2="Não","",'CÁLCULO FUNPRESP'!Y527)</f>
        <v/>
      </c>
    </row>
    <row r="528" spans="9:15" x14ac:dyDescent="0.25">
      <c r="I528" s="164" t="str">
        <f ca="1">'CÁLCULO FUNPRESP'!P528</f>
        <v/>
      </c>
      <c r="J528" s="140" t="str">
        <f>IF($B$2="Não","",'CÁLCULO FUNPRESP'!Q528)</f>
        <v/>
      </c>
      <c r="K528" s="140" t="str">
        <f>IF($B$2="Não","",'CÁLCULO FUNPRESP'!R528)</f>
        <v/>
      </c>
      <c r="L528" s="140" t="str">
        <f>IF($B$2="Não","",'CÁLCULO FUNPRESP'!S528)</f>
        <v/>
      </c>
      <c r="N528" s="164" t="str">
        <f ca="1">'CÁLCULO FUNPRESP'!U528</f>
        <v/>
      </c>
      <c r="O528" s="140" t="str">
        <f>IF($B$2="Não","",'CÁLCULO FUNPRESP'!Y528)</f>
        <v/>
      </c>
    </row>
    <row r="529" spans="9:15" x14ac:dyDescent="0.25">
      <c r="I529" s="164" t="str">
        <f ca="1">'CÁLCULO FUNPRESP'!P529</f>
        <v/>
      </c>
      <c r="J529" s="140" t="str">
        <f>IF($B$2="Não","",'CÁLCULO FUNPRESP'!Q529)</f>
        <v/>
      </c>
      <c r="K529" s="140" t="str">
        <f>IF($B$2="Não","",'CÁLCULO FUNPRESP'!R529)</f>
        <v/>
      </c>
      <c r="L529" s="140" t="str">
        <f>IF($B$2="Não","",'CÁLCULO FUNPRESP'!S529)</f>
        <v/>
      </c>
      <c r="N529" s="164" t="str">
        <f ca="1">'CÁLCULO FUNPRESP'!U529</f>
        <v/>
      </c>
      <c r="O529" s="140" t="str">
        <f>IF($B$2="Não","",'CÁLCULO FUNPRESP'!Y529)</f>
        <v/>
      </c>
    </row>
    <row r="530" spans="9:15" x14ac:dyDescent="0.25">
      <c r="I530" s="164" t="str">
        <f ca="1">'CÁLCULO FUNPRESP'!P530</f>
        <v/>
      </c>
      <c r="J530" s="140" t="str">
        <f>IF($B$2="Não","",'CÁLCULO FUNPRESP'!Q530)</f>
        <v/>
      </c>
      <c r="K530" s="140" t="str">
        <f>IF($B$2="Não","",'CÁLCULO FUNPRESP'!R530)</f>
        <v/>
      </c>
      <c r="L530" s="140" t="str">
        <f>IF($B$2="Não","",'CÁLCULO FUNPRESP'!S530)</f>
        <v/>
      </c>
      <c r="N530" s="164" t="str">
        <f ca="1">'CÁLCULO FUNPRESP'!U530</f>
        <v/>
      </c>
      <c r="O530" s="140" t="str">
        <f>IF($B$2="Não","",'CÁLCULO FUNPRESP'!Y530)</f>
        <v/>
      </c>
    </row>
    <row r="531" spans="9:15" x14ac:dyDescent="0.25">
      <c r="I531" s="164" t="str">
        <f ca="1">'CÁLCULO FUNPRESP'!P531</f>
        <v/>
      </c>
      <c r="J531" s="140" t="str">
        <f>IF($B$2="Não","",'CÁLCULO FUNPRESP'!Q531)</f>
        <v/>
      </c>
      <c r="K531" s="140" t="str">
        <f>IF($B$2="Não","",'CÁLCULO FUNPRESP'!R531)</f>
        <v/>
      </c>
      <c r="L531" s="140" t="str">
        <f>IF($B$2="Não","",'CÁLCULO FUNPRESP'!S531)</f>
        <v/>
      </c>
      <c r="N531" s="164" t="str">
        <f ca="1">'CÁLCULO FUNPRESP'!U531</f>
        <v/>
      </c>
      <c r="O531" s="140" t="str">
        <f>IF($B$2="Não","",'CÁLCULO FUNPRESP'!Y531)</f>
        <v/>
      </c>
    </row>
    <row r="532" spans="9:15" x14ac:dyDescent="0.25">
      <c r="I532" s="164" t="str">
        <f ca="1">'CÁLCULO FUNPRESP'!P532</f>
        <v/>
      </c>
      <c r="J532" s="140" t="str">
        <f>IF($B$2="Não","",'CÁLCULO FUNPRESP'!Q532)</f>
        <v/>
      </c>
      <c r="K532" s="140" t="str">
        <f>IF($B$2="Não","",'CÁLCULO FUNPRESP'!R532)</f>
        <v/>
      </c>
      <c r="L532" s="140" t="str">
        <f>IF($B$2="Não","",'CÁLCULO FUNPRESP'!S532)</f>
        <v/>
      </c>
      <c r="N532" s="164" t="str">
        <f ca="1">'CÁLCULO FUNPRESP'!U532</f>
        <v/>
      </c>
      <c r="O532" s="140" t="str">
        <f>IF($B$2="Não","",'CÁLCULO FUNPRESP'!Y532)</f>
        <v/>
      </c>
    </row>
    <row r="533" spans="9:15" x14ac:dyDescent="0.25">
      <c r="I533" s="164" t="str">
        <f ca="1">'CÁLCULO FUNPRESP'!P533</f>
        <v/>
      </c>
      <c r="J533" s="140" t="str">
        <f>IF($B$2="Não","",'CÁLCULO FUNPRESP'!Q533)</f>
        <v/>
      </c>
      <c r="K533" s="140" t="str">
        <f>IF($B$2="Não","",'CÁLCULO FUNPRESP'!R533)</f>
        <v/>
      </c>
      <c r="L533" s="140" t="str">
        <f>IF($B$2="Não","",'CÁLCULO FUNPRESP'!S533)</f>
        <v/>
      </c>
      <c r="N533" s="164" t="str">
        <f ca="1">'CÁLCULO FUNPRESP'!U533</f>
        <v/>
      </c>
      <c r="O533" s="140" t="str">
        <f>IF($B$2="Não","",'CÁLCULO FUNPRESP'!Y533)</f>
        <v/>
      </c>
    </row>
    <row r="534" spans="9:15" x14ac:dyDescent="0.25">
      <c r="I534" s="164" t="str">
        <f ca="1">'CÁLCULO FUNPRESP'!P534</f>
        <v/>
      </c>
      <c r="J534" s="140" t="str">
        <f>IF($B$2="Não","",'CÁLCULO FUNPRESP'!Q534)</f>
        <v/>
      </c>
      <c r="K534" s="140" t="str">
        <f>IF($B$2="Não","",'CÁLCULO FUNPRESP'!R534)</f>
        <v/>
      </c>
      <c r="L534" s="140" t="str">
        <f>IF($B$2="Não","",'CÁLCULO FUNPRESP'!S534)</f>
        <v/>
      </c>
      <c r="N534" s="164" t="str">
        <f ca="1">'CÁLCULO FUNPRESP'!U534</f>
        <v/>
      </c>
      <c r="O534" s="140" t="str">
        <f>IF($B$2="Não","",'CÁLCULO FUNPRESP'!Y534)</f>
        <v/>
      </c>
    </row>
    <row r="535" spans="9:15" x14ac:dyDescent="0.25">
      <c r="I535" s="164" t="str">
        <f ca="1">'CÁLCULO FUNPRESP'!P535</f>
        <v/>
      </c>
      <c r="J535" s="140" t="str">
        <f>IF($B$2="Não","",'CÁLCULO FUNPRESP'!Q535)</f>
        <v/>
      </c>
      <c r="K535" s="140" t="str">
        <f>IF($B$2="Não","",'CÁLCULO FUNPRESP'!R535)</f>
        <v/>
      </c>
      <c r="L535" s="140" t="str">
        <f>IF($B$2="Não","",'CÁLCULO FUNPRESP'!S535)</f>
        <v/>
      </c>
      <c r="N535" s="164" t="str">
        <f ca="1">'CÁLCULO FUNPRESP'!U535</f>
        <v/>
      </c>
      <c r="O535" s="140" t="str">
        <f>IF($B$2="Não","",'CÁLCULO FUNPRESP'!Y535)</f>
        <v/>
      </c>
    </row>
    <row r="536" spans="9:15" x14ac:dyDescent="0.25">
      <c r="I536" s="164" t="str">
        <f ca="1">'CÁLCULO FUNPRESP'!P536</f>
        <v/>
      </c>
      <c r="J536" s="140" t="str">
        <f>IF($B$2="Não","",'CÁLCULO FUNPRESP'!Q536)</f>
        <v/>
      </c>
      <c r="K536" s="140" t="str">
        <f>IF($B$2="Não","",'CÁLCULO FUNPRESP'!R536)</f>
        <v/>
      </c>
      <c r="L536" s="140" t="str">
        <f>IF($B$2="Não","",'CÁLCULO FUNPRESP'!S536)</f>
        <v/>
      </c>
      <c r="N536" s="164" t="str">
        <f ca="1">'CÁLCULO FUNPRESP'!U536</f>
        <v/>
      </c>
      <c r="O536" s="140" t="str">
        <f>IF($B$2="Não","",'CÁLCULO FUNPRESP'!Y536)</f>
        <v/>
      </c>
    </row>
    <row r="537" spans="9:15" x14ac:dyDescent="0.25">
      <c r="I537" s="164" t="str">
        <f ca="1">'CÁLCULO FUNPRESP'!P537</f>
        <v/>
      </c>
      <c r="J537" s="140" t="str">
        <f>IF($B$2="Não","",'CÁLCULO FUNPRESP'!Q537)</f>
        <v/>
      </c>
      <c r="K537" s="140" t="str">
        <f>IF($B$2="Não","",'CÁLCULO FUNPRESP'!R537)</f>
        <v/>
      </c>
      <c r="L537" s="140" t="str">
        <f>IF($B$2="Não","",'CÁLCULO FUNPRESP'!S537)</f>
        <v/>
      </c>
      <c r="N537" s="164" t="str">
        <f ca="1">'CÁLCULO FUNPRESP'!U537</f>
        <v/>
      </c>
      <c r="O537" s="140" t="str">
        <f>IF($B$2="Não","",'CÁLCULO FUNPRESP'!Y537)</f>
        <v/>
      </c>
    </row>
    <row r="538" spans="9:15" x14ac:dyDescent="0.25">
      <c r="I538" s="164" t="str">
        <f ca="1">'CÁLCULO FUNPRESP'!P538</f>
        <v/>
      </c>
      <c r="J538" s="140" t="str">
        <f>IF($B$2="Não","",'CÁLCULO FUNPRESP'!Q538)</f>
        <v/>
      </c>
      <c r="K538" s="140" t="str">
        <f>IF($B$2="Não","",'CÁLCULO FUNPRESP'!R538)</f>
        <v/>
      </c>
      <c r="L538" s="140" t="str">
        <f>IF($B$2="Não","",'CÁLCULO FUNPRESP'!S538)</f>
        <v/>
      </c>
      <c r="N538" s="164" t="str">
        <f ca="1">'CÁLCULO FUNPRESP'!U538</f>
        <v/>
      </c>
      <c r="O538" s="140" t="str">
        <f>IF($B$2="Não","",'CÁLCULO FUNPRESP'!Y538)</f>
        <v/>
      </c>
    </row>
    <row r="539" spans="9:15" x14ac:dyDescent="0.25">
      <c r="I539" s="164" t="str">
        <f ca="1">'CÁLCULO FUNPRESP'!P539</f>
        <v/>
      </c>
      <c r="J539" s="140" t="str">
        <f>IF($B$2="Não","",'CÁLCULO FUNPRESP'!Q539)</f>
        <v/>
      </c>
      <c r="K539" s="140" t="str">
        <f>IF($B$2="Não","",'CÁLCULO FUNPRESP'!R539)</f>
        <v/>
      </c>
      <c r="L539" s="140" t="str">
        <f>IF($B$2="Não","",'CÁLCULO FUNPRESP'!S539)</f>
        <v/>
      </c>
      <c r="N539" s="164" t="str">
        <f ca="1">'CÁLCULO FUNPRESP'!U539</f>
        <v/>
      </c>
      <c r="O539" s="140" t="str">
        <f>IF($B$2="Não","",'CÁLCULO FUNPRESP'!Y539)</f>
        <v/>
      </c>
    </row>
    <row r="540" spans="9:15" x14ac:dyDescent="0.25">
      <c r="I540" s="164" t="str">
        <f ca="1">'CÁLCULO FUNPRESP'!P540</f>
        <v/>
      </c>
      <c r="J540" s="140" t="str">
        <f>IF($B$2="Não","",'CÁLCULO FUNPRESP'!Q540)</f>
        <v/>
      </c>
      <c r="K540" s="140" t="str">
        <f>IF($B$2="Não","",'CÁLCULO FUNPRESP'!R540)</f>
        <v/>
      </c>
      <c r="L540" s="140" t="str">
        <f>IF($B$2="Não","",'CÁLCULO FUNPRESP'!S540)</f>
        <v/>
      </c>
      <c r="N540" s="164" t="str">
        <f ca="1">'CÁLCULO FUNPRESP'!U540</f>
        <v/>
      </c>
      <c r="O540" s="140" t="str">
        <f>IF($B$2="Não","",'CÁLCULO FUNPRESP'!Y540)</f>
        <v/>
      </c>
    </row>
    <row r="541" spans="9:15" x14ac:dyDescent="0.25">
      <c r="I541" s="164" t="str">
        <f ca="1">'CÁLCULO FUNPRESP'!P541</f>
        <v/>
      </c>
      <c r="J541" s="140" t="str">
        <f>IF($B$2="Não","",'CÁLCULO FUNPRESP'!Q541)</f>
        <v/>
      </c>
      <c r="K541" s="140" t="str">
        <f>IF($B$2="Não","",'CÁLCULO FUNPRESP'!R541)</f>
        <v/>
      </c>
      <c r="L541" s="140" t="str">
        <f>IF($B$2="Não","",'CÁLCULO FUNPRESP'!S541)</f>
        <v/>
      </c>
      <c r="N541" s="164" t="str">
        <f ca="1">'CÁLCULO FUNPRESP'!U541</f>
        <v/>
      </c>
      <c r="O541" s="140" t="str">
        <f>IF($B$2="Não","",'CÁLCULO FUNPRESP'!Y541)</f>
        <v/>
      </c>
    </row>
    <row r="542" spans="9:15" x14ac:dyDescent="0.25">
      <c r="I542" s="164" t="str">
        <f ca="1">'CÁLCULO FUNPRESP'!P542</f>
        <v/>
      </c>
      <c r="J542" s="140" t="str">
        <f>IF($B$2="Não","",'CÁLCULO FUNPRESP'!Q542)</f>
        <v/>
      </c>
      <c r="K542" s="140" t="str">
        <f>IF($B$2="Não","",'CÁLCULO FUNPRESP'!R542)</f>
        <v/>
      </c>
      <c r="L542" s="140" t="str">
        <f>IF($B$2="Não","",'CÁLCULO FUNPRESP'!S542)</f>
        <v/>
      </c>
      <c r="N542" s="164" t="str">
        <f ca="1">'CÁLCULO FUNPRESP'!U542</f>
        <v/>
      </c>
      <c r="O542" s="140" t="str">
        <f>IF($B$2="Não","",'CÁLCULO FUNPRESP'!Y542)</f>
        <v/>
      </c>
    </row>
    <row r="543" spans="9:15" x14ac:dyDescent="0.25">
      <c r="I543" s="164" t="str">
        <f ca="1">'CÁLCULO FUNPRESP'!P543</f>
        <v/>
      </c>
      <c r="J543" s="140" t="str">
        <f>IF($B$2="Não","",'CÁLCULO FUNPRESP'!Q543)</f>
        <v/>
      </c>
      <c r="K543" s="140" t="str">
        <f>IF($B$2="Não","",'CÁLCULO FUNPRESP'!R543)</f>
        <v/>
      </c>
      <c r="L543" s="140" t="str">
        <f>IF($B$2="Não","",'CÁLCULO FUNPRESP'!S543)</f>
        <v/>
      </c>
      <c r="N543" s="164" t="str">
        <f ca="1">'CÁLCULO FUNPRESP'!U543</f>
        <v/>
      </c>
      <c r="O543" s="140" t="str">
        <f>IF($B$2="Não","",'CÁLCULO FUNPRESP'!Y543)</f>
        <v/>
      </c>
    </row>
    <row r="544" spans="9:15" x14ac:dyDescent="0.25">
      <c r="I544" s="164" t="str">
        <f ca="1">'CÁLCULO FUNPRESP'!P544</f>
        <v/>
      </c>
      <c r="J544" s="140" t="str">
        <f>IF($B$2="Não","",'CÁLCULO FUNPRESP'!Q544)</f>
        <v/>
      </c>
      <c r="K544" s="140" t="str">
        <f>IF($B$2="Não","",'CÁLCULO FUNPRESP'!R544)</f>
        <v/>
      </c>
      <c r="L544" s="140" t="str">
        <f>IF($B$2="Não","",'CÁLCULO FUNPRESP'!S544)</f>
        <v/>
      </c>
      <c r="N544" s="164" t="str">
        <f ca="1">'CÁLCULO FUNPRESP'!U544</f>
        <v/>
      </c>
      <c r="O544" s="140" t="str">
        <f>IF($B$2="Não","",'CÁLCULO FUNPRESP'!Y544)</f>
        <v/>
      </c>
    </row>
    <row r="545" spans="9:15" x14ac:dyDescent="0.25">
      <c r="I545" s="164" t="str">
        <f ca="1">'CÁLCULO FUNPRESP'!P545</f>
        <v/>
      </c>
      <c r="J545" s="140" t="str">
        <f>IF($B$2="Não","",'CÁLCULO FUNPRESP'!Q545)</f>
        <v/>
      </c>
      <c r="K545" s="140" t="str">
        <f>IF($B$2="Não","",'CÁLCULO FUNPRESP'!R545)</f>
        <v/>
      </c>
      <c r="L545" s="140" t="str">
        <f>IF($B$2="Não","",'CÁLCULO FUNPRESP'!S545)</f>
        <v/>
      </c>
      <c r="N545" s="164" t="str">
        <f ca="1">'CÁLCULO FUNPRESP'!U545</f>
        <v/>
      </c>
      <c r="O545" s="140" t="str">
        <f>IF($B$2="Não","",'CÁLCULO FUNPRESP'!Y545)</f>
        <v/>
      </c>
    </row>
    <row r="546" spans="9:15" x14ac:dyDescent="0.25">
      <c r="I546" s="164" t="str">
        <f ca="1">'CÁLCULO FUNPRESP'!P546</f>
        <v/>
      </c>
      <c r="J546" s="140" t="str">
        <f>IF($B$2="Não","",'CÁLCULO FUNPRESP'!Q546)</f>
        <v/>
      </c>
      <c r="K546" s="140" t="str">
        <f>IF($B$2="Não","",'CÁLCULO FUNPRESP'!R546)</f>
        <v/>
      </c>
      <c r="L546" s="140" t="str">
        <f>IF($B$2="Não","",'CÁLCULO FUNPRESP'!S546)</f>
        <v/>
      </c>
      <c r="N546" s="164" t="str">
        <f ca="1">'CÁLCULO FUNPRESP'!U546</f>
        <v/>
      </c>
      <c r="O546" s="140" t="str">
        <f>IF($B$2="Não","",'CÁLCULO FUNPRESP'!Y546)</f>
        <v/>
      </c>
    </row>
    <row r="547" spans="9:15" x14ac:dyDescent="0.25">
      <c r="I547" s="164" t="str">
        <f ca="1">'CÁLCULO FUNPRESP'!P547</f>
        <v/>
      </c>
      <c r="J547" s="140" t="str">
        <f>IF($B$2="Não","",'CÁLCULO FUNPRESP'!Q547)</f>
        <v/>
      </c>
      <c r="K547" s="140" t="str">
        <f>IF($B$2="Não","",'CÁLCULO FUNPRESP'!R547)</f>
        <v/>
      </c>
      <c r="L547" s="140" t="str">
        <f>IF($B$2="Não","",'CÁLCULO FUNPRESP'!S547)</f>
        <v/>
      </c>
      <c r="N547" s="164" t="str">
        <f ca="1">'CÁLCULO FUNPRESP'!U547</f>
        <v/>
      </c>
      <c r="O547" s="140" t="str">
        <f>IF($B$2="Não","",'CÁLCULO FUNPRESP'!Y547)</f>
        <v/>
      </c>
    </row>
    <row r="548" spans="9:15" x14ac:dyDescent="0.25">
      <c r="I548" s="164" t="str">
        <f ca="1">'CÁLCULO FUNPRESP'!P548</f>
        <v/>
      </c>
      <c r="J548" s="140" t="str">
        <f>IF($B$2="Não","",'CÁLCULO FUNPRESP'!Q548)</f>
        <v/>
      </c>
      <c r="K548" s="140" t="str">
        <f>IF($B$2="Não","",'CÁLCULO FUNPRESP'!R548)</f>
        <v/>
      </c>
      <c r="L548" s="140" t="str">
        <f>IF($B$2="Não","",'CÁLCULO FUNPRESP'!S548)</f>
        <v/>
      </c>
      <c r="N548" s="164" t="str">
        <f ca="1">'CÁLCULO FUNPRESP'!U548</f>
        <v/>
      </c>
      <c r="O548" s="140" t="str">
        <f>IF($B$2="Não","",'CÁLCULO FUNPRESP'!Y548)</f>
        <v/>
      </c>
    </row>
    <row r="549" spans="9:15" x14ac:dyDescent="0.25">
      <c r="I549" s="164" t="str">
        <f ca="1">'CÁLCULO FUNPRESP'!P549</f>
        <v/>
      </c>
      <c r="J549" s="140" t="str">
        <f>IF($B$2="Não","",'CÁLCULO FUNPRESP'!Q549)</f>
        <v/>
      </c>
      <c r="K549" s="140" t="str">
        <f>IF($B$2="Não","",'CÁLCULO FUNPRESP'!R549)</f>
        <v/>
      </c>
      <c r="L549" s="140" t="str">
        <f>IF($B$2="Não","",'CÁLCULO FUNPRESP'!S549)</f>
        <v/>
      </c>
      <c r="N549" s="164" t="str">
        <f ca="1">'CÁLCULO FUNPRESP'!U549</f>
        <v/>
      </c>
      <c r="O549" s="140" t="str">
        <f>IF($B$2="Não","",'CÁLCULO FUNPRESP'!Y549)</f>
        <v/>
      </c>
    </row>
    <row r="550" spans="9:15" x14ac:dyDescent="0.25">
      <c r="I550" s="164" t="str">
        <f ca="1">'CÁLCULO FUNPRESP'!P550</f>
        <v/>
      </c>
      <c r="J550" s="140" t="str">
        <f>IF($B$2="Não","",'CÁLCULO FUNPRESP'!Q550)</f>
        <v/>
      </c>
      <c r="K550" s="140" t="str">
        <f>IF($B$2="Não","",'CÁLCULO FUNPRESP'!R550)</f>
        <v/>
      </c>
      <c r="L550" s="140" t="str">
        <f>IF($B$2="Não","",'CÁLCULO FUNPRESP'!S550)</f>
        <v/>
      </c>
      <c r="N550" s="164" t="str">
        <f ca="1">'CÁLCULO FUNPRESP'!U550</f>
        <v/>
      </c>
      <c r="O550" s="140" t="str">
        <f>IF($B$2="Não","",'CÁLCULO FUNPRESP'!Y550)</f>
        <v/>
      </c>
    </row>
    <row r="551" spans="9:15" x14ac:dyDescent="0.25">
      <c r="I551" s="164" t="str">
        <f ca="1">'CÁLCULO FUNPRESP'!P551</f>
        <v/>
      </c>
      <c r="J551" s="140" t="str">
        <f>IF($B$2="Não","",'CÁLCULO FUNPRESP'!Q551)</f>
        <v/>
      </c>
      <c r="K551" s="140" t="str">
        <f>IF($B$2="Não","",'CÁLCULO FUNPRESP'!R551)</f>
        <v/>
      </c>
      <c r="L551" s="140" t="str">
        <f>IF($B$2="Não","",'CÁLCULO FUNPRESP'!S551)</f>
        <v/>
      </c>
      <c r="N551" s="164" t="str">
        <f ca="1">'CÁLCULO FUNPRESP'!U551</f>
        <v/>
      </c>
      <c r="O551" s="140" t="str">
        <f>IF($B$2="Não","",'CÁLCULO FUNPRESP'!Y551)</f>
        <v/>
      </c>
    </row>
    <row r="552" spans="9:15" x14ac:dyDescent="0.25">
      <c r="I552" s="164" t="str">
        <f ca="1">'CÁLCULO FUNPRESP'!P552</f>
        <v/>
      </c>
      <c r="J552" s="140" t="str">
        <f>IF($B$2="Não","",'CÁLCULO FUNPRESP'!Q552)</f>
        <v/>
      </c>
      <c r="K552" s="140" t="str">
        <f>IF($B$2="Não","",'CÁLCULO FUNPRESP'!R552)</f>
        <v/>
      </c>
      <c r="L552" s="140" t="str">
        <f>IF($B$2="Não","",'CÁLCULO FUNPRESP'!S552)</f>
        <v/>
      </c>
      <c r="N552" s="164" t="str">
        <f ca="1">'CÁLCULO FUNPRESP'!U552</f>
        <v/>
      </c>
      <c r="O552" s="140" t="str">
        <f>IF($B$2="Não","",'CÁLCULO FUNPRESP'!Y552)</f>
        <v/>
      </c>
    </row>
    <row r="553" spans="9:15" x14ac:dyDescent="0.25">
      <c r="I553" s="164" t="str">
        <f ca="1">'CÁLCULO FUNPRESP'!P553</f>
        <v/>
      </c>
      <c r="J553" s="140" t="str">
        <f>IF($B$2="Não","",'CÁLCULO FUNPRESP'!Q553)</f>
        <v/>
      </c>
      <c r="K553" s="140" t="str">
        <f>IF($B$2="Não","",'CÁLCULO FUNPRESP'!R553)</f>
        <v/>
      </c>
      <c r="L553" s="140" t="str">
        <f>IF($B$2="Não","",'CÁLCULO FUNPRESP'!S553)</f>
        <v/>
      </c>
      <c r="N553" s="164" t="str">
        <f ca="1">'CÁLCULO FUNPRESP'!U553</f>
        <v/>
      </c>
      <c r="O553" s="140" t="str">
        <f>IF($B$2="Não","",'CÁLCULO FUNPRESP'!Y553)</f>
        <v/>
      </c>
    </row>
    <row r="554" spans="9:15" x14ac:dyDescent="0.25">
      <c r="I554" s="164" t="str">
        <f ca="1">'CÁLCULO FUNPRESP'!P554</f>
        <v/>
      </c>
      <c r="J554" s="140" t="str">
        <f>IF($B$2="Não","",'CÁLCULO FUNPRESP'!Q554)</f>
        <v/>
      </c>
      <c r="K554" s="140" t="str">
        <f>IF($B$2="Não","",'CÁLCULO FUNPRESP'!R554)</f>
        <v/>
      </c>
      <c r="L554" s="140" t="str">
        <f>IF($B$2="Não","",'CÁLCULO FUNPRESP'!S554)</f>
        <v/>
      </c>
      <c r="N554" s="164" t="str">
        <f ca="1">'CÁLCULO FUNPRESP'!U554</f>
        <v/>
      </c>
      <c r="O554" s="140" t="str">
        <f>IF($B$2="Não","",'CÁLCULO FUNPRESP'!Y554)</f>
        <v/>
      </c>
    </row>
    <row r="555" spans="9:15" x14ac:dyDescent="0.25">
      <c r="I555" s="164" t="str">
        <f ca="1">'CÁLCULO FUNPRESP'!P555</f>
        <v/>
      </c>
      <c r="J555" s="140" t="str">
        <f>IF($B$2="Não","",'CÁLCULO FUNPRESP'!Q555)</f>
        <v/>
      </c>
      <c r="K555" s="140" t="str">
        <f>IF($B$2="Não","",'CÁLCULO FUNPRESP'!R555)</f>
        <v/>
      </c>
      <c r="L555" s="140" t="str">
        <f>IF($B$2="Não","",'CÁLCULO FUNPRESP'!S555)</f>
        <v/>
      </c>
      <c r="N555" s="164" t="str">
        <f ca="1">'CÁLCULO FUNPRESP'!U555</f>
        <v/>
      </c>
      <c r="O555" s="140" t="str">
        <f>IF($B$2="Não","",'CÁLCULO FUNPRESP'!Y555)</f>
        <v/>
      </c>
    </row>
    <row r="556" spans="9:15" x14ac:dyDescent="0.25">
      <c r="I556" s="164" t="str">
        <f ca="1">'CÁLCULO FUNPRESP'!P556</f>
        <v/>
      </c>
      <c r="J556" s="140" t="str">
        <f>IF($B$2="Não","",'CÁLCULO FUNPRESP'!Q556)</f>
        <v/>
      </c>
      <c r="K556" s="140" t="str">
        <f>IF($B$2="Não","",'CÁLCULO FUNPRESP'!R556)</f>
        <v/>
      </c>
      <c r="L556" s="140" t="str">
        <f>IF($B$2="Não","",'CÁLCULO FUNPRESP'!S556)</f>
        <v/>
      </c>
      <c r="N556" s="164" t="str">
        <f ca="1">'CÁLCULO FUNPRESP'!U556</f>
        <v/>
      </c>
      <c r="O556" s="140" t="str">
        <f>IF($B$2="Não","",'CÁLCULO FUNPRESP'!Y556)</f>
        <v/>
      </c>
    </row>
    <row r="557" spans="9:15" x14ac:dyDescent="0.25">
      <c r="I557" s="164" t="str">
        <f ca="1">'CÁLCULO FUNPRESP'!P557</f>
        <v/>
      </c>
      <c r="J557" s="140" t="str">
        <f>IF($B$2="Não","",'CÁLCULO FUNPRESP'!Q557)</f>
        <v/>
      </c>
      <c r="K557" s="140" t="str">
        <f>IF($B$2="Não","",'CÁLCULO FUNPRESP'!R557)</f>
        <v/>
      </c>
      <c r="L557" s="140" t="str">
        <f>IF($B$2="Não","",'CÁLCULO FUNPRESP'!S557)</f>
        <v/>
      </c>
      <c r="N557" s="164" t="str">
        <f ca="1">'CÁLCULO FUNPRESP'!U557</f>
        <v/>
      </c>
      <c r="O557" s="140" t="str">
        <f>IF($B$2="Não","",'CÁLCULO FUNPRESP'!Y557)</f>
        <v/>
      </c>
    </row>
    <row r="558" spans="9:15" x14ac:dyDescent="0.25">
      <c r="I558" s="164" t="str">
        <f ca="1">'CÁLCULO FUNPRESP'!P558</f>
        <v/>
      </c>
      <c r="J558" s="140" t="str">
        <f>IF($B$2="Não","",'CÁLCULO FUNPRESP'!Q558)</f>
        <v/>
      </c>
      <c r="K558" s="140" t="str">
        <f>IF($B$2="Não","",'CÁLCULO FUNPRESP'!R558)</f>
        <v/>
      </c>
      <c r="L558" s="140" t="str">
        <f>IF($B$2="Não","",'CÁLCULO FUNPRESP'!S558)</f>
        <v/>
      </c>
      <c r="N558" s="164" t="str">
        <f ca="1">'CÁLCULO FUNPRESP'!U558</f>
        <v/>
      </c>
      <c r="O558" s="140" t="str">
        <f>IF($B$2="Não","",'CÁLCULO FUNPRESP'!Y558)</f>
        <v/>
      </c>
    </row>
    <row r="559" spans="9:15" x14ac:dyDescent="0.25">
      <c r="I559" s="164" t="str">
        <f ca="1">'CÁLCULO FUNPRESP'!P559</f>
        <v/>
      </c>
      <c r="J559" s="140" t="str">
        <f>IF($B$2="Não","",'CÁLCULO FUNPRESP'!Q559)</f>
        <v/>
      </c>
      <c r="K559" s="140" t="str">
        <f>IF($B$2="Não","",'CÁLCULO FUNPRESP'!R559)</f>
        <v/>
      </c>
      <c r="L559" s="140" t="str">
        <f>IF($B$2="Não","",'CÁLCULO FUNPRESP'!S559)</f>
        <v/>
      </c>
      <c r="N559" s="164" t="str">
        <f ca="1">'CÁLCULO FUNPRESP'!U559</f>
        <v/>
      </c>
      <c r="O559" s="140" t="str">
        <f>IF($B$2="Não","",'CÁLCULO FUNPRESP'!Y559)</f>
        <v/>
      </c>
    </row>
    <row r="560" spans="9:15" x14ac:dyDescent="0.25">
      <c r="I560" s="164" t="str">
        <f ca="1">'CÁLCULO FUNPRESP'!P560</f>
        <v/>
      </c>
      <c r="J560" s="140" t="str">
        <f>IF($B$2="Não","",'CÁLCULO FUNPRESP'!Q560)</f>
        <v/>
      </c>
      <c r="K560" s="140" t="str">
        <f>IF($B$2="Não","",'CÁLCULO FUNPRESP'!R560)</f>
        <v/>
      </c>
      <c r="L560" s="140" t="str">
        <f>IF($B$2="Não","",'CÁLCULO FUNPRESP'!S560)</f>
        <v/>
      </c>
      <c r="N560" s="164" t="str">
        <f ca="1">'CÁLCULO FUNPRESP'!U560</f>
        <v/>
      </c>
      <c r="O560" s="140" t="str">
        <f>IF($B$2="Não","",'CÁLCULO FUNPRESP'!Y560)</f>
        <v/>
      </c>
    </row>
    <row r="561" spans="9:15" x14ac:dyDescent="0.25">
      <c r="I561" s="164" t="str">
        <f ca="1">'CÁLCULO FUNPRESP'!P561</f>
        <v/>
      </c>
      <c r="J561" s="140" t="str">
        <f>IF($B$2="Não","",'CÁLCULO FUNPRESP'!Q561)</f>
        <v/>
      </c>
      <c r="K561" s="140" t="str">
        <f>IF($B$2="Não","",'CÁLCULO FUNPRESP'!R561)</f>
        <v/>
      </c>
      <c r="L561" s="140" t="str">
        <f>IF($B$2="Não","",'CÁLCULO FUNPRESP'!S561)</f>
        <v/>
      </c>
      <c r="N561" s="164" t="str">
        <f ca="1">'CÁLCULO FUNPRESP'!U561</f>
        <v/>
      </c>
      <c r="O561" s="140" t="str">
        <f>IF($B$2="Não","",'CÁLCULO FUNPRESP'!Y561)</f>
        <v/>
      </c>
    </row>
    <row r="562" spans="9:15" x14ac:dyDescent="0.25">
      <c r="I562" s="164" t="str">
        <f ca="1">'CÁLCULO FUNPRESP'!P562</f>
        <v/>
      </c>
      <c r="J562" s="140" t="str">
        <f>IF($B$2="Não","",'CÁLCULO FUNPRESP'!Q562)</f>
        <v/>
      </c>
      <c r="K562" s="140" t="str">
        <f>IF($B$2="Não","",'CÁLCULO FUNPRESP'!R562)</f>
        <v/>
      </c>
      <c r="L562" s="140" t="str">
        <f>IF($B$2="Não","",'CÁLCULO FUNPRESP'!S562)</f>
        <v/>
      </c>
      <c r="N562" s="164" t="str">
        <f ca="1">'CÁLCULO FUNPRESP'!U562</f>
        <v/>
      </c>
      <c r="O562" s="140" t="str">
        <f>IF($B$2="Não","",'CÁLCULO FUNPRESP'!Y562)</f>
        <v/>
      </c>
    </row>
    <row r="563" spans="9:15" x14ac:dyDescent="0.25">
      <c r="I563" s="164" t="str">
        <f ca="1">'CÁLCULO FUNPRESP'!P563</f>
        <v/>
      </c>
      <c r="J563" s="140" t="str">
        <f>IF($B$2="Não","",'CÁLCULO FUNPRESP'!Q563)</f>
        <v/>
      </c>
      <c r="K563" s="140" t="str">
        <f>IF($B$2="Não","",'CÁLCULO FUNPRESP'!R563)</f>
        <v/>
      </c>
      <c r="L563" s="140" t="str">
        <f>IF($B$2="Não","",'CÁLCULO FUNPRESP'!S563)</f>
        <v/>
      </c>
      <c r="N563" s="164" t="str">
        <f ca="1">'CÁLCULO FUNPRESP'!U563</f>
        <v/>
      </c>
      <c r="O563" s="140" t="str">
        <f>IF($B$2="Não","",'CÁLCULO FUNPRESP'!Y563)</f>
        <v/>
      </c>
    </row>
    <row r="564" spans="9:15" x14ac:dyDescent="0.25">
      <c r="I564" s="164" t="str">
        <f ca="1">'CÁLCULO FUNPRESP'!P564</f>
        <v/>
      </c>
      <c r="J564" s="140" t="str">
        <f>IF($B$2="Não","",'CÁLCULO FUNPRESP'!Q564)</f>
        <v/>
      </c>
      <c r="K564" s="140" t="str">
        <f>IF($B$2="Não","",'CÁLCULO FUNPRESP'!R564)</f>
        <v/>
      </c>
      <c r="L564" s="140" t="str">
        <f>IF($B$2="Não","",'CÁLCULO FUNPRESP'!S564)</f>
        <v/>
      </c>
      <c r="N564" s="164" t="str">
        <f ca="1">'CÁLCULO FUNPRESP'!U564</f>
        <v/>
      </c>
      <c r="O564" s="140" t="str">
        <f>IF($B$2="Não","",'CÁLCULO FUNPRESP'!Y564)</f>
        <v/>
      </c>
    </row>
    <row r="565" spans="9:15" x14ac:dyDescent="0.25">
      <c r="I565" s="164" t="str">
        <f ca="1">'CÁLCULO FUNPRESP'!P565</f>
        <v/>
      </c>
      <c r="J565" s="140" t="str">
        <f>IF($B$2="Não","",'CÁLCULO FUNPRESP'!Q565)</f>
        <v/>
      </c>
      <c r="K565" s="140" t="str">
        <f>IF($B$2="Não","",'CÁLCULO FUNPRESP'!R565)</f>
        <v/>
      </c>
      <c r="L565" s="140" t="str">
        <f>IF($B$2="Não","",'CÁLCULO FUNPRESP'!S565)</f>
        <v/>
      </c>
      <c r="N565" s="164" t="str">
        <f ca="1">'CÁLCULO FUNPRESP'!U565</f>
        <v/>
      </c>
      <c r="O565" s="140" t="str">
        <f>IF($B$2="Não","",'CÁLCULO FUNPRESP'!Y565)</f>
        <v/>
      </c>
    </row>
    <row r="566" spans="9:15" x14ac:dyDescent="0.25">
      <c r="I566" s="164" t="str">
        <f ca="1">'CÁLCULO FUNPRESP'!P566</f>
        <v/>
      </c>
      <c r="J566" s="140" t="str">
        <f>IF($B$2="Não","",'CÁLCULO FUNPRESP'!Q566)</f>
        <v/>
      </c>
      <c r="K566" s="140" t="str">
        <f>IF($B$2="Não","",'CÁLCULO FUNPRESP'!R566)</f>
        <v/>
      </c>
      <c r="L566" s="140" t="str">
        <f>IF($B$2="Não","",'CÁLCULO FUNPRESP'!S566)</f>
        <v/>
      </c>
      <c r="N566" s="164" t="str">
        <f ca="1">'CÁLCULO FUNPRESP'!U566</f>
        <v/>
      </c>
      <c r="O566" s="140" t="str">
        <f>IF($B$2="Não","",'CÁLCULO FUNPRESP'!Y566)</f>
        <v/>
      </c>
    </row>
    <row r="567" spans="9:15" x14ac:dyDescent="0.25">
      <c r="I567" s="164" t="str">
        <f ca="1">'CÁLCULO FUNPRESP'!P567</f>
        <v/>
      </c>
      <c r="J567" s="140" t="str">
        <f>IF($B$2="Não","",'CÁLCULO FUNPRESP'!Q567)</f>
        <v/>
      </c>
      <c r="K567" s="140" t="str">
        <f>IF($B$2="Não","",'CÁLCULO FUNPRESP'!R567)</f>
        <v/>
      </c>
      <c r="L567" s="140" t="str">
        <f>IF($B$2="Não","",'CÁLCULO FUNPRESP'!S567)</f>
        <v/>
      </c>
      <c r="N567" s="164" t="str">
        <f ca="1">'CÁLCULO FUNPRESP'!U567</f>
        <v/>
      </c>
      <c r="O567" s="140" t="str">
        <f>IF($B$2="Não","",'CÁLCULO FUNPRESP'!Y567)</f>
        <v/>
      </c>
    </row>
    <row r="568" spans="9:15" x14ac:dyDescent="0.25">
      <c r="I568" s="164" t="str">
        <f ca="1">'CÁLCULO FUNPRESP'!P568</f>
        <v/>
      </c>
      <c r="J568" s="140" t="str">
        <f>IF($B$2="Não","",'CÁLCULO FUNPRESP'!Q568)</f>
        <v/>
      </c>
      <c r="K568" s="140" t="str">
        <f>IF($B$2="Não","",'CÁLCULO FUNPRESP'!R568)</f>
        <v/>
      </c>
      <c r="L568" s="140" t="str">
        <f>IF($B$2="Não","",'CÁLCULO FUNPRESP'!S568)</f>
        <v/>
      </c>
      <c r="N568" s="164" t="str">
        <f ca="1">'CÁLCULO FUNPRESP'!U568</f>
        <v/>
      </c>
      <c r="O568" s="140" t="str">
        <f>IF($B$2="Não","",'CÁLCULO FUNPRESP'!Y568)</f>
        <v/>
      </c>
    </row>
    <row r="569" spans="9:15" x14ac:dyDescent="0.25">
      <c r="I569" s="164" t="str">
        <f ca="1">'CÁLCULO FUNPRESP'!P569</f>
        <v/>
      </c>
      <c r="J569" s="140" t="str">
        <f>IF($B$2="Não","",'CÁLCULO FUNPRESP'!Q569)</f>
        <v/>
      </c>
      <c r="K569" s="140" t="str">
        <f>IF($B$2="Não","",'CÁLCULO FUNPRESP'!R569)</f>
        <v/>
      </c>
      <c r="L569" s="140" t="str">
        <f>IF($B$2="Não","",'CÁLCULO FUNPRESP'!S569)</f>
        <v/>
      </c>
      <c r="N569" s="164" t="str">
        <f ca="1">'CÁLCULO FUNPRESP'!U569</f>
        <v/>
      </c>
      <c r="O569" s="140" t="str">
        <f>IF($B$2="Não","",'CÁLCULO FUNPRESP'!Y569)</f>
        <v/>
      </c>
    </row>
    <row r="570" spans="9:15" x14ac:dyDescent="0.25">
      <c r="I570" s="164" t="str">
        <f ca="1">'CÁLCULO FUNPRESP'!P570</f>
        <v/>
      </c>
      <c r="J570" s="140" t="str">
        <f>IF($B$2="Não","",'CÁLCULO FUNPRESP'!Q570)</f>
        <v/>
      </c>
      <c r="K570" s="140" t="str">
        <f>IF($B$2="Não","",'CÁLCULO FUNPRESP'!R570)</f>
        <v/>
      </c>
      <c r="L570" s="140" t="str">
        <f>IF($B$2="Não","",'CÁLCULO FUNPRESP'!S570)</f>
        <v/>
      </c>
      <c r="N570" s="164" t="str">
        <f ca="1">'CÁLCULO FUNPRESP'!U570</f>
        <v/>
      </c>
      <c r="O570" s="140" t="str">
        <f>IF($B$2="Não","",'CÁLCULO FUNPRESP'!Y570)</f>
        <v/>
      </c>
    </row>
    <row r="571" spans="9:15" x14ac:dyDescent="0.25">
      <c r="I571" s="164" t="str">
        <f ca="1">'CÁLCULO FUNPRESP'!P571</f>
        <v/>
      </c>
      <c r="J571" s="140" t="str">
        <f>IF($B$2="Não","",'CÁLCULO FUNPRESP'!Q571)</f>
        <v/>
      </c>
      <c r="K571" s="140" t="str">
        <f>IF($B$2="Não","",'CÁLCULO FUNPRESP'!R571)</f>
        <v/>
      </c>
      <c r="L571" s="140" t="str">
        <f>IF($B$2="Não","",'CÁLCULO FUNPRESP'!S571)</f>
        <v/>
      </c>
      <c r="N571" s="164" t="str">
        <f ca="1">'CÁLCULO FUNPRESP'!U571</f>
        <v/>
      </c>
      <c r="O571" s="140" t="str">
        <f>IF($B$2="Não","",'CÁLCULO FUNPRESP'!Y571)</f>
        <v/>
      </c>
    </row>
    <row r="572" spans="9:15" x14ac:dyDescent="0.25">
      <c r="I572" s="164" t="str">
        <f ca="1">'CÁLCULO FUNPRESP'!P572</f>
        <v/>
      </c>
      <c r="J572" s="140" t="str">
        <f>IF($B$2="Não","",'CÁLCULO FUNPRESP'!Q572)</f>
        <v/>
      </c>
      <c r="K572" s="140" t="str">
        <f>IF($B$2="Não","",'CÁLCULO FUNPRESP'!R572)</f>
        <v/>
      </c>
      <c r="L572" s="140" t="str">
        <f>IF($B$2="Não","",'CÁLCULO FUNPRESP'!S572)</f>
        <v/>
      </c>
      <c r="N572" s="164" t="str">
        <f ca="1">'CÁLCULO FUNPRESP'!U572</f>
        <v/>
      </c>
      <c r="O572" s="140" t="str">
        <f>IF($B$2="Não","",'CÁLCULO FUNPRESP'!Y572)</f>
        <v/>
      </c>
    </row>
    <row r="573" spans="9:15" x14ac:dyDescent="0.25">
      <c r="I573" s="164" t="str">
        <f ca="1">'CÁLCULO FUNPRESP'!P573</f>
        <v/>
      </c>
      <c r="J573" s="140" t="str">
        <f>IF($B$2="Não","",'CÁLCULO FUNPRESP'!Q573)</f>
        <v/>
      </c>
      <c r="K573" s="140" t="str">
        <f>IF($B$2="Não","",'CÁLCULO FUNPRESP'!R573)</f>
        <v/>
      </c>
      <c r="L573" s="140" t="str">
        <f>IF($B$2="Não","",'CÁLCULO FUNPRESP'!S573)</f>
        <v/>
      </c>
      <c r="N573" s="164" t="str">
        <f ca="1">'CÁLCULO FUNPRESP'!U573</f>
        <v/>
      </c>
      <c r="O573" s="140" t="str">
        <f>IF($B$2="Não","",'CÁLCULO FUNPRESP'!Y573)</f>
        <v/>
      </c>
    </row>
    <row r="574" spans="9:15" x14ac:dyDescent="0.25">
      <c r="I574" s="164" t="str">
        <f ca="1">'CÁLCULO FUNPRESP'!P574</f>
        <v/>
      </c>
      <c r="J574" s="140" t="str">
        <f>IF($B$2="Não","",'CÁLCULO FUNPRESP'!Q574)</f>
        <v/>
      </c>
      <c r="K574" s="140" t="str">
        <f>IF($B$2="Não","",'CÁLCULO FUNPRESP'!R574)</f>
        <v/>
      </c>
      <c r="L574" s="140" t="str">
        <f>IF($B$2="Não","",'CÁLCULO FUNPRESP'!S574)</f>
        <v/>
      </c>
      <c r="N574" s="164" t="str">
        <f ca="1">'CÁLCULO FUNPRESP'!U574</f>
        <v/>
      </c>
      <c r="O574" s="140" t="str">
        <f>IF($B$2="Não","",'CÁLCULO FUNPRESP'!Y574)</f>
        <v/>
      </c>
    </row>
    <row r="575" spans="9:15" x14ac:dyDescent="0.25">
      <c r="I575" s="164" t="str">
        <f ca="1">'CÁLCULO FUNPRESP'!P575</f>
        <v/>
      </c>
      <c r="J575" s="140" t="str">
        <f>IF($B$2="Não","",'CÁLCULO FUNPRESP'!Q575)</f>
        <v/>
      </c>
      <c r="K575" s="140" t="str">
        <f>IF($B$2="Não","",'CÁLCULO FUNPRESP'!R575)</f>
        <v/>
      </c>
      <c r="L575" s="140" t="str">
        <f>IF($B$2="Não","",'CÁLCULO FUNPRESP'!S575)</f>
        <v/>
      </c>
      <c r="N575" s="164" t="str">
        <f ca="1">'CÁLCULO FUNPRESP'!U575</f>
        <v/>
      </c>
      <c r="O575" s="140" t="str">
        <f>IF($B$2="Não","",'CÁLCULO FUNPRESP'!Y575)</f>
        <v/>
      </c>
    </row>
    <row r="576" spans="9:15" x14ac:dyDescent="0.25">
      <c r="I576" s="164" t="str">
        <f ca="1">'CÁLCULO FUNPRESP'!P576</f>
        <v/>
      </c>
      <c r="J576" s="140" t="str">
        <f>IF($B$2="Não","",'CÁLCULO FUNPRESP'!Q576)</f>
        <v/>
      </c>
      <c r="K576" s="140" t="str">
        <f>IF($B$2="Não","",'CÁLCULO FUNPRESP'!R576)</f>
        <v/>
      </c>
      <c r="L576" s="140" t="str">
        <f>IF($B$2="Não","",'CÁLCULO FUNPRESP'!S576)</f>
        <v/>
      </c>
      <c r="N576" s="164" t="str">
        <f ca="1">'CÁLCULO FUNPRESP'!U576</f>
        <v/>
      </c>
      <c r="O576" s="140" t="str">
        <f>IF($B$2="Não","",'CÁLCULO FUNPRESP'!Y576)</f>
        <v/>
      </c>
    </row>
    <row r="577" spans="9:15" x14ac:dyDescent="0.25">
      <c r="I577" s="164" t="str">
        <f ca="1">'CÁLCULO FUNPRESP'!P577</f>
        <v/>
      </c>
      <c r="J577" s="140" t="str">
        <f>IF($B$2="Não","",'CÁLCULO FUNPRESP'!Q577)</f>
        <v/>
      </c>
      <c r="K577" s="140" t="str">
        <f>IF($B$2="Não","",'CÁLCULO FUNPRESP'!R577)</f>
        <v/>
      </c>
      <c r="L577" s="140" t="str">
        <f>IF($B$2="Não","",'CÁLCULO FUNPRESP'!S577)</f>
        <v/>
      </c>
      <c r="N577" s="164" t="str">
        <f ca="1">'CÁLCULO FUNPRESP'!U577</f>
        <v/>
      </c>
      <c r="O577" s="140" t="str">
        <f>IF($B$2="Não","",'CÁLCULO FUNPRESP'!Y577)</f>
        <v/>
      </c>
    </row>
    <row r="578" spans="9:15" x14ac:dyDescent="0.25">
      <c r="I578" s="164" t="str">
        <f ca="1">'CÁLCULO FUNPRESP'!P578</f>
        <v/>
      </c>
      <c r="J578" s="140" t="str">
        <f>IF($B$2="Não","",'CÁLCULO FUNPRESP'!Q578)</f>
        <v/>
      </c>
      <c r="K578" s="140" t="str">
        <f>IF($B$2="Não","",'CÁLCULO FUNPRESP'!R578)</f>
        <v/>
      </c>
      <c r="L578" s="140" t="str">
        <f>IF($B$2="Não","",'CÁLCULO FUNPRESP'!S578)</f>
        <v/>
      </c>
      <c r="N578" s="164" t="str">
        <f ca="1">'CÁLCULO FUNPRESP'!U578</f>
        <v/>
      </c>
      <c r="O578" s="140" t="str">
        <f>IF($B$2="Não","",'CÁLCULO FUNPRESP'!Y578)</f>
        <v/>
      </c>
    </row>
    <row r="579" spans="9:15" x14ac:dyDescent="0.25">
      <c r="I579" s="164" t="str">
        <f ca="1">'CÁLCULO FUNPRESP'!P579</f>
        <v/>
      </c>
      <c r="J579" s="140" t="str">
        <f>IF($B$2="Não","",'CÁLCULO FUNPRESP'!Q579)</f>
        <v/>
      </c>
      <c r="K579" s="140" t="str">
        <f>IF($B$2="Não","",'CÁLCULO FUNPRESP'!R579)</f>
        <v/>
      </c>
      <c r="L579" s="140" t="str">
        <f>IF($B$2="Não","",'CÁLCULO FUNPRESP'!S579)</f>
        <v/>
      </c>
      <c r="N579" s="164" t="str">
        <f ca="1">'CÁLCULO FUNPRESP'!U579</f>
        <v/>
      </c>
      <c r="O579" s="140" t="str">
        <f>IF($B$2="Não","",'CÁLCULO FUNPRESP'!Y579)</f>
        <v/>
      </c>
    </row>
    <row r="580" spans="9:15" x14ac:dyDescent="0.25">
      <c r="I580" s="164" t="str">
        <f ca="1">'CÁLCULO FUNPRESP'!P580</f>
        <v/>
      </c>
      <c r="J580" s="140" t="str">
        <f>IF($B$2="Não","",'CÁLCULO FUNPRESP'!Q580)</f>
        <v/>
      </c>
      <c r="K580" s="140" t="str">
        <f>IF($B$2="Não","",'CÁLCULO FUNPRESP'!R580)</f>
        <v/>
      </c>
      <c r="L580" s="140" t="str">
        <f>IF($B$2="Não","",'CÁLCULO FUNPRESP'!S580)</f>
        <v/>
      </c>
      <c r="N580" s="164" t="str">
        <f ca="1">'CÁLCULO FUNPRESP'!U580</f>
        <v/>
      </c>
      <c r="O580" s="140" t="str">
        <f>IF($B$2="Não","",'CÁLCULO FUNPRESP'!Y580)</f>
        <v/>
      </c>
    </row>
    <row r="581" spans="9:15" x14ac:dyDescent="0.25">
      <c r="I581" s="164" t="str">
        <f ca="1">'CÁLCULO FUNPRESP'!P581</f>
        <v/>
      </c>
      <c r="J581" s="140" t="str">
        <f>IF($B$2="Não","",'CÁLCULO FUNPRESP'!Q581)</f>
        <v/>
      </c>
      <c r="K581" s="140" t="str">
        <f>IF($B$2="Não","",'CÁLCULO FUNPRESP'!R581)</f>
        <v/>
      </c>
      <c r="L581" s="140" t="str">
        <f>IF($B$2="Não","",'CÁLCULO FUNPRESP'!S581)</f>
        <v/>
      </c>
      <c r="N581" s="164" t="str">
        <f ca="1">'CÁLCULO FUNPRESP'!U581</f>
        <v/>
      </c>
      <c r="O581" s="140" t="str">
        <f>IF($B$2="Não","",'CÁLCULO FUNPRESP'!Y581)</f>
        <v/>
      </c>
    </row>
    <row r="582" spans="9:15" x14ac:dyDescent="0.25">
      <c r="I582" s="164" t="str">
        <f ca="1">'CÁLCULO FUNPRESP'!P582</f>
        <v/>
      </c>
      <c r="J582" s="140" t="str">
        <f>IF($B$2="Não","",'CÁLCULO FUNPRESP'!Q582)</f>
        <v/>
      </c>
      <c r="K582" s="140" t="str">
        <f>IF($B$2="Não","",'CÁLCULO FUNPRESP'!R582)</f>
        <v/>
      </c>
      <c r="L582" s="140" t="str">
        <f>IF($B$2="Não","",'CÁLCULO FUNPRESP'!S582)</f>
        <v/>
      </c>
      <c r="N582" s="164" t="str">
        <f ca="1">'CÁLCULO FUNPRESP'!U582</f>
        <v/>
      </c>
      <c r="O582" s="140" t="str">
        <f>IF($B$2="Não","",'CÁLCULO FUNPRESP'!Y582)</f>
        <v/>
      </c>
    </row>
    <row r="583" spans="9:15" x14ac:dyDescent="0.25">
      <c r="I583" s="164" t="str">
        <f ca="1">'CÁLCULO FUNPRESP'!P583</f>
        <v/>
      </c>
      <c r="J583" s="140" t="str">
        <f>IF($B$2="Não","",'CÁLCULO FUNPRESP'!Q583)</f>
        <v/>
      </c>
      <c r="K583" s="140" t="str">
        <f>IF($B$2="Não","",'CÁLCULO FUNPRESP'!R583)</f>
        <v/>
      </c>
      <c r="L583" s="140" t="str">
        <f>IF($B$2="Não","",'CÁLCULO FUNPRESP'!S583)</f>
        <v/>
      </c>
      <c r="N583" s="164" t="str">
        <f ca="1">'CÁLCULO FUNPRESP'!U583</f>
        <v/>
      </c>
      <c r="O583" s="140" t="str">
        <f>IF($B$2="Não","",'CÁLCULO FUNPRESP'!Y583)</f>
        <v/>
      </c>
    </row>
    <row r="584" spans="9:15" x14ac:dyDescent="0.25">
      <c r="I584" s="164" t="str">
        <f ca="1">'CÁLCULO FUNPRESP'!P584</f>
        <v/>
      </c>
      <c r="J584" s="140" t="str">
        <f>IF($B$2="Não","",'CÁLCULO FUNPRESP'!Q584)</f>
        <v/>
      </c>
      <c r="K584" s="140" t="str">
        <f>IF($B$2="Não","",'CÁLCULO FUNPRESP'!R584)</f>
        <v/>
      </c>
      <c r="L584" s="140" t="str">
        <f>IF($B$2="Não","",'CÁLCULO FUNPRESP'!S584)</f>
        <v/>
      </c>
      <c r="N584" s="164" t="str">
        <f ca="1">'CÁLCULO FUNPRESP'!U584</f>
        <v/>
      </c>
      <c r="O584" s="140" t="str">
        <f>IF($B$2="Não","",'CÁLCULO FUNPRESP'!Y584)</f>
        <v/>
      </c>
    </row>
    <row r="585" spans="9:15" x14ac:dyDescent="0.25">
      <c r="I585" s="164" t="str">
        <f ca="1">'CÁLCULO FUNPRESP'!P585</f>
        <v/>
      </c>
      <c r="J585" s="140" t="str">
        <f>IF($B$2="Não","",'CÁLCULO FUNPRESP'!Q585)</f>
        <v/>
      </c>
      <c r="K585" s="140" t="str">
        <f>IF($B$2="Não","",'CÁLCULO FUNPRESP'!R585)</f>
        <v/>
      </c>
      <c r="L585" s="140" t="str">
        <f>IF($B$2="Não","",'CÁLCULO FUNPRESP'!S585)</f>
        <v/>
      </c>
      <c r="N585" s="164" t="str">
        <f ca="1">'CÁLCULO FUNPRESP'!U585</f>
        <v/>
      </c>
      <c r="O585" s="140" t="str">
        <f>IF($B$2="Não","",'CÁLCULO FUNPRESP'!Y585)</f>
        <v/>
      </c>
    </row>
    <row r="586" spans="9:15" x14ac:dyDescent="0.25">
      <c r="I586" s="164" t="str">
        <f ca="1">'CÁLCULO FUNPRESP'!P586</f>
        <v/>
      </c>
      <c r="J586" s="140" t="str">
        <f>IF($B$2="Não","",'CÁLCULO FUNPRESP'!Q586)</f>
        <v/>
      </c>
      <c r="K586" s="140" t="str">
        <f>IF($B$2="Não","",'CÁLCULO FUNPRESP'!R586)</f>
        <v/>
      </c>
      <c r="L586" s="140" t="str">
        <f>IF($B$2="Não","",'CÁLCULO FUNPRESP'!S586)</f>
        <v/>
      </c>
      <c r="N586" s="164" t="str">
        <f ca="1">'CÁLCULO FUNPRESP'!U586</f>
        <v/>
      </c>
      <c r="O586" s="140" t="str">
        <f>IF($B$2="Não","",'CÁLCULO FUNPRESP'!Y586)</f>
        <v/>
      </c>
    </row>
    <row r="587" spans="9:15" x14ac:dyDescent="0.25">
      <c r="I587" s="164" t="str">
        <f ca="1">'CÁLCULO FUNPRESP'!P587</f>
        <v/>
      </c>
      <c r="J587" s="140" t="str">
        <f>IF($B$2="Não","",'CÁLCULO FUNPRESP'!Q587)</f>
        <v/>
      </c>
      <c r="K587" s="140" t="str">
        <f>IF($B$2="Não","",'CÁLCULO FUNPRESP'!R587)</f>
        <v/>
      </c>
      <c r="L587" s="140" t="str">
        <f>IF($B$2="Não","",'CÁLCULO FUNPRESP'!S587)</f>
        <v/>
      </c>
      <c r="N587" s="164" t="str">
        <f ca="1">'CÁLCULO FUNPRESP'!U587</f>
        <v/>
      </c>
      <c r="O587" s="140" t="str">
        <f>IF($B$2="Não","",'CÁLCULO FUNPRESP'!Y587)</f>
        <v/>
      </c>
    </row>
    <row r="588" spans="9:15" x14ac:dyDescent="0.25">
      <c r="I588" s="164" t="str">
        <f ca="1">'CÁLCULO FUNPRESP'!P588</f>
        <v/>
      </c>
      <c r="J588" s="140" t="str">
        <f>IF($B$2="Não","",'CÁLCULO FUNPRESP'!Q588)</f>
        <v/>
      </c>
      <c r="K588" s="140" t="str">
        <f>IF($B$2="Não","",'CÁLCULO FUNPRESP'!R588)</f>
        <v/>
      </c>
      <c r="L588" s="140" t="str">
        <f>IF($B$2="Não","",'CÁLCULO FUNPRESP'!S588)</f>
        <v/>
      </c>
      <c r="N588" s="164" t="str">
        <f ca="1">'CÁLCULO FUNPRESP'!U588</f>
        <v/>
      </c>
      <c r="O588" s="140" t="str">
        <f>IF($B$2="Não","",'CÁLCULO FUNPRESP'!Y588)</f>
        <v/>
      </c>
    </row>
    <row r="589" spans="9:15" x14ac:dyDescent="0.25">
      <c r="I589" s="164" t="str">
        <f ca="1">'CÁLCULO FUNPRESP'!P589</f>
        <v/>
      </c>
      <c r="J589" s="140" t="str">
        <f>IF($B$2="Não","",'CÁLCULO FUNPRESP'!Q589)</f>
        <v/>
      </c>
      <c r="K589" s="140" t="str">
        <f>IF($B$2="Não","",'CÁLCULO FUNPRESP'!R589)</f>
        <v/>
      </c>
      <c r="L589" s="140" t="str">
        <f>IF($B$2="Não","",'CÁLCULO FUNPRESP'!S589)</f>
        <v/>
      </c>
      <c r="N589" s="164" t="str">
        <f ca="1">'CÁLCULO FUNPRESP'!U589</f>
        <v/>
      </c>
      <c r="O589" s="140" t="str">
        <f>IF($B$2="Não","",'CÁLCULO FUNPRESP'!Y589)</f>
        <v/>
      </c>
    </row>
    <row r="590" spans="9:15" x14ac:dyDescent="0.25">
      <c r="I590" s="164" t="str">
        <f ca="1">'CÁLCULO FUNPRESP'!P590</f>
        <v/>
      </c>
      <c r="J590" s="140" t="str">
        <f>IF($B$2="Não","",'CÁLCULO FUNPRESP'!Q590)</f>
        <v/>
      </c>
      <c r="K590" s="140" t="str">
        <f>IF($B$2="Não","",'CÁLCULO FUNPRESP'!R590)</f>
        <v/>
      </c>
      <c r="L590" s="140" t="str">
        <f>IF($B$2="Não","",'CÁLCULO FUNPRESP'!S590)</f>
        <v/>
      </c>
      <c r="N590" s="164" t="str">
        <f ca="1">'CÁLCULO FUNPRESP'!U590</f>
        <v/>
      </c>
      <c r="O590" s="140" t="str">
        <f>IF($B$2="Não","",'CÁLCULO FUNPRESP'!Y590)</f>
        <v/>
      </c>
    </row>
    <row r="591" spans="9:15" x14ac:dyDescent="0.25">
      <c r="I591" s="164" t="str">
        <f ca="1">'CÁLCULO FUNPRESP'!P591</f>
        <v/>
      </c>
      <c r="J591" s="140" t="str">
        <f>IF($B$2="Não","",'CÁLCULO FUNPRESP'!Q591)</f>
        <v/>
      </c>
      <c r="K591" s="140" t="str">
        <f>IF($B$2="Não","",'CÁLCULO FUNPRESP'!R591)</f>
        <v/>
      </c>
      <c r="L591" s="140" t="str">
        <f>IF($B$2="Não","",'CÁLCULO FUNPRESP'!S591)</f>
        <v/>
      </c>
      <c r="N591" s="164" t="str">
        <f ca="1">'CÁLCULO FUNPRESP'!U591</f>
        <v/>
      </c>
      <c r="O591" s="140" t="str">
        <f>IF($B$2="Não","",'CÁLCULO FUNPRESP'!Y591)</f>
        <v/>
      </c>
    </row>
    <row r="592" spans="9:15" x14ac:dyDescent="0.25">
      <c r="I592" s="164" t="str">
        <f ca="1">'CÁLCULO FUNPRESP'!P592</f>
        <v/>
      </c>
      <c r="J592" s="140" t="str">
        <f>IF($B$2="Não","",'CÁLCULO FUNPRESP'!Q592)</f>
        <v/>
      </c>
      <c r="K592" s="140" t="str">
        <f>IF($B$2="Não","",'CÁLCULO FUNPRESP'!R592)</f>
        <v/>
      </c>
      <c r="L592" s="140" t="str">
        <f>IF($B$2="Não","",'CÁLCULO FUNPRESP'!S592)</f>
        <v/>
      </c>
      <c r="N592" s="164" t="str">
        <f ca="1">'CÁLCULO FUNPRESP'!U592</f>
        <v/>
      </c>
      <c r="O592" s="140" t="str">
        <f>IF($B$2="Não","",'CÁLCULO FUNPRESP'!Y592)</f>
        <v/>
      </c>
    </row>
    <row r="593" spans="9:15" x14ac:dyDescent="0.25">
      <c r="I593" s="164" t="str">
        <f ca="1">'CÁLCULO FUNPRESP'!P593</f>
        <v/>
      </c>
      <c r="J593" s="140" t="str">
        <f>IF($B$2="Não","",'CÁLCULO FUNPRESP'!Q593)</f>
        <v/>
      </c>
      <c r="K593" s="140" t="str">
        <f>IF($B$2="Não","",'CÁLCULO FUNPRESP'!R593)</f>
        <v/>
      </c>
      <c r="L593" s="140" t="str">
        <f>IF($B$2="Não","",'CÁLCULO FUNPRESP'!S593)</f>
        <v/>
      </c>
      <c r="N593" s="164" t="str">
        <f ca="1">'CÁLCULO FUNPRESP'!U593</f>
        <v/>
      </c>
      <c r="O593" s="140" t="str">
        <f>IF($B$2="Não","",'CÁLCULO FUNPRESP'!Y593)</f>
        <v/>
      </c>
    </row>
    <row r="594" spans="9:15" x14ac:dyDescent="0.25">
      <c r="I594" s="164" t="str">
        <f ca="1">'CÁLCULO FUNPRESP'!P594</f>
        <v/>
      </c>
      <c r="J594" s="140" t="str">
        <f>IF($B$2="Não","",'CÁLCULO FUNPRESP'!Q594)</f>
        <v/>
      </c>
      <c r="K594" s="140" t="str">
        <f>IF($B$2="Não","",'CÁLCULO FUNPRESP'!R594)</f>
        <v/>
      </c>
      <c r="L594" s="140" t="str">
        <f>IF($B$2="Não","",'CÁLCULO FUNPRESP'!S594)</f>
        <v/>
      </c>
      <c r="N594" s="164" t="str">
        <f ca="1">'CÁLCULO FUNPRESP'!U594</f>
        <v/>
      </c>
      <c r="O594" s="140" t="str">
        <f>IF($B$2="Não","",'CÁLCULO FUNPRESP'!Y594)</f>
        <v/>
      </c>
    </row>
    <row r="595" spans="9:15" x14ac:dyDescent="0.25">
      <c r="I595" s="164" t="str">
        <f ca="1">'CÁLCULO FUNPRESP'!P595</f>
        <v/>
      </c>
      <c r="J595" s="140" t="str">
        <f>IF($B$2="Não","",'CÁLCULO FUNPRESP'!Q595)</f>
        <v/>
      </c>
      <c r="K595" s="140" t="str">
        <f>IF($B$2="Não","",'CÁLCULO FUNPRESP'!R595)</f>
        <v/>
      </c>
      <c r="L595" s="140" t="str">
        <f>IF($B$2="Não","",'CÁLCULO FUNPRESP'!S595)</f>
        <v/>
      </c>
      <c r="N595" s="164" t="str">
        <f ca="1">'CÁLCULO FUNPRESP'!U595</f>
        <v/>
      </c>
      <c r="O595" s="140" t="str">
        <f>IF($B$2="Não","",'CÁLCULO FUNPRESP'!Y595)</f>
        <v/>
      </c>
    </row>
    <row r="596" spans="9:15" x14ac:dyDescent="0.25">
      <c r="I596" s="164" t="str">
        <f ca="1">'CÁLCULO FUNPRESP'!P596</f>
        <v/>
      </c>
      <c r="J596" s="140" t="str">
        <f>IF($B$2="Não","",'CÁLCULO FUNPRESP'!Q596)</f>
        <v/>
      </c>
      <c r="K596" s="140" t="str">
        <f>IF($B$2="Não","",'CÁLCULO FUNPRESP'!R596)</f>
        <v/>
      </c>
      <c r="L596" s="140" t="str">
        <f>IF($B$2="Não","",'CÁLCULO FUNPRESP'!S596)</f>
        <v/>
      </c>
      <c r="N596" s="164" t="str">
        <f ca="1">'CÁLCULO FUNPRESP'!U596</f>
        <v/>
      </c>
      <c r="O596" s="140" t="str">
        <f>IF($B$2="Não","",'CÁLCULO FUNPRESP'!Y596)</f>
        <v/>
      </c>
    </row>
    <row r="597" spans="9:15" x14ac:dyDescent="0.25">
      <c r="I597" s="164" t="str">
        <f ca="1">'CÁLCULO FUNPRESP'!P597</f>
        <v/>
      </c>
      <c r="J597" s="140" t="str">
        <f>IF($B$2="Não","",'CÁLCULO FUNPRESP'!Q597)</f>
        <v/>
      </c>
      <c r="K597" s="140" t="str">
        <f>IF($B$2="Não","",'CÁLCULO FUNPRESP'!R597)</f>
        <v/>
      </c>
      <c r="L597" s="140" t="str">
        <f>IF($B$2="Não","",'CÁLCULO FUNPRESP'!S597)</f>
        <v/>
      </c>
      <c r="N597" s="164" t="str">
        <f ca="1">'CÁLCULO FUNPRESP'!U597</f>
        <v/>
      </c>
      <c r="O597" s="140" t="str">
        <f>IF($B$2="Não","",'CÁLCULO FUNPRESP'!Y597)</f>
        <v/>
      </c>
    </row>
    <row r="598" spans="9:15" x14ac:dyDescent="0.25">
      <c r="I598" s="164" t="str">
        <f ca="1">'CÁLCULO FUNPRESP'!P598</f>
        <v/>
      </c>
      <c r="J598" s="140" t="str">
        <f>IF($B$2="Não","",'CÁLCULO FUNPRESP'!Q598)</f>
        <v/>
      </c>
      <c r="K598" s="140" t="str">
        <f>IF($B$2="Não","",'CÁLCULO FUNPRESP'!R598)</f>
        <v/>
      </c>
      <c r="L598" s="140" t="str">
        <f>IF($B$2="Não","",'CÁLCULO FUNPRESP'!S598)</f>
        <v/>
      </c>
      <c r="N598" s="164" t="str">
        <f ca="1">'CÁLCULO FUNPRESP'!U598</f>
        <v/>
      </c>
      <c r="O598" s="140" t="str">
        <f>IF($B$2="Não","",'CÁLCULO FUNPRESP'!Y598)</f>
        <v/>
      </c>
    </row>
    <row r="599" spans="9:15" x14ac:dyDescent="0.25">
      <c r="I599" s="164" t="str">
        <f ca="1">'CÁLCULO FUNPRESP'!P599</f>
        <v/>
      </c>
      <c r="J599" s="140" t="str">
        <f>IF($B$2="Não","",'CÁLCULO FUNPRESP'!Q599)</f>
        <v/>
      </c>
      <c r="K599" s="140" t="str">
        <f>IF($B$2="Não","",'CÁLCULO FUNPRESP'!R599)</f>
        <v/>
      </c>
      <c r="L599" s="140" t="str">
        <f>IF($B$2="Não","",'CÁLCULO FUNPRESP'!S599)</f>
        <v/>
      </c>
      <c r="N599" s="164" t="str">
        <f ca="1">'CÁLCULO FUNPRESP'!U599</f>
        <v/>
      </c>
      <c r="O599" s="140" t="str">
        <f>IF($B$2="Não","",'CÁLCULO FUNPRESP'!Y599)</f>
        <v/>
      </c>
    </row>
    <row r="600" spans="9:15" x14ac:dyDescent="0.25">
      <c r="I600" s="164" t="str">
        <f ca="1">'CÁLCULO FUNPRESP'!P600</f>
        <v/>
      </c>
      <c r="J600" s="140" t="str">
        <f>IF($B$2="Não","",'CÁLCULO FUNPRESP'!Q600)</f>
        <v/>
      </c>
      <c r="K600" s="140" t="str">
        <f>IF($B$2="Não","",'CÁLCULO FUNPRESP'!R600)</f>
        <v/>
      </c>
      <c r="L600" s="140" t="str">
        <f>IF($B$2="Não","",'CÁLCULO FUNPRESP'!S600)</f>
        <v/>
      </c>
      <c r="N600" s="164" t="str">
        <f ca="1">'CÁLCULO FUNPRESP'!U600</f>
        <v/>
      </c>
      <c r="O600" s="140" t="str">
        <f>IF($B$2="Não","",'CÁLCULO FUNPRESP'!Y600)</f>
        <v/>
      </c>
    </row>
    <row r="601" spans="9:15" x14ac:dyDescent="0.25">
      <c r="I601" s="164" t="str">
        <f ca="1">'CÁLCULO FUNPRESP'!P601</f>
        <v/>
      </c>
      <c r="J601" s="140" t="str">
        <f>IF($B$2="Não","",'CÁLCULO FUNPRESP'!Q601)</f>
        <v/>
      </c>
      <c r="K601" s="140" t="str">
        <f>IF($B$2="Não","",'CÁLCULO FUNPRESP'!R601)</f>
        <v/>
      </c>
      <c r="L601" s="140" t="str">
        <f>IF($B$2="Não","",'CÁLCULO FUNPRESP'!S601)</f>
        <v/>
      </c>
      <c r="N601" s="164" t="str">
        <f ca="1">'CÁLCULO FUNPRESP'!U601</f>
        <v/>
      </c>
      <c r="O601" s="140" t="str">
        <f>IF($B$2="Não","",'CÁLCULO FUNPRESP'!Y601)</f>
        <v/>
      </c>
    </row>
    <row r="602" spans="9:15" x14ac:dyDescent="0.25">
      <c r="I602" s="164" t="str">
        <f ca="1">'CÁLCULO FUNPRESP'!P602</f>
        <v/>
      </c>
      <c r="J602" s="140" t="str">
        <f>IF($B$2="Não","",'CÁLCULO FUNPRESP'!Q602)</f>
        <v/>
      </c>
      <c r="K602" s="140" t="str">
        <f>IF($B$2="Não","",'CÁLCULO FUNPRESP'!R602)</f>
        <v/>
      </c>
      <c r="L602" s="140" t="str">
        <f>IF($B$2="Não","",'CÁLCULO FUNPRESP'!S602)</f>
        <v/>
      </c>
      <c r="N602" s="164" t="str">
        <f ca="1">'CÁLCULO FUNPRESP'!U602</f>
        <v/>
      </c>
      <c r="O602" s="140" t="str">
        <f>IF($B$2="Não","",'CÁLCULO FUNPRESP'!Y602)</f>
        <v/>
      </c>
    </row>
    <row r="603" spans="9:15" x14ac:dyDescent="0.25">
      <c r="I603" s="164" t="str">
        <f ca="1">'CÁLCULO FUNPRESP'!P603</f>
        <v/>
      </c>
      <c r="J603" s="140" t="str">
        <f>IF($B$2="Não","",'CÁLCULO FUNPRESP'!Q603)</f>
        <v/>
      </c>
      <c r="K603" s="140" t="str">
        <f>IF($B$2="Não","",'CÁLCULO FUNPRESP'!R603)</f>
        <v/>
      </c>
      <c r="L603" s="140" t="str">
        <f>IF($B$2="Não","",'CÁLCULO FUNPRESP'!S603)</f>
        <v/>
      </c>
      <c r="N603" s="164" t="str">
        <f ca="1">'CÁLCULO FUNPRESP'!U603</f>
        <v/>
      </c>
      <c r="O603" s="140" t="str">
        <f>IF($B$2="Não","",'CÁLCULO FUNPRESP'!Y603)</f>
        <v/>
      </c>
    </row>
    <row r="604" spans="9:15" x14ac:dyDescent="0.25">
      <c r="I604" s="164" t="str">
        <f ca="1">'CÁLCULO FUNPRESP'!P604</f>
        <v/>
      </c>
      <c r="J604" s="140" t="str">
        <f>IF($B$2="Não","",'CÁLCULO FUNPRESP'!Q604)</f>
        <v/>
      </c>
      <c r="K604" s="140" t="str">
        <f>IF($B$2="Não","",'CÁLCULO FUNPRESP'!R604)</f>
        <v/>
      </c>
      <c r="L604" s="140" t="str">
        <f>IF($B$2="Não","",'CÁLCULO FUNPRESP'!S604)</f>
        <v/>
      </c>
      <c r="N604" s="164" t="str">
        <f ca="1">'CÁLCULO FUNPRESP'!U604</f>
        <v/>
      </c>
      <c r="O604" s="140" t="str">
        <f>IF($B$2="Não","",'CÁLCULO FUNPRESP'!Y604)</f>
        <v/>
      </c>
    </row>
    <row r="605" spans="9:15" x14ac:dyDescent="0.25">
      <c r="I605" s="164" t="str">
        <f ca="1">'CÁLCULO FUNPRESP'!P605</f>
        <v/>
      </c>
      <c r="J605" s="140" t="str">
        <f>IF($B$2="Não","",'CÁLCULO FUNPRESP'!Q605)</f>
        <v/>
      </c>
      <c r="K605" s="140" t="str">
        <f>IF($B$2="Não","",'CÁLCULO FUNPRESP'!R605)</f>
        <v/>
      </c>
      <c r="L605" s="140" t="str">
        <f>IF($B$2="Não","",'CÁLCULO FUNPRESP'!S605)</f>
        <v/>
      </c>
      <c r="N605" s="164" t="str">
        <f ca="1">'CÁLCULO FUNPRESP'!U605</f>
        <v/>
      </c>
      <c r="O605" s="140" t="str">
        <f>IF($B$2="Não","",'CÁLCULO FUNPRESP'!Y605)</f>
        <v/>
      </c>
    </row>
    <row r="606" spans="9:15" x14ac:dyDescent="0.25">
      <c r="I606" s="164" t="str">
        <f ca="1">'CÁLCULO FUNPRESP'!P606</f>
        <v/>
      </c>
      <c r="J606" s="140" t="str">
        <f>IF($B$2="Não","",'CÁLCULO FUNPRESP'!Q606)</f>
        <v/>
      </c>
      <c r="K606" s="140" t="str">
        <f>IF($B$2="Não","",'CÁLCULO FUNPRESP'!R606)</f>
        <v/>
      </c>
      <c r="L606" s="140" t="str">
        <f>IF($B$2="Não","",'CÁLCULO FUNPRESP'!S606)</f>
        <v/>
      </c>
      <c r="N606" s="164" t="str">
        <f ca="1">'CÁLCULO FUNPRESP'!U606</f>
        <v/>
      </c>
      <c r="O606" s="140" t="str">
        <f>IF($B$2="Não","",'CÁLCULO FUNPRESP'!Y606)</f>
        <v/>
      </c>
    </row>
    <row r="607" spans="9:15" x14ac:dyDescent="0.25">
      <c r="I607" s="164" t="str">
        <f ca="1">'CÁLCULO FUNPRESP'!P607</f>
        <v/>
      </c>
      <c r="J607" s="140" t="str">
        <f>IF($B$2="Não","",'CÁLCULO FUNPRESP'!Q607)</f>
        <v/>
      </c>
      <c r="K607" s="140" t="str">
        <f>IF($B$2="Não","",'CÁLCULO FUNPRESP'!R607)</f>
        <v/>
      </c>
      <c r="L607" s="140" t="str">
        <f>IF($B$2="Não","",'CÁLCULO FUNPRESP'!S607)</f>
        <v/>
      </c>
      <c r="N607" s="164" t="str">
        <f ca="1">'CÁLCULO FUNPRESP'!U607</f>
        <v/>
      </c>
      <c r="O607" s="140" t="str">
        <f>IF($B$2="Não","",'CÁLCULO FUNPRESP'!Y607)</f>
        <v/>
      </c>
    </row>
    <row r="608" spans="9:15" x14ac:dyDescent="0.25">
      <c r="I608" s="164" t="str">
        <f ca="1">'CÁLCULO FUNPRESP'!P608</f>
        <v/>
      </c>
      <c r="J608" s="140" t="str">
        <f>IF($B$2="Não","",'CÁLCULO FUNPRESP'!Q608)</f>
        <v/>
      </c>
      <c r="K608" s="140" t="str">
        <f>IF($B$2="Não","",'CÁLCULO FUNPRESP'!R608)</f>
        <v/>
      </c>
      <c r="L608" s="140" t="str">
        <f>IF($B$2="Não","",'CÁLCULO FUNPRESP'!S608)</f>
        <v/>
      </c>
      <c r="N608" s="164" t="str">
        <f ca="1">'CÁLCULO FUNPRESP'!U608</f>
        <v/>
      </c>
      <c r="O608" s="140" t="str">
        <f>IF($B$2="Não","",'CÁLCULO FUNPRESP'!Y608)</f>
        <v/>
      </c>
    </row>
    <row r="609" spans="9:15" x14ac:dyDescent="0.25">
      <c r="I609" s="164" t="str">
        <f ca="1">'CÁLCULO FUNPRESP'!P609</f>
        <v/>
      </c>
      <c r="J609" s="140" t="str">
        <f>IF($B$2="Não","",'CÁLCULO FUNPRESP'!Q609)</f>
        <v/>
      </c>
      <c r="K609" s="140" t="str">
        <f>IF($B$2="Não","",'CÁLCULO FUNPRESP'!R609)</f>
        <v/>
      </c>
      <c r="L609" s="140" t="str">
        <f>IF($B$2="Não","",'CÁLCULO FUNPRESP'!S609)</f>
        <v/>
      </c>
      <c r="N609" s="164" t="str">
        <f ca="1">'CÁLCULO FUNPRESP'!U609</f>
        <v/>
      </c>
      <c r="O609" s="140" t="str">
        <f>IF($B$2="Não","",'CÁLCULO FUNPRESP'!Y609)</f>
        <v/>
      </c>
    </row>
    <row r="610" spans="9:15" x14ac:dyDescent="0.25">
      <c r="I610" s="164" t="str">
        <f ca="1">'CÁLCULO FUNPRESP'!P610</f>
        <v/>
      </c>
      <c r="J610" s="140" t="str">
        <f>IF($B$2="Não","",'CÁLCULO FUNPRESP'!Q610)</f>
        <v/>
      </c>
      <c r="K610" s="140" t="str">
        <f>IF($B$2="Não","",'CÁLCULO FUNPRESP'!R610)</f>
        <v/>
      </c>
      <c r="L610" s="140" t="str">
        <f>IF($B$2="Não","",'CÁLCULO FUNPRESP'!S610)</f>
        <v/>
      </c>
      <c r="N610" s="164" t="str">
        <f ca="1">'CÁLCULO FUNPRESP'!U610</f>
        <v/>
      </c>
      <c r="O610" s="140" t="str">
        <f>IF($B$2="Não","",'CÁLCULO FUNPRESP'!Y610)</f>
        <v/>
      </c>
    </row>
    <row r="611" spans="9:15" x14ac:dyDescent="0.25">
      <c r="I611" s="164" t="str">
        <f ca="1">'CÁLCULO FUNPRESP'!P611</f>
        <v/>
      </c>
      <c r="J611" s="140" t="str">
        <f>IF($B$2="Não","",'CÁLCULO FUNPRESP'!Q611)</f>
        <v/>
      </c>
      <c r="K611" s="140" t="str">
        <f>IF($B$2="Não","",'CÁLCULO FUNPRESP'!R611)</f>
        <v/>
      </c>
      <c r="L611" s="140" t="str">
        <f>IF($B$2="Não","",'CÁLCULO FUNPRESP'!S611)</f>
        <v/>
      </c>
      <c r="N611" s="164" t="str">
        <f ca="1">'CÁLCULO FUNPRESP'!U611</f>
        <v/>
      </c>
      <c r="O611" s="140" t="str">
        <f>IF($B$2="Não","",'CÁLCULO FUNPRESP'!Y611)</f>
        <v/>
      </c>
    </row>
    <row r="612" spans="9:15" x14ac:dyDescent="0.25">
      <c r="I612" s="164" t="str">
        <f ca="1">'CÁLCULO FUNPRESP'!P612</f>
        <v/>
      </c>
      <c r="J612" s="140" t="str">
        <f>IF($B$2="Não","",'CÁLCULO FUNPRESP'!Q612)</f>
        <v/>
      </c>
      <c r="K612" s="140" t="str">
        <f>IF($B$2="Não","",'CÁLCULO FUNPRESP'!R612)</f>
        <v/>
      </c>
      <c r="L612" s="140" t="str">
        <f>IF($B$2="Não","",'CÁLCULO FUNPRESP'!S612)</f>
        <v/>
      </c>
      <c r="N612" s="164" t="str">
        <f ca="1">'CÁLCULO FUNPRESP'!U612</f>
        <v/>
      </c>
      <c r="O612" s="140" t="str">
        <f>IF($B$2="Não","",'CÁLCULO FUNPRESP'!Y612)</f>
        <v/>
      </c>
    </row>
    <row r="613" spans="9:15" x14ac:dyDescent="0.25">
      <c r="I613" s="164" t="str">
        <f ca="1">'CÁLCULO FUNPRESP'!P613</f>
        <v/>
      </c>
      <c r="J613" s="140" t="str">
        <f>IF($B$2="Não","",'CÁLCULO FUNPRESP'!Q613)</f>
        <v/>
      </c>
      <c r="K613" s="140" t="str">
        <f>IF($B$2="Não","",'CÁLCULO FUNPRESP'!R613)</f>
        <v/>
      </c>
      <c r="L613" s="140" t="str">
        <f>IF($B$2="Não","",'CÁLCULO FUNPRESP'!S613)</f>
        <v/>
      </c>
      <c r="N613" s="164" t="str">
        <f ca="1">'CÁLCULO FUNPRESP'!U613</f>
        <v/>
      </c>
      <c r="O613" s="140" t="str">
        <f>IF($B$2="Não","",'CÁLCULO FUNPRESP'!Y613)</f>
        <v/>
      </c>
    </row>
    <row r="614" spans="9:15" x14ac:dyDescent="0.25">
      <c r="I614" s="164" t="str">
        <f ca="1">'CÁLCULO FUNPRESP'!P614</f>
        <v/>
      </c>
      <c r="J614" s="140" t="str">
        <f>IF($B$2="Não","",'CÁLCULO FUNPRESP'!Q614)</f>
        <v/>
      </c>
      <c r="K614" s="140" t="str">
        <f>IF($B$2="Não","",'CÁLCULO FUNPRESP'!R614)</f>
        <v/>
      </c>
      <c r="L614" s="140" t="str">
        <f>IF($B$2="Não","",'CÁLCULO FUNPRESP'!S614)</f>
        <v/>
      </c>
      <c r="N614" s="164" t="str">
        <f ca="1">'CÁLCULO FUNPRESP'!U614</f>
        <v/>
      </c>
      <c r="O614" s="140" t="str">
        <f>IF($B$2="Não","",'CÁLCULO FUNPRESP'!Y614)</f>
        <v/>
      </c>
    </row>
    <row r="615" spans="9:15" x14ac:dyDescent="0.25">
      <c r="I615" s="164" t="str">
        <f ca="1">'CÁLCULO FUNPRESP'!P615</f>
        <v/>
      </c>
      <c r="J615" s="140" t="str">
        <f>IF($B$2="Não","",'CÁLCULO FUNPRESP'!Q615)</f>
        <v/>
      </c>
      <c r="K615" s="140" t="str">
        <f>IF($B$2="Não","",'CÁLCULO FUNPRESP'!R615)</f>
        <v/>
      </c>
      <c r="L615" s="140" t="str">
        <f>IF($B$2="Não","",'CÁLCULO FUNPRESP'!S615)</f>
        <v/>
      </c>
      <c r="N615" s="164" t="str">
        <f ca="1">'CÁLCULO FUNPRESP'!U615</f>
        <v/>
      </c>
      <c r="O615" s="140" t="str">
        <f>IF($B$2="Não","",'CÁLCULO FUNPRESP'!Y615)</f>
        <v/>
      </c>
    </row>
    <row r="616" spans="9:15" x14ac:dyDescent="0.25">
      <c r="I616" s="164" t="str">
        <f ca="1">'CÁLCULO FUNPRESP'!P616</f>
        <v/>
      </c>
      <c r="J616" s="140" t="str">
        <f>IF($B$2="Não","",'CÁLCULO FUNPRESP'!Q616)</f>
        <v/>
      </c>
      <c r="K616" s="140" t="str">
        <f>IF($B$2="Não","",'CÁLCULO FUNPRESP'!R616)</f>
        <v/>
      </c>
      <c r="L616" s="140" t="str">
        <f>IF($B$2="Não","",'CÁLCULO FUNPRESP'!S616)</f>
        <v/>
      </c>
      <c r="N616" s="164" t="str">
        <f ca="1">'CÁLCULO FUNPRESP'!U616</f>
        <v/>
      </c>
      <c r="O616" s="140" t="str">
        <f>IF($B$2="Não","",'CÁLCULO FUNPRESP'!Y616)</f>
        <v/>
      </c>
    </row>
    <row r="617" spans="9:15" x14ac:dyDescent="0.25">
      <c r="I617" s="164" t="str">
        <f ca="1">'CÁLCULO FUNPRESP'!P617</f>
        <v/>
      </c>
      <c r="J617" s="140" t="str">
        <f>IF($B$2="Não","",'CÁLCULO FUNPRESP'!Q617)</f>
        <v/>
      </c>
      <c r="K617" s="140" t="str">
        <f>IF($B$2="Não","",'CÁLCULO FUNPRESP'!R617)</f>
        <v/>
      </c>
      <c r="L617" s="140" t="str">
        <f>IF($B$2="Não","",'CÁLCULO FUNPRESP'!S617)</f>
        <v/>
      </c>
      <c r="N617" s="164" t="str">
        <f ca="1">'CÁLCULO FUNPRESP'!U617</f>
        <v/>
      </c>
      <c r="O617" s="140" t="str">
        <f>IF($B$2="Não","",'CÁLCULO FUNPRESP'!Y617)</f>
        <v/>
      </c>
    </row>
    <row r="618" spans="9:15" x14ac:dyDescent="0.25">
      <c r="I618" s="164" t="str">
        <f ca="1">'CÁLCULO FUNPRESP'!P618</f>
        <v/>
      </c>
      <c r="J618" s="140" t="str">
        <f>IF($B$2="Não","",'CÁLCULO FUNPRESP'!Q618)</f>
        <v/>
      </c>
      <c r="K618" s="140" t="str">
        <f>IF($B$2="Não","",'CÁLCULO FUNPRESP'!R618)</f>
        <v/>
      </c>
      <c r="L618" s="140" t="str">
        <f>IF($B$2="Não","",'CÁLCULO FUNPRESP'!S618)</f>
        <v/>
      </c>
      <c r="N618" s="164" t="str">
        <f ca="1">'CÁLCULO FUNPRESP'!U618</f>
        <v/>
      </c>
      <c r="O618" s="140" t="str">
        <f>IF($B$2="Não","",'CÁLCULO FUNPRESP'!Y618)</f>
        <v/>
      </c>
    </row>
    <row r="619" spans="9:15" x14ac:dyDescent="0.25">
      <c r="I619" s="164" t="str">
        <f ca="1">'CÁLCULO FUNPRESP'!P619</f>
        <v/>
      </c>
      <c r="J619" s="140" t="str">
        <f>IF($B$2="Não","",'CÁLCULO FUNPRESP'!Q619)</f>
        <v/>
      </c>
      <c r="K619" s="140" t="str">
        <f>IF($B$2="Não","",'CÁLCULO FUNPRESP'!R619)</f>
        <v/>
      </c>
      <c r="L619" s="140" t="str">
        <f>IF($B$2="Não","",'CÁLCULO FUNPRESP'!S619)</f>
        <v/>
      </c>
      <c r="N619" s="164" t="str">
        <f ca="1">'CÁLCULO FUNPRESP'!U619</f>
        <v/>
      </c>
      <c r="O619" s="140" t="str">
        <f>IF($B$2="Não","",'CÁLCULO FUNPRESP'!Y619)</f>
        <v/>
      </c>
    </row>
    <row r="620" spans="9:15" x14ac:dyDescent="0.25">
      <c r="I620" s="164" t="str">
        <f ca="1">'CÁLCULO FUNPRESP'!P620</f>
        <v/>
      </c>
      <c r="J620" s="140" t="str">
        <f>IF($B$2="Não","",'CÁLCULO FUNPRESP'!Q620)</f>
        <v/>
      </c>
      <c r="K620" s="140" t="str">
        <f>IF($B$2="Não","",'CÁLCULO FUNPRESP'!R620)</f>
        <v/>
      </c>
      <c r="L620" s="140" t="str">
        <f>IF($B$2="Não","",'CÁLCULO FUNPRESP'!S620)</f>
        <v/>
      </c>
      <c r="N620" s="164" t="str">
        <f ca="1">'CÁLCULO FUNPRESP'!U620</f>
        <v/>
      </c>
      <c r="O620" s="140" t="str">
        <f>IF($B$2="Não","",'CÁLCULO FUNPRESP'!Y620)</f>
        <v/>
      </c>
    </row>
    <row r="621" spans="9:15" x14ac:dyDescent="0.25">
      <c r="I621" s="164" t="str">
        <f ca="1">'CÁLCULO FUNPRESP'!P621</f>
        <v/>
      </c>
      <c r="J621" s="140" t="str">
        <f>IF($B$2="Não","",'CÁLCULO FUNPRESP'!Q621)</f>
        <v/>
      </c>
      <c r="K621" s="140" t="str">
        <f>IF($B$2="Não","",'CÁLCULO FUNPRESP'!R621)</f>
        <v/>
      </c>
      <c r="L621" s="140" t="str">
        <f>IF($B$2="Não","",'CÁLCULO FUNPRESP'!S621)</f>
        <v/>
      </c>
      <c r="N621" s="164" t="str">
        <f ca="1">'CÁLCULO FUNPRESP'!U621</f>
        <v/>
      </c>
      <c r="O621" s="140" t="str">
        <f>IF($B$2="Não","",'CÁLCULO FUNPRESP'!Y621)</f>
        <v/>
      </c>
    </row>
    <row r="622" spans="9:15" x14ac:dyDescent="0.25">
      <c r="I622" s="164" t="str">
        <f ca="1">'CÁLCULO FUNPRESP'!P622</f>
        <v/>
      </c>
      <c r="J622" s="140" t="str">
        <f>IF($B$2="Não","",'CÁLCULO FUNPRESP'!Q622)</f>
        <v/>
      </c>
      <c r="K622" s="140" t="str">
        <f>IF($B$2="Não","",'CÁLCULO FUNPRESP'!R622)</f>
        <v/>
      </c>
      <c r="L622" s="140" t="str">
        <f>IF($B$2="Não","",'CÁLCULO FUNPRESP'!S622)</f>
        <v/>
      </c>
      <c r="N622" s="164" t="str">
        <f ca="1">'CÁLCULO FUNPRESP'!U622</f>
        <v/>
      </c>
      <c r="O622" s="140" t="str">
        <f>IF($B$2="Não","",'CÁLCULO FUNPRESP'!Y622)</f>
        <v/>
      </c>
    </row>
    <row r="623" spans="9:15" x14ac:dyDescent="0.25">
      <c r="I623" s="164" t="str">
        <f ca="1">'CÁLCULO FUNPRESP'!P623</f>
        <v/>
      </c>
      <c r="J623" s="140" t="str">
        <f>IF($B$2="Não","",'CÁLCULO FUNPRESP'!Q623)</f>
        <v/>
      </c>
      <c r="K623" s="140" t="str">
        <f>IF($B$2="Não","",'CÁLCULO FUNPRESP'!R623)</f>
        <v/>
      </c>
      <c r="L623" s="140" t="str">
        <f>IF($B$2="Não","",'CÁLCULO FUNPRESP'!S623)</f>
        <v/>
      </c>
      <c r="N623" s="164" t="str">
        <f ca="1">'CÁLCULO FUNPRESP'!U623</f>
        <v/>
      </c>
      <c r="O623" s="140" t="str">
        <f>IF($B$2="Não","",'CÁLCULO FUNPRESP'!Y623)</f>
        <v/>
      </c>
    </row>
    <row r="624" spans="9:15" x14ac:dyDescent="0.25">
      <c r="I624" s="164" t="str">
        <f ca="1">'CÁLCULO FUNPRESP'!P624</f>
        <v/>
      </c>
      <c r="J624" s="140" t="str">
        <f>IF($B$2="Não","",'CÁLCULO FUNPRESP'!Q624)</f>
        <v/>
      </c>
      <c r="K624" s="140" t="str">
        <f>IF($B$2="Não","",'CÁLCULO FUNPRESP'!R624)</f>
        <v/>
      </c>
      <c r="L624" s="140" t="str">
        <f>IF($B$2="Não","",'CÁLCULO FUNPRESP'!S624)</f>
        <v/>
      </c>
      <c r="N624" s="164" t="str">
        <f ca="1">'CÁLCULO FUNPRESP'!U624</f>
        <v/>
      </c>
      <c r="O624" s="140" t="str">
        <f>IF($B$2="Não","",'CÁLCULO FUNPRESP'!Y624)</f>
        <v/>
      </c>
    </row>
    <row r="625" spans="9:15" x14ac:dyDescent="0.25">
      <c r="I625" s="164" t="str">
        <f ca="1">'CÁLCULO FUNPRESP'!P625</f>
        <v/>
      </c>
      <c r="J625" s="140" t="str">
        <f>IF($B$2="Não","",'CÁLCULO FUNPRESP'!Q625)</f>
        <v/>
      </c>
      <c r="K625" s="140" t="str">
        <f>IF($B$2="Não","",'CÁLCULO FUNPRESP'!R625)</f>
        <v/>
      </c>
      <c r="L625" s="140" t="str">
        <f>IF($B$2="Não","",'CÁLCULO FUNPRESP'!S625)</f>
        <v/>
      </c>
      <c r="N625" s="164" t="str">
        <f ca="1">'CÁLCULO FUNPRESP'!U625</f>
        <v/>
      </c>
      <c r="O625" s="140" t="str">
        <f>IF($B$2="Não","",'CÁLCULO FUNPRESP'!Y625)</f>
        <v/>
      </c>
    </row>
    <row r="626" spans="9:15" x14ac:dyDescent="0.25">
      <c r="I626" s="164" t="str">
        <f ca="1">'CÁLCULO FUNPRESP'!P626</f>
        <v/>
      </c>
      <c r="J626" s="140" t="str">
        <f>IF($B$2="Não","",'CÁLCULO FUNPRESP'!Q626)</f>
        <v/>
      </c>
      <c r="K626" s="140" t="str">
        <f>IF($B$2="Não","",'CÁLCULO FUNPRESP'!R626)</f>
        <v/>
      </c>
      <c r="L626" s="140" t="str">
        <f>IF($B$2="Não","",'CÁLCULO FUNPRESP'!S626)</f>
        <v/>
      </c>
      <c r="N626" s="164" t="str">
        <f ca="1">'CÁLCULO FUNPRESP'!U626</f>
        <v/>
      </c>
      <c r="O626" s="140" t="str">
        <f>IF($B$2="Não","",'CÁLCULO FUNPRESP'!Y626)</f>
        <v/>
      </c>
    </row>
    <row r="627" spans="9:15" x14ac:dyDescent="0.25">
      <c r="I627" s="164" t="str">
        <f ca="1">'CÁLCULO FUNPRESP'!P627</f>
        <v/>
      </c>
      <c r="J627" s="140" t="str">
        <f>IF($B$2="Não","",'CÁLCULO FUNPRESP'!Q627)</f>
        <v/>
      </c>
      <c r="K627" s="140" t="str">
        <f>IF($B$2="Não","",'CÁLCULO FUNPRESP'!R627)</f>
        <v/>
      </c>
      <c r="L627" s="140" t="str">
        <f>IF($B$2="Não","",'CÁLCULO FUNPRESP'!S627)</f>
        <v/>
      </c>
      <c r="N627" s="164" t="str">
        <f ca="1">'CÁLCULO FUNPRESP'!U627</f>
        <v/>
      </c>
      <c r="O627" s="140" t="str">
        <f>IF($B$2="Não","",'CÁLCULO FUNPRESP'!Y627)</f>
        <v/>
      </c>
    </row>
    <row r="628" spans="9:15" x14ac:dyDescent="0.25">
      <c r="I628" s="164" t="str">
        <f ca="1">'CÁLCULO FUNPRESP'!P628</f>
        <v/>
      </c>
      <c r="J628" s="140" t="str">
        <f>IF($B$2="Não","",'CÁLCULO FUNPRESP'!Q628)</f>
        <v/>
      </c>
      <c r="K628" s="140" t="str">
        <f>IF($B$2="Não","",'CÁLCULO FUNPRESP'!R628)</f>
        <v/>
      </c>
      <c r="L628" s="140" t="str">
        <f>IF($B$2="Não","",'CÁLCULO FUNPRESP'!S628)</f>
        <v/>
      </c>
      <c r="N628" s="164" t="str">
        <f ca="1">'CÁLCULO FUNPRESP'!U628</f>
        <v/>
      </c>
      <c r="O628" s="140" t="str">
        <f>IF($B$2="Não","",'CÁLCULO FUNPRESP'!Y628)</f>
        <v/>
      </c>
    </row>
    <row r="629" spans="9:15" x14ac:dyDescent="0.25">
      <c r="I629" s="164" t="str">
        <f ca="1">'CÁLCULO FUNPRESP'!P629</f>
        <v/>
      </c>
      <c r="J629" s="140" t="str">
        <f>IF($B$2="Não","",'CÁLCULO FUNPRESP'!Q629)</f>
        <v/>
      </c>
      <c r="K629" s="140" t="str">
        <f>IF($B$2="Não","",'CÁLCULO FUNPRESP'!R629)</f>
        <v/>
      </c>
      <c r="L629" s="140" t="str">
        <f>IF($B$2="Não","",'CÁLCULO FUNPRESP'!S629)</f>
        <v/>
      </c>
      <c r="N629" s="164" t="str">
        <f ca="1">'CÁLCULO FUNPRESP'!U629</f>
        <v/>
      </c>
      <c r="O629" s="140" t="str">
        <f>IF($B$2="Não","",'CÁLCULO FUNPRESP'!Y629)</f>
        <v/>
      </c>
    </row>
    <row r="630" spans="9:15" x14ac:dyDescent="0.25">
      <c r="I630" s="164" t="str">
        <f ca="1">'CÁLCULO FUNPRESP'!P630</f>
        <v/>
      </c>
      <c r="J630" s="140" t="str">
        <f>IF($B$2="Não","",'CÁLCULO FUNPRESP'!Q630)</f>
        <v/>
      </c>
      <c r="K630" s="140" t="str">
        <f>IF($B$2="Não","",'CÁLCULO FUNPRESP'!R630)</f>
        <v/>
      </c>
      <c r="L630" s="140" t="str">
        <f>IF($B$2="Não","",'CÁLCULO FUNPRESP'!S630)</f>
        <v/>
      </c>
      <c r="N630" s="164" t="str">
        <f ca="1">'CÁLCULO FUNPRESP'!U630</f>
        <v/>
      </c>
      <c r="O630" s="140" t="str">
        <f>IF($B$2="Não","",'CÁLCULO FUNPRESP'!Y630)</f>
        <v/>
      </c>
    </row>
    <row r="631" spans="9:15" x14ac:dyDescent="0.25">
      <c r="I631" s="164" t="str">
        <f ca="1">'CÁLCULO FUNPRESP'!P631</f>
        <v/>
      </c>
      <c r="J631" s="140" t="str">
        <f>IF($B$2="Não","",'CÁLCULO FUNPRESP'!Q631)</f>
        <v/>
      </c>
      <c r="K631" s="140" t="str">
        <f>IF($B$2="Não","",'CÁLCULO FUNPRESP'!R631)</f>
        <v/>
      </c>
      <c r="L631" s="140" t="str">
        <f>IF($B$2="Não","",'CÁLCULO FUNPRESP'!S631)</f>
        <v/>
      </c>
      <c r="N631" s="164" t="str">
        <f ca="1">'CÁLCULO FUNPRESP'!U631</f>
        <v/>
      </c>
      <c r="O631" s="140" t="str">
        <f>IF($B$2="Não","",'CÁLCULO FUNPRESP'!Y631)</f>
        <v/>
      </c>
    </row>
    <row r="632" spans="9:15" x14ac:dyDescent="0.25">
      <c r="I632" s="164" t="str">
        <f ca="1">'CÁLCULO FUNPRESP'!P632</f>
        <v/>
      </c>
      <c r="J632" s="140" t="str">
        <f>IF($B$2="Não","",'CÁLCULO FUNPRESP'!Q632)</f>
        <v/>
      </c>
      <c r="K632" s="140" t="str">
        <f>IF($B$2="Não","",'CÁLCULO FUNPRESP'!R632)</f>
        <v/>
      </c>
      <c r="L632" s="140" t="str">
        <f>IF($B$2="Não","",'CÁLCULO FUNPRESP'!S632)</f>
        <v/>
      </c>
      <c r="N632" s="164" t="str">
        <f ca="1">'CÁLCULO FUNPRESP'!U632</f>
        <v/>
      </c>
      <c r="O632" s="140" t="str">
        <f>IF($B$2="Não","",'CÁLCULO FUNPRESP'!Y632)</f>
        <v/>
      </c>
    </row>
    <row r="633" spans="9:15" x14ac:dyDescent="0.25">
      <c r="I633" s="164" t="str">
        <f ca="1">'CÁLCULO FUNPRESP'!P633</f>
        <v/>
      </c>
      <c r="J633" s="140" t="str">
        <f>IF($B$2="Não","",'CÁLCULO FUNPRESP'!Q633)</f>
        <v/>
      </c>
      <c r="K633" s="140" t="str">
        <f>IF($B$2="Não","",'CÁLCULO FUNPRESP'!R633)</f>
        <v/>
      </c>
      <c r="L633" s="140" t="str">
        <f>IF($B$2="Não","",'CÁLCULO FUNPRESP'!S633)</f>
        <v/>
      </c>
      <c r="N633" s="164" t="str">
        <f ca="1">'CÁLCULO FUNPRESP'!U633</f>
        <v/>
      </c>
      <c r="O633" s="140" t="str">
        <f>IF($B$2="Não","",'CÁLCULO FUNPRESP'!Y633)</f>
        <v/>
      </c>
    </row>
    <row r="634" spans="9:15" x14ac:dyDescent="0.25">
      <c r="I634" s="164" t="str">
        <f ca="1">'CÁLCULO FUNPRESP'!P634</f>
        <v/>
      </c>
      <c r="J634" s="140" t="str">
        <f>IF($B$2="Não","",'CÁLCULO FUNPRESP'!Q634)</f>
        <v/>
      </c>
      <c r="K634" s="140" t="str">
        <f>IF($B$2="Não","",'CÁLCULO FUNPRESP'!R634)</f>
        <v/>
      </c>
      <c r="L634" s="140" t="str">
        <f>IF($B$2="Não","",'CÁLCULO FUNPRESP'!S634)</f>
        <v/>
      </c>
      <c r="N634" s="164" t="str">
        <f ca="1">'CÁLCULO FUNPRESP'!U634</f>
        <v/>
      </c>
      <c r="O634" s="140" t="str">
        <f>IF($B$2="Não","",'CÁLCULO FUNPRESP'!Y634)</f>
        <v/>
      </c>
    </row>
    <row r="635" spans="9:15" x14ac:dyDescent="0.25">
      <c r="I635" s="164" t="str">
        <f ca="1">'CÁLCULO FUNPRESP'!P635</f>
        <v/>
      </c>
      <c r="J635" s="140" t="str">
        <f>IF($B$2="Não","",'CÁLCULO FUNPRESP'!Q635)</f>
        <v/>
      </c>
      <c r="K635" s="140" t="str">
        <f>IF($B$2="Não","",'CÁLCULO FUNPRESP'!R635)</f>
        <v/>
      </c>
      <c r="L635" s="140" t="str">
        <f>IF($B$2="Não","",'CÁLCULO FUNPRESP'!S635)</f>
        <v/>
      </c>
      <c r="N635" s="164" t="str">
        <f ca="1">'CÁLCULO FUNPRESP'!U635</f>
        <v/>
      </c>
      <c r="O635" s="140" t="str">
        <f>IF($B$2="Não","",'CÁLCULO FUNPRESP'!Y635)</f>
        <v/>
      </c>
    </row>
    <row r="636" spans="9:15" x14ac:dyDescent="0.25">
      <c r="I636" s="164" t="str">
        <f ca="1">'CÁLCULO FUNPRESP'!P636</f>
        <v/>
      </c>
      <c r="J636" s="140" t="str">
        <f>IF($B$2="Não","",'CÁLCULO FUNPRESP'!Q636)</f>
        <v/>
      </c>
      <c r="K636" s="140" t="str">
        <f>IF($B$2="Não","",'CÁLCULO FUNPRESP'!R636)</f>
        <v/>
      </c>
      <c r="L636" s="140" t="str">
        <f>IF($B$2="Não","",'CÁLCULO FUNPRESP'!S636)</f>
        <v/>
      </c>
      <c r="N636" s="164" t="str">
        <f ca="1">'CÁLCULO FUNPRESP'!U636</f>
        <v/>
      </c>
      <c r="O636" s="140" t="str">
        <f>IF($B$2="Não","",'CÁLCULO FUNPRESP'!Y636)</f>
        <v/>
      </c>
    </row>
    <row r="637" spans="9:15" x14ac:dyDescent="0.25">
      <c r="I637" s="164" t="str">
        <f ca="1">'CÁLCULO FUNPRESP'!P637</f>
        <v/>
      </c>
      <c r="J637" s="140" t="str">
        <f>IF($B$2="Não","",'CÁLCULO FUNPRESP'!Q637)</f>
        <v/>
      </c>
      <c r="K637" s="140" t="str">
        <f>IF($B$2="Não","",'CÁLCULO FUNPRESP'!R637)</f>
        <v/>
      </c>
      <c r="L637" s="140" t="str">
        <f>IF($B$2="Não","",'CÁLCULO FUNPRESP'!S637)</f>
        <v/>
      </c>
      <c r="N637" s="164" t="str">
        <f ca="1">'CÁLCULO FUNPRESP'!U637</f>
        <v/>
      </c>
      <c r="O637" s="140" t="str">
        <f>IF($B$2="Não","",'CÁLCULO FUNPRESP'!Y637)</f>
        <v/>
      </c>
    </row>
    <row r="638" spans="9:15" x14ac:dyDescent="0.25">
      <c r="I638" s="164" t="str">
        <f ca="1">'CÁLCULO FUNPRESP'!P638</f>
        <v/>
      </c>
      <c r="J638" s="140" t="str">
        <f>IF($B$2="Não","",'CÁLCULO FUNPRESP'!Q638)</f>
        <v/>
      </c>
      <c r="K638" s="140" t="str">
        <f>IF($B$2="Não","",'CÁLCULO FUNPRESP'!R638)</f>
        <v/>
      </c>
      <c r="L638" s="140" t="str">
        <f>IF($B$2="Não","",'CÁLCULO FUNPRESP'!S638)</f>
        <v/>
      </c>
      <c r="N638" s="164" t="str">
        <f ca="1">'CÁLCULO FUNPRESP'!U638</f>
        <v/>
      </c>
      <c r="O638" s="140" t="str">
        <f>IF($B$2="Não","",'CÁLCULO FUNPRESP'!Y638)</f>
        <v/>
      </c>
    </row>
    <row r="639" spans="9:15" x14ac:dyDescent="0.25">
      <c r="I639" s="164" t="str">
        <f ca="1">'CÁLCULO FUNPRESP'!P639</f>
        <v/>
      </c>
      <c r="J639" s="140" t="str">
        <f>IF($B$2="Não","",'CÁLCULO FUNPRESP'!Q639)</f>
        <v/>
      </c>
      <c r="K639" s="140" t="str">
        <f>IF($B$2="Não","",'CÁLCULO FUNPRESP'!R639)</f>
        <v/>
      </c>
      <c r="L639" s="140" t="str">
        <f>IF($B$2="Não","",'CÁLCULO FUNPRESP'!S639)</f>
        <v/>
      </c>
      <c r="N639" s="164" t="str">
        <f ca="1">'CÁLCULO FUNPRESP'!U639</f>
        <v/>
      </c>
      <c r="O639" s="140" t="str">
        <f>IF($B$2="Não","",'CÁLCULO FUNPRESP'!Y639)</f>
        <v/>
      </c>
    </row>
    <row r="640" spans="9:15" x14ac:dyDescent="0.25">
      <c r="I640" s="164" t="str">
        <f ca="1">'CÁLCULO FUNPRESP'!P640</f>
        <v/>
      </c>
      <c r="J640" s="140" t="str">
        <f>IF($B$2="Não","",'CÁLCULO FUNPRESP'!Q640)</f>
        <v/>
      </c>
      <c r="K640" s="140" t="str">
        <f>IF($B$2="Não","",'CÁLCULO FUNPRESP'!R640)</f>
        <v/>
      </c>
      <c r="L640" s="140" t="str">
        <f>IF($B$2="Não","",'CÁLCULO FUNPRESP'!S640)</f>
        <v/>
      </c>
      <c r="N640" s="164" t="str">
        <f ca="1">'CÁLCULO FUNPRESP'!U640</f>
        <v/>
      </c>
      <c r="O640" s="140" t="str">
        <f>IF($B$2="Não","",'CÁLCULO FUNPRESP'!Y640)</f>
        <v/>
      </c>
    </row>
    <row r="641" spans="9:15" x14ac:dyDescent="0.25">
      <c r="I641" s="164" t="str">
        <f ca="1">'CÁLCULO FUNPRESP'!P641</f>
        <v/>
      </c>
      <c r="J641" s="140" t="str">
        <f>IF($B$2="Não","",'CÁLCULO FUNPRESP'!Q641)</f>
        <v/>
      </c>
      <c r="K641" s="140" t="str">
        <f>IF($B$2="Não","",'CÁLCULO FUNPRESP'!R641)</f>
        <v/>
      </c>
      <c r="L641" s="140" t="str">
        <f>IF($B$2="Não","",'CÁLCULO FUNPRESP'!S641)</f>
        <v/>
      </c>
      <c r="N641" s="164" t="str">
        <f ca="1">'CÁLCULO FUNPRESP'!U641</f>
        <v/>
      </c>
      <c r="O641" s="140" t="str">
        <f>IF($B$2="Não","",'CÁLCULO FUNPRESP'!Y641)</f>
        <v/>
      </c>
    </row>
    <row r="642" spans="9:15" x14ac:dyDescent="0.25">
      <c r="I642" s="164" t="str">
        <f ca="1">'CÁLCULO FUNPRESP'!P642</f>
        <v/>
      </c>
      <c r="J642" s="140" t="str">
        <f>IF($B$2="Não","",'CÁLCULO FUNPRESP'!Q642)</f>
        <v/>
      </c>
      <c r="K642" s="140" t="str">
        <f>IF($B$2="Não","",'CÁLCULO FUNPRESP'!R642)</f>
        <v/>
      </c>
      <c r="L642" s="140" t="str">
        <f>IF($B$2="Não","",'CÁLCULO FUNPRESP'!S642)</f>
        <v/>
      </c>
      <c r="N642" s="164" t="str">
        <f ca="1">'CÁLCULO FUNPRESP'!U642</f>
        <v/>
      </c>
      <c r="O642" s="140" t="str">
        <f>IF($B$2="Não","",'CÁLCULO FUNPRESP'!Y642)</f>
        <v/>
      </c>
    </row>
    <row r="643" spans="9:15" x14ac:dyDescent="0.25">
      <c r="I643" s="164" t="str">
        <f ca="1">'CÁLCULO FUNPRESP'!P643</f>
        <v/>
      </c>
      <c r="J643" s="140" t="str">
        <f>IF($B$2="Não","",'CÁLCULO FUNPRESP'!Q643)</f>
        <v/>
      </c>
      <c r="K643" s="140" t="str">
        <f>IF($B$2="Não","",'CÁLCULO FUNPRESP'!R643)</f>
        <v/>
      </c>
      <c r="L643" s="140" t="str">
        <f>IF($B$2="Não","",'CÁLCULO FUNPRESP'!S643)</f>
        <v/>
      </c>
      <c r="N643" s="164" t="str">
        <f ca="1">'CÁLCULO FUNPRESP'!U643</f>
        <v/>
      </c>
      <c r="O643" s="140" t="str">
        <f>IF($B$2="Não","",'CÁLCULO FUNPRESP'!Y643)</f>
        <v/>
      </c>
    </row>
    <row r="644" spans="9:15" x14ac:dyDescent="0.25">
      <c r="I644" s="164" t="str">
        <f ca="1">'CÁLCULO FUNPRESP'!P644</f>
        <v/>
      </c>
      <c r="J644" s="140" t="str">
        <f>IF($B$2="Não","",'CÁLCULO FUNPRESP'!Q644)</f>
        <v/>
      </c>
      <c r="K644" s="140" t="str">
        <f>IF($B$2="Não","",'CÁLCULO FUNPRESP'!R644)</f>
        <v/>
      </c>
      <c r="L644" s="140" t="str">
        <f>IF($B$2="Não","",'CÁLCULO FUNPRESP'!S644)</f>
        <v/>
      </c>
      <c r="N644" s="164" t="str">
        <f ca="1">'CÁLCULO FUNPRESP'!U644</f>
        <v/>
      </c>
      <c r="O644" s="140" t="str">
        <f>IF($B$2="Não","",'CÁLCULO FUNPRESP'!Y644)</f>
        <v/>
      </c>
    </row>
    <row r="645" spans="9:15" x14ac:dyDescent="0.25">
      <c r="I645" s="164" t="str">
        <f ca="1">'CÁLCULO FUNPRESP'!P645</f>
        <v/>
      </c>
      <c r="J645" s="140" t="str">
        <f>IF($B$2="Não","",'CÁLCULO FUNPRESP'!Q645)</f>
        <v/>
      </c>
      <c r="K645" s="140" t="str">
        <f>IF($B$2="Não","",'CÁLCULO FUNPRESP'!R645)</f>
        <v/>
      </c>
      <c r="L645" s="140" t="str">
        <f>IF($B$2="Não","",'CÁLCULO FUNPRESP'!S645)</f>
        <v/>
      </c>
      <c r="N645" s="164" t="str">
        <f ca="1">'CÁLCULO FUNPRESP'!U645</f>
        <v/>
      </c>
      <c r="O645" s="140" t="str">
        <f>IF($B$2="Não","",'CÁLCULO FUNPRESP'!Y645)</f>
        <v/>
      </c>
    </row>
    <row r="646" spans="9:15" x14ac:dyDescent="0.25">
      <c r="I646" s="164" t="str">
        <f ca="1">'CÁLCULO FUNPRESP'!P646</f>
        <v/>
      </c>
      <c r="J646" s="140" t="str">
        <f>IF($B$2="Não","",'CÁLCULO FUNPRESP'!Q646)</f>
        <v/>
      </c>
      <c r="K646" s="140" t="str">
        <f>IF($B$2="Não","",'CÁLCULO FUNPRESP'!R646)</f>
        <v/>
      </c>
      <c r="L646" s="140" t="str">
        <f>IF($B$2="Não","",'CÁLCULO FUNPRESP'!S646)</f>
        <v/>
      </c>
      <c r="N646" s="164" t="str">
        <f ca="1">'CÁLCULO FUNPRESP'!U646</f>
        <v/>
      </c>
      <c r="O646" s="140" t="str">
        <f>IF($B$2="Não","",'CÁLCULO FUNPRESP'!Y646)</f>
        <v/>
      </c>
    </row>
    <row r="647" spans="9:15" x14ac:dyDescent="0.25">
      <c r="I647" s="164" t="str">
        <f ca="1">'CÁLCULO FUNPRESP'!P647</f>
        <v/>
      </c>
      <c r="J647" s="140" t="str">
        <f>IF($B$2="Não","",'CÁLCULO FUNPRESP'!Q647)</f>
        <v/>
      </c>
      <c r="K647" s="140" t="str">
        <f>IF($B$2="Não","",'CÁLCULO FUNPRESP'!R647)</f>
        <v/>
      </c>
      <c r="L647" s="140" t="str">
        <f>IF($B$2="Não","",'CÁLCULO FUNPRESP'!S647)</f>
        <v/>
      </c>
      <c r="N647" s="164" t="str">
        <f ca="1">'CÁLCULO FUNPRESP'!U647</f>
        <v/>
      </c>
      <c r="O647" s="140" t="str">
        <f>IF($B$2="Não","",'CÁLCULO FUNPRESP'!Y647)</f>
        <v/>
      </c>
    </row>
    <row r="648" spans="9:15" x14ac:dyDescent="0.25">
      <c r="I648" s="164" t="str">
        <f ca="1">'CÁLCULO FUNPRESP'!P648</f>
        <v/>
      </c>
      <c r="J648" s="140" t="str">
        <f>IF($B$2="Não","",'CÁLCULO FUNPRESP'!Q648)</f>
        <v/>
      </c>
      <c r="K648" s="140" t="str">
        <f>IF($B$2="Não","",'CÁLCULO FUNPRESP'!R648)</f>
        <v/>
      </c>
      <c r="L648" s="140" t="str">
        <f>IF($B$2="Não","",'CÁLCULO FUNPRESP'!S648)</f>
        <v/>
      </c>
      <c r="N648" s="164" t="str">
        <f ca="1">'CÁLCULO FUNPRESP'!U648</f>
        <v/>
      </c>
      <c r="O648" s="140" t="str">
        <f>IF($B$2="Não","",'CÁLCULO FUNPRESP'!Y648)</f>
        <v/>
      </c>
    </row>
    <row r="649" spans="9:15" x14ac:dyDescent="0.25">
      <c r="I649" s="164" t="str">
        <f ca="1">'CÁLCULO FUNPRESP'!P649</f>
        <v/>
      </c>
      <c r="J649" s="140" t="str">
        <f>IF($B$2="Não","",'CÁLCULO FUNPRESP'!Q649)</f>
        <v/>
      </c>
      <c r="K649" s="140" t="str">
        <f>IF($B$2="Não","",'CÁLCULO FUNPRESP'!R649)</f>
        <v/>
      </c>
      <c r="L649" s="140" t="str">
        <f>IF($B$2="Não","",'CÁLCULO FUNPRESP'!S649)</f>
        <v/>
      </c>
      <c r="N649" s="164" t="str">
        <f ca="1">'CÁLCULO FUNPRESP'!U649</f>
        <v/>
      </c>
      <c r="O649" s="140" t="str">
        <f>IF($B$2="Não","",'CÁLCULO FUNPRESP'!Y649)</f>
        <v/>
      </c>
    </row>
    <row r="650" spans="9:15" x14ac:dyDescent="0.25">
      <c r="I650" s="164" t="str">
        <f ca="1">'CÁLCULO FUNPRESP'!P650</f>
        <v/>
      </c>
      <c r="J650" s="140" t="str">
        <f>IF($B$2="Não","",'CÁLCULO FUNPRESP'!Q650)</f>
        <v/>
      </c>
      <c r="K650" s="140" t="str">
        <f>IF($B$2="Não","",'CÁLCULO FUNPRESP'!R650)</f>
        <v/>
      </c>
      <c r="L650" s="140" t="str">
        <f>IF($B$2="Não","",'CÁLCULO FUNPRESP'!S650)</f>
        <v/>
      </c>
      <c r="N650" s="164" t="str">
        <f ca="1">'CÁLCULO FUNPRESP'!U650</f>
        <v/>
      </c>
      <c r="O650" s="140" t="str">
        <f>IF($B$2="Não","",'CÁLCULO FUNPRESP'!Y650)</f>
        <v/>
      </c>
    </row>
    <row r="651" spans="9:15" x14ac:dyDescent="0.25">
      <c r="I651" s="164" t="str">
        <f ca="1">'CÁLCULO FUNPRESP'!P651</f>
        <v/>
      </c>
      <c r="J651" s="140" t="str">
        <f>IF($B$2="Não","",'CÁLCULO FUNPRESP'!Q651)</f>
        <v/>
      </c>
      <c r="K651" s="140" t="str">
        <f>IF($B$2="Não","",'CÁLCULO FUNPRESP'!R651)</f>
        <v/>
      </c>
      <c r="L651" s="140" t="str">
        <f>IF($B$2="Não","",'CÁLCULO FUNPRESP'!S651)</f>
        <v/>
      </c>
      <c r="N651" s="164" t="str">
        <f ca="1">'CÁLCULO FUNPRESP'!U651</f>
        <v/>
      </c>
      <c r="O651" s="140" t="str">
        <f>IF($B$2="Não","",'CÁLCULO FUNPRESP'!Y651)</f>
        <v/>
      </c>
    </row>
    <row r="652" spans="9:15" x14ac:dyDescent="0.25">
      <c r="I652" s="164" t="str">
        <f ca="1">'CÁLCULO FUNPRESP'!P652</f>
        <v/>
      </c>
      <c r="J652" s="140" t="str">
        <f>IF($B$2="Não","",'CÁLCULO FUNPRESP'!Q652)</f>
        <v/>
      </c>
      <c r="K652" s="140" t="str">
        <f>IF($B$2="Não","",'CÁLCULO FUNPRESP'!R652)</f>
        <v/>
      </c>
      <c r="L652" s="140" t="str">
        <f>IF($B$2="Não","",'CÁLCULO FUNPRESP'!S652)</f>
        <v/>
      </c>
      <c r="N652" s="164" t="str">
        <f ca="1">'CÁLCULO FUNPRESP'!U652</f>
        <v/>
      </c>
      <c r="O652" s="140" t="str">
        <f>IF($B$2="Não","",'CÁLCULO FUNPRESP'!Y652)</f>
        <v/>
      </c>
    </row>
    <row r="653" spans="9:15" x14ac:dyDescent="0.25">
      <c r="I653" s="164" t="str">
        <f ca="1">'CÁLCULO FUNPRESP'!P653</f>
        <v/>
      </c>
      <c r="J653" s="140" t="str">
        <f>IF($B$2="Não","",'CÁLCULO FUNPRESP'!Q653)</f>
        <v/>
      </c>
      <c r="K653" s="140" t="str">
        <f>IF($B$2="Não","",'CÁLCULO FUNPRESP'!R653)</f>
        <v/>
      </c>
      <c r="L653" s="140" t="str">
        <f>IF($B$2="Não","",'CÁLCULO FUNPRESP'!S653)</f>
        <v/>
      </c>
      <c r="N653" s="164" t="str">
        <f ca="1">'CÁLCULO FUNPRESP'!U653</f>
        <v/>
      </c>
      <c r="O653" s="140" t="str">
        <f>IF($B$2="Não","",'CÁLCULO FUNPRESP'!Y653)</f>
        <v/>
      </c>
    </row>
    <row r="654" spans="9:15" x14ac:dyDescent="0.25">
      <c r="I654" s="164" t="str">
        <f ca="1">'CÁLCULO FUNPRESP'!P654</f>
        <v/>
      </c>
      <c r="J654" s="140" t="str">
        <f>IF($B$2="Não","",'CÁLCULO FUNPRESP'!Q654)</f>
        <v/>
      </c>
      <c r="K654" s="140" t="str">
        <f>IF($B$2="Não","",'CÁLCULO FUNPRESP'!R654)</f>
        <v/>
      </c>
      <c r="L654" s="140" t="str">
        <f>IF($B$2="Não","",'CÁLCULO FUNPRESP'!S654)</f>
        <v/>
      </c>
      <c r="N654" s="164" t="str">
        <f ca="1">'CÁLCULO FUNPRESP'!U654</f>
        <v/>
      </c>
      <c r="O654" s="140" t="str">
        <f>IF($B$2="Não","",'CÁLCULO FUNPRESP'!Y654)</f>
        <v/>
      </c>
    </row>
    <row r="655" spans="9:15" x14ac:dyDescent="0.25">
      <c r="I655" s="164" t="str">
        <f ca="1">'CÁLCULO FUNPRESP'!P655</f>
        <v/>
      </c>
      <c r="J655" s="140" t="str">
        <f>IF($B$2="Não","",'CÁLCULO FUNPRESP'!Q655)</f>
        <v/>
      </c>
      <c r="K655" s="140" t="str">
        <f>IF($B$2="Não","",'CÁLCULO FUNPRESP'!R655)</f>
        <v/>
      </c>
      <c r="L655" s="140" t="str">
        <f>IF($B$2="Não","",'CÁLCULO FUNPRESP'!S655)</f>
        <v/>
      </c>
      <c r="N655" s="164" t="str">
        <f ca="1">'CÁLCULO FUNPRESP'!U655</f>
        <v/>
      </c>
      <c r="O655" s="140" t="str">
        <f>IF($B$2="Não","",'CÁLCULO FUNPRESP'!Y655)</f>
        <v/>
      </c>
    </row>
    <row r="656" spans="9:15" x14ac:dyDescent="0.25">
      <c r="I656" s="164" t="str">
        <f ca="1">'CÁLCULO FUNPRESP'!P656</f>
        <v/>
      </c>
      <c r="J656" s="140" t="str">
        <f>IF($B$2="Não","",'CÁLCULO FUNPRESP'!Q656)</f>
        <v/>
      </c>
      <c r="K656" s="140" t="str">
        <f>IF($B$2="Não","",'CÁLCULO FUNPRESP'!R656)</f>
        <v/>
      </c>
      <c r="L656" s="140" t="str">
        <f>IF($B$2="Não","",'CÁLCULO FUNPRESP'!S656)</f>
        <v/>
      </c>
      <c r="N656" s="164" t="str">
        <f ca="1">'CÁLCULO FUNPRESP'!U656</f>
        <v/>
      </c>
      <c r="O656" s="140" t="str">
        <f>IF($B$2="Não","",'CÁLCULO FUNPRESP'!Y656)</f>
        <v/>
      </c>
    </row>
    <row r="657" spans="9:15" x14ac:dyDescent="0.25">
      <c r="I657" s="164" t="str">
        <f ca="1">'CÁLCULO FUNPRESP'!P657</f>
        <v/>
      </c>
      <c r="J657" s="140" t="str">
        <f>IF($B$2="Não","",'CÁLCULO FUNPRESP'!Q657)</f>
        <v/>
      </c>
      <c r="K657" s="140" t="str">
        <f>IF($B$2="Não","",'CÁLCULO FUNPRESP'!R657)</f>
        <v/>
      </c>
      <c r="L657" s="140" t="str">
        <f>IF($B$2="Não","",'CÁLCULO FUNPRESP'!S657)</f>
        <v/>
      </c>
      <c r="N657" s="164" t="str">
        <f ca="1">'CÁLCULO FUNPRESP'!U657</f>
        <v/>
      </c>
      <c r="O657" s="140" t="str">
        <f>IF($B$2="Não","",'CÁLCULO FUNPRESP'!Y657)</f>
        <v/>
      </c>
    </row>
    <row r="658" spans="9:15" x14ac:dyDescent="0.25">
      <c r="I658" s="164" t="str">
        <f ca="1">'CÁLCULO FUNPRESP'!P658</f>
        <v/>
      </c>
      <c r="J658" s="140" t="str">
        <f>IF($B$2="Não","",'CÁLCULO FUNPRESP'!Q658)</f>
        <v/>
      </c>
      <c r="K658" s="140" t="str">
        <f>IF($B$2="Não","",'CÁLCULO FUNPRESP'!R658)</f>
        <v/>
      </c>
      <c r="L658" s="140" t="str">
        <f>IF($B$2="Não","",'CÁLCULO FUNPRESP'!S658)</f>
        <v/>
      </c>
      <c r="N658" s="164" t="str">
        <f ca="1">'CÁLCULO FUNPRESP'!U658</f>
        <v/>
      </c>
      <c r="O658" s="140" t="str">
        <f>IF($B$2="Não","",'CÁLCULO FUNPRESP'!Y658)</f>
        <v/>
      </c>
    </row>
    <row r="659" spans="9:15" x14ac:dyDescent="0.25">
      <c r="I659" s="164" t="str">
        <f ca="1">'CÁLCULO FUNPRESP'!P659</f>
        <v/>
      </c>
      <c r="J659" s="140" t="str">
        <f>IF($B$2="Não","",'CÁLCULO FUNPRESP'!Q659)</f>
        <v/>
      </c>
      <c r="K659" s="140" t="str">
        <f>IF($B$2="Não","",'CÁLCULO FUNPRESP'!R659)</f>
        <v/>
      </c>
      <c r="L659" s="140" t="str">
        <f>IF($B$2="Não","",'CÁLCULO FUNPRESP'!S659)</f>
        <v/>
      </c>
      <c r="N659" s="164" t="str">
        <f ca="1">'CÁLCULO FUNPRESP'!U659</f>
        <v/>
      </c>
      <c r="O659" s="140" t="str">
        <f>IF($B$2="Não","",'CÁLCULO FUNPRESP'!Y659)</f>
        <v/>
      </c>
    </row>
    <row r="660" spans="9:15" x14ac:dyDescent="0.25">
      <c r="I660" s="164" t="str">
        <f ca="1">'CÁLCULO FUNPRESP'!P660</f>
        <v/>
      </c>
      <c r="J660" s="140" t="str">
        <f>IF($B$2="Não","",'CÁLCULO FUNPRESP'!Q660)</f>
        <v/>
      </c>
      <c r="K660" s="140" t="str">
        <f>IF($B$2="Não","",'CÁLCULO FUNPRESP'!R660)</f>
        <v/>
      </c>
      <c r="L660" s="140" t="str">
        <f>IF($B$2="Não","",'CÁLCULO FUNPRESP'!S660)</f>
        <v/>
      </c>
      <c r="N660" s="164" t="str">
        <f ca="1">'CÁLCULO FUNPRESP'!U660</f>
        <v/>
      </c>
      <c r="O660" s="140" t="str">
        <f>IF($B$2="Não","",'CÁLCULO FUNPRESP'!Y660)</f>
        <v/>
      </c>
    </row>
    <row r="661" spans="9:15" x14ac:dyDescent="0.25">
      <c r="I661" s="164" t="str">
        <f ca="1">'CÁLCULO FUNPRESP'!P661</f>
        <v/>
      </c>
      <c r="J661" s="140" t="str">
        <f>IF($B$2="Não","",'CÁLCULO FUNPRESP'!Q661)</f>
        <v/>
      </c>
      <c r="K661" s="140" t="str">
        <f>IF($B$2="Não","",'CÁLCULO FUNPRESP'!R661)</f>
        <v/>
      </c>
      <c r="L661" s="140" t="str">
        <f>IF($B$2="Não","",'CÁLCULO FUNPRESP'!S661)</f>
        <v/>
      </c>
      <c r="N661" s="164" t="str">
        <f ca="1">'CÁLCULO FUNPRESP'!U661</f>
        <v/>
      </c>
      <c r="O661" s="140" t="str">
        <f>IF($B$2="Não","",'CÁLCULO FUNPRESP'!Y661)</f>
        <v/>
      </c>
    </row>
    <row r="662" spans="9:15" x14ac:dyDescent="0.25">
      <c r="I662" s="164" t="str">
        <f ca="1">'CÁLCULO FUNPRESP'!P662</f>
        <v/>
      </c>
      <c r="J662" s="140" t="str">
        <f>IF($B$2="Não","",'CÁLCULO FUNPRESP'!Q662)</f>
        <v/>
      </c>
      <c r="K662" s="140" t="str">
        <f>IF($B$2="Não","",'CÁLCULO FUNPRESP'!R662)</f>
        <v/>
      </c>
      <c r="L662" s="140" t="str">
        <f>IF($B$2="Não","",'CÁLCULO FUNPRESP'!S662)</f>
        <v/>
      </c>
      <c r="N662" s="164" t="str">
        <f ca="1">'CÁLCULO FUNPRESP'!U662</f>
        <v/>
      </c>
      <c r="O662" s="140" t="str">
        <f>IF($B$2="Não","",'CÁLCULO FUNPRESP'!Y662)</f>
        <v/>
      </c>
    </row>
    <row r="663" spans="9:15" x14ac:dyDescent="0.25">
      <c r="I663" s="164" t="str">
        <f ca="1">'CÁLCULO FUNPRESP'!P663</f>
        <v/>
      </c>
      <c r="J663" s="140" t="str">
        <f>IF($B$2="Não","",'CÁLCULO FUNPRESP'!Q663)</f>
        <v/>
      </c>
      <c r="K663" s="140" t="str">
        <f>IF($B$2="Não","",'CÁLCULO FUNPRESP'!R663)</f>
        <v/>
      </c>
      <c r="L663" s="140" t="str">
        <f>IF($B$2="Não","",'CÁLCULO FUNPRESP'!S663)</f>
        <v/>
      </c>
      <c r="N663" s="164" t="str">
        <f ca="1">'CÁLCULO FUNPRESP'!U663</f>
        <v/>
      </c>
      <c r="O663" s="140" t="str">
        <f>IF($B$2="Não","",'CÁLCULO FUNPRESP'!Y663)</f>
        <v/>
      </c>
    </row>
    <row r="664" spans="9:15" x14ac:dyDescent="0.25">
      <c r="I664" s="164" t="str">
        <f ca="1">'CÁLCULO FUNPRESP'!P664</f>
        <v/>
      </c>
      <c r="J664" s="140" t="str">
        <f>IF($B$2="Não","",'CÁLCULO FUNPRESP'!Q664)</f>
        <v/>
      </c>
      <c r="K664" s="140" t="str">
        <f>IF($B$2="Não","",'CÁLCULO FUNPRESP'!R664)</f>
        <v/>
      </c>
      <c r="L664" s="140" t="str">
        <f>IF($B$2="Não","",'CÁLCULO FUNPRESP'!S664)</f>
        <v/>
      </c>
      <c r="N664" s="164" t="str">
        <f ca="1">'CÁLCULO FUNPRESP'!U664</f>
        <v/>
      </c>
      <c r="O664" s="140" t="str">
        <f>IF($B$2="Não","",'CÁLCULO FUNPRESP'!Y664)</f>
        <v/>
      </c>
    </row>
    <row r="665" spans="9:15" x14ac:dyDescent="0.25">
      <c r="I665" s="164" t="str">
        <f ca="1">'CÁLCULO FUNPRESP'!P665</f>
        <v/>
      </c>
      <c r="J665" s="140" t="str">
        <f>IF($B$2="Não","",'CÁLCULO FUNPRESP'!Q665)</f>
        <v/>
      </c>
      <c r="K665" s="140" t="str">
        <f>IF($B$2="Não","",'CÁLCULO FUNPRESP'!R665)</f>
        <v/>
      </c>
      <c r="L665" s="140" t="str">
        <f>IF($B$2="Não","",'CÁLCULO FUNPRESP'!S665)</f>
        <v/>
      </c>
      <c r="N665" s="164" t="str">
        <f ca="1">'CÁLCULO FUNPRESP'!U665</f>
        <v/>
      </c>
      <c r="O665" s="140" t="str">
        <f>IF($B$2="Não","",'CÁLCULO FUNPRESP'!Y665)</f>
        <v/>
      </c>
    </row>
    <row r="666" spans="9:15" x14ac:dyDescent="0.25">
      <c r="I666" s="164" t="str">
        <f ca="1">'CÁLCULO FUNPRESP'!P666</f>
        <v/>
      </c>
      <c r="J666" s="140" t="str">
        <f>IF($B$2="Não","",'CÁLCULO FUNPRESP'!Q666)</f>
        <v/>
      </c>
      <c r="K666" s="140" t="str">
        <f>IF($B$2="Não","",'CÁLCULO FUNPRESP'!R666)</f>
        <v/>
      </c>
      <c r="L666" s="140" t="str">
        <f>IF($B$2="Não","",'CÁLCULO FUNPRESP'!S666)</f>
        <v/>
      </c>
      <c r="N666" s="164" t="str">
        <f ca="1">'CÁLCULO FUNPRESP'!U666</f>
        <v/>
      </c>
      <c r="O666" s="140" t="str">
        <f>IF($B$2="Não","",'CÁLCULO FUNPRESP'!Y666)</f>
        <v/>
      </c>
    </row>
    <row r="667" spans="9:15" x14ac:dyDescent="0.25">
      <c r="I667" s="164" t="str">
        <f ca="1">'CÁLCULO FUNPRESP'!P667</f>
        <v/>
      </c>
      <c r="J667" s="140" t="str">
        <f>IF($B$2="Não","",'CÁLCULO FUNPRESP'!Q667)</f>
        <v/>
      </c>
      <c r="K667" s="140" t="str">
        <f>IF($B$2="Não","",'CÁLCULO FUNPRESP'!R667)</f>
        <v/>
      </c>
      <c r="L667" s="140" t="str">
        <f>IF($B$2="Não","",'CÁLCULO FUNPRESP'!S667)</f>
        <v/>
      </c>
      <c r="N667" s="164" t="str">
        <f ca="1">'CÁLCULO FUNPRESP'!U667</f>
        <v/>
      </c>
      <c r="O667" s="140" t="str">
        <f>IF($B$2="Não","",'CÁLCULO FUNPRESP'!Y667)</f>
        <v/>
      </c>
    </row>
    <row r="668" spans="9:15" x14ac:dyDescent="0.25">
      <c r="I668" s="164" t="str">
        <f ca="1">'CÁLCULO FUNPRESP'!P668</f>
        <v/>
      </c>
      <c r="J668" s="140" t="str">
        <f>IF($B$2="Não","",'CÁLCULO FUNPRESP'!Q668)</f>
        <v/>
      </c>
      <c r="K668" s="140" t="str">
        <f>IF($B$2="Não","",'CÁLCULO FUNPRESP'!R668)</f>
        <v/>
      </c>
      <c r="L668" s="140" t="str">
        <f>IF($B$2="Não","",'CÁLCULO FUNPRESP'!S668)</f>
        <v/>
      </c>
      <c r="N668" s="164" t="str">
        <f ca="1">'CÁLCULO FUNPRESP'!U668</f>
        <v/>
      </c>
      <c r="O668" s="140" t="str">
        <f>IF($B$2="Não","",'CÁLCULO FUNPRESP'!Y668)</f>
        <v/>
      </c>
    </row>
    <row r="669" spans="9:15" x14ac:dyDescent="0.25">
      <c r="I669" s="164" t="str">
        <f ca="1">'CÁLCULO FUNPRESP'!P669</f>
        <v/>
      </c>
      <c r="J669" s="140" t="str">
        <f>IF($B$2="Não","",'CÁLCULO FUNPRESP'!Q669)</f>
        <v/>
      </c>
      <c r="K669" s="140" t="str">
        <f>IF($B$2="Não","",'CÁLCULO FUNPRESP'!R669)</f>
        <v/>
      </c>
      <c r="L669" s="140" t="str">
        <f>IF($B$2="Não","",'CÁLCULO FUNPRESP'!S669)</f>
        <v/>
      </c>
      <c r="N669" s="164" t="str">
        <f ca="1">'CÁLCULO FUNPRESP'!U669</f>
        <v/>
      </c>
      <c r="O669" s="140" t="str">
        <f>IF($B$2="Não","",'CÁLCULO FUNPRESP'!Y669)</f>
        <v/>
      </c>
    </row>
    <row r="670" spans="9:15" x14ac:dyDescent="0.25">
      <c r="I670" s="164" t="str">
        <f ca="1">'CÁLCULO FUNPRESP'!P670</f>
        <v/>
      </c>
      <c r="J670" s="140" t="str">
        <f>IF($B$2="Não","",'CÁLCULO FUNPRESP'!Q670)</f>
        <v/>
      </c>
      <c r="K670" s="140" t="str">
        <f>IF($B$2="Não","",'CÁLCULO FUNPRESP'!R670)</f>
        <v/>
      </c>
      <c r="L670" s="140" t="str">
        <f>IF($B$2="Não","",'CÁLCULO FUNPRESP'!S670)</f>
        <v/>
      </c>
      <c r="N670" s="164" t="str">
        <f ca="1">'CÁLCULO FUNPRESP'!U670</f>
        <v/>
      </c>
      <c r="O670" s="140" t="str">
        <f>IF($B$2="Não","",'CÁLCULO FUNPRESP'!Y670)</f>
        <v/>
      </c>
    </row>
    <row r="671" spans="9:15" x14ac:dyDescent="0.25">
      <c r="I671" s="164" t="str">
        <f ca="1">'CÁLCULO FUNPRESP'!P671</f>
        <v/>
      </c>
      <c r="J671" s="140" t="str">
        <f>IF($B$2="Não","",'CÁLCULO FUNPRESP'!Q671)</f>
        <v/>
      </c>
      <c r="K671" s="140" t="str">
        <f>IF($B$2="Não","",'CÁLCULO FUNPRESP'!R671)</f>
        <v/>
      </c>
      <c r="L671" s="140" t="str">
        <f>IF($B$2="Não","",'CÁLCULO FUNPRESP'!S671)</f>
        <v/>
      </c>
      <c r="N671" s="164" t="str">
        <f ca="1">'CÁLCULO FUNPRESP'!U671</f>
        <v/>
      </c>
      <c r="O671" s="140" t="str">
        <f>IF($B$2="Não","",'CÁLCULO FUNPRESP'!Y671)</f>
        <v/>
      </c>
    </row>
    <row r="672" spans="9:15" x14ac:dyDescent="0.25">
      <c r="I672" s="164" t="str">
        <f ca="1">'CÁLCULO FUNPRESP'!P672</f>
        <v/>
      </c>
      <c r="J672" s="140" t="str">
        <f>IF($B$2="Não","",'CÁLCULO FUNPRESP'!Q672)</f>
        <v/>
      </c>
      <c r="K672" s="140" t="str">
        <f>IF($B$2="Não","",'CÁLCULO FUNPRESP'!R672)</f>
        <v/>
      </c>
      <c r="L672" s="140" t="str">
        <f>IF($B$2="Não","",'CÁLCULO FUNPRESP'!S672)</f>
        <v/>
      </c>
      <c r="N672" s="164" t="str">
        <f ca="1">'CÁLCULO FUNPRESP'!U672</f>
        <v/>
      </c>
      <c r="O672" s="140" t="str">
        <f>IF($B$2="Não","",'CÁLCULO FUNPRESP'!Y672)</f>
        <v/>
      </c>
    </row>
    <row r="673" spans="9:15" x14ac:dyDescent="0.25">
      <c r="I673" s="164" t="str">
        <f ca="1">'CÁLCULO FUNPRESP'!P673</f>
        <v/>
      </c>
      <c r="J673" s="140" t="str">
        <f>IF($B$2="Não","",'CÁLCULO FUNPRESP'!Q673)</f>
        <v/>
      </c>
      <c r="K673" s="140" t="str">
        <f>IF($B$2="Não","",'CÁLCULO FUNPRESP'!R673)</f>
        <v/>
      </c>
      <c r="L673" s="140" t="str">
        <f>IF($B$2="Não","",'CÁLCULO FUNPRESP'!S673)</f>
        <v/>
      </c>
      <c r="N673" s="164" t="str">
        <f ca="1">'CÁLCULO FUNPRESP'!U673</f>
        <v/>
      </c>
      <c r="O673" s="140" t="str">
        <f>IF($B$2="Não","",'CÁLCULO FUNPRESP'!Y673)</f>
        <v/>
      </c>
    </row>
    <row r="674" spans="9:15" x14ac:dyDescent="0.25">
      <c r="I674" s="164" t="str">
        <f ca="1">'CÁLCULO FUNPRESP'!P674</f>
        <v/>
      </c>
      <c r="J674" s="140" t="str">
        <f>IF($B$2="Não","",'CÁLCULO FUNPRESP'!Q674)</f>
        <v/>
      </c>
      <c r="K674" s="140" t="str">
        <f>IF($B$2="Não","",'CÁLCULO FUNPRESP'!R674)</f>
        <v/>
      </c>
      <c r="L674" s="140" t="str">
        <f>IF($B$2="Não","",'CÁLCULO FUNPRESP'!S674)</f>
        <v/>
      </c>
      <c r="N674" s="164" t="str">
        <f ca="1">'CÁLCULO FUNPRESP'!U674</f>
        <v/>
      </c>
      <c r="O674" s="140" t="str">
        <f>IF($B$2="Não","",'CÁLCULO FUNPRESP'!Y674)</f>
        <v/>
      </c>
    </row>
    <row r="675" spans="9:15" x14ac:dyDescent="0.25">
      <c r="I675" s="164" t="str">
        <f ca="1">'CÁLCULO FUNPRESP'!P675</f>
        <v/>
      </c>
      <c r="J675" s="140" t="str">
        <f>IF($B$2="Não","",'CÁLCULO FUNPRESP'!Q675)</f>
        <v/>
      </c>
      <c r="K675" s="140" t="str">
        <f>IF($B$2="Não","",'CÁLCULO FUNPRESP'!R675)</f>
        <v/>
      </c>
      <c r="L675" s="140" t="str">
        <f>IF($B$2="Não","",'CÁLCULO FUNPRESP'!S675)</f>
        <v/>
      </c>
      <c r="N675" s="164" t="str">
        <f ca="1">'CÁLCULO FUNPRESP'!U675</f>
        <v/>
      </c>
      <c r="O675" s="140" t="str">
        <f>IF($B$2="Não","",'CÁLCULO FUNPRESP'!Y675)</f>
        <v/>
      </c>
    </row>
    <row r="676" spans="9:15" x14ac:dyDescent="0.25">
      <c r="I676" s="164" t="str">
        <f ca="1">'CÁLCULO FUNPRESP'!P676</f>
        <v/>
      </c>
      <c r="J676" s="140" t="str">
        <f>IF($B$2="Não","",'CÁLCULO FUNPRESP'!Q676)</f>
        <v/>
      </c>
      <c r="K676" s="140" t="str">
        <f>IF($B$2="Não","",'CÁLCULO FUNPRESP'!R676)</f>
        <v/>
      </c>
      <c r="L676" s="140" t="str">
        <f>IF($B$2="Não","",'CÁLCULO FUNPRESP'!S676)</f>
        <v/>
      </c>
      <c r="N676" s="164" t="str">
        <f ca="1">'CÁLCULO FUNPRESP'!U676</f>
        <v/>
      </c>
      <c r="O676" s="140" t="str">
        <f>IF($B$2="Não","",'CÁLCULO FUNPRESP'!Y676)</f>
        <v/>
      </c>
    </row>
    <row r="677" spans="9:15" x14ac:dyDescent="0.25">
      <c r="I677" s="164" t="str">
        <f ca="1">'CÁLCULO FUNPRESP'!P677</f>
        <v/>
      </c>
      <c r="J677" s="140" t="str">
        <f>IF($B$2="Não","",'CÁLCULO FUNPRESP'!Q677)</f>
        <v/>
      </c>
      <c r="K677" s="140" t="str">
        <f>IF($B$2="Não","",'CÁLCULO FUNPRESP'!R677)</f>
        <v/>
      </c>
      <c r="L677" s="140" t="str">
        <f>IF($B$2="Não","",'CÁLCULO FUNPRESP'!S677)</f>
        <v/>
      </c>
      <c r="N677" s="164" t="str">
        <f ca="1">'CÁLCULO FUNPRESP'!U677</f>
        <v/>
      </c>
      <c r="O677" s="140" t="str">
        <f>IF($B$2="Não","",'CÁLCULO FUNPRESP'!Y677)</f>
        <v/>
      </c>
    </row>
    <row r="678" spans="9:15" x14ac:dyDescent="0.25">
      <c r="I678" s="164" t="str">
        <f ca="1">'CÁLCULO FUNPRESP'!P678</f>
        <v/>
      </c>
      <c r="J678" s="140" t="str">
        <f>IF($B$2="Não","",'CÁLCULO FUNPRESP'!Q678)</f>
        <v/>
      </c>
      <c r="K678" s="140" t="str">
        <f>IF($B$2="Não","",'CÁLCULO FUNPRESP'!R678)</f>
        <v/>
      </c>
      <c r="L678" s="140" t="str">
        <f>IF($B$2="Não","",'CÁLCULO FUNPRESP'!S678)</f>
        <v/>
      </c>
      <c r="N678" s="164" t="str">
        <f ca="1">'CÁLCULO FUNPRESP'!U678</f>
        <v/>
      </c>
      <c r="O678" s="140" t="str">
        <f>IF($B$2="Não","",'CÁLCULO FUNPRESP'!Y678)</f>
        <v/>
      </c>
    </row>
    <row r="679" spans="9:15" x14ac:dyDescent="0.25">
      <c r="I679" s="164" t="str">
        <f ca="1">'CÁLCULO FUNPRESP'!P679</f>
        <v/>
      </c>
      <c r="J679" s="140" t="str">
        <f>IF($B$2="Não","",'CÁLCULO FUNPRESP'!Q679)</f>
        <v/>
      </c>
      <c r="K679" s="140" t="str">
        <f>IF($B$2="Não","",'CÁLCULO FUNPRESP'!R679)</f>
        <v/>
      </c>
      <c r="L679" s="140" t="str">
        <f>IF($B$2="Não","",'CÁLCULO FUNPRESP'!S679)</f>
        <v/>
      </c>
      <c r="N679" s="164" t="str">
        <f ca="1">'CÁLCULO FUNPRESP'!U679</f>
        <v/>
      </c>
      <c r="O679" s="140" t="str">
        <f>IF($B$2="Não","",'CÁLCULO FUNPRESP'!Y679)</f>
        <v/>
      </c>
    </row>
    <row r="680" spans="9:15" x14ac:dyDescent="0.25">
      <c r="I680" s="164" t="str">
        <f ca="1">'CÁLCULO FUNPRESP'!P680</f>
        <v/>
      </c>
      <c r="J680" s="140" t="str">
        <f>IF($B$2="Não","",'CÁLCULO FUNPRESP'!Q680)</f>
        <v/>
      </c>
      <c r="K680" s="140" t="str">
        <f>IF($B$2="Não","",'CÁLCULO FUNPRESP'!R680)</f>
        <v/>
      </c>
      <c r="L680" s="140" t="str">
        <f>IF($B$2="Não","",'CÁLCULO FUNPRESP'!S680)</f>
        <v/>
      </c>
      <c r="N680" s="164" t="str">
        <f ca="1">'CÁLCULO FUNPRESP'!U680</f>
        <v/>
      </c>
      <c r="O680" s="140" t="str">
        <f>IF($B$2="Não","",'CÁLCULO FUNPRESP'!Y680)</f>
        <v/>
      </c>
    </row>
    <row r="681" spans="9:15" x14ac:dyDescent="0.25">
      <c r="I681" s="164" t="str">
        <f ca="1">'CÁLCULO FUNPRESP'!P681</f>
        <v/>
      </c>
      <c r="J681" s="140" t="str">
        <f>IF($B$2="Não","",'CÁLCULO FUNPRESP'!Q681)</f>
        <v/>
      </c>
      <c r="K681" s="140" t="str">
        <f>IF($B$2="Não","",'CÁLCULO FUNPRESP'!R681)</f>
        <v/>
      </c>
      <c r="L681" s="140" t="str">
        <f>IF($B$2="Não","",'CÁLCULO FUNPRESP'!S681)</f>
        <v/>
      </c>
      <c r="N681" s="164" t="str">
        <f ca="1">'CÁLCULO FUNPRESP'!U681</f>
        <v/>
      </c>
      <c r="O681" s="140" t="str">
        <f>IF($B$2="Não","",'CÁLCULO FUNPRESP'!Y681)</f>
        <v/>
      </c>
    </row>
    <row r="682" spans="9:15" x14ac:dyDescent="0.25">
      <c r="I682" s="164" t="str">
        <f ca="1">'CÁLCULO FUNPRESP'!P682</f>
        <v/>
      </c>
      <c r="J682" s="140" t="str">
        <f>IF($B$2="Não","",'CÁLCULO FUNPRESP'!Q682)</f>
        <v/>
      </c>
      <c r="K682" s="140" t="str">
        <f>IF($B$2="Não","",'CÁLCULO FUNPRESP'!R682)</f>
        <v/>
      </c>
      <c r="L682" s="140" t="str">
        <f>IF($B$2="Não","",'CÁLCULO FUNPRESP'!S682)</f>
        <v/>
      </c>
      <c r="N682" s="164" t="str">
        <f ca="1">'CÁLCULO FUNPRESP'!U682</f>
        <v/>
      </c>
      <c r="O682" s="140" t="str">
        <f>IF($B$2="Não","",'CÁLCULO FUNPRESP'!Y682)</f>
        <v/>
      </c>
    </row>
    <row r="683" spans="9:15" x14ac:dyDescent="0.25">
      <c r="I683" s="164" t="str">
        <f ca="1">'CÁLCULO FUNPRESP'!P683</f>
        <v/>
      </c>
      <c r="J683" s="140" t="str">
        <f>IF($B$2="Não","",'CÁLCULO FUNPRESP'!Q683)</f>
        <v/>
      </c>
      <c r="K683" s="140" t="str">
        <f>IF($B$2="Não","",'CÁLCULO FUNPRESP'!R683)</f>
        <v/>
      </c>
      <c r="L683" s="140" t="str">
        <f>IF($B$2="Não","",'CÁLCULO FUNPRESP'!S683)</f>
        <v/>
      </c>
      <c r="N683" s="164" t="str">
        <f ca="1">'CÁLCULO FUNPRESP'!U683</f>
        <v/>
      </c>
      <c r="O683" s="140" t="str">
        <f>IF($B$2="Não","",'CÁLCULO FUNPRESP'!Y683)</f>
        <v/>
      </c>
    </row>
    <row r="684" spans="9:15" x14ac:dyDescent="0.25">
      <c r="I684" s="164" t="str">
        <f ca="1">'CÁLCULO FUNPRESP'!P684</f>
        <v/>
      </c>
      <c r="J684" s="140" t="str">
        <f>IF($B$2="Não","",'CÁLCULO FUNPRESP'!Q684)</f>
        <v/>
      </c>
      <c r="K684" s="140" t="str">
        <f>IF($B$2="Não","",'CÁLCULO FUNPRESP'!R684)</f>
        <v/>
      </c>
      <c r="L684" s="140" t="str">
        <f>IF($B$2="Não","",'CÁLCULO FUNPRESP'!S684)</f>
        <v/>
      </c>
      <c r="N684" s="164" t="str">
        <f ca="1">'CÁLCULO FUNPRESP'!U684</f>
        <v/>
      </c>
      <c r="O684" s="140" t="str">
        <f>IF($B$2="Não","",'CÁLCULO FUNPRESP'!Y684)</f>
        <v/>
      </c>
    </row>
    <row r="685" spans="9:15" x14ac:dyDescent="0.25">
      <c r="I685" s="164" t="str">
        <f ca="1">'CÁLCULO FUNPRESP'!P685</f>
        <v/>
      </c>
      <c r="J685" s="140" t="str">
        <f>IF($B$2="Não","",'CÁLCULO FUNPRESP'!Q685)</f>
        <v/>
      </c>
      <c r="K685" s="140" t="str">
        <f>IF($B$2="Não","",'CÁLCULO FUNPRESP'!R685)</f>
        <v/>
      </c>
      <c r="L685" s="140" t="str">
        <f>IF($B$2="Não","",'CÁLCULO FUNPRESP'!S685)</f>
        <v/>
      </c>
      <c r="N685" s="164" t="str">
        <f ca="1">'CÁLCULO FUNPRESP'!U685</f>
        <v/>
      </c>
      <c r="O685" s="140" t="str">
        <f>IF($B$2="Não","",'CÁLCULO FUNPRESP'!Y685)</f>
        <v/>
      </c>
    </row>
    <row r="686" spans="9:15" x14ac:dyDescent="0.25">
      <c r="I686" s="164" t="str">
        <f ca="1">'CÁLCULO FUNPRESP'!P686</f>
        <v/>
      </c>
      <c r="J686" s="140" t="str">
        <f>IF($B$2="Não","",'CÁLCULO FUNPRESP'!Q686)</f>
        <v/>
      </c>
      <c r="K686" s="140" t="str">
        <f>IF($B$2="Não","",'CÁLCULO FUNPRESP'!R686)</f>
        <v/>
      </c>
      <c r="L686" s="140" t="str">
        <f>IF($B$2="Não","",'CÁLCULO FUNPRESP'!S686)</f>
        <v/>
      </c>
      <c r="N686" s="164" t="str">
        <f ca="1">'CÁLCULO FUNPRESP'!U686</f>
        <v/>
      </c>
      <c r="O686" s="140" t="str">
        <f>IF($B$2="Não","",'CÁLCULO FUNPRESP'!Y686)</f>
        <v/>
      </c>
    </row>
    <row r="687" spans="9:15" x14ac:dyDescent="0.25">
      <c r="I687" s="164" t="str">
        <f ca="1">'CÁLCULO FUNPRESP'!P687</f>
        <v/>
      </c>
      <c r="J687" s="140" t="str">
        <f>IF($B$2="Não","",'CÁLCULO FUNPRESP'!Q687)</f>
        <v/>
      </c>
      <c r="K687" s="140" t="str">
        <f>IF($B$2="Não","",'CÁLCULO FUNPRESP'!R687)</f>
        <v/>
      </c>
      <c r="L687" s="140" t="str">
        <f>IF($B$2="Não","",'CÁLCULO FUNPRESP'!S687)</f>
        <v/>
      </c>
      <c r="N687" s="164" t="str">
        <f ca="1">'CÁLCULO FUNPRESP'!U687</f>
        <v/>
      </c>
      <c r="O687" s="140" t="str">
        <f>IF($B$2="Não","",'CÁLCULO FUNPRESP'!Y687)</f>
        <v/>
      </c>
    </row>
    <row r="688" spans="9:15" x14ac:dyDescent="0.25">
      <c r="I688" s="164" t="str">
        <f ca="1">'CÁLCULO FUNPRESP'!P688</f>
        <v/>
      </c>
      <c r="J688" s="140" t="str">
        <f>IF($B$2="Não","",'CÁLCULO FUNPRESP'!Q688)</f>
        <v/>
      </c>
      <c r="K688" s="140" t="str">
        <f>IF($B$2="Não","",'CÁLCULO FUNPRESP'!R688)</f>
        <v/>
      </c>
      <c r="L688" s="140" t="str">
        <f>IF($B$2="Não","",'CÁLCULO FUNPRESP'!S688)</f>
        <v/>
      </c>
      <c r="N688" s="164" t="str">
        <f ca="1">'CÁLCULO FUNPRESP'!U688</f>
        <v/>
      </c>
      <c r="O688" s="140" t="str">
        <f>IF($B$2="Não","",'CÁLCULO FUNPRESP'!Y688)</f>
        <v/>
      </c>
    </row>
    <row r="689" spans="9:15" x14ac:dyDescent="0.25">
      <c r="I689" s="164" t="str">
        <f ca="1">'CÁLCULO FUNPRESP'!P689</f>
        <v/>
      </c>
      <c r="J689" s="140" t="str">
        <f>IF($B$2="Não","",'CÁLCULO FUNPRESP'!Q689)</f>
        <v/>
      </c>
      <c r="K689" s="140" t="str">
        <f>IF($B$2="Não","",'CÁLCULO FUNPRESP'!R689)</f>
        <v/>
      </c>
      <c r="L689" s="140" t="str">
        <f>IF($B$2="Não","",'CÁLCULO FUNPRESP'!S689)</f>
        <v/>
      </c>
      <c r="N689" s="164" t="str">
        <f ca="1">'CÁLCULO FUNPRESP'!U689</f>
        <v/>
      </c>
      <c r="O689" s="140" t="str">
        <f>IF($B$2="Não","",'CÁLCULO FUNPRESP'!Y689)</f>
        <v/>
      </c>
    </row>
    <row r="690" spans="9:15" x14ac:dyDescent="0.25">
      <c r="I690" s="164" t="str">
        <f ca="1">'CÁLCULO FUNPRESP'!P690</f>
        <v/>
      </c>
      <c r="J690" s="140" t="str">
        <f>IF($B$2="Não","",'CÁLCULO FUNPRESP'!Q690)</f>
        <v/>
      </c>
      <c r="K690" s="140" t="str">
        <f>IF($B$2="Não","",'CÁLCULO FUNPRESP'!R690)</f>
        <v/>
      </c>
      <c r="L690" s="140" t="str">
        <f>IF($B$2="Não","",'CÁLCULO FUNPRESP'!S690)</f>
        <v/>
      </c>
      <c r="N690" s="164" t="str">
        <f ca="1">'CÁLCULO FUNPRESP'!U690</f>
        <v/>
      </c>
      <c r="O690" s="140" t="str">
        <f>IF($B$2="Não","",'CÁLCULO FUNPRESP'!Y690)</f>
        <v/>
      </c>
    </row>
    <row r="691" spans="9:15" x14ac:dyDescent="0.25">
      <c r="I691" s="164" t="str">
        <f ca="1">'CÁLCULO FUNPRESP'!P691</f>
        <v/>
      </c>
      <c r="J691" s="140" t="str">
        <f>IF($B$2="Não","",'CÁLCULO FUNPRESP'!Q691)</f>
        <v/>
      </c>
      <c r="K691" s="140" t="str">
        <f>IF($B$2="Não","",'CÁLCULO FUNPRESP'!R691)</f>
        <v/>
      </c>
      <c r="L691" s="140" t="str">
        <f>IF($B$2="Não","",'CÁLCULO FUNPRESP'!S691)</f>
        <v/>
      </c>
      <c r="N691" s="164" t="str">
        <f ca="1">'CÁLCULO FUNPRESP'!U691</f>
        <v/>
      </c>
      <c r="O691" s="140" t="str">
        <f>IF($B$2="Não","",'CÁLCULO FUNPRESP'!Y691)</f>
        <v/>
      </c>
    </row>
    <row r="692" spans="9:15" x14ac:dyDescent="0.25">
      <c r="I692" s="164" t="str">
        <f ca="1">'CÁLCULO FUNPRESP'!P692</f>
        <v/>
      </c>
      <c r="J692" s="140" t="str">
        <f>IF($B$2="Não","",'CÁLCULO FUNPRESP'!Q692)</f>
        <v/>
      </c>
      <c r="K692" s="140" t="str">
        <f>IF($B$2="Não","",'CÁLCULO FUNPRESP'!R692)</f>
        <v/>
      </c>
      <c r="L692" s="140" t="str">
        <f>IF($B$2="Não","",'CÁLCULO FUNPRESP'!S692)</f>
        <v/>
      </c>
      <c r="N692" s="164" t="str">
        <f ca="1">'CÁLCULO FUNPRESP'!U692</f>
        <v/>
      </c>
      <c r="O692" s="140" t="str">
        <f>IF($B$2="Não","",'CÁLCULO FUNPRESP'!Y692)</f>
        <v/>
      </c>
    </row>
    <row r="693" spans="9:15" x14ac:dyDescent="0.25">
      <c r="I693" s="164" t="str">
        <f ca="1">'CÁLCULO FUNPRESP'!P693</f>
        <v/>
      </c>
      <c r="J693" s="140" t="str">
        <f>IF($B$2="Não","",'CÁLCULO FUNPRESP'!Q693)</f>
        <v/>
      </c>
      <c r="K693" s="140" t="str">
        <f>IF($B$2="Não","",'CÁLCULO FUNPRESP'!R693)</f>
        <v/>
      </c>
      <c r="L693" s="140" t="str">
        <f>IF($B$2="Não","",'CÁLCULO FUNPRESP'!S693)</f>
        <v/>
      </c>
      <c r="N693" s="164" t="str">
        <f ca="1">'CÁLCULO FUNPRESP'!U693</f>
        <v/>
      </c>
      <c r="O693" s="140" t="str">
        <f>IF($B$2="Não","",'CÁLCULO FUNPRESP'!Y693)</f>
        <v/>
      </c>
    </row>
    <row r="694" spans="9:15" x14ac:dyDescent="0.25">
      <c r="I694" s="164" t="str">
        <f ca="1">'CÁLCULO FUNPRESP'!P694</f>
        <v/>
      </c>
      <c r="J694" s="140" t="str">
        <f>IF($B$2="Não","",'CÁLCULO FUNPRESP'!Q694)</f>
        <v/>
      </c>
      <c r="K694" s="140" t="str">
        <f>IF($B$2="Não","",'CÁLCULO FUNPRESP'!R694)</f>
        <v/>
      </c>
      <c r="L694" s="140" t="str">
        <f>IF($B$2="Não","",'CÁLCULO FUNPRESP'!S694)</f>
        <v/>
      </c>
      <c r="N694" s="164" t="str">
        <f ca="1">'CÁLCULO FUNPRESP'!U694</f>
        <v/>
      </c>
      <c r="O694" s="140" t="str">
        <f>IF($B$2="Não","",'CÁLCULO FUNPRESP'!Y694)</f>
        <v/>
      </c>
    </row>
    <row r="695" spans="9:15" x14ac:dyDescent="0.25">
      <c r="I695" s="164" t="str">
        <f ca="1">'CÁLCULO FUNPRESP'!P695</f>
        <v/>
      </c>
      <c r="J695" s="140" t="str">
        <f>IF($B$2="Não","",'CÁLCULO FUNPRESP'!Q695)</f>
        <v/>
      </c>
      <c r="K695" s="140" t="str">
        <f>IF($B$2="Não","",'CÁLCULO FUNPRESP'!R695)</f>
        <v/>
      </c>
      <c r="L695" s="140" t="str">
        <f>IF($B$2="Não","",'CÁLCULO FUNPRESP'!S695)</f>
        <v/>
      </c>
      <c r="N695" s="164" t="str">
        <f ca="1">'CÁLCULO FUNPRESP'!U695</f>
        <v/>
      </c>
      <c r="O695" s="140" t="str">
        <f>IF($B$2="Não","",'CÁLCULO FUNPRESP'!Y695)</f>
        <v/>
      </c>
    </row>
    <row r="696" spans="9:15" x14ac:dyDescent="0.25">
      <c r="I696" s="164" t="str">
        <f ca="1">'CÁLCULO FUNPRESP'!P696</f>
        <v/>
      </c>
      <c r="J696" s="140" t="str">
        <f>IF($B$2="Não","",'CÁLCULO FUNPRESP'!Q696)</f>
        <v/>
      </c>
      <c r="K696" s="140" t="str">
        <f>IF($B$2="Não","",'CÁLCULO FUNPRESP'!R696)</f>
        <v/>
      </c>
      <c r="L696" s="140" t="str">
        <f>IF($B$2="Não","",'CÁLCULO FUNPRESP'!S696)</f>
        <v/>
      </c>
      <c r="N696" s="164" t="str">
        <f ca="1">'CÁLCULO FUNPRESP'!U696</f>
        <v/>
      </c>
      <c r="O696" s="140" t="str">
        <f>IF($B$2="Não","",'CÁLCULO FUNPRESP'!Y696)</f>
        <v/>
      </c>
    </row>
    <row r="697" spans="9:15" x14ac:dyDescent="0.25">
      <c r="I697" s="164" t="str">
        <f ca="1">'CÁLCULO FUNPRESP'!P697</f>
        <v/>
      </c>
      <c r="J697" s="140" t="str">
        <f>IF($B$2="Não","",'CÁLCULO FUNPRESP'!Q697)</f>
        <v/>
      </c>
      <c r="K697" s="140" t="str">
        <f>IF($B$2="Não","",'CÁLCULO FUNPRESP'!R697)</f>
        <v/>
      </c>
      <c r="L697" s="140" t="str">
        <f>IF($B$2="Não","",'CÁLCULO FUNPRESP'!S697)</f>
        <v/>
      </c>
      <c r="N697" s="164" t="str">
        <f ca="1">'CÁLCULO FUNPRESP'!U697</f>
        <v/>
      </c>
      <c r="O697" s="140" t="str">
        <f>IF($B$2="Não","",'CÁLCULO FUNPRESP'!Y697)</f>
        <v/>
      </c>
    </row>
    <row r="698" spans="9:15" x14ac:dyDescent="0.25">
      <c r="I698" s="164" t="str">
        <f ca="1">'CÁLCULO FUNPRESP'!P698</f>
        <v/>
      </c>
      <c r="J698" s="140" t="str">
        <f>IF($B$2="Não","",'CÁLCULO FUNPRESP'!Q698)</f>
        <v/>
      </c>
      <c r="K698" s="140" t="str">
        <f>IF($B$2="Não","",'CÁLCULO FUNPRESP'!R698)</f>
        <v/>
      </c>
      <c r="L698" s="140" t="str">
        <f>IF($B$2="Não","",'CÁLCULO FUNPRESP'!S698)</f>
        <v/>
      </c>
      <c r="N698" s="164" t="str">
        <f ca="1">'CÁLCULO FUNPRESP'!U698</f>
        <v/>
      </c>
      <c r="O698" s="140" t="str">
        <f>IF($B$2="Não","",'CÁLCULO FUNPRESP'!Y698)</f>
        <v/>
      </c>
    </row>
    <row r="699" spans="9:15" x14ac:dyDescent="0.25">
      <c r="I699" s="164" t="str">
        <f ca="1">'CÁLCULO FUNPRESP'!P699</f>
        <v/>
      </c>
      <c r="J699" s="140" t="str">
        <f>IF($B$2="Não","",'CÁLCULO FUNPRESP'!Q699)</f>
        <v/>
      </c>
      <c r="K699" s="140" t="str">
        <f>IF($B$2="Não","",'CÁLCULO FUNPRESP'!R699)</f>
        <v/>
      </c>
      <c r="L699" s="140" t="str">
        <f>IF($B$2="Não","",'CÁLCULO FUNPRESP'!S699)</f>
        <v/>
      </c>
      <c r="N699" s="164" t="str">
        <f ca="1">'CÁLCULO FUNPRESP'!U699</f>
        <v/>
      </c>
      <c r="O699" s="140" t="str">
        <f>IF($B$2="Não","",'CÁLCULO FUNPRESP'!Y699)</f>
        <v/>
      </c>
    </row>
    <row r="700" spans="9:15" x14ac:dyDescent="0.25">
      <c r="I700" s="164" t="str">
        <f ca="1">'CÁLCULO FUNPRESP'!P700</f>
        <v/>
      </c>
      <c r="J700" s="140" t="str">
        <f>IF($B$2="Não","",'CÁLCULO FUNPRESP'!Q700)</f>
        <v/>
      </c>
      <c r="K700" s="140" t="str">
        <f>IF($B$2="Não","",'CÁLCULO FUNPRESP'!R700)</f>
        <v/>
      </c>
      <c r="L700" s="140" t="str">
        <f>IF($B$2="Não","",'CÁLCULO FUNPRESP'!S700)</f>
        <v/>
      </c>
      <c r="N700" s="164" t="str">
        <f ca="1">'CÁLCULO FUNPRESP'!U700</f>
        <v/>
      </c>
      <c r="O700" s="140" t="str">
        <f>IF($B$2="Não","",'CÁLCULO FUNPRESP'!Y700)</f>
        <v/>
      </c>
    </row>
  </sheetData>
  <mergeCells count="2">
    <mergeCell ref="I2:L2"/>
    <mergeCell ref="N2:O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4" tint="-0.499984740745262"/>
  </sheetPr>
  <dimension ref="A2:R125"/>
  <sheetViews>
    <sheetView showGridLines="0" tabSelected="1" topLeftCell="A7" zoomScaleNormal="100" zoomScaleSheetLayoutView="100" workbookViewId="0">
      <selection activeCell="I67" sqref="I67"/>
    </sheetView>
  </sheetViews>
  <sheetFormatPr defaultRowHeight="14.25" x14ac:dyDescent="0.2"/>
  <cols>
    <col min="1" max="1" width="9.140625" style="208"/>
    <col min="2" max="3" width="1.5703125" style="208" customWidth="1"/>
    <col min="4" max="5" width="2.85546875" style="208" customWidth="1"/>
    <col min="6" max="6" width="35.7109375" style="208" customWidth="1"/>
    <col min="7" max="7" width="12.85546875" style="208" customWidth="1"/>
    <col min="8" max="8" width="3.140625" style="208" customWidth="1"/>
    <col min="9" max="9" width="14.28515625" style="208" customWidth="1"/>
    <col min="10" max="10" width="6.140625" style="208" customWidth="1"/>
    <col min="11" max="11" width="4.28515625" style="208" customWidth="1"/>
    <col min="12" max="12" width="8.7109375" style="208" customWidth="1"/>
    <col min="13" max="13" width="4.28515625" style="208" customWidth="1"/>
    <col min="14" max="14" width="10.42578125" style="208" customWidth="1"/>
    <col min="15" max="16" width="1.5703125" style="208" customWidth="1"/>
    <col min="17" max="17" width="9.140625" style="208"/>
    <col min="18" max="18" width="15" style="208" bestFit="1" customWidth="1"/>
    <col min="19" max="19" width="32.42578125" style="208" bestFit="1" customWidth="1"/>
    <col min="20" max="20" width="12.28515625" style="208" bestFit="1" customWidth="1"/>
    <col min="21" max="16384" width="9.140625" style="208"/>
  </cols>
  <sheetData>
    <row r="2" spans="1:16" x14ac:dyDescent="0.2">
      <c r="A2" s="205"/>
      <c r="B2" s="205"/>
      <c r="C2" s="20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07"/>
      <c r="P2" s="205"/>
    </row>
    <row r="3" spans="1:16" ht="90" customHeight="1" x14ac:dyDescent="0.2">
      <c r="A3" s="205"/>
      <c r="B3" s="205"/>
      <c r="C3" s="209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10"/>
      <c r="P3" s="205"/>
    </row>
    <row r="4" spans="1:16" x14ac:dyDescent="0.2">
      <c r="A4" s="205"/>
      <c r="B4" s="205"/>
      <c r="C4" s="209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10"/>
      <c r="P4" s="205"/>
    </row>
    <row r="5" spans="1:16" ht="7.5" customHeight="1" x14ac:dyDescent="0.2">
      <c r="C5" s="174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201"/>
    </row>
    <row r="6" spans="1:16" ht="18" x14ac:dyDescent="0.2">
      <c r="C6" s="211"/>
      <c r="D6" s="298" t="s">
        <v>222</v>
      </c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12"/>
    </row>
    <row r="7" spans="1:16" x14ac:dyDescent="0.2">
      <c r="C7" s="174"/>
      <c r="D7" s="307" t="s">
        <v>298</v>
      </c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201"/>
    </row>
    <row r="8" spans="1:16" ht="15.75" x14ac:dyDescent="0.25">
      <c r="C8" s="174"/>
      <c r="D8" s="179" t="s">
        <v>199</v>
      </c>
      <c r="E8" s="180"/>
      <c r="F8" s="180"/>
      <c r="G8" s="180"/>
      <c r="H8" s="175"/>
      <c r="I8" s="175"/>
      <c r="J8" s="175"/>
      <c r="K8" s="175"/>
      <c r="L8" s="175"/>
      <c r="M8" s="175"/>
      <c r="N8" s="175"/>
      <c r="O8" s="201"/>
    </row>
    <row r="9" spans="1:16" ht="15.75" x14ac:dyDescent="0.25">
      <c r="C9" s="174"/>
      <c r="D9" s="175"/>
      <c r="E9" s="176" t="s">
        <v>200</v>
      </c>
      <c r="F9" s="176"/>
      <c r="G9" s="176"/>
      <c r="H9" s="178"/>
      <c r="I9" s="228">
        <v>27414</v>
      </c>
      <c r="J9" s="175"/>
      <c r="K9" s="183" t="str">
        <f ca="1">CONCATENATE(INT(RESULTADOS!F5)," anos e ",INT(MOD(RESULTADOS!F5*12,12))," meses completos.")</f>
        <v>44 anos e 2 meses completos.</v>
      </c>
      <c r="L9" s="184"/>
      <c r="M9" s="184"/>
      <c r="N9" s="184"/>
      <c r="O9" s="201"/>
    </row>
    <row r="10" spans="1:16" ht="7.5" customHeight="1" x14ac:dyDescent="0.2">
      <c r="C10" s="174"/>
      <c r="D10" s="175"/>
      <c r="E10" s="178"/>
      <c r="F10" s="178"/>
      <c r="G10" s="178"/>
      <c r="H10" s="178"/>
      <c r="I10" s="178"/>
      <c r="J10" s="175"/>
      <c r="K10" s="184"/>
      <c r="L10" s="184"/>
      <c r="M10" s="184"/>
      <c r="N10" s="184"/>
      <c r="O10" s="201"/>
    </row>
    <row r="11" spans="1:16" ht="15.75" x14ac:dyDescent="0.25">
      <c r="C11" s="174"/>
      <c r="D11" s="175"/>
      <c r="E11" s="176" t="s">
        <v>201</v>
      </c>
      <c r="F11" s="176"/>
      <c r="G11" s="176"/>
      <c r="H11" s="178"/>
      <c r="I11" s="226" t="s">
        <v>6</v>
      </c>
      <c r="J11" s="175"/>
      <c r="K11" s="184"/>
      <c r="L11" s="184"/>
      <c r="M11" s="184"/>
      <c r="N11" s="184"/>
      <c r="O11" s="201"/>
    </row>
    <row r="12" spans="1:16" ht="7.5" customHeight="1" x14ac:dyDescent="0.2">
      <c r="C12" s="174"/>
      <c r="D12" s="175"/>
      <c r="E12" s="178"/>
      <c r="F12" s="178"/>
      <c r="G12" s="178"/>
      <c r="H12" s="178"/>
      <c r="I12" s="178"/>
      <c r="J12" s="175"/>
      <c r="K12" s="184"/>
      <c r="L12" s="184"/>
      <c r="M12" s="184"/>
      <c r="N12" s="184"/>
      <c r="O12" s="201"/>
    </row>
    <row r="13" spans="1:16" ht="15.75" x14ac:dyDescent="0.25">
      <c r="C13" s="174"/>
      <c r="D13" s="175"/>
      <c r="E13" s="176" t="s">
        <v>224</v>
      </c>
      <c r="F13" s="176"/>
      <c r="G13" s="176"/>
      <c r="H13" s="178"/>
      <c r="I13" s="228">
        <v>37438</v>
      </c>
      <c r="J13" s="175"/>
      <c r="K13" s="183" t="str">
        <f ca="1">CONCATENATE(INT(RESULTADOS!F8)," anos e ",INT(MOD(RESULTADOS!F8*12,12))," meses completos.")</f>
        <v>16 anos e 8 meses completos.</v>
      </c>
      <c r="L13" s="184"/>
      <c r="M13" s="184"/>
      <c r="N13" s="184"/>
      <c r="O13" s="201"/>
    </row>
    <row r="14" spans="1:16" ht="7.5" customHeight="1" x14ac:dyDescent="0.2">
      <c r="C14" s="174"/>
      <c r="D14" s="175"/>
      <c r="E14" s="178"/>
      <c r="F14" s="178"/>
      <c r="G14" s="178"/>
      <c r="H14" s="178"/>
      <c r="I14" s="178"/>
      <c r="J14" s="175"/>
      <c r="K14" s="184"/>
      <c r="L14" s="184"/>
      <c r="M14" s="184"/>
      <c r="N14" s="184"/>
      <c r="O14" s="201"/>
    </row>
    <row r="15" spans="1:16" ht="15.75" x14ac:dyDescent="0.25">
      <c r="C15" s="174"/>
      <c r="D15" s="175"/>
      <c r="E15" s="176" t="s">
        <v>237</v>
      </c>
      <c r="F15" s="176"/>
      <c r="G15" s="176"/>
      <c r="H15" s="178"/>
      <c r="I15" s="228">
        <v>37438</v>
      </c>
      <c r="J15" s="175"/>
      <c r="K15" s="183" t="str">
        <f ca="1">CONCATENATE(INT(RESULTADOS!F10)," anos e ",INT(MOD(RESULTADOS!F10*12,12))," meses completos.")</f>
        <v>16 anos e 8 meses completos.</v>
      </c>
      <c r="L15" s="184"/>
      <c r="M15" s="184"/>
      <c r="N15" s="184"/>
      <c r="O15" s="201"/>
    </row>
    <row r="16" spans="1:16" ht="7.5" customHeight="1" x14ac:dyDescent="0.2">
      <c r="C16" s="174"/>
      <c r="D16" s="175"/>
      <c r="E16" s="178"/>
      <c r="F16" s="178"/>
      <c r="G16" s="178"/>
      <c r="H16" s="178"/>
      <c r="I16" s="178"/>
      <c r="J16" s="175"/>
      <c r="K16" s="213"/>
      <c r="L16" s="175"/>
      <c r="M16" s="175"/>
      <c r="N16" s="175"/>
      <c r="O16" s="201"/>
    </row>
    <row r="17" spans="3:15" ht="15.75" x14ac:dyDescent="0.25">
      <c r="C17" s="174"/>
      <c r="D17" s="175"/>
      <c r="E17" s="176" t="s">
        <v>300</v>
      </c>
      <c r="F17" s="176"/>
      <c r="G17" s="176"/>
      <c r="H17" s="178"/>
      <c r="I17" s="226" t="s">
        <v>19</v>
      </c>
      <c r="J17" s="175"/>
      <c r="K17" s="175"/>
      <c r="L17" s="175"/>
      <c r="M17" s="175"/>
      <c r="N17" s="175"/>
      <c r="O17" s="201"/>
    </row>
    <row r="18" spans="3:15" ht="7.5" customHeight="1" x14ac:dyDescent="0.2">
      <c r="C18" s="174"/>
      <c r="D18" s="175"/>
      <c r="E18" s="178"/>
      <c r="F18" s="178"/>
      <c r="G18" s="178"/>
      <c r="H18" s="178"/>
      <c r="I18" s="178"/>
      <c r="J18" s="175"/>
      <c r="K18" s="175"/>
      <c r="L18" s="175"/>
      <c r="M18" s="175"/>
      <c r="N18" s="175"/>
      <c r="O18" s="201"/>
    </row>
    <row r="19" spans="3:15" ht="15.75" x14ac:dyDescent="0.25">
      <c r="C19" s="174"/>
      <c r="D19" s="175"/>
      <c r="E19" s="176" t="s">
        <v>235</v>
      </c>
      <c r="F19" s="176"/>
      <c r="G19" s="176"/>
      <c r="H19" s="178"/>
      <c r="I19" s="226" t="s">
        <v>19</v>
      </c>
      <c r="J19" s="175"/>
      <c r="K19" s="229">
        <v>6</v>
      </c>
      <c r="L19" s="184" t="s">
        <v>204</v>
      </c>
      <c r="M19" s="229">
        <v>0</v>
      </c>
      <c r="N19" s="184" t="s">
        <v>203</v>
      </c>
      <c r="O19" s="201"/>
    </row>
    <row r="20" spans="3:15" ht="7.5" customHeight="1" x14ac:dyDescent="0.2">
      <c r="C20" s="174"/>
      <c r="D20" s="175"/>
      <c r="E20" s="178"/>
      <c r="F20" s="178"/>
      <c r="G20" s="178"/>
      <c r="H20" s="178"/>
      <c r="I20" s="178"/>
      <c r="J20" s="175"/>
      <c r="K20" s="175"/>
      <c r="L20" s="175"/>
      <c r="M20" s="175"/>
      <c r="N20" s="175"/>
      <c r="O20" s="201"/>
    </row>
    <row r="21" spans="3:15" ht="15.75" x14ac:dyDescent="0.25">
      <c r="C21" s="174"/>
      <c r="D21" s="175"/>
      <c r="E21" s="176" t="s">
        <v>202</v>
      </c>
      <c r="F21" s="176"/>
      <c r="G21" s="176"/>
      <c r="H21" s="178"/>
      <c r="I21" s="226" t="s">
        <v>19</v>
      </c>
      <c r="J21" s="175"/>
      <c r="K21" s="229">
        <v>17</v>
      </c>
      <c r="L21" s="184" t="s">
        <v>204</v>
      </c>
      <c r="M21" s="229">
        <v>0</v>
      </c>
      <c r="N21" s="184" t="s">
        <v>203</v>
      </c>
      <c r="O21" s="201"/>
    </row>
    <row r="22" spans="3:15" ht="7.5" customHeight="1" x14ac:dyDescent="0.2">
      <c r="C22" s="174"/>
      <c r="D22" s="175"/>
      <c r="E22" s="178"/>
      <c r="F22" s="178"/>
      <c r="G22" s="178"/>
      <c r="H22" s="178"/>
      <c r="I22" s="178"/>
      <c r="J22" s="175"/>
      <c r="K22" s="175"/>
      <c r="L22" s="175"/>
      <c r="M22" s="175"/>
      <c r="N22" s="175"/>
      <c r="O22" s="201"/>
    </row>
    <row r="23" spans="3:15" ht="15.75" x14ac:dyDescent="0.25">
      <c r="C23" s="174"/>
      <c r="D23" s="175"/>
      <c r="E23" s="176" t="s">
        <v>207</v>
      </c>
      <c r="F23" s="176"/>
      <c r="G23" s="176"/>
      <c r="H23" s="175"/>
      <c r="I23" s="177">
        <f ca="1">IFERROR(VLOOKUP(EOMONTH($N$62,0),'Histórico de Remunerações'!$D$7:$E$545,2,TRUE),"")</f>
        <v>0</v>
      </c>
      <c r="J23" s="299" t="str">
        <f ca="1">IF(I23=0,"*Inserir salários na aba 'Historico de Remunerações'.","")</f>
        <v>*Inserir salários na aba 'Historico de Remunerações'.</v>
      </c>
      <c r="K23" s="299"/>
      <c r="L23" s="299"/>
      <c r="M23" s="299"/>
      <c r="N23" s="299"/>
      <c r="O23" s="201"/>
    </row>
    <row r="24" spans="3:15" ht="10.5" customHeight="1" x14ac:dyDescent="0.2">
      <c r="C24" s="174"/>
      <c r="D24" s="178"/>
      <c r="E24" s="178"/>
      <c r="F24" s="178"/>
      <c r="G24" s="178"/>
      <c r="H24" s="178"/>
      <c r="I24" s="178"/>
      <c r="J24" s="299"/>
      <c r="K24" s="299"/>
      <c r="L24" s="299"/>
      <c r="M24" s="299"/>
      <c r="N24" s="299"/>
      <c r="O24" s="201"/>
    </row>
    <row r="25" spans="3:15" ht="15" x14ac:dyDescent="0.25">
      <c r="C25" s="174"/>
      <c r="D25" s="178"/>
      <c r="E25" s="176" t="s">
        <v>272</v>
      </c>
      <c r="F25" s="178"/>
      <c r="G25" s="178"/>
      <c r="H25" s="178"/>
      <c r="I25" s="227">
        <v>0</v>
      </c>
      <c r="J25" s="178" t="s">
        <v>267</v>
      </c>
      <c r="K25" s="178"/>
      <c r="L25" s="178"/>
      <c r="M25" s="178"/>
      <c r="N25" s="178"/>
      <c r="O25" s="201"/>
    </row>
    <row r="26" spans="3:15" ht="7.5" customHeight="1" x14ac:dyDescent="0.25">
      <c r="C26" s="174"/>
      <c r="D26" s="175"/>
      <c r="E26" s="176"/>
      <c r="F26" s="176"/>
      <c r="G26" s="176"/>
      <c r="H26" s="178"/>
      <c r="I26" s="225"/>
      <c r="J26" s="178"/>
      <c r="K26" s="183"/>
      <c r="L26" s="178"/>
      <c r="M26" s="178"/>
      <c r="N26" s="178"/>
      <c r="O26" s="201"/>
    </row>
    <row r="27" spans="3:15" ht="15.75" x14ac:dyDescent="0.25">
      <c r="C27" s="174"/>
      <c r="D27" s="179" t="s">
        <v>217</v>
      </c>
      <c r="E27" s="180"/>
      <c r="F27" s="180"/>
      <c r="G27" s="180"/>
      <c r="H27" s="178"/>
      <c r="I27" s="178"/>
      <c r="J27" s="178"/>
      <c r="K27" s="178"/>
      <c r="L27" s="178"/>
      <c r="M27" s="178"/>
      <c r="N27" s="178"/>
      <c r="O27" s="201"/>
    </row>
    <row r="28" spans="3:15" ht="15" x14ac:dyDescent="0.25">
      <c r="C28" s="174"/>
      <c r="D28" s="181"/>
      <c r="E28" s="176" t="s">
        <v>214</v>
      </c>
      <c r="F28" s="176"/>
      <c r="G28" s="176"/>
      <c r="H28" s="178"/>
      <c r="I28" s="182">
        <f ca="1">RESULTADOS!C26</f>
        <v>50241</v>
      </c>
      <c r="J28" s="178"/>
      <c r="K28" s="183" t="str">
        <f ca="1">CONCATENATE(INT(RESULTADOS!C25)," anos e ",INT(MOD(RESULTADOS!C25*12,12))," meses completos.")</f>
        <v>62 anos e 6 meses completos.</v>
      </c>
      <c r="L28" s="178"/>
      <c r="M28" s="178"/>
      <c r="N28" s="178"/>
      <c r="O28" s="201"/>
    </row>
    <row r="29" spans="3:15" ht="7.5" customHeight="1" x14ac:dyDescent="0.2">
      <c r="C29" s="174"/>
      <c r="D29" s="175"/>
      <c r="E29" s="183"/>
      <c r="F29" s="178"/>
      <c r="G29" s="178"/>
      <c r="H29" s="178"/>
      <c r="I29" s="178"/>
      <c r="J29" s="175"/>
      <c r="K29" s="184"/>
      <c r="L29" s="184"/>
      <c r="M29" s="184"/>
      <c r="N29" s="184"/>
      <c r="O29" s="201"/>
    </row>
    <row r="30" spans="3:15" ht="15" x14ac:dyDescent="0.25">
      <c r="C30" s="174"/>
      <c r="D30" s="181"/>
      <c r="E30" s="176" t="s">
        <v>219</v>
      </c>
      <c r="F30" s="176"/>
      <c r="G30" s="176"/>
      <c r="H30" s="178"/>
      <c r="I30" s="224" t="s">
        <v>278</v>
      </c>
      <c r="J30" s="178"/>
      <c r="K30" s="237"/>
      <c r="L30" s="237"/>
      <c r="M30" s="237"/>
      <c r="N30" s="178"/>
      <c r="O30" s="201"/>
    </row>
    <row r="31" spans="3:15" ht="15.75" x14ac:dyDescent="0.25">
      <c r="C31" s="174"/>
      <c r="D31" s="175"/>
      <c r="E31" s="178"/>
      <c r="F31" s="176" t="s">
        <v>223</v>
      </c>
      <c r="G31" s="176"/>
      <c r="H31" s="178"/>
      <c r="I31" s="185">
        <f ca="1">IFERROR(RESULTADOS!C32,"")</f>
        <v>0</v>
      </c>
      <c r="J31" s="178"/>
      <c r="K31" s="237"/>
      <c r="L31" s="237"/>
      <c r="M31" s="237"/>
      <c r="N31" s="178"/>
      <c r="O31" s="201"/>
    </row>
    <row r="32" spans="3:15" ht="15.75" customHeight="1" x14ac:dyDescent="0.25">
      <c r="C32" s="174"/>
      <c r="D32" s="175"/>
      <c r="E32" s="178"/>
      <c r="F32" s="186" t="s">
        <v>193</v>
      </c>
      <c r="G32" s="186"/>
      <c r="H32" s="178"/>
      <c r="I32" s="187">
        <f ca="1">IFERROR(RESULTADOS!C34,"")</f>
        <v>0</v>
      </c>
      <c r="J32" s="178"/>
      <c r="K32" s="237"/>
      <c r="L32" s="237"/>
      <c r="M32" s="237"/>
      <c r="N32" s="178"/>
      <c r="O32" s="201"/>
    </row>
    <row r="33" spans="3:15" ht="15.75" customHeight="1" x14ac:dyDescent="0.25">
      <c r="C33" s="174"/>
      <c r="D33" s="175"/>
      <c r="E33" s="178"/>
      <c r="F33" s="188" t="s">
        <v>195</v>
      </c>
      <c r="G33" s="188"/>
      <c r="H33" s="178"/>
      <c r="I33" s="189">
        <f ca="1">IFERROR(RESULTADOS!C35,"")</f>
        <v>0</v>
      </c>
      <c r="J33" s="178"/>
      <c r="K33" s="237"/>
      <c r="L33" s="237"/>
      <c r="M33" s="237"/>
      <c r="N33" s="178"/>
      <c r="O33" s="201"/>
    </row>
    <row r="34" spans="3:15" ht="15.75" customHeight="1" x14ac:dyDescent="0.25">
      <c r="C34" s="174"/>
      <c r="D34" s="175"/>
      <c r="E34" s="178"/>
      <c r="F34" s="186" t="s">
        <v>194</v>
      </c>
      <c r="G34" s="186"/>
      <c r="H34" s="178"/>
      <c r="I34" s="187">
        <f ca="1">IFERROR(RESULTADOS!C36,"")</f>
        <v>0</v>
      </c>
      <c r="J34" s="178"/>
      <c r="K34" s="237"/>
      <c r="L34" s="237"/>
      <c r="M34" s="237"/>
      <c r="N34" s="178"/>
      <c r="O34" s="201"/>
    </row>
    <row r="35" spans="3:15" ht="15" x14ac:dyDescent="0.25">
      <c r="C35" s="174"/>
      <c r="D35" s="178"/>
      <c r="E35" s="178"/>
      <c r="F35" s="176" t="s">
        <v>196</v>
      </c>
      <c r="G35" s="176"/>
      <c r="H35" s="178"/>
      <c r="I35" s="185">
        <f ca="1">IFERROR(RESULTADOS!C37,"")</f>
        <v>0</v>
      </c>
      <c r="J35" s="178"/>
      <c r="K35" s="237"/>
      <c r="L35" s="237"/>
      <c r="M35" s="237"/>
      <c r="N35" s="178"/>
      <c r="O35" s="201"/>
    </row>
    <row r="36" spans="3:15" ht="9" customHeight="1" x14ac:dyDescent="0.25">
      <c r="C36" s="174"/>
      <c r="D36" s="178"/>
      <c r="E36" s="178"/>
      <c r="F36" s="178"/>
      <c r="G36" s="178"/>
      <c r="H36" s="178"/>
      <c r="I36" s="178"/>
      <c r="J36" s="178"/>
      <c r="K36" s="237"/>
      <c r="L36" s="237"/>
      <c r="M36" s="237"/>
      <c r="N36" s="178"/>
      <c r="O36" s="201"/>
    </row>
    <row r="37" spans="3:15" ht="15" x14ac:dyDescent="0.25">
      <c r="C37" s="174"/>
      <c r="D37" s="178"/>
      <c r="E37" s="176" t="s">
        <v>220</v>
      </c>
      <c r="F37" s="176"/>
      <c r="G37" s="176"/>
      <c r="H37" s="178"/>
      <c r="I37" s="178"/>
      <c r="J37" s="178"/>
      <c r="K37" s="237"/>
      <c r="L37" s="237"/>
      <c r="M37" s="237"/>
      <c r="N37" s="178"/>
      <c r="O37" s="201"/>
    </row>
    <row r="38" spans="3:15" ht="15" x14ac:dyDescent="0.25">
      <c r="C38" s="174"/>
      <c r="D38" s="178"/>
      <c r="E38" s="178"/>
      <c r="F38" s="176" t="s">
        <v>223</v>
      </c>
      <c r="G38" s="176"/>
      <c r="H38" s="178"/>
      <c r="I38" s="185">
        <f ca="1">IFERROR(RESULTADOS!F32,"")</f>
        <v>0</v>
      </c>
      <c r="J38" s="178"/>
      <c r="K38" s="178"/>
      <c r="L38" s="178"/>
      <c r="M38" s="178"/>
      <c r="N38" s="178"/>
      <c r="O38" s="201"/>
    </row>
    <row r="39" spans="3:15" ht="15" x14ac:dyDescent="0.25">
      <c r="C39" s="174"/>
      <c r="D39" s="178"/>
      <c r="E39" s="178"/>
      <c r="F39" s="176" t="s">
        <v>197</v>
      </c>
      <c r="G39" s="176"/>
      <c r="H39" s="178"/>
      <c r="I39" s="185">
        <f ca="1">IFERROR(RESULTADOS!I32,"")</f>
        <v>0</v>
      </c>
      <c r="J39" s="178"/>
      <c r="K39" s="178"/>
      <c r="L39" s="178"/>
      <c r="M39" s="178"/>
      <c r="N39" s="178"/>
      <c r="O39" s="201"/>
    </row>
    <row r="40" spans="3:15" x14ac:dyDescent="0.2">
      <c r="C40" s="174"/>
      <c r="D40" s="178"/>
      <c r="E40" s="178"/>
      <c r="F40" s="186" t="s">
        <v>193</v>
      </c>
      <c r="G40" s="186"/>
      <c r="H40" s="178"/>
      <c r="I40" s="187">
        <f ca="1">IFERROR(RESULTADOS!F34,"")</f>
        <v>0</v>
      </c>
      <c r="J40" s="178"/>
      <c r="K40" s="178"/>
      <c r="L40" s="178"/>
      <c r="M40" s="178"/>
      <c r="N40" s="178"/>
      <c r="O40" s="201"/>
    </row>
    <row r="41" spans="3:15" x14ac:dyDescent="0.2">
      <c r="C41" s="174"/>
      <c r="D41" s="178"/>
      <c r="E41" s="178"/>
      <c r="F41" s="188" t="s">
        <v>195</v>
      </c>
      <c r="G41" s="188"/>
      <c r="H41" s="178"/>
      <c r="I41" s="189">
        <f ca="1">IFERROR(RESULTADOS!F37,"")</f>
        <v>0</v>
      </c>
      <c r="J41" s="178"/>
      <c r="K41" s="178"/>
      <c r="L41" s="178"/>
      <c r="M41" s="178"/>
      <c r="N41" s="178"/>
      <c r="O41" s="201"/>
    </row>
    <row r="42" spans="3:15" x14ac:dyDescent="0.2">
      <c r="C42" s="174"/>
      <c r="D42" s="178"/>
      <c r="E42" s="178"/>
      <c r="F42" s="186" t="s">
        <v>194</v>
      </c>
      <c r="G42" s="186"/>
      <c r="H42" s="178"/>
      <c r="I42" s="187">
        <f ca="1">IFERROR(RESULTADOS!F38,"")</f>
        <v>0</v>
      </c>
      <c r="J42" s="178"/>
      <c r="K42" s="178"/>
      <c r="L42" s="178"/>
      <c r="M42" s="178"/>
      <c r="N42" s="178"/>
      <c r="O42" s="201"/>
    </row>
    <row r="43" spans="3:15" ht="15" x14ac:dyDescent="0.25">
      <c r="C43" s="174"/>
      <c r="D43" s="178"/>
      <c r="E43" s="178"/>
      <c r="F43" s="176" t="s">
        <v>196</v>
      </c>
      <c r="G43" s="176"/>
      <c r="H43" s="178"/>
      <c r="I43" s="185">
        <f ca="1">IFERROR(RESULTADOS!F39,"")</f>
        <v>0</v>
      </c>
      <c r="J43" s="178"/>
      <c r="K43" s="178"/>
      <c r="L43" s="178"/>
      <c r="M43" s="178"/>
      <c r="N43" s="178"/>
      <c r="O43" s="201"/>
    </row>
    <row r="44" spans="3:15" ht="9" customHeight="1" x14ac:dyDescent="0.2">
      <c r="C44" s="174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201"/>
    </row>
    <row r="45" spans="3:15" ht="15.75" x14ac:dyDescent="0.25">
      <c r="C45" s="174"/>
      <c r="D45" s="179" t="s">
        <v>221</v>
      </c>
      <c r="E45" s="190"/>
      <c r="F45" s="190"/>
      <c r="G45" s="190"/>
      <c r="H45" s="178"/>
      <c r="I45" s="178"/>
      <c r="J45" s="178"/>
      <c r="K45" s="178"/>
      <c r="L45" s="178"/>
      <c r="M45" s="178"/>
      <c r="N45" s="178"/>
      <c r="O45" s="201"/>
    </row>
    <row r="46" spans="3:15" ht="32.25" customHeight="1" x14ac:dyDescent="0.2">
      <c r="C46" s="174"/>
      <c r="D46" s="178"/>
      <c r="E46" s="302" t="s">
        <v>240</v>
      </c>
      <c r="F46" s="302"/>
      <c r="G46" s="302"/>
      <c r="H46" s="302"/>
      <c r="I46" s="302"/>
      <c r="J46" s="191" t="s">
        <v>226</v>
      </c>
      <c r="K46" s="303">
        <f ca="1">COUNTIF('CÁLCULO RPPS ESPECIAL'!$D$5:$D$654,"&gt;"&amp;0)</f>
        <v>0</v>
      </c>
      <c r="L46" s="303"/>
      <c r="M46" s="303"/>
      <c r="N46" s="178"/>
      <c r="O46" s="201"/>
    </row>
    <row r="47" spans="3:15" ht="7.5" customHeight="1" x14ac:dyDescent="0.2">
      <c r="C47" s="174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201"/>
    </row>
    <row r="48" spans="3:15" ht="15" x14ac:dyDescent="0.2">
      <c r="C48" s="174"/>
      <c r="D48" s="178"/>
      <c r="E48" s="188" t="s">
        <v>280</v>
      </c>
      <c r="F48" s="178"/>
      <c r="G48" s="178"/>
      <c r="H48" s="178"/>
      <c r="I48" s="178"/>
      <c r="J48" s="191" t="s">
        <v>226</v>
      </c>
      <c r="K48" s="303">
        <f>IF(RESULTADOS!C6="M",455,390)-IF(RESULTADOS!C12="SIM",65,0)</f>
        <v>455</v>
      </c>
      <c r="L48" s="303"/>
      <c r="M48" s="303"/>
      <c r="N48" s="178"/>
      <c r="O48" s="201"/>
    </row>
    <row r="49" spans="2:16" ht="7.5" customHeight="1" x14ac:dyDescent="0.2">
      <c r="C49" s="174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201"/>
    </row>
    <row r="50" spans="2:16" ht="15" x14ac:dyDescent="0.25">
      <c r="C50" s="174"/>
      <c r="D50" s="192" t="s">
        <v>232</v>
      </c>
      <c r="E50" s="188" t="s">
        <v>225</v>
      </c>
      <c r="F50" s="178"/>
      <c r="G50" s="178"/>
      <c r="H50" s="178"/>
      <c r="I50" s="178"/>
      <c r="J50" s="191" t="s">
        <v>226</v>
      </c>
      <c r="K50" s="305">
        <f ca="1">MIN(K46/K48,1)</f>
        <v>0</v>
      </c>
      <c r="L50" s="305"/>
      <c r="M50" s="305"/>
      <c r="N50" s="178"/>
      <c r="O50" s="201"/>
    </row>
    <row r="51" spans="2:16" ht="7.5" customHeight="1" x14ac:dyDescent="0.2">
      <c r="C51" s="174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201"/>
    </row>
    <row r="52" spans="2:16" ht="44.25" customHeight="1" x14ac:dyDescent="0.2">
      <c r="C52" s="174"/>
      <c r="D52" s="223" t="s">
        <v>233</v>
      </c>
      <c r="E52" s="302" t="s">
        <v>296</v>
      </c>
      <c r="F52" s="302"/>
      <c r="G52" s="302"/>
      <c r="H52" s="302"/>
      <c r="I52" s="302"/>
      <c r="J52" s="191" t="s">
        <v>226</v>
      </c>
      <c r="K52" s="306">
        <f ca="1">IFERROR(VLOOKUP(EOMONTH(PREMISSAS!$C$3,-1),'CÁLCULO RPPS ESPECIAL'!$C$5:$F$654,4,FALSE),"")</f>
        <v>0</v>
      </c>
      <c r="L52" s="306"/>
      <c r="M52" s="306"/>
      <c r="N52" s="178"/>
      <c r="O52" s="201"/>
    </row>
    <row r="53" spans="2:16" ht="7.5" customHeight="1" x14ac:dyDescent="0.2">
      <c r="C53" s="174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201"/>
    </row>
    <row r="54" spans="2:16" ht="15" x14ac:dyDescent="0.25">
      <c r="C54" s="174"/>
      <c r="D54" s="192" t="s">
        <v>234</v>
      </c>
      <c r="E54" s="188" t="s">
        <v>231</v>
      </c>
      <c r="F54" s="178"/>
      <c r="G54" s="178"/>
      <c r="H54" s="178"/>
      <c r="I54" s="178"/>
      <c r="J54" s="191" t="s">
        <v>226</v>
      </c>
      <c r="K54" s="306">
        <f>PREMISSAS!C13</f>
        <v>5839.45</v>
      </c>
      <c r="L54" s="306"/>
      <c r="M54" s="306"/>
      <c r="N54" s="178"/>
      <c r="O54" s="201"/>
    </row>
    <row r="55" spans="2:16" ht="7.5" customHeight="1" x14ac:dyDescent="0.2">
      <c r="C55" s="174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201"/>
    </row>
    <row r="56" spans="2:16" ht="15" x14ac:dyDescent="0.2">
      <c r="C56" s="174"/>
      <c r="D56" s="178"/>
      <c r="E56" s="188" t="s">
        <v>271</v>
      </c>
      <c r="F56" s="178"/>
      <c r="G56" s="178"/>
      <c r="H56" s="178"/>
      <c r="I56" s="178"/>
      <c r="J56" s="191" t="s">
        <v>226</v>
      </c>
      <c r="K56" s="306">
        <f ca="1">IFERROR(MAX(K50*(K52-K54),0),"")</f>
        <v>0</v>
      </c>
      <c r="L56" s="306"/>
      <c r="M56" s="306"/>
      <c r="N56" s="178"/>
      <c r="O56" s="201"/>
    </row>
    <row r="57" spans="2:16" ht="7.5" customHeight="1" x14ac:dyDescent="0.2">
      <c r="C57" s="174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201"/>
    </row>
    <row r="58" spans="2:16" s="214" customFormat="1" ht="11.25" x14ac:dyDescent="0.2">
      <c r="C58" s="193"/>
      <c r="D58" s="194"/>
      <c r="E58" s="195" t="s">
        <v>228</v>
      </c>
      <c r="F58" s="196" t="s">
        <v>229</v>
      </c>
      <c r="G58" s="196"/>
      <c r="H58" s="194"/>
      <c r="I58" s="194"/>
      <c r="J58" s="194"/>
      <c r="K58" s="194"/>
      <c r="L58" s="194"/>
      <c r="M58" s="194"/>
      <c r="N58" s="194"/>
      <c r="O58" s="202"/>
    </row>
    <row r="59" spans="2:16" s="214" customFormat="1" ht="25.5" customHeight="1" x14ac:dyDescent="0.2">
      <c r="C59" s="193"/>
      <c r="D59" s="194"/>
      <c r="E59" s="195" t="s">
        <v>227</v>
      </c>
      <c r="F59" s="304" t="s">
        <v>241</v>
      </c>
      <c r="G59" s="304"/>
      <c r="H59" s="304"/>
      <c r="I59" s="304"/>
      <c r="J59" s="304"/>
      <c r="K59" s="304"/>
      <c r="L59" s="304"/>
      <c r="M59" s="304"/>
      <c r="N59" s="194"/>
      <c r="O59" s="202"/>
    </row>
    <row r="60" spans="2:16" s="214" customFormat="1" ht="13.5" customHeight="1" x14ac:dyDescent="0.2">
      <c r="C60" s="193"/>
      <c r="D60" s="300" t="s">
        <v>283</v>
      </c>
      <c r="E60" s="300"/>
      <c r="F60" s="300"/>
      <c r="G60" s="300"/>
      <c r="H60" s="300"/>
      <c r="I60" s="300"/>
      <c r="J60" s="300"/>
      <c r="K60" s="300"/>
      <c r="L60" s="300"/>
      <c r="M60" s="300"/>
      <c r="N60" s="194"/>
      <c r="O60" s="202"/>
    </row>
    <row r="61" spans="2:16" s="214" customFormat="1" ht="12" customHeight="1" x14ac:dyDescent="0.2">
      <c r="C61" s="193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194"/>
      <c r="O61" s="202"/>
    </row>
    <row r="62" spans="2:16" ht="14.25" customHeight="1" x14ac:dyDescent="0.2">
      <c r="C62" s="197"/>
      <c r="D62" s="230" t="s">
        <v>284</v>
      </c>
      <c r="E62" s="198"/>
      <c r="F62" s="198"/>
      <c r="G62" s="198"/>
      <c r="H62" s="198"/>
      <c r="I62" s="198"/>
      <c r="J62" s="198"/>
      <c r="K62" s="198"/>
      <c r="L62" s="198"/>
      <c r="M62" s="199" t="s">
        <v>210</v>
      </c>
      <c r="N62" s="200">
        <f ca="1">TODAY()</f>
        <v>43550</v>
      </c>
      <c r="O62" s="203"/>
    </row>
    <row r="63" spans="2:16" ht="7.5" customHeight="1" x14ac:dyDescent="0.2">
      <c r="B63" s="178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178"/>
    </row>
    <row r="64" spans="2:16" ht="7.5" customHeight="1" x14ac:dyDescent="0.2">
      <c r="C64" s="174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201"/>
    </row>
    <row r="65" spans="3:15" ht="18" customHeight="1" x14ac:dyDescent="0.2">
      <c r="C65" s="211"/>
      <c r="D65" s="298" t="s">
        <v>206</v>
      </c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12"/>
    </row>
    <row r="66" spans="3:15" x14ac:dyDescent="0.2">
      <c r="C66" s="174"/>
      <c r="D66" s="307" t="s">
        <v>298</v>
      </c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201"/>
    </row>
    <row r="67" spans="3:15" ht="15.75" x14ac:dyDescent="0.25">
      <c r="C67" s="174"/>
      <c r="D67" s="175"/>
      <c r="E67" s="176" t="s">
        <v>242</v>
      </c>
      <c r="F67" s="176"/>
      <c r="G67" s="176"/>
      <c r="H67" s="178"/>
      <c r="I67" s="226" t="s">
        <v>19</v>
      </c>
      <c r="J67" s="178"/>
      <c r="K67" s="183"/>
      <c r="L67" s="178"/>
      <c r="M67" s="178"/>
      <c r="N67" s="178"/>
      <c r="O67" s="201"/>
    </row>
    <row r="68" spans="3:15" ht="7.5" customHeight="1" x14ac:dyDescent="0.25">
      <c r="C68" s="174"/>
      <c r="D68" s="175"/>
      <c r="E68" s="176"/>
      <c r="F68" s="176"/>
      <c r="G68" s="176"/>
      <c r="H68" s="178"/>
      <c r="I68" s="178"/>
      <c r="J68" s="178"/>
      <c r="K68" s="183"/>
      <c r="L68" s="178"/>
      <c r="M68" s="178"/>
      <c r="N68" s="178"/>
      <c r="O68" s="201"/>
    </row>
    <row r="69" spans="3:15" ht="15.75" x14ac:dyDescent="0.25">
      <c r="C69" s="174"/>
      <c r="D69" s="179" t="s">
        <v>266</v>
      </c>
      <c r="E69" s="180"/>
      <c r="F69" s="180"/>
      <c r="G69" s="180"/>
      <c r="H69" s="178"/>
      <c r="I69" s="178"/>
      <c r="J69" s="178"/>
      <c r="K69" s="178"/>
      <c r="L69" s="178"/>
      <c r="M69" s="178"/>
      <c r="N69" s="178"/>
      <c r="O69" s="201"/>
    </row>
    <row r="70" spans="3:15" ht="15" x14ac:dyDescent="0.25">
      <c r="C70" s="174"/>
      <c r="D70" s="178"/>
      <c r="E70" s="176" t="s">
        <v>285</v>
      </c>
      <c r="F70" s="178"/>
      <c r="G70" s="178"/>
      <c r="H70" s="178"/>
      <c r="I70" s="227">
        <v>0.03</v>
      </c>
      <c r="J70" s="178" t="s">
        <v>267</v>
      </c>
      <c r="K70" s="178"/>
      <c r="L70" s="178"/>
      <c r="M70" s="178"/>
      <c r="N70" s="178"/>
      <c r="O70" s="201"/>
    </row>
    <row r="71" spans="3:15" ht="6" customHeight="1" x14ac:dyDescent="0.25">
      <c r="C71" s="174"/>
      <c r="D71" s="175"/>
      <c r="E71" s="176"/>
      <c r="F71" s="176"/>
      <c r="G71" s="176"/>
      <c r="H71" s="178"/>
      <c r="I71" s="225"/>
      <c r="J71" s="178"/>
      <c r="K71" s="183"/>
      <c r="L71" s="178"/>
      <c r="M71" s="178"/>
      <c r="N71" s="178"/>
      <c r="O71" s="201"/>
    </row>
    <row r="72" spans="3:15" ht="15.75" x14ac:dyDescent="0.25">
      <c r="C72" s="174"/>
      <c r="D72" s="179" t="s">
        <v>212</v>
      </c>
      <c r="E72" s="180"/>
      <c r="F72" s="180"/>
      <c r="G72" s="180"/>
      <c r="H72" s="178"/>
      <c r="I72" s="178"/>
      <c r="J72" s="178"/>
      <c r="K72" s="178"/>
      <c r="L72" s="178"/>
      <c r="M72" s="178"/>
      <c r="N72" s="178"/>
      <c r="O72" s="201"/>
    </row>
    <row r="73" spans="3:15" ht="15" x14ac:dyDescent="0.25">
      <c r="C73" s="174"/>
      <c r="D73" s="178"/>
      <c r="E73" s="176" t="s">
        <v>213</v>
      </c>
      <c r="F73" s="176"/>
      <c r="G73" s="176"/>
      <c r="H73" s="178"/>
      <c r="I73" s="178" t="str">
        <f ca="1">IF(I23=0,"",CONCATENATE("Participante Ativo ",RESULTADOS!C17))</f>
        <v/>
      </c>
      <c r="J73" s="178"/>
      <c r="K73" s="178"/>
      <c r="L73" s="178"/>
      <c r="M73" s="178"/>
      <c r="N73" s="178"/>
      <c r="O73" s="201"/>
    </row>
    <row r="74" spans="3:15" ht="6" customHeight="1" x14ac:dyDescent="0.2">
      <c r="C74" s="174"/>
      <c r="D74" s="175"/>
      <c r="E74" s="178"/>
      <c r="F74" s="178"/>
      <c r="G74" s="178"/>
      <c r="H74" s="178"/>
      <c r="I74" s="178"/>
      <c r="J74" s="175"/>
      <c r="K74" s="184"/>
      <c r="L74" s="184"/>
      <c r="M74" s="184"/>
      <c r="N74" s="184"/>
      <c r="O74" s="201"/>
    </row>
    <row r="75" spans="3:15" ht="15" x14ac:dyDescent="0.25">
      <c r="C75" s="174"/>
      <c r="D75" s="178"/>
      <c r="E75" s="176" t="s">
        <v>273</v>
      </c>
      <c r="F75" s="176"/>
      <c r="G75" s="176"/>
      <c r="H75" s="178"/>
      <c r="I75" s="215" t="str">
        <f ca="1">IFERROR(IF(I23=0,"",IF(RESULTADOS!C17=PREMISSAS!U12,I23-PREMISSA_TETO,"Definido pelo Participante, igual a:")),"")</f>
        <v/>
      </c>
      <c r="J75" s="178"/>
      <c r="K75" s="178"/>
      <c r="L75" s="178"/>
      <c r="M75" s="301"/>
      <c r="N75" s="301"/>
      <c r="O75" s="201"/>
    </row>
    <row r="76" spans="3:15" ht="6" customHeight="1" x14ac:dyDescent="0.2">
      <c r="C76" s="174"/>
      <c r="D76" s="175"/>
      <c r="E76" s="178"/>
      <c r="F76" s="178"/>
      <c r="G76" s="178"/>
      <c r="H76" s="178"/>
      <c r="I76" s="178"/>
      <c r="J76" s="175"/>
      <c r="K76" s="175"/>
      <c r="L76" s="175"/>
      <c r="M76" s="175"/>
      <c r="N76" s="175"/>
      <c r="O76" s="201"/>
    </row>
    <row r="77" spans="3:15" ht="15" x14ac:dyDescent="0.25">
      <c r="C77" s="174"/>
      <c r="D77" s="178"/>
      <c r="E77" s="176" t="str">
        <f ca="1">IF(RESULTADOS!C17=PREMISSAS!$U$12,"Percentual da Contribuição Básica:","Percentual da Contribuição Alternativa:")</f>
        <v>Percentual da Contribuição Alternativa:</v>
      </c>
      <c r="F77" s="176"/>
      <c r="G77" s="176"/>
      <c r="H77" s="178"/>
      <c r="I77" s="227">
        <v>8.5000000000000006E-2</v>
      </c>
      <c r="J77" s="178"/>
      <c r="K77" s="183" t="str">
        <f ca="1">IFERROR(IF(I23=0,"","Valor equivale a "&amp;TEXT(I77*IF(RESULTADOS!C17=PREMISSAS!$U$12,RESULTADOS!C7-PREMISSA_TETO,RESULTADOS!F17),"R$#0,00")&amp;"."),"")</f>
        <v/>
      </c>
      <c r="L77" s="178"/>
      <c r="M77" s="178"/>
      <c r="N77" s="178"/>
      <c r="O77" s="201"/>
    </row>
    <row r="78" spans="3:15" ht="6" customHeight="1" x14ac:dyDescent="0.2">
      <c r="C78" s="174"/>
      <c r="D78" s="175"/>
      <c r="E78" s="178"/>
      <c r="F78" s="178"/>
      <c r="G78" s="178"/>
      <c r="H78" s="178"/>
      <c r="I78" s="178"/>
      <c r="J78" s="175"/>
      <c r="K78" s="184"/>
      <c r="L78" s="184"/>
      <c r="M78" s="184"/>
      <c r="N78" s="184"/>
      <c r="O78" s="201"/>
    </row>
    <row r="79" spans="3:15" ht="15" x14ac:dyDescent="0.25">
      <c r="C79" s="174"/>
      <c r="D79" s="178"/>
      <c r="E79" s="176" t="s">
        <v>282</v>
      </c>
      <c r="F79" s="176"/>
      <c r="G79" s="176"/>
      <c r="H79" s="178"/>
      <c r="I79" s="309" t="s">
        <v>244</v>
      </c>
      <c r="J79" s="309"/>
      <c r="K79" s="309"/>
      <c r="L79" s="309"/>
      <c r="M79" s="310"/>
      <c r="N79" s="178"/>
      <c r="O79" s="201"/>
    </row>
    <row r="80" spans="3:15" ht="6" customHeight="1" x14ac:dyDescent="0.2">
      <c r="C80" s="174"/>
      <c r="D80" s="175"/>
      <c r="E80" s="178"/>
      <c r="F80" s="178"/>
      <c r="G80" s="178"/>
      <c r="H80" s="178"/>
      <c r="I80" s="178"/>
      <c r="J80" s="175"/>
      <c r="K80" s="175"/>
      <c r="L80" s="175"/>
      <c r="M80" s="175"/>
      <c r="N80" s="175"/>
      <c r="O80" s="201"/>
    </row>
    <row r="81" spans="3:15" ht="15" x14ac:dyDescent="0.25">
      <c r="C81" s="174"/>
      <c r="D81" s="178"/>
      <c r="E81" s="176" t="s">
        <v>246</v>
      </c>
      <c r="F81" s="178"/>
      <c r="G81" s="178"/>
      <c r="H81" s="178"/>
      <c r="I81" s="319">
        <v>0</v>
      </c>
      <c r="J81" s="320"/>
      <c r="K81" s="178"/>
      <c r="L81" s="178"/>
      <c r="M81" s="178"/>
      <c r="N81" s="178"/>
      <c r="O81" s="201"/>
    </row>
    <row r="82" spans="3:15" ht="6" customHeight="1" x14ac:dyDescent="0.2">
      <c r="C82" s="174"/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201"/>
    </row>
    <row r="83" spans="3:15" ht="15" customHeight="1" x14ac:dyDescent="0.25">
      <c r="C83" s="174"/>
      <c r="D83" s="178"/>
      <c r="E83" s="176" t="s">
        <v>290</v>
      </c>
      <c r="F83" s="176"/>
      <c r="G83" s="176"/>
      <c r="H83" s="178"/>
      <c r="I83" s="215" t="str">
        <f ca="1">IFERROR(I75*RESULTADOS!C18,"")</f>
        <v/>
      </c>
      <c r="J83" s="178"/>
      <c r="K83" s="234"/>
      <c r="L83" s="234"/>
      <c r="M83" s="234"/>
      <c r="N83" s="234"/>
      <c r="O83" s="201"/>
    </row>
    <row r="84" spans="3:15" ht="27.75" customHeight="1" x14ac:dyDescent="0.2">
      <c r="C84" s="174"/>
      <c r="D84" s="175"/>
      <c r="E84" s="317" t="s">
        <v>295</v>
      </c>
      <c r="F84" s="317"/>
      <c r="G84" s="317"/>
      <c r="H84" s="317"/>
      <c r="I84" s="317"/>
      <c r="J84" s="317"/>
      <c r="K84" s="317"/>
      <c r="L84" s="317"/>
      <c r="M84" s="317"/>
      <c r="N84" s="317"/>
      <c r="O84" s="201"/>
    </row>
    <row r="85" spans="3:15" ht="6" customHeight="1" x14ac:dyDescent="0.2">
      <c r="C85" s="174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201"/>
    </row>
    <row r="86" spans="3:15" ht="15.75" x14ac:dyDescent="0.25">
      <c r="C86" s="174"/>
      <c r="D86" s="179" t="s">
        <v>218</v>
      </c>
      <c r="E86" s="190"/>
      <c r="F86" s="190"/>
      <c r="G86" s="190"/>
      <c r="H86" s="178"/>
      <c r="I86" s="178"/>
      <c r="J86" s="178"/>
      <c r="K86" s="178"/>
      <c r="L86" s="178"/>
      <c r="M86" s="178"/>
      <c r="N86" s="178"/>
      <c r="O86" s="201"/>
    </row>
    <row r="87" spans="3:15" ht="15.75" customHeight="1" x14ac:dyDescent="0.25">
      <c r="C87" s="174"/>
      <c r="D87" s="181"/>
      <c r="E87" s="176" t="s">
        <v>215</v>
      </c>
      <c r="F87" s="176"/>
      <c r="G87" s="176"/>
      <c r="H87" s="178"/>
      <c r="I87" s="216">
        <f ca="1">RESULTADOS!L26</f>
        <v>50241</v>
      </c>
      <c r="J87" s="178"/>
      <c r="K87" s="183" t="str">
        <f ca="1">CONCATENATE(INT(RESULTADOS!L25)," anos e ",INT(MOD(RESULTADOS!L25*12,12))," meses completos.")</f>
        <v>62 anos e 6 meses completos.</v>
      </c>
      <c r="L87" s="178"/>
      <c r="M87" s="178"/>
      <c r="N87" s="178"/>
      <c r="O87" s="201"/>
    </row>
    <row r="88" spans="3:15" ht="6" customHeight="1" x14ac:dyDescent="0.2">
      <c r="C88" s="174"/>
      <c r="D88" s="175"/>
      <c r="E88" s="178"/>
      <c r="F88" s="178"/>
      <c r="G88" s="178"/>
      <c r="H88" s="178"/>
      <c r="I88" s="178"/>
      <c r="J88" s="175"/>
      <c r="K88" s="184"/>
      <c r="L88" s="184"/>
      <c r="M88" s="184"/>
      <c r="N88" s="184"/>
      <c r="O88" s="201"/>
    </row>
    <row r="89" spans="3:15" ht="15.75" x14ac:dyDescent="0.25">
      <c r="C89" s="174"/>
      <c r="D89" s="175"/>
      <c r="E89" s="176" t="s">
        <v>216</v>
      </c>
      <c r="F89" s="176"/>
      <c r="G89" s="176"/>
      <c r="H89" s="178"/>
      <c r="I89" s="226" t="s">
        <v>19</v>
      </c>
      <c r="J89" s="178"/>
      <c r="K89" s="183"/>
      <c r="L89" s="178"/>
      <c r="M89" s="178"/>
      <c r="N89" s="178"/>
      <c r="O89" s="201"/>
    </row>
    <row r="90" spans="3:15" ht="6" customHeight="1" x14ac:dyDescent="0.2">
      <c r="C90" s="174"/>
      <c r="D90" s="175"/>
      <c r="E90" s="178"/>
      <c r="F90" s="178"/>
      <c r="G90" s="178"/>
      <c r="H90" s="178"/>
      <c r="I90" s="178"/>
      <c r="J90" s="175"/>
      <c r="K90" s="184"/>
      <c r="L90" s="184"/>
      <c r="M90" s="184"/>
      <c r="N90" s="184"/>
      <c r="O90" s="201"/>
    </row>
    <row r="91" spans="3:15" ht="15" x14ac:dyDescent="0.25">
      <c r="C91" s="174"/>
      <c r="D91" s="178"/>
      <c r="E91" s="176" t="str">
        <f>IF(I89="Não","","Qual a idade de aposentadoria desejada?")</f>
        <v/>
      </c>
      <c r="F91" s="176"/>
      <c r="G91" s="176"/>
      <c r="H91" s="178"/>
      <c r="I91" s="226">
        <v>65</v>
      </c>
      <c r="J91" s="178" t="str">
        <f>IF(I89="Não","","anos")</f>
        <v/>
      </c>
      <c r="K91" s="178"/>
      <c r="L91" s="178"/>
      <c r="M91" s="178"/>
      <c r="N91" s="178"/>
      <c r="O91" s="201"/>
    </row>
    <row r="92" spans="3:15" ht="6" customHeight="1" x14ac:dyDescent="0.2">
      <c r="C92" s="174"/>
      <c r="D92" s="175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201"/>
    </row>
    <row r="93" spans="3:15" ht="15.75" x14ac:dyDescent="0.25">
      <c r="C93" s="174"/>
      <c r="D93" s="175"/>
      <c r="E93" s="176" t="s">
        <v>291</v>
      </c>
      <c r="F93" s="178"/>
      <c r="G93" s="178"/>
      <c r="H93" s="178"/>
      <c r="I93" s="318">
        <f ca="1">IFERROR('CÁLCULO FUNPRESP'!Y5,"")</f>
        <v>0</v>
      </c>
      <c r="J93" s="318"/>
      <c r="K93" s="178"/>
      <c r="L93" s="178"/>
      <c r="M93" s="178"/>
      <c r="N93" s="178"/>
      <c r="O93" s="201"/>
    </row>
    <row r="94" spans="3:15" ht="6" customHeight="1" x14ac:dyDescent="0.2">
      <c r="C94" s="174"/>
      <c r="D94" s="175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201"/>
    </row>
    <row r="95" spans="3:15" ht="15.75" x14ac:dyDescent="0.25">
      <c r="C95" s="174"/>
      <c r="D95" s="179" t="s">
        <v>243</v>
      </c>
      <c r="E95" s="190"/>
      <c r="F95" s="190"/>
      <c r="G95" s="190"/>
      <c r="H95" s="178"/>
      <c r="I95" s="231" t="s">
        <v>268</v>
      </c>
      <c r="J95" s="221"/>
      <c r="K95" s="221"/>
      <c r="L95" s="221"/>
      <c r="M95" s="221"/>
      <c r="N95" s="221"/>
      <c r="O95" s="201"/>
    </row>
    <row r="96" spans="3:15" ht="15" customHeight="1" x14ac:dyDescent="0.2">
      <c r="C96" s="174"/>
      <c r="D96" s="178"/>
      <c r="E96" s="188" t="s">
        <v>250</v>
      </c>
      <c r="G96" s="189">
        <f ca="1">RESULTADOS!L32</f>
        <v>0</v>
      </c>
      <c r="H96" s="178"/>
      <c r="I96" s="188" t="s">
        <v>250</v>
      </c>
      <c r="K96" s="178"/>
      <c r="L96" s="178"/>
      <c r="M96" s="312">
        <f ca="1">G96</f>
        <v>0</v>
      </c>
      <c r="N96" s="312"/>
      <c r="O96" s="201"/>
    </row>
    <row r="97" spans="3:18" x14ac:dyDescent="0.2">
      <c r="C97" s="174"/>
      <c r="D97" s="178"/>
      <c r="E97" s="188" t="s">
        <v>251</v>
      </c>
      <c r="G97" s="218">
        <f ca="1">RESULTADOS!L35</f>
        <v>0</v>
      </c>
      <c r="H97" s="178"/>
      <c r="I97" s="188" t="s">
        <v>251</v>
      </c>
      <c r="K97" s="178"/>
      <c r="L97" s="178"/>
      <c r="M97" s="313">
        <f ca="1">G97</f>
        <v>0</v>
      </c>
      <c r="N97" s="313"/>
      <c r="O97" s="201"/>
    </row>
    <row r="98" spans="3:18" x14ac:dyDescent="0.2">
      <c r="C98" s="174"/>
      <c r="D98" s="178"/>
      <c r="E98" s="188" t="s">
        <v>252</v>
      </c>
      <c r="G98" s="189">
        <f ca="1">SUM(G96:G97)</f>
        <v>0</v>
      </c>
      <c r="H98" s="178"/>
      <c r="I98" s="188" t="s">
        <v>223</v>
      </c>
      <c r="J98" s="178"/>
      <c r="K98" s="178"/>
      <c r="L98" s="178"/>
      <c r="M98" s="313">
        <f ca="1">I38</f>
        <v>0</v>
      </c>
      <c r="N98" s="313"/>
      <c r="O98" s="201"/>
    </row>
    <row r="99" spans="3:18" x14ac:dyDescent="0.2">
      <c r="C99" s="174"/>
      <c r="D99" s="178"/>
      <c r="E99" s="186" t="s">
        <v>253</v>
      </c>
      <c r="G99" s="219">
        <f ca="1">RESULTADOS!L33+RESULTADOS!L36</f>
        <v>0</v>
      </c>
      <c r="H99" s="178"/>
      <c r="I99" s="188" t="s">
        <v>289</v>
      </c>
      <c r="J99" s="178"/>
      <c r="K99" s="178"/>
      <c r="L99" s="178"/>
      <c r="M99" s="314">
        <f ca="1">I39</f>
        <v>0</v>
      </c>
      <c r="N99" s="314"/>
      <c r="O99" s="201"/>
    </row>
    <row r="100" spans="3:18" ht="15" x14ac:dyDescent="0.25">
      <c r="C100" s="174"/>
      <c r="D100" s="178"/>
      <c r="E100" s="188" t="s">
        <v>254</v>
      </c>
      <c r="F100" s="178"/>
      <c r="G100" s="189">
        <f ca="1">IF($I$79=PREMISSAS!$U$15,RESULTADOS!L47,RESULTADOS!L41)</f>
        <v>0</v>
      </c>
      <c r="H100" s="178"/>
      <c r="I100" s="176" t="s">
        <v>252</v>
      </c>
      <c r="J100" s="178"/>
      <c r="K100" s="178"/>
      <c r="L100" s="178"/>
      <c r="M100" s="315">
        <f ca="1">SUM(M96:N99)</f>
        <v>0</v>
      </c>
      <c r="N100" s="315"/>
      <c r="O100" s="201"/>
    </row>
    <row r="101" spans="3:18" x14ac:dyDescent="0.2">
      <c r="C101" s="174"/>
      <c r="D101" s="178"/>
      <c r="E101" s="186" t="str">
        <f>IF(I79=PREMISSAS!$U$15,"(-) Imposto de Renda - tabela regressiva","(-) Imposto de Renda - tabela progressiva")</f>
        <v>(-) Imposto de Renda - tabela regressiva</v>
      </c>
      <c r="F101" s="178"/>
      <c r="G101" s="219">
        <f ca="1">IF($I$79=PREMISSAS!$U$15,RESULTADOS!L48,RESULTADOS!L42)</f>
        <v>0</v>
      </c>
      <c r="H101" s="178"/>
      <c r="I101" s="232" t="s">
        <v>287</v>
      </c>
      <c r="J101" s="178"/>
      <c r="K101" s="178"/>
      <c r="L101" s="178"/>
      <c r="M101" s="316">
        <f ca="1">IFERROR(I42+G99+G101,0)</f>
        <v>0</v>
      </c>
      <c r="N101" s="316"/>
      <c r="O101" s="201"/>
    </row>
    <row r="102" spans="3:18" ht="15.75" x14ac:dyDescent="0.25">
      <c r="C102" s="174"/>
      <c r="D102" s="178"/>
      <c r="E102" s="176" t="s">
        <v>255</v>
      </c>
      <c r="F102" s="178"/>
      <c r="G102" s="185">
        <f ca="1">IF($I$79=PREMISSAS!$U$15,RESULTADOS!L49,RESULTADOS!L43)</f>
        <v>0</v>
      </c>
      <c r="H102" s="178"/>
      <c r="I102" s="176" t="s">
        <v>188</v>
      </c>
      <c r="J102" s="175"/>
      <c r="K102" s="184"/>
      <c r="L102" s="184"/>
      <c r="M102" s="315">
        <f ca="1">M100+M101</f>
        <v>0</v>
      </c>
      <c r="N102" s="315"/>
      <c r="O102" s="201"/>
      <c r="R102" s="233"/>
    </row>
    <row r="103" spans="3:18" ht="15" x14ac:dyDescent="0.2">
      <c r="C103" s="174"/>
      <c r="D103" s="175"/>
      <c r="E103" s="235" t="s">
        <v>294</v>
      </c>
      <c r="F103" s="221"/>
      <c r="G103" s="218"/>
      <c r="H103" s="221"/>
      <c r="I103" s="217"/>
      <c r="J103" s="178"/>
      <c r="K103" s="178"/>
      <c r="L103" s="178"/>
      <c r="M103" s="178"/>
      <c r="N103" s="178"/>
      <c r="O103" s="201"/>
    </row>
    <row r="104" spans="3:18" ht="17.25" customHeight="1" x14ac:dyDescent="0.2">
      <c r="C104" s="174"/>
      <c r="D104" s="178"/>
      <c r="H104" s="178"/>
      <c r="I104" s="178"/>
      <c r="J104" s="178"/>
      <c r="K104" s="178"/>
      <c r="L104" s="178"/>
      <c r="M104" s="178"/>
      <c r="N104" s="178"/>
      <c r="O104" s="201"/>
    </row>
    <row r="105" spans="3:18" x14ac:dyDescent="0.2">
      <c r="C105" s="174"/>
      <c r="D105" s="178"/>
      <c r="H105" s="178"/>
      <c r="I105" s="178"/>
      <c r="J105" s="178"/>
      <c r="K105" s="178"/>
      <c r="L105" s="178"/>
      <c r="M105" s="178"/>
      <c r="N105" s="178"/>
      <c r="O105" s="201"/>
    </row>
    <row r="106" spans="3:18" x14ac:dyDescent="0.2">
      <c r="C106" s="174"/>
      <c r="D106" s="178"/>
      <c r="H106" s="178"/>
      <c r="I106" s="178"/>
      <c r="J106" s="178"/>
      <c r="K106" s="178"/>
      <c r="L106" s="178"/>
      <c r="M106" s="178"/>
      <c r="N106" s="178"/>
      <c r="O106" s="201"/>
    </row>
    <row r="107" spans="3:18" x14ac:dyDescent="0.2">
      <c r="C107" s="174"/>
      <c r="D107" s="178"/>
      <c r="H107" s="178"/>
      <c r="I107" s="178"/>
      <c r="J107" s="178"/>
      <c r="K107" s="178"/>
      <c r="L107" s="178"/>
      <c r="M107" s="178"/>
      <c r="N107" s="178"/>
      <c r="O107" s="201"/>
    </row>
    <row r="108" spans="3:18" x14ac:dyDescent="0.2">
      <c r="C108" s="174"/>
      <c r="D108" s="178"/>
      <c r="H108" s="178"/>
      <c r="I108" s="178"/>
      <c r="J108" s="178"/>
      <c r="K108" s="178"/>
      <c r="L108" s="178"/>
      <c r="M108" s="178"/>
      <c r="N108" s="178"/>
      <c r="O108" s="201"/>
    </row>
    <row r="109" spans="3:18" ht="31.5" customHeight="1" x14ac:dyDescent="0.25">
      <c r="C109" s="174"/>
      <c r="D109" s="178"/>
      <c r="E109" s="178"/>
      <c r="F109" s="178"/>
      <c r="G109" s="178"/>
      <c r="H109" s="178"/>
      <c r="I109" s="220"/>
      <c r="J109" s="178"/>
      <c r="K109" s="178"/>
      <c r="L109" s="178"/>
      <c r="M109" s="178"/>
      <c r="N109" s="178"/>
      <c r="O109" s="201"/>
    </row>
    <row r="110" spans="3:18" ht="7.5" customHeight="1" x14ac:dyDescent="0.25">
      <c r="C110" s="174"/>
      <c r="D110" s="220"/>
      <c r="E110" s="178"/>
      <c r="F110" s="178"/>
      <c r="G110" s="178"/>
      <c r="H110" s="178"/>
      <c r="O110" s="201"/>
    </row>
    <row r="111" spans="3:18" ht="14.25" customHeight="1" x14ac:dyDescent="0.2">
      <c r="C111" s="222"/>
      <c r="D111" s="311" t="s">
        <v>256</v>
      </c>
      <c r="E111" s="311"/>
      <c r="F111" s="311"/>
      <c r="G111" s="311"/>
      <c r="H111" s="311" t="s">
        <v>257</v>
      </c>
      <c r="I111" s="311"/>
      <c r="J111" s="311"/>
      <c r="K111" s="311"/>
      <c r="L111" s="311"/>
      <c r="M111" s="311"/>
      <c r="N111" s="311"/>
      <c r="O111" s="201"/>
    </row>
    <row r="112" spans="3:18" ht="6.75" customHeight="1" x14ac:dyDescent="0.2">
      <c r="C112" s="174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/>
      <c r="O112" s="201"/>
    </row>
    <row r="113" spans="3:15" x14ac:dyDescent="0.2">
      <c r="C113" s="174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201"/>
    </row>
    <row r="114" spans="3:15" x14ac:dyDescent="0.2">
      <c r="C114" s="174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/>
      <c r="O114" s="201"/>
    </row>
    <row r="115" spans="3:15" x14ac:dyDescent="0.2">
      <c r="C115" s="174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201"/>
    </row>
    <row r="116" spans="3:15" x14ac:dyDescent="0.2">
      <c r="C116" s="174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/>
      <c r="O116" s="201"/>
    </row>
    <row r="117" spans="3:15" x14ac:dyDescent="0.2">
      <c r="C117" s="174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201"/>
    </row>
    <row r="118" spans="3:15" x14ac:dyDescent="0.2">
      <c r="C118" s="174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201"/>
    </row>
    <row r="119" spans="3:15" x14ac:dyDescent="0.2">
      <c r="C119" s="174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8"/>
      <c r="O119" s="201"/>
    </row>
    <row r="120" spans="3:15" x14ac:dyDescent="0.2">
      <c r="C120" s="174"/>
      <c r="D120" s="178"/>
      <c r="E120" s="178"/>
      <c r="F120" s="178"/>
      <c r="G120" s="178"/>
      <c r="H120" s="178"/>
      <c r="I120" s="178"/>
      <c r="J120" s="178"/>
      <c r="K120" s="178"/>
      <c r="L120" s="178"/>
      <c r="M120" s="178"/>
      <c r="N120" s="178"/>
      <c r="O120" s="201"/>
    </row>
    <row r="121" spans="3:15" x14ac:dyDescent="0.2">
      <c r="C121" s="174"/>
      <c r="D121" s="178"/>
      <c r="E121" s="178"/>
      <c r="F121" s="178"/>
      <c r="G121" s="178"/>
      <c r="H121" s="178"/>
      <c r="I121" s="178"/>
      <c r="J121" s="178"/>
      <c r="K121" s="178"/>
      <c r="L121" s="178"/>
      <c r="M121" s="178"/>
      <c r="N121" s="178"/>
      <c r="O121" s="201"/>
    </row>
    <row r="122" spans="3:15" x14ac:dyDescent="0.2">
      <c r="C122" s="174"/>
      <c r="D122" s="178"/>
      <c r="E122" s="178"/>
      <c r="F122" s="178"/>
      <c r="G122" s="178"/>
      <c r="H122" s="178"/>
      <c r="I122" s="178"/>
      <c r="J122" s="178"/>
      <c r="K122" s="178"/>
      <c r="L122" s="178"/>
      <c r="M122" s="178"/>
      <c r="N122" s="178"/>
      <c r="O122" s="201"/>
    </row>
    <row r="123" spans="3:15" ht="11.25" customHeight="1" x14ac:dyDescent="0.2">
      <c r="C123" s="174"/>
      <c r="D123" s="308" t="s">
        <v>281</v>
      </c>
      <c r="E123" s="308"/>
      <c r="F123" s="308"/>
      <c r="G123" s="308"/>
      <c r="H123" s="308"/>
      <c r="I123" s="308"/>
      <c r="J123" s="308"/>
      <c r="K123" s="308"/>
      <c r="L123" s="308"/>
      <c r="M123" s="308"/>
      <c r="N123" s="178"/>
      <c r="O123" s="201"/>
    </row>
    <row r="124" spans="3:15" ht="11.25" customHeight="1" x14ac:dyDescent="0.2">
      <c r="C124" s="174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178"/>
      <c r="O124" s="201"/>
    </row>
    <row r="125" spans="3:15" ht="11.25" customHeight="1" x14ac:dyDescent="0.2">
      <c r="C125" s="197"/>
      <c r="D125" s="230" t="s">
        <v>284</v>
      </c>
      <c r="E125" s="221"/>
      <c r="F125" s="221"/>
      <c r="G125" s="221"/>
      <c r="H125" s="221"/>
      <c r="I125" s="221"/>
      <c r="J125" s="221"/>
      <c r="K125" s="221"/>
      <c r="L125" s="221"/>
      <c r="M125" s="199" t="s">
        <v>210</v>
      </c>
      <c r="N125" s="200">
        <f ca="1">TODAY()</f>
        <v>43550</v>
      </c>
      <c r="O125" s="203"/>
    </row>
  </sheetData>
  <sheetProtection algorithmName="SHA-512" hashValue="xdx+8VrQ6N7343oBhfPLhKiWF55OSuaQIzd/MzpAB9F/vImJuP2j5hjaAk4+UDJ/dTbxv+n6mZI2iLLcX2h6eg==" saltValue="wB7W2SKP24g6TtStAonKhQ==" spinCount="100000" sheet="1" objects="1" scenarios="1"/>
  <mergeCells count="31">
    <mergeCell ref="D66:N66"/>
    <mergeCell ref="D123:M124"/>
    <mergeCell ref="I79:M79"/>
    <mergeCell ref="D111:G111"/>
    <mergeCell ref="H111:N111"/>
    <mergeCell ref="M96:N96"/>
    <mergeCell ref="M97:N97"/>
    <mergeCell ref="M98:N98"/>
    <mergeCell ref="M99:N99"/>
    <mergeCell ref="M100:N100"/>
    <mergeCell ref="M102:N102"/>
    <mergeCell ref="M101:N101"/>
    <mergeCell ref="E84:N84"/>
    <mergeCell ref="I93:J93"/>
    <mergeCell ref="I81:J81"/>
    <mergeCell ref="D2:N4"/>
    <mergeCell ref="D6:N6"/>
    <mergeCell ref="J23:N24"/>
    <mergeCell ref="D60:M61"/>
    <mergeCell ref="M75:N75"/>
    <mergeCell ref="E46:I46"/>
    <mergeCell ref="K46:M46"/>
    <mergeCell ref="F59:M59"/>
    <mergeCell ref="D65:N65"/>
    <mergeCell ref="K48:M48"/>
    <mergeCell ref="K50:M50"/>
    <mergeCell ref="K52:M52"/>
    <mergeCell ref="E52:I52"/>
    <mergeCell ref="D7:N7"/>
    <mergeCell ref="K54:M54"/>
    <mergeCell ref="K56:M56"/>
  </mergeCells>
  <conditionalFormatting sqref="I38 I40 G103 G107:G108 M96:M97">
    <cfRule type="expression" dxfId="40" priority="79">
      <formula>$I$23=0</formula>
    </cfRule>
  </conditionalFormatting>
  <conditionalFormatting sqref="K21:N21">
    <cfRule type="expression" dxfId="39" priority="78">
      <formula>$I$21="Não"</formula>
    </cfRule>
  </conditionalFormatting>
  <conditionalFormatting sqref="I91">
    <cfRule type="expression" dxfId="38" priority="77">
      <formula>$I$89="Não"</formula>
    </cfRule>
  </conditionalFormatting>
  <conditionalFormatting sqref="I31:I32">
    <cfRule type="expression" dxfId="37" priority="75">
      <formula>$I$23=0</formula>
    </cfRule>
    <cfRule type="expression" dxfId="36" priority="76">
      <formula>#REF!="NÃO"</formula>
    </cfRule>
  </conditionalFormatting>
  <conditionalFormatting sqref="I33">
    <cfRule type="expression" dxfId="35" priority="73">
      <formula>$I$23=0</formula>
    </cfRule>
    <cfRule type="expression" dxfId="34" priority="74">
      <formula>#REF!="NÃO"</formula>
    </cfRule>
  </conditionalFormatting>
  <conditionalFormatting sqref="I34">
    <cfRule type="expression" dxfId="33" priority="71">
      <formula>$I$23=0</formula>
    </cfRule>
    <cfRule type="expression" dxfId="32" priority="72">
      <formula>#REF!="NÃO"</formula>
    </cfRule>
  </conditionalFormatting>
  <conditionalFormatting sqref="I35">
    <cfRule type="expression" dxfId="31" priority="69">
      <formula>$I$23=0</formula>
    </cfRule>
    <cfRule type="expression" dxfId="30" priority="70">
      <formula>#REF!="NÃO"</formula>
    </cfRule>
  </conditionalFormatting>
  <conditionalFormatting sqref="I39">
    <cfRule type="expression" dxfId="29" priority="59">
      <formula>$I$23=0</formula>
    </cfRule>
    <cfRule type="expression" dxfId="28" priority="60">
      <formula>#REF!="NÃO"</formula>
    </cfRule>
  </conditionalFormatting>
  <conditionalFormatting sqref="I41">
    <cfRule type="expression" dxfId="27" priority="57">
      <formula>$I$23=0</formula>
    </cfRule>
    <cfRule type="expression" dxfId="26" priority="58">
      <formula>#REF!="NÃO"</formula>
    </cfRule>
  </conditionalFormatting>
  <conditionalFormatting sqref="I42">
    <cfRule type="expression" dxfId="25" priority="55">
      <formula>$I$23=0</formula>
    </cfRule>
    <cfRule type="expression" dxfId="24" priority="56">
      <formula>#REF!="NÃO"</formula>
    </cfRule>
  </conditionalFormatting>
  <conditionalFormatting sqref="I43">
    <cfRule type="expression" dxfId="23" priority="53">
      <formula>$I$23=0</formula>
    </cfRule>
    <cfRule type="expression" dxfId="22" priority="54">
      <formula>#REF!="NÃO"</formula>
    </cfRule>
  </conditionalFormatting>
  <conditionalFormatting sqref="K19:N19">
    <cfRule type="expression" dxfId="21" priority="52">
      <formula>$I$19="Não"</formula>
    </cfRule>
  </conditionalFormatting>
  <conditionalFormatting sqref="M75:N75">
    <cfRule type="expression" dxfId="20" priority="48">
      <formula>$I$23=0</formula>
    </cfRule>
  </conditionalFormatting>
  <conditionalFormatting sqref="K83:N83">
    <cfRule type="expression" dxfId="19" priority="49">
      <formula>$I$83="NÃO"</formula>
    </cfRule>
  </conditionalFormatting>
  <conditionalFormatting sqref="I77">
    <cfRule type="expression" dxfId="18" priority="47">
      <formula>$I$23=0</formula>
    </cfRule>
  </conditionalFormatting>
  <conditionalFormatting sqref="I83">
    <cfRule type="expression" dxfId="17" priority="46">
      <formula>$I$23=0</formula>
    </cfRule>
  </conditionalFormatting>
  <conditionalFormatting sqref="G102">
    <cfRule type="expression" dxfId="16" priority="41">
      <formula>$I$23=0</formula>
    </cfRule>
  </conditionalFormatting>
  <conditionalFormatting sqref="G100">
    <cfRule type="expression" dxfId="15" priority="39">
      <formula>$I$23=0</formula>
    </cfRule>
  </conditionalFormatting>
  <conditionalFormatting sqref="G98">
    <cfRule type="expression" dxfId="14" priority="37">
      <formula>$I$23=0</formula>
    </cfRule>
  </conditionalFormatting>
  <conditionalFormatting sqref="G96:G97">
    <cfRule type="expression" dxfId="13" priority="35">
      <formula>$I$23=0</formula>
    </cfRule>
  </conditionalFormatting>
  <conditionalFormatting sqref="I70">
    <cfRule type="expression" dxfId="12" priority="26">
      <formula>$I$23=0</formula>
    </cfRule>
  </conditionalFormatting>
  <conditionalFormatting sqref="G106">
    <cfRule type="expression" dxfId="11" priority="23">
      <formula>$I$23=0</formula>
    </cfRule>
  </conditionalFormatting>
  <conditionalFormatting sqref="K15">
    <cfRule type="expression" dxfId="10" priority="22">
      <formula>$I$15=""</formula>
    </cfRule>
  </conditionalFormatting>
  <conditionalFormatting sqref="K13">
    <cfRule type="expression" dxfId="9" priority="21" stopIfTrue="1">
      <formula>$I$13=""</formula>
    </cfRule>
  </conditionalFormatting>
  <conditionalFormatting sqref="D111 H111 D112:N122 D96:M97 M100 D102:M102 D98:L101 D69:N80 D103:N110 D85:N92 D84:E84 D94:N95 D93:I93 K93:N93 D82:N83 D81:I81 K81:N81">
    <cfRule type="expression" dxfId="8" priority="20">
      <formula>$I$67="Não"</formula>
    </cfRule>
  </conditionalFormatting>
  <conditionalFormatting sqref="M102">
    <cfRule type="expression" dxfId="7" priority="11">
      <formula>$I$23=0</formula>
    </cfRule>
  </conditionalFormatting>
  <conditionalFormatting sqref="M100">
    <cfRule type="expression" dxfId="6" priority="10">
      <formula>$I$23=0</formula>
    </cfRule>
  </conditionalFormatting>
  <conditionalFormatting sqref="M98">
    <cfRule type="expression" dxfId="5" priority="5">
      <formula>$I$23=0</formula>
    </cfRule>
  </conditionalFormatting>
  <conditionalFormatting sqref="M99">
    <cfRule type="expression" dxfId="4" priority="3">
      <formula>$I$23=0</formula>
    </cfRule>
  </conditionalFormatting>
  <conditionalFormatting sqref="M99:N99">
    <cfRule type="expression" dxfId="3" priority="2">
      <formula>$I$67="Não"</formula>
    </cfRule>
  </conditionalFormatting>
  <conditionalFormatting sqref="M98">
    <cfRule type="expression" dxfId="2" priority="4">
      <formula>$I$67="Não"</formula>
    </cfRule>
  </conditionalFormatting>
  <conditionalFormatting sqref="M101:N101">
    <cfRule type="expression" dxfId="1" priority="1">
      <formula>$I$67="Não"</formula>
    </cfRule>
  </conditionalFormatting>
  <dataValidations count="5">
    <dataValidation type="whole" allowBlank="1" showInputMessage="1" showErrorMessage="1" sqref="K19">
      <formula1>0</formula1>
      <formula2>45</formula2>
    </dataValidation>
    <dataValidation type="whole" allowBlank="1" showInputMessage="1" showErrorMessage="1" sqref="M21 M19">
      <formula1>0</formula1>
      <formula2>11</formula2>
    </dataValidation>
    <dataValidation type="whole" allowBlank="1" showInputMessage="1" showErrorMessage="1" sqref="K21">
      <formula1>0</formula1>
      <formula2>50</formula2>
    </dataValidation>
    <dataValidation type="decimal" allowBlank="1" showInputMessage="1" showErrorMessage="1" errorTitle="Rentabilidade Incompatível" error="A rentabilidade esperada deve estar entre 3% e 6%a.a.._x000a_" promptTitle="Rentabilidade real esperada." prompt="A rentabilidade esperada deve estar entre 3% e 6%a.a.." sqref="I70">
      <formula1>0.03</formula1>
      <formula2>0.06</formula2>
    </dataValidation>
    <dataValidation type="decimal" allowBlank="1" showInputMessage="1" showErrorMessage="1" errorTitle="Cresc. Salarial Incompatível" error="O crescimento salarial, para fins da simulação deve ser no máximo igual a 5%a.a.." sqref="I25">
      <formula1>0</formula1>
      <formula2>0.05</formula2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3" fitToWidth="0" orientation="portrait" r:id="rId1"/>
  <rowBreaks count="1" manualBreakCount="1">
    <brk id="63" min="2" max="1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307B5FCB-DF53-4037-A93A-8940E0D9411F}">
            <xm:f>RESULTADOS!$C$17=PREMISSAS!$U$12</xm:f>
            <x14:dxf>
              <font>
                <color theme="0"/>
              </font>
            </x14:dxf>
          </x14:cfRule>
          <xm:sqref>M75:N75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PREMISSAS!$U$2:$U$3</xm:f>
          </x14:formula1>
          <xm:sqref>I11</xm:sqref>
        </x14:dataValidation>
        <x14:dataValidation type="list" allowBlank="1" showInputMessage="1" showErrorMessage="1">
          <x14:formula1>
            <xm:f>PREMISSAS!$U$5:$U$6</xm:f>
          </x14:formula1>
          <xm:sqref>I17 I21 I89 I19 I67</xm:sqref>
        </x14:dataValidation>
        <x14:dataValidation type="list" allowBlank="1" showInputMessage="1" showErrorMessage="1">
          <x14:formula1>
            <xm:f>PREMISSAS!$U$8:$U$10</xm:f>
          </x14:formula1>
          <xm:sqref>I77</xm:sqref>
        </x14:dataValidation>
        <x14:dataValidation type="list" allowBlank="1" showInputMessage="1" showErrorMessage="1">
          <x14:formula1>
            <xm:f>PREMISSAS!$U$15:$U$16</xm:f>
          </x14:formula1>
          <xm:sqref>I79:M79</xm:sqref>
        </x14:dataValidation>
        <x14:dataValidation type="date" allowBlank="1" showInputMessage="1" showErrorMessage="1" errorTitle="Data incompatível" error="Data de Ingresso deve representar idade de ingresso superior a 18 anos, assim como a data de instituição do RPC (04/02/2013)._x000a_">
          <x14:formula1>
            <xm:f>'Info GRaf'!D12</xm:f>
          </x14:formula1>
          <x14:formula2>
            <xm:f>PREMISSAS!D10</xm:f>
          </x14:formula2>
          <xm:sqref>I13 I15</xm:sqref>
        </x14:dataValidation>
        <x14:dataValidation type="date" operator="lessThanOrEqual" allowBlank="1" showInputMessage="1" showErrorMessage="1">
          <x14:formula1>
            <xm:f>'Info GRaf'!D10</xm:f>
          </x14:formula1>
          <xm:sqref>I9</xm:sqref>
        </x14:dataValidation>
        <x14:dataValidation type="whole" operator="greaterThan" allowBlank="1" showInputMessage="1" showErrorMessage="1">
          <x14:formula1>
            <xm:f>ELEGIBILIDADE!E19</xm:f>
          </x14:formula1>
          <xm:sqref>I91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4" tint="-0.499984740745262"/>
  </sheetPr>
  <dimension ref="A1:H656"/>
  <sheetViews>
    <sheetView topLeftCell="A202" zoomScaleNormal="100" workbookViewId="0">
      <selection activeCell="E223" sqref="E223"/>
    </sheetView>
  </sheetViews>
  <sheetFormatPr defaultRowHeight="14.25" x14ac:dyDescent="0.2"/>
  <cols>
    <col min="1" max="2" width="1.5703125" style="245" customWidth="1"/>
    <col min="3" max="3" width="12.85546875" style="245" customWidth="1"/>
    <col min="4" max="4" width="14.5703125" style="245" customWidth="1"/>
    <col min="5" max="5" width="15.5703125" style="245" customWidth="1"/>
    <col min="6" max="6" width="15.85546875" style="245" customWidth="1"/>
    <col min="7" max="8" width="1.5703125" style="245" customWidth="1"/>
    <col min="9" max="16384" width="9.140625" style="245"/>
  </cols>
  <sheetData>
    <row r="1" spans="1:8" ht="15" customHeight="1" x14ac:dyDescent="0.2">
      <c r="A1" s="243"/>
      <c r="B1" s="244"/>
      <c r="C1" s="244"/>
      <c r="D1" s="244"/>
      <c r="E1" s="244"/>
      <c r="F1" s="244"/>
      <c r="G1" s="244"/>
      <c r="H1" s="243"/>
    </row>
    <row r="2" spans="1:8" ht="63.75" customHeight="1" x14ac:dyDescent="0.2">
      <c r="A2" s="243"/>
      <c r="B2" s="244"/>
      <c r="C2" s="244"/>
      <c r="D2" s="244"/>
      <c r="E2" s="321" t="s">
        <v>205</v>
      </c>
      <c r="F2" s="321"/>
      <c r="G2" s="244"/>
      <c r="H2" s="243"/>
    </row>
    <row r="3" spans="1:8" ht="9" customHeight="1" x14ac:dyDescent="0.2">
      <c r="B3" s="246"/>
      <c r="C3" s="247"/>
      <c r="D3" s="247"/>
      <c r="E3" s="247"/>
      <c r="F3" s="247"/>
      <c r="G3" s="246"/>
    </row>
    <row r="4" spans="1:8" ht="15.75" x14ac:dyDescent="0.25">
      <c r="B4" s="246"/>
      <c r="C4" s="248" t="s">
        <v>211</v>
      </c>
      <c r="D4" s="247"/>
      <c r="E4" s="247"/>
      <c r="F4" s="247"/>
      <c r="G4" s="246"/>
    </row>
    <row r="5" spans="1:8" ht="9" customHeight="1" x14ac:dyDescent="0.2">
      <c r="B5" s="246"/>
      <c r="C5" s="247"/>
      <c r="D5" s="247"/>
      <c r="E5" s="247"/>
      <c r="F5" s="247"/>
      <c r="G5" s="246"/>
    </row>
    <row r="6" spans="1:8" ht="15.75" x14ac:dyDescent="0.25">
      <c r="B6" s="246"/>
      <c r="C6" s="246"/>
      <c r="D6" s="249" t="s">
        <v>208</v>
      </c>
      <c r="E6" s="249" t="s">
        <v>209</v>
      </c>
      <c r="F6" s="247"/>
      <c r="G6" s="246"/>
    </row>
    <row r="7" spans="1:8" ht="15" x14ac:dyDescent="0.2">
      <c r="B7" s="246"/>
      <c r="C7" s="246"/>
      <c r="D7" s="250">
        <f>RESULTADOS!O5</f>
        <v>37468</v>
      </c>
      <c r="E7" s="251"/>
      <c r="F7" s="247"/>
      <c r="G7" s="246"/>
    </row>
    <row r="8" spans="1:8" ht="15" x14ac:dyDescent="0.2">
      <c r="B8" s="246"/>
      <c r="C8" s="246"/>
      <c r="D8" s="252">
        <f ca="1">RESULTADOS!O6</f>
        <v>37499</v>
      </c>
      <c r="E8" s="251"/>
      <c r="F8" s="247"/>
      <c r="G8" s="246"/>
    </row>
    <row r="9" spans="1:8" ht="15" x14ac:dyDescent="0.2">
      <c r="B9" s="246"/>
      <c r="C9" s="246"/>
      <c r="D9" s="252">
        <f ca="1">RESULTADOS!O7</f>
        <v>37529</v>
      </c>
      <c r="E9" s="251"/>
      <c r="F9" s="247"/>
      <c r="G9" s="246"/>
    </row>
    <row r="10" spans="1:8" ht="15" x14ac:dyDescent="0.2">
      <c r="B10" s="246"/>
      <c r="C10" s="246"/>
      <c r="D10" s="252">
        <f ca="1">RESULTADOS!O8</f>
        <v>37560</v>
      </c>
      <c r="E10" s="251"/>
      <c r="F10" s="247"/>
      <c r="G10" s="246"/>
    </row>
    <row r="11" spans="1:8" ht="15" x14ac:dyDescent="0.2">
      <c r="B11" s="246"/>
      <c r="C11" s="246"/>
      <c r="D11" s="252">
        <f ca="1">RESULTADOS!O9</f>
        <v>37590</v>
      </c>
      <c r="E11" s="251"/>
      <c r="F11" s="247"/>
      <c r="G11" s="246"/>
    </row>
    <row r="12" spans="1:8" ht="15" x14ac:dyDescent="0.2">
      <c r="B12" s="246"/>
      <c r="C12" s="246"/>
      <c r="D12" s="252" t="str">
        <f ca="1">RESULTADOS!O10</f>
        <v>13º 2002</v>
      </c>
      <c r="E12" s="251"/>
      <c r="F12" s="247"/>
      <c r="G12" s="246"/>
    </row>
    <row r="13" spans="1:8" ht="15" x14ac:dyDescent="0.2">
      <c r="B13" s="246"/>
      <c r="C13" s="246"/>
      <c r="D13" s="252">
        <f ca="1">RESULTADOS!O11</f>
        <v>37621</v>
      </c>
      <c r="E13" s="251"/>
      <c r="F13" s="247"/>
      <c r="G13" s="246"/>
    </row>
    <row r="14" spans="1:8" ht="15" x14ac:dyDescent="0.2">
      <c r="B14" s="246"/>
      <c r="C14" s="246"/>
      <c r="D14" s="252">
        <f ca="1">RESULTADOS!O12</f>
        <v>37652</v>
      </c>
      <c r="E14" s="251"/>
      <c r="F14" s="247"/>
      <c r="G14" s="246"/>
    </row>
    <row r="15" spans="1:8" ht="15" x14ac:dyDescent="0.2">
      <c r="B15" s="246"/>
      <c r="C15" s="246"/>
      <c r="D15" s="252">
        <f ca="1">RESULTADOS!O13</f>
        <v>37680</v>
      </c>
      <c r="E15" s="251"/>
      <c r="F15" s="247"/>
      <c r="G15" s="246"/>
    </row>
    <row r="16" spans="1:8" ht="15" x14ac:dyDescent="0.2">
      <c r="B16" s="246"/>
      <c r="C16" s="246"/>
      <c r="D16" s="252">
        <f ca="1">RESULTADOS!O14</f>
        <v>37711</v>
      </c>
      <c r="E16" s="251"/>
      <c r="F16" s="247"/>
      <c r="G16" s="246"/>
    </row>
    <row r="17" spans="2:7" ht="15" x14ac:dyDescent="0.2">
      <c r="B17" s="246"/>
      <c r="C17" s="246"/>
      <c r="D17" s="252">
        <f ca="1">RESULTADOS!O15</f>
        <v>37741</v>
      </c>
      <c r="E17" s="251"/>
      <c r="F17" s="247"/>
      <c r="G17" s="246"/>
    </row>
    <row r="18" spans="2:7" ht="15" x14ac:dyDescent="0.2">
      <c r="B18" s="246"/>
      <c r="C18" s="246"/>
      <c r="D18" s="252">
        <f ca="1">RESULTADOS!O16</f>
        <v>37772</v>
      </c>
      <c r="E18" s="251"/>
      <c r="F18" s="247"/>
      <c r="G18" s="246"/>
    </row>
    <row r="19" spans="2:7" ht="15" x14ac:dyDescent="0.2">
      <c r="B19" s="246"/>
      <c r="C19" s="246"/>
      <c r="D19" s="252">
        <f ca="1">RESULTADOS!O17</f>
        <v>37802</v>
      </c>
      <c r="E19" s="251"/>
      <c r="F19" s="247"/>
      <c r="G19" s="246"/>
    </row>
    <row r="20" spans="2:7" ht="15" x14ac:dyDescent="0.2">
      <c r="B20" s="246"/>
      <c r="C20" s="246"/>
      <c r="D20" s="252">
        <f ca="1">RESULTADOS!O18</f>
        <v>37833</v>
      </c>
      <c r="E20" s="251"/>
      <c r="F20" s="247"/>
      <c r="G20" s="246"/>
    </row>
    <row r="21" spans="2:7" ht="15" x14ac:dyDescent="0.2">
      <c r="B21" s="246"/>
      <c r="C21" s="246"/>
      <c r="D21" s="252">
        <f ca="1">RESULTADOS!O19</f>
        <v>37864</v>
      </c>
      <c r="E21" s="251"/>
      <c r="F21" s="247"/>
      <c r="G21" s="246"/>
    </row>
    <row r="22" spans="2:7" ht="15" x14ac:dyDescent="0.2">
      <c r="B22" s="246"/>
      <c r="C22" s="246"/>
      <c r="D22" s="252">
        <f ca="1">RESULTADOS!O20</f>
        <v>37894</v>
      </c>
      <c r="E22" s="251"/>
      <c r="F22" s="247"/>
      <c r="G22" s="246"/>
    </row>
    <row r="23" spans="2:7" ht="15" x14ac:dyDescent="0.2">
      <c r="B23" s="246"/>
      <c r="C23" s="246"/>
      <c r="D23" s="252">
        <f ca="1">RESULTADOS!O21</f>
        <v>37925</v>
      </c>
      <c r="E23" s="251"/>
      <c r="F23" s="247"/>
      <c r="G23" s="246"/>
    </row>
    <row r="24" spans="2:7" ht="15" x14ac:dyDescent="0.2">
      <c r="B24" s="246"/>
      <c r="C24" s="246"/>
      <c r="D24" s="252">
        <f ca="1">RESULTADOS!O22</f>
        <v>37955</v>
      </c>
      <c r="E24" s="251"/>
      <c r="F24" s="247"/>
      <c r="G24" s="246"/>
    </row>
    <row r="25" spans="2:7" ht="15" x14ac:dyDescent="0.2">
      <c r="B25" s="246"/>
      <c r="C25" s="246"/>
      <c r="D25" s="252" t="str">
        <f ca="1">RESULTADOS!O23</f>
        <v>13º 2003</v>
      </c>
      <c r="E25" s="251"/>
      <c r="F25" s="247"/>
      <c r="G25" s="246"/>
    </row>
    <row r="26" spans="2:7" ht="15" x14ac:dyDescent="0.2">
      <c r="B26" s="246"/>
      <c r="C26" s="246"/>
      <c r="D26" s="252">
        <f ca="1">RESULTADOS!O24</f>
        <v>37986</v>
      </c>
      <c r="E26" s="251"/>
      <c r="F26" s="247"/>
      <c r="G26" s="246"/>
    </row>
    <row r="27" spans="2:7" ht="15" x14ac:dyDescent="0.2">
      <c r="B27" s="246"/>
      <c r="C27" s="246"/>
      <c r="D27" s="252">
        <f ca="1">RESULTADOS!O25</f>
        <v>38017</v>
      </c>
      <c r="E27" s="251"/>
      <c r="F27" s="247"/>
      <c r="G27" s="246"/>
    </row>
    <row r="28" spans="2:7" ht="15" x14ac:dyDescent="0.2">
      <c r="B28" s="246"/>
      <c r="C28" s="246"/>
      <c r="D28" s="252">
        <f ca="1">RESULTADOS!O26</f>
        <v>38046</v>
      </c>
      <c r="E28" s="251"/>
      <c r="F28" s="247"/>
      <c r="G28" s="246"/>
    </row>
    <row r="29" spans="2:7" ht="15" x14ac:dyDescent="0.2">
      <c r="B29" s="246"/>
      <c r="C29" s="246"/>
      <c r="D29" s="252">
        <f ca="1">RESULTADOS!O27</f>
        <v>38077</v>
      </c>
      <c r="E29" s="251"/>
      <c r="F29" s="247"/>
      <c r="G29" s="246"/>
    </row>
    <row r="30" spans="2:7" ht="15" x14ac:dyDescent="0.2">
      <c r="B30" s="246"/>
      <c r="C30" s="246"/>
      <c r="D30" s="252">
        <f ca="1">RESULTADOS!O28</f>
        <v>38107</v>
      </c>
      <c r="E30" s="251"/>
      <c r="F30" s="247"/>
      <c r="G30" s="246"/>
    </row>
    <row r="31" spans="2:7" ht="15" x14ac:dyDescent="0.2">
      <c r="B31" s="246"/>
      <c r="C31" s="246"/>
      <c r="D31" s="252">
        <f ca="1">RESULTADOS!O29</f>
        <v>38138</v>
      </c>
      <c r="E31" s="251"/>
      <c r="F31" s="247"/>
      <c r="G31" s="246"/>
    </row>
    <row r="32" spans="2:7" ht="15" x14ac:dyDescent="0.2">
      <c r="B32" s="246"/>
      <c r="C32" s="246"/>
      <c r="D32" s="252">
        <f ca="1">RESULTADOS!O30</f>
        <v>38168</v>
      </c>
      <c r="E32" s="251"/>
      <c r="F32" s="247"/>
      <c r="G32" s="246"/>
    </row>
    <row r="33" spans="2:7" ht="15" x14ac:dyDescent="0.2">
      <c r="B33" s="246"/>
      <c r="C33" s="246"/>
      <c r="D33" s="252">
        <f ca="1">RESULTADOS!O31</f>
        <v>38199</v>
      </c>
      <c r="E33" s="251"/>
      <c r="F33" s="247"/>
      <c r="G33" s="246"/>
    </row>
    <row r="34" spans="2:7" ht="15" x14ac:dyDescent="0.2">
      <c r="B34" s="246"/>
      <c r="C34" s="246"/>
      <c r="D34" s="252">
        <f ca="1">RESULTADOS!O32</f>
        <v>38230</v>
      </c>
      <c r="E34" s="251"/>
      <c r="F34" s="247"/>
      <c r="G34" s="246"/>
    </row>
    <row r="35" spans="2:7" ht="15" x14ac:dyDescent="0.2">
      <c r="B35" s="246"/>
      <c r="C35" s="246"/>
      <c r="D35" s="252">
        <f ca="1">RESULTADOS!O33</f>
        <v>38260</v>
      </c>
      <c r="E35" s="251"/>
      <c r="F35" s="247"/>
      <c r="G35" s="246"/>
    </row>
    <row r="36" spans="2:7" ht="15" x14ac:dyDescent="0.2">
      <c r="B36" s="246"/>
      <c r="C36" s="246"/>
      <c r="D36" s="252">
        <f ca="1">RESULTADOS!O34</f>
        <v>38291</v>
      </c>
      <c r="E36" s="251"/>
      <c r="F36" s="247"/>
      <c r="G36" s="246"/>
    </row>
    <row r="37" spans="2:7" ht="15" x14ac:dyDescent="0.2">
      <c r="B37" s="246"/>
      <c r="C37" s="246"/>
      <c r="D37" s="252">
        <f ca="1">RESULTADOS!O35</f>
        <v>38321</v>
      </c>
      <c r="E37" s="251"/>
      <c r="F37" s="247"/>
      <c r="G37" s="246"/>
    </row>
    <row r="38" spans="2:7" ht="15" x14ac:dyDescent="0.2">
      <c r="B38" s="246"/>
      <c r="C38" s="246"/>
      <c r="D38" s="252" t="str">
        <f ca="1">RESULTADOS!O36</f>
        <v>13º 2004</v>
      </c>
      <c r="E38" s="251"/>
      <c r="F38" s="247"/>
      <c r="G38" s="246"/>
    </row>
    <row r="39" spans="2:7" ht="15" x14ac:dyDescent="0.2">
      <c r="B39" s="246"/>
      <c r="C39" s="246"/>
      <c r="D39" s="252">
        <f ca="1">RESULTADOS!O37</f>
        <v>38352</v>
      </c>
      <c r="E39" s="251"/>
      <c r="F39" s="247"/>
      <c r="G39" s="246"/>
    </row>
    <row r="40" spans="2:7" ht="15" x14ac:dyDescent="0.2">
      <c r="B40" s="246"/>
      <c r="C40" s="246"/>
      <c r="D40" s="252">
        <f ca="1">RESULTADOS!O38</f>
        <v>38383</v>
      </c>
      <c r="E40" s="251"/>
      <c r="F40" s="247"/>
      <c r="G40" s="246"/>
    </row>
    <row r="41" spans="2:7" ht="15" x14ac:dyDescent="0.2">
      <c r="B41" s="246"/>
      <c r="C41" s="246"/>
      <c r="D41" s="252">
        <f ca="1">RESULTADOS!O39</f>
        <v>38411</v>
      </c>
      <c r="E41" s="251"/>
      <c r="F41" s="247"/>
      <c r="G41" s="246"/>
    </row>
    <row r="42" spans="2:7" ht="15" x14ac:dyDescent="0.2">
      <c r="B42" s="246"/>
      <c r="C42" s="246"/>
      <c r="D42" s="252">
        <f ca="1">RESULTADOS!O40</f>
        <v>38442</v>
      </c>
      <c r="E42" s="251"/>
      <c r="F42" s="247"/>
      <c r="G42" s="246"/>
    </row>
    <row r="43" spans="2:7" ht="15" x14ac:dyDescent="0.2">
      <c r="B43" s="246"/>
      <c r="C43" s="246"/>
      <c r="D43" s="252">
        <f ca="1">RESULTADOS!O41</f>
        <v>38472</v>
      </c>
      <c r="E43" s="251"/>
      <c r="F43" s="247"/>
      <c r="G43" s="246"/>
    </row>
    <row r="44" spans="2:7" ht="15" x14ac:dyDescent="0.2">
      <c r="B44" s="246"/>
      <c r="C44" s="246"/>
      <c r="D44" s="252">
        <f ca="1">RESULTADOS!O42</f>
        <v>38503</v>
      </c>
      <c r="E44" s="251"/>
      <c r="F44" s="247"/>
      <c r="G44" s="246"/>
    </row>
    <row r="45" spans="2:7" ht="15" x14ac:dyDescent="0.2">
      <c r="B45" s="246"/>
      <c r="C45" s="246"/>
      <c r="D45" s="252">
        <f ca="1">RESULTADOS!O43</f>
        <v>38533</v>
      </c>
      <c r="E45" s="251"/>
      <c r="F45" s="247"/>
      <c r="G45" s="246"/>
    </row>
    <row r="46" spans="2:7" ht="15" x14ac:dyDescent="0.2">
      <c r="B46" s="246"/>
      <c r="C46" s="246"/>
      <c r="D46" s="252">
        <f ca="1">RESULTADOS!O44</f>
        <v>38564</v>
      </c>
      <c r="E46" s="251"/>
      <c r="F46" s="247"/>
      <c r="G46" s="246"/>
    </row>
    <row r="47" spans="2:7" ht="15" x14ac:dyDescent="0.2">
      <c r="B47" s="246"/>
      <c r="C47" s="246"/>
      <c r="D47" s="252">
        <f ca="1">RESULTADOS!O45</f>
        <v>38595</v>
      </c>
      <c r="E47" s="251"/>
      <c r="F47" s="247"/>
      <c r="G47" s="246"/>
    </row>
    <row r="48" spans="2:7" ht="15" x14ac:dyDescent="0.2">
      <c r="B48" s="246"/>
      <c r="C48" s="246"/>
      <c r="D48" s="252">
        <f ca="1">RESULTADOS!O46</f>
        <v>38625</v>
      </c>
      <c r="E48" s="251"/>
      <c r="F48" s="247"/>
      <c r="G48" s="246"/>
    </row>
    <row r="49" spans="2:7" ht="15" x14ac:dyDescent="0.2">
      <c r="B49" s="246"/>
      <c r="C49" s="246"/>
      <c r="D49" s="252">
        <f ca="1">RESULTADOS!O47</f>
        <v>38656</v>
      </c>
      <c r="E49" s="251"/>
      <c r="F49" s="247"/>
      <c r="G49" s="246"/>
    </row>
    <row r="50" spans="2:7" ht="15" x14ac:dyDescent="0.2">
      <c r="B50" s="246"/>
      <c r="C50" s="246"/>
      <c r="D50" s="252">
        <f ca="1">RESULTADOS!O48</f>
        <v>38686</v>
      </c>
      <c r="E50" s="251"/>
      <c r="F50" s="247"/>
      <c r="G50" s="246"/>
    </row>
    <row r="51" spans="2:7" ht="15" x14ac:dyDescent="0.2">
      <c r="B51" s="246"/>
      <c r="C51" s="246"/>
      <c r="D51" s="252" t="str">
        <f ca="1">RESULTADOS!O49</f>
        <v>13º 2005</v>
      </c>
      <c r="E51" s="251"/>
      <c r="F51" s="247"/>
      <c r="G51" s="246"/>
    </row>
    <row r="52" spans="2:7" ht="15" x14ac:dyDescent="0.2">
      <c r="B52" s="246"/>
      <c r="C52" s="246"/>
      <c r="D52" s="252">
        <f ca="1">RESULTADOS!O50</f>
        <v>38717</v>
      </c>
      <c r="E52" s="251"/>
      <c r="F52" s="247"/>
      <c r="G52" s="246"/>
    </row>
    <row r="53" spans="2:7" ht="15" x14ac:dyDescent="0.2">
      <c r="B53" s="246"/>
      <c r="C53" s="246"/>
      <c r="D53" s="252">
        <f ca="1">RESULTADOS!O51</f>
        <v>38748</v>
      </c>
      <c r="E53" s="251"/>
      <c r="F53" s="247"/>
      <c r="G53" s="246"/>
    </row>
    <row r="54" spans="2:7" ht="15" x14ac:dyDescent="0.2">
      <c r="B54" s="246"/>
      <c r="C54" s="246"/>
      <c r="D54" s="252">
        <f ca="1">RESULTADOS!O52</f>
        <v>38776</v>
      </c>
      <c r="E54" s="251"/>
      <c r="F54" s="247"/>
      <c r="G54" s="246"/>
    </row>
    <row r="55" spans="2:7" ht="15" x14ac:dyDescent="0.2">
      <c r="B55" s="246"/>
      <c r="C55" s="246"/>
      <c r="D55" s="252">
        <f ca="1">RESULTADOS!O53</f>
        <v>38807</v>
      </c>
      <c r="E55" s="251"/>
      <c r="F55" s="247"/>
      <c r="G55" s="246"/>
    </row>
    <row r="56" spans="2:7" ht="15" x14ac:dyDescent="0.2">
      <c r="B56" s="246"/>
      <c r="C56" s="246"/>
      <c r="D56" s="252">
        <f ca="1">RESULTADOS!O54</f>
        <v>38837</v>
      </c>
      <c r="E56" s="251"/>
      <c r="F56" s="247"/>
      <c r="G56" s="246"/>
    </row>
    <row r="57" spans="2:7" ht="15" x14ac:dyDescent="0.2">
      <c r="B57" s="246"/>
      <c r="C57" s="246"/>
      <c r="D57" s="252">
        <f ca="1">RESULTADOS!O55</f>
        <v>38868</v>
      </c>
      <c r="E57" s="251"/>
      <c r="F57" s="247"/>
      <c r="G57" s="246"/>
    </row>
    <row r="58" spans="2:7" ht="15" x14ac:dyDescent="0.2">
      <c r="B58" s="246"/>
      <c r="C58" s="246"/>
      <c r="D58" s="252">
        <f ca="1">RESULTADOS!O56</f>
        <v>38898</v>
      </c>
      <c r="E58" s="251"/>
      <c r="F58" s="247"/>
      <c r="G58" s="246"/>
    </row>
    <row r="59" spans="2:7" ht="15" x14ac:dyDescent="0.2">
      <c r="B59" s="246"/>
      <c r="C59" s="246"/>
      <c r="D59" s="252">
        <f ca="1">RESULTADOS!O57</f>
        <v>38929</v>
      </c>
      <c r="E59" s="251"/>
      <c r="F59" s="247"/>
      <c r="G59" s="246"/>
    </row>
    <row r="60" spans="2:7" ht="15" x14ac:dyDescent="0.2">
      <c r="B60" s="246"/>
      <c r="C60" s="246"/>
      <c r="D60" s="252">
        <f ca="1">RESULTADOS!O58</f>
        <v>38960</v>
      </c>
      <c r="E60" s="251"/>
      <c r="F60" s="247"/>
      <c r="G60" s="246"/>
    </row>
    <row r="61" spans="2:7" ht="15" x14ac:dyDescent="0.2">
      <c r="B61" s="246"/>
      <c r="C61" s="246"/>
      <c r="D61" s="252">
        <f ca="1">RESULTADOS!O59</f>
        <v>38990</v>
      </c>
      <c r="E61" s="251"/>
      <c r="F61" s="247"/>
      <c r="G61" s="246"/>
    </row>
    <row r="62" spans="2:7" ht="15" x14ac:dyDescent="0.2">
      <c r="B62" s="246"/>
      <c r="C62" s="246"/>
      <c r="D62" s="252">
        <f ca="1">RESULTADOS!O60</f>
        <v>39021</v>
      </c>
      <c r="E62" s="251"/>
      <c r="F62" s="247"/>
      <c r="G62" s="246"/>
    </row>
    <row r="63" spans="2:7" ht="15" x14ac:dyDescent="0.2">
      <c r="B63" s="246"/>
      <c r="C63" s="246"/>
      <c r="D63" s="252">
        <f ca="1">RESULTADOS!O61</f>
        <v>39051</v>
      </c>
      <c r="E63" s="251"/>
      <c r="F63" s="247"/>
      <c r="G63" s="246"/>
    </row>
    <row r="64" spans="2:7" ht="15" x14ac:dyDescent="0.2">
      <c r="B64" s="246"/>
      <c r="C64" s="246"/>
      <c r="D64" s="252" t="str">
        <f ca="1">RESULTADOS!O62</f>
        <v>13º 2006</v>
      </c>
      <c r="E64" s="251"/>
      <c r="F64" s="247"/>
      <c r="G64" s="246"/>
    </row>
    <row r="65" spans="2:7" ht="15" x14ac:dyDescent="0.2">
      <c r="B65" s="246"/>
      <c r="C65" s="246"/>
      <c r="D65" s="252">
        <f ca="1">RESULTADOS!O63</f>
        <v>39082</v>
      </c>
      <c r="E65" s="251"/>
      <c r="F65" s="247"/>
      <c r="G65" s="246"/>
    </row>
    <row r="66" spans="2:7" ht="15" x14ac:dyDescent="0.2">
      <c r="B66" s="246"/>
      <c r="C66" s="246"/>
      <c r="D66" s="252">
        <f ca="1">RESULTADOS!O64</f>
        <v>39113</v>
      </c>
      <c r="E66" s="251"/>
      <c r="F66" s="247"/>
      <c r="G66" s="246"/>
    </row>
    <row r="67" spans="2:7" ht="15" x14ac:dyDescent="0.2">
      <c r="B67" s="246"/>
      <c r="C67" s="246"/>
      <c r="D67" s="252">
        <f ca="1">RESULTADOS!O65</f>
        <v>39141</v>
      </c>
      <c r="E67" s="251"/>
      <c r="F67" s="247"/>
      <c r="G67" s="246"/>
    </row>
    <row r="68" spans="2:7" ht="15" x14ac:dyDescent="0.2">
      <c r="B68" s="246"/>
      <c r="C68" s="246"/>
      <c r="D68" s="252">
        <f ca="1">RESULTADOS!O66</f>
        <v>39172</v>
      </c>
      <c r="E68" s="251"/>
      <c r="F68" s="247"/>
      <c r="G68" s="246"/>
    </row>
    <row r="69" spans="2:7" ht="15" x14ac:dyDescent="0.2">
      <c r="B69" s="246"/>
      <c r="C69" s="246"/>
      <c r="D69" s="252">
        <f ca="1">RESULTADOS!O67</f>
        <v>39202</v>
      </c>
      <c r="E69" s="251"/>
      <c r="F69" s="247"/>
      <c r="G69" s="246"/>
    </row>
    <row r="70" spans="2:7" ht="15" x14ac:dyDescent="0.2">
      <c r="B70" s="246"/>
      <c r="C70" s="246"/>
      <c r="D70" s="252">
        <f ca="1">RESULTADOS!O68</f>
        <v>39233</v>
      </c>
      <c r="E70" s="251"/>
      <c r="F70" s="247"/>
      <c r="G70" s="246"/>
    </row>
    <row r="71" spans="2:7" ht="15" x14ac:dyDescent="0.2">
      <c r="B71" s="246"/>
      <c r="C71" s="246"/>
      <c r="D71" s="252">
        <f ca="1">RESULTADOS!O69</f>
        <v>39263</v>
      </c>
      <c r="E71" s="251"/>
      <c r="F71" s="247"/>
      <c r="G71" s="246"/>
    </row>
    <row r="72" spans="2:7" ht="15" x14ac:dyDescent="0.2">
      <c r="B72" s="246"/>
      <c r="C72" s="246"/>
      <c r="D72" s="252">
        <f ca="1">RESULTADOS!O70</f>
        <v>39294</v>
      </c>
      <c r="E72" s="251"/>
      <c r="F72" s="247"/>
      <c r="G72" s="246"/>
    </row>
    <row r="73" spans="2:7" ht="15" x14ac:dyDescent="0.2">
      <c r="B73" s="246"/>
      <c r="C73" s="246"/>
      <c r="D73" s="252">
        <f ca="1">RESULTADOS!O71</f>
        <v>39325</v>
      </c>
      <c r="E73" s="251"/>
      <c r="F73" s="247"/>
      <c r="G73" s="246"/>
    </row>
    <row r="74" spans="2:7" ht="15" x14ac:dyDescent="0.2">
      <c r="B74" s="246"/>
      <c r="C74" s="246"/>
      <c r="D74" s="252">
        <f ca="1">RESULTADOS!O72</f>
        <v>39355</v>
      </c>
      <c r="E74" s="251"/>
      <c r="F74" s="247"/>
      <c r="G74" s="246"/>
    </row>
    <row r="75" spans="2:7" ht="15" x14ac:dyDescent="0.2">
      <c r="B75" s="246"/>
      <c r="C75" s="246"/>
      <c r="D75" s="252">
        <f ca="1">RESULTADOS!O73</f>
        <v>39386</v>
      </c>
      <c r="E75" s="251"/>
      <c r="F75" s="247"/>
      <c r="G75" s="246"/>
    </row>
    <row r="76" spans="2:7" ht="15" x14ac:dyDescent="0.2">
      <c r="B76" s="246"/>
      <c r="C76" s="246"/>
      <c r="D76" s="252">
        <f ca="1">RESULTADOS!O74</f>
        <v>39416</v>
      </c>
      <c r="E76" s="251"/>
      <c r="F76" s="247"/>
      <c r="G76" s="246"/>
    </row>
    <row r="77" spans="2:7" ht="15" x14ac:dyDescent="0.2">
      <c r="B77" s="246"/>
      <c r="C77" s="246"/>
      <c r="D77" s="252" t="str">
        <f ca="1">RESULTADOS!O75</f>
        <v>13º 2007</v>
      </c>
      <c r="E77" s="251"/>
      <c r="F77" s="247"/>
      <c r="G77" s="246"/>
    </row>
    <row r="78" spans="2:7" ht="15" x14ac:dyDescent="0.2">
      <c r="B78" s="246"/>
      <c r="C78" s="246"/>
      <c r="D78" s="252">
        <f ca="1">RESULTADOS!O76</f>
        <v>39447</v>
      </c>
      <c r="E78" s="251"/>
      <c r="F78" s="247"/>
      <c r="G78" s="246"/>
    </row>
    <row r="79" spans="2:7" ht="15" x14ac:dyDescent="0.2">
      <c r="B79" s="246"/>
      <c r="C79" s="246"/>
      <c r="D79" s="252">
        <f ca="1">RESULTADOS!O77</f>
        <v>39478</v>
      </c>
      <c r="E79" s="251"/>
      <c r="F79" s="247"/>
      <c r="G79" s="246"/>
    </row>
    <row r="80" spans="2:7" ht="15" x14ac:dyDescent="0.2">
      <c r="B80" s="246"/>
      <c r="C80" s="246"/>
      <c r="D80" s="252">
        <f ca="1">RESULTADOS!O78</f>
        <v>39507</v>
      </c>
      <c r="E80" s="251"/>
      <c r="F80" s="247"/>
      <c r="G80" s="246"/>
    </row>
    <row r="81" spans="2:7" ht="15" x14ac:dyDescent="0.2">
      <c r="B81" s="246"/>
      <c r="C81" s="246"/>
      <c r="D81" s="252">
        <f ca="1">RESULTADOS!O79</f>
        <v>39538</v>
      </c>
      <c r="E81" s="251"/>
      <c r="F81" s="247"/>
      <c r="G81" s="246"/>
    </row>
    <row r="82" spans="2:7" ht="15" x14ac:dyDescent="0.2">
      <c r="B82" s="246"/>
      <c r="C82" s="246"/>
      <c r="D82" s="252">
        <f ca="1">RESULTADOS!O80</f>
        <v>39568</v>
      </c>
      <c r="E82" s="251"/>
      <c r="F82" s="247"/>
      <c r="G82" s="246"/>
    </row>
    <row r="83" spans="2:7" ht="15" x14ac:dyDescent="0.2">
      <c r="B83" s="246"/>
      <c r="C83" s="246"/>
      <c r="D83" s="252">
        <f ca="1">RESULTADOS!O81</f>
        <v>39599</v>
      </c>
      <c r="E83" s="251"/>
      <c r="F83" s="247"/>
      <c r="G83" s="246"/>
    </row>
    <row r="84" spans="2:7" ht="15" x14ac:dyDescent="0.2">
      <c r="B84" s="246"/>
      <c r="C84" s="246"/>
      <c r="D84" s="252">
        <f ca="1">RESULTADOS!O82</f>
        <v>39629</v>
      </c>
      <c r="E84" s="251"/>
      <c r="F84" s="247"/>
      <c r="G84" s="246"/>
    </row>
    <row r="85" spans="2:7" ht="15" x14ac:dyDescent="0.2">
      <c r="B85" s="246"/>
      <c r="C85" s="246"/>
      <c r="D85" s="252">
        <f ca="1">RESULTADOS!O83</f>
        <v>39660</v>
      </c>
      <c r="E85" s="251"/>
      <c r="F85" s="247"/>
      <c r="G85" s="246"/>
    </row>
    <row r="86" spans="2:7" ht="15" x14ac:dyDescent="0.2">
      <c r="B86" s="246"/>
      <c r="C86" s="246"/>
      <c r="D86" s="252">
        <f ca="1">RESULTADOS!O84</f>
        <v>39691</v>
      </c>
      <c r="E86" s="251"/>
      <c r="F86" s="247"/>
      <c r="G86" s="246"/>
    </row>
    <row r="87" spans="2:7" ht="15" x14ac:dyDescent="0.2">
      <c r="B87" s="246"/>
      <c r="C87" s="246"/>
      <c r="D87" s="252">
        <f ca="1">RESULTADOS!O85</f>
        <v>39721</v>
      </c>
      <c r="E87" s="251"/>
      <c r="F87" s="247"/>
      <c r="G87" s="246"/>
    </row>
    <row r="88" spans="2:7" ht="15" x14ac:dyDescent="0.2">
      <c r="B88" s="246"/>
      <c r="C88" s="246"/>
      <c r="D88" s="252">
        <f ca="1">RESULTADOS!O86</f>
        <v>39752</v>
      </c>
      <c r="E88" s="251"/>
      <c r="F88" s="247"/>
      <c r="G88" s="246"/>
    </row>
    <row r="89" spans="2:7" ht="15" x14ac:dyDescent="0.2">
      <c r="B89" s="246"/>
      <c r="C89" s="246"/>
      <c r="D89" s="252">
        <f ca="1">RESULTADOS!O87</f>
        <v>39782</v>
      </c>
      <c r="E89" s="251"/>
      <c r="F89" s="247"/>
      <c r="G89" s="246"/>
    </row>
    <row r="90" spans="2:7" ht="15" x14ac:dyDescent="0.2">
      <c r="B90" s="246"/>
      <c r="C90" s="246"/>
      <c r="D90" s="252" t="str">
        <f ca="1">RESULTADOS!O88</f>
        <v>13º 2008</v>
      </c>
      <c r="E90" s="251"/>
      <c r="F90" s="247"/>
      <c r="G90" s="246"/>
    </row>
    <row r="91" spans="2:7" ht="15" x14ac:dyDescent="0.2">
      <c r="B91" s="246"/>
      <c r="C91" s="246"/>
      <c r="D91" s="252">
        <f ca="1">RESULTADOS!O89</f>
        <v>39813</v>
      </c>
      <c r="E91" s="251"/>
      <c r="F91" s="247"/>
      <c r="G91" s="246"/>
    </row>
    <row r="92" spans="2:7" ht="15" x14ac:dyDescent="0.2">
      <c r="B92" s="246"/>
      <c r="C92" s="246"/>
      <c r="D92" s="252">
        <f ca="1">RESULTADOS!O90</f>
        <v>39844</v>
      </c>
      <c r="E92" s="251"/>
      <c r="F92" s="247"/>
      <c r="G92" s="246"/>
    </row>
    <row r="93" spans="2:7" ht="15" x14ac:dyDescent="0.2">
      <c r="B93" s="246"/>
      <c r="C93" s="246"/>
      <c r="D93" s="252">
        <f ca="1">RESULTADOS!O91</f>
        <v>39872</v>
      </c>
      <c r="E93" s="251"/>
      <c r="F93" s="247"/>
      <c r="G93" s="246"/>
    </row>
    <row r="94" spans="2:7" ht="15" x14ac:dyDescent="0.2">
      <c r="B94" s="246"/>
      <c r="C94" s="246"/>
      <c r="D94" s="252">
        <f ca="1">RESULTADOS!O92</f>
        <v>39903</v>
      </c>
      <c r="E94" s="251"/>
      <c r="F94" s="247"/>
      <c r="G94" s="246"/>
    </row>
    <row r="95" spans="2:7" ht="15" x14ac:dyDescent="0.2">
      <c r="B95" s="246"/>
      <c r="C95" s="246"/>
      <c r="D95" s="252">
        <f ca="1">RESULTADOS!O93</f>
        <v>39933</v>
      </c>
      <c r="E95" s="251"/>
      <c r="F95" s="247"/>
      <c r="G95" s="246"/>
    </row>
    <row r="96" spans="2:7" ht="15" x14ac:dyDescent="0.2">
      <c r="B96" s="246"/>
      <c r="C96" s="246"/>
      <c r="D96" s="252">
        <f ca="1">RESULTADOS!O94</f>
        <v>39964</v>
      </c>
      <c r="E96" s="251"/>
      <c r="F96" s="247"/>
      <c r="G96" s="246"/>
    </row>
    <row r="97" spans="2:7" ht="15" x14ac:dyDescent="0.2">
      <c r="B97" s="246"/>
      <c r="C97" s="246"/>
      <c r="D97" s="252">
        <f ca="1">RESULTADOS!O95</f>
        <v>39994</v>
      </c>
      <c r="E97" s="251"/>
      <c r="F97" s="247"/>
      <c r="G97" s="246"/>
    </row>
    <row r="98" spans="2:7" ht="15" x14ac:dyDescent="0.2">
      <c r="B98" s="246"/>
      <c r="C98" s="246"/>
      <c r="D98" s="252">
        <f ca="1">RESULTADOS!O96</f>
        <v>40025</v>
      </c>
      <c r="E98" s="251"/>
      <c r="F98" s="247"/>
      <c r="G98" s="246"/>
    </row>
    <row r="99" spans="2:7" ht="15" x14ac:dyDescent="0.2">
      <c r="B99" s="246"/>
      <c r="C99" s="246"/>
      <c r="D99" s="252">
        <f ca="1">RESULTADOS!O97</f>
        <v>40056</v>
      </c>
      <c r="E99" s="251"/>
      <c r="F99" s="247"/>
      <c r="G99" s="246"/>
    </row>
    <row r="100" spans="2:7" ht="15" x14ac:dyDescent="0.2">
      <c r="B100" s="246"/>
      <c r="C100" s="246"/>
      <c r="D100" s="252">
        <f ca="1">RESULTADOS!O98</f>
        <v>40086</v>
      </c>
      <c r="E100" s="251"/>
      <c r="F100" s="247"/>
      <c r="G100" s="246"/>
    </row>
    <row r="101" spans="2:7" ht="15" x14ac:dyDescent="0.2">
      <c r="B101" s="246"/>
      <c r="C101" s="246"/>
      <c r="D101" s="252">
        <f ca="1">RESULTADOS!O99</f>
        <v>40117</v>
      </c>
      <c r="E101" s="251"/>
      <c r="F101" s="247"/>
      <c r="G101" s="246"/>
    </row>
    <row r="102" spans="2:7" ht="15" x14ac:dyDescent="0.2">
      <c r="B102" s="246"/>
      <c r="C102" s="246"/>
      <c r="D102" s="252">
        <f ca="1">RESULTADOS!O100</f>
        <v>40147</v>
      </c>
      <c r="E102" s="251"/>
      <c r="F102" s="247"/>
      <c r="G102" s="246"/>
    </row>
    <row r="103" spans="2:7" ht="15" x14ac:dyDescent="0.2">
      <c r="B103" s="246"/>
      <c r="C103" s="246"/>
      <c r="D103" s="252" t="str">
        <f ca="1">RESULTADOS!O101</f>
        <v>13º 2009</v>
      </c>
      <c r="E103" s="251"/>
      <c r="F103" s="247"/>
      <c r="G103" s="246"/>
    </row>
    <row r="104" spans="2:7" ht="15" x14ac:dyDescent="0.2">
      <c r="B104" s="246"/>
      <c r="C104" s="246"/>
      <c r="D104" s="252">
        <f ca="1">RESULTADOS!O102</f>
        <v>40178</v>
      </c>
      <c r="E104" s="251"/>
      <c r="F104" s="247"/>
      <c r="G104" s="246"/>
    </row>
    <row r="105" spans="2:7" ht="15" x14ac:dyDescent="0.2">
      <c r="B105" s="246"/>
      <c r="C105" s="246"/>
      <c r="D105" s="252">
        <f ca="1">RESULTADOS!O103</f>
        <v>40209</v>
      </c>
      <c r="E105" s="251"/>
      <c r="F105" s="247"/>
      <c r="G105" s="246"/>
    </row>
    <row r="106" spans="2:7" ht="15" x14ac:dyDescent="0.2">
      <c r="B106" s="246"/>
      <c r="C106" s="246"/>
      <c r="D106" s="252">
        <f ca="1">RESULTADOS!O104</f>
        <v>40237</v>
      </c>
      <c r="E106" s="251"/>
      <c r="F106" s="247"/>
      <c r="G106" s="246"/>
    </row>
    <row r="107" spans="2:7" ht="15" x14ac:dyDescent="0.2">
      <c r="B107" s="246"/>
      <c r="C107" s="246"/>
      <c r="D107" s="252">
        <f ca="1">RESULTADOS!O105</f>
        <v>40268</v>
      </c>
      <c r="E107" s="251"/>
      <c r="F107" s="247"/>
      <c r="G107" s="246"/>
    </row>
    <row r="108" spans="2:7" ht="15" x14ac:dyDescent="0.2">
      <c r="B108" s="246"/>
      <c r="C108" s="246"/>
      <c r="D108" s="252">
        <f ca="1">RESULTADOS!O106</f>
        <v>40298</v>
      </c>
      <c r="E108" s="251"/>
      <c r="F108" s="247"/>
      <c r="G108" s="246"/>
    </row>
    <row r="109" spans="2:7" ht="15" x14ac:dyDescent="0.2">
      <c r="B109" s="246"/>
      <c r="C109" s="246"/>
      <c r="D109" s="252">
        <f ca="1">RESULTADOS!O107</f>
        <v>40329</v>
      </c>
      <c r="E109" s="251"/>
      <c r="F109" s="247"/>
      <c r="G109" s="246"/>
    </row>
    <row r="110" spans="2:7" ht="15" x14ac:dyDescent="0.2">
      <c r="B110" s="246"/>
      <c r="C110" s="246"/>
      <c r="D110" s="252">
        <f ca="1">RESULTADOS!O108</f>
        <v>40359</v>
      </c>
      <c r="E110" s="251"/>
      <c r="F110" s="247"/>
      <c r="G110" s="246"/>
    </row>
    <row r="111" spans="2:7" ht="15" x14ac:dyDescent="0.2">
      <c r="B111" s="246"/>
      <c r="C111" s="246"/>
      <c r="D111" s="252">
        <f ca="1">RESULTADOS!O109</f>
        <v>40390</v>
      </c>
      <c r="E111" s="251"/>
      <c r="F111" s="247"/>
      <c r="G111" s="246"/>
    </row>
    <row r="112" spans="2:7" ht="15" x14ac:dyDescent="0.2">
      <c r="B112" s="246"/>
      <c r="C112" s="246"/>
      <c r="D112" s="252">
        <f ca="1">RESULTADOS!O110</f>
        <v>40421</v>
      </c>
      <c r="E112" s="251"/>
      <c r="F112" s="247"/>
      <c r="G112" s="246"/>
    </row>
    <row r="113" spans="2:7" ht="15" x14ac:dyDescent="0.2">
      <c r="B113" s="246"/>
      <c r="C113" s="246"/>
      <c r="D113" s="252">
        <f ca="1">RESULTADOS!O111</f>
        <v>40451</v>
      </c>
      <c r="E113" s="251"/>
      <c r="F113" s="247"/>
      <c r="G113" s="246"/>
    </row>
    <row r="114" spans="2:7" ht="15" x14ac:dyDescent="0.2">
      <c r="B114" s="246"/>
      <c r="C114" s="246"/>
      <c r="D114" s="252">
        <f ca="1">RESULTADOS!O112</f>
        <v>40482</v>
      </c>
      <c r="E114" s="251"/>
      <c r="F114" s="247"/>
      <c r="G114" s="246"/>
    </row>
    <row r="115" spans="2:7" ht="15" x14ac:dyDescent="0.2">
      <c r="B115" s="246"/>
      <c r="C115" s="246"/>
      <c r="D115" s="252">
        <f ca="1">RESULTADOS!O113</f>
        <v>40512</v>
      </c>
      <c r="E115" s="251"/>
      <c r="F115" s="247"/>
      <c r="G115" s="246"/>
    </row>
    <row r="116" spans="2:7" ht="15" x14ac:dyDescent="0.2">
      <c r="B116" s="246"/>
      <c r="C116" s="246"/>
      <c r="D116" s="252" t="str">
        <f ca="1">RESULTADOS!O114</f>
        <v>13º 2010</v>
      </c>
      <c r="E116" s="251"/>
      <c r="F116" s="247"/>
      <c r="G116" s="246"/>
    </row>
    <row r="117" spans="2:7" ht="15" x14ac:dyDescent="0.2">
      <c r="B117" s="246"/>
      <c r="C117" s="246"/>
      <c r="D117" s="252">
        <f ca="1">RESULTADOS!O115</f>
        <v>40543</v>
      </c>
      <c r="E117" s="251"/>
      <c r="F117" s="247"/>
      <c r="G117" s="246"/>
    </row>
    <row r="118" spans="2:7" ht="15" x14ac:dyDescent="0.2">
      <c r="B118" s="246"/>
      <c r="C118" s="246"/>
      <c r="D118" s="252">
        <f ca="1">RESULTADOS!O116</f>
        <v>40574</v>
      </c>
      <c r="E118" s="251"/>
      <c r="F118" s="247"/>
      <c r="G118" s="246"/>
    </row>
    <row r="119" spans="2:7" ht="15" x14ac:dyDescent="0.2">
      <c r="B119" s="246"/>
      <c r="C119" s="246"/>
      <c r="D119" s="252">
        <f ca="1">RESULTADOS!O117</f>
        <v>40602</v>
      </c>
      <c r="E119" s="251"/>
      <c r="F119" s="247"/>
      <c r="G119" s="246"/>
    </row>
    <row r="120" spans="2:7" ht="15" x14ac:dyDescent="0.2">
      <c r="B120" s="246"/>
      <c r="C120" s="246"/>
      <c r="D120" s="252">
        <f ca="1">RESULTADOS!O118</f>
        <v>40633</v>
      </c>
      <c r="E120" s="251"/>
      <c r="F120" s="247"/>
      <c r="G120" s="246"/>
    </row>
    <row r="121" spans="2:7" ht="15" x14ac:dyDescent="0.2">
      <c r="B121" s="246"/>
      <c r="C121" s="246"/>
      <c r="D121" s="252">
        <f ca="1">RESULTADOS!O119</f>
        <v>40663</v>
      </c>
      <c r="E121" s="251"/>
      <c r="F121" s="247"/>
      <c r="G121" s="246"/>
    </row>
    <row r="122" spans="2:7" ht="15" x14ac:dyDescent="0.2">
      <c r="B122" s="246"/>
      <c r="C122" s="246"/>
      <c r="D122" s="252">
        <f ca="1">RESULTADOS!O120</f>
        <v>40694</v>
      </c>
      <c r="E122" s="251"/>
      <c r="F122" s="247"/>
      <c r="G122" s="246"/>
    </row>
    <row r="123" spans="2:7" ht="15" x14ac:dyDescent="0.2">
      <c r="B123" s="246"/>
      <c r="C123" s="246"/>
      <c r="D123" s="252">
        <f ca="1">RESULTADOS!O121</f>
        <v>40724</v>
      </c>
      <c r="E123" s="251"/>
      <c r="F123" s="247"/>
      <c r="G123" s="246"/>
    </row>
    <row r="124" spans="2:7" ht="15" x14ac:dyDescent="0.2">
      <c r="B124" s="246"/>
      <c r="C124" s="246"/>
      <c r="D124" s="252">
        <f ca="1">RESULTADOS!O122</f>
        <v>40755</v>
      </c>
      <c r="E124" s="251"/>
      <c r="F124" s="247"/>
      <c r="G124" s="246"/>
    </row>
    <row r="125" spans="2:7" ht="15" x14ac:dyDescent="0.2">
      <c r="B125" s="246"/>
      <c r="C125" s="246"/>
      <c r="D125" s="252">
        <f ca="1">RESULTADOS!O123</f>
        <v>40786</v>
      </c>
      <c r="E125" s="251"/>
      <c r="F125" s="247"/>
      <c r="G125" s="246"/>
    </row>
    <row r="126" spans="2:7" ht="15" x14ac:dyDescent="0.2">
      <c r="B126" s="246"/>
      <c r="C126" s="246"/>
      <c r="D126" s="252">
        <f ca="1">RESULTADOS!O124</f>
        <v>40816</v>
      </c>
      <c r="E126" s="251"/>
      <c r="F126" s="247"/>
      <c r="G126" s="246"/>
    </row>
    <row r="127" spans="2:7" ht="15" x14ac:dyDescent="0.2">
      <c r="B127" s="246"/>
      <c r="C127" s="246"/>
      <c r="D127" s="252">
        <f ca="1">RESULTADOS!O125</f>
        <v>40847</v>
      </c>
      <c r="E127" s="251"/>
      <c r="F127" s="247"/>
      <c r="G127" s="246"/>
    </row>
    <row r="128" spans="2:7" ht="15" x14ac:dyDescent="0.2">
      <c r="B128" s="246"/>
      <c r="C128" s="246"/>
      <c r="D128" s="252">
        <f ca="1">RESULTADOS!O126</f>
        <v>40877</v>
      </c>
      <c r="E128" s="251"/>
      <c r="F128" s="247"/>
      <c r="G128" s="246"/>
    </row>
    <row r="129" spans="2:7" ht="15" x14ac:dyDescent="0.2">
      <c r="B129" s="246"/>
      <c r="C129" s="246"/>
      <c r="D129" s="252" t="str">
        <f ca="1">RESULTADOS!O127</f>
        <v>13º 2011</v>
      </c>
      <c r="E129" s="251"/>
      <c r="F129" s="247"/>
      <c r="G129" s="246"/>
    </row>
    <row r="130" spans="2:7" ht="15" x14ac:dyDescent="0.2">
      <c r="B130" s="246"/>
      <c r="C130" s="246"/>
      <c r="D130" s="252">
        <f ca="1">RESULTADOS!O128</f>
        <v>40908</v>
      </c>
      <c r="E130" s="251"/>
      <c r="F130" s="247"/>
      <c r="G130" s="246"/>
    </row>
    <row r="131" spans="2:7" ht="15" x14ac:dyDescent="0.2">
      <c r="B131" s="246"/>
      <c r="C131" s="246"/>
      <c r="D131" s="252">
        <f ca="1">RESULTADOS!O129</f>
        <v>40939</v>
      </c>
      <c r="E131" s="251"/>
      <c r="F131" s="247"/>
      <c r="G131" s="246"/>
    </row>
    <row r="132" spans="2:7" ht="15" x14ac:dyDescent="0.2">
      <c r="B132" s="246"/>
      <c r="C132" s="246"/>
      <c r="D132" s="252">
        <f ca="1">RESULTADOS!O130</f>
        <v>40968</v>
      </c>
      <c r="E132" s="251"/>
      <c r="F132" s="247"/>
      <c r="G132" s="246"/>
    </row>
    <row r="133" spans="2:7" ht="15" x14ac:dyDescent="0.2">
      <c r="B133" s="246"/>
      <c r="C133" s="246"/>
      <c r="D133" s="252">
        <f ca="1">RESULTADOS!O131</f>
        <v>40999</v>
      </c>
      <c r="E133" s="251"/>
      <c r="F133" s="247"/>
      <c r="G133" s="246"/>
    </row>
    <row r="134" spans="2:7" ht="15" x14ac:dyDescent="0.2">
      <c r="B134" s="246"/>
      <c r="C134" s="246"/>
      <c r="D134" s="252">
        <f ca="1">RESULTADOS!O132</f>
        <v>41029</v>
      </c>
      <c r="E134" s="251"/>
      <c r="F134" s="247"/>
      <c r="G134" s="246"/>
    </row>
    <row r="135" spans="2:7" ht="15" x14ac:dyDescent="0.2">
      <c r="B135" s="246"/>
      <c r="C135" s="246"/>
      <c r="D135" s="252">
        <f ca="1">RESULTADOS!O133</f>
        <v>41060</v>
      </c>
      <c r="E135" s="251"/>
      <c r="F135" s="247"/>
      <c r="G135" s="246"/>
    </row>
    <row r="136" spans="2:7" ht="15" x14ac:dyDescent="0.2">
      <c r="B136" s="246"/>
      <c r="C136" s="246"/>
      <c r="D136" s="252">
        <f ca="1">RESULTADOS!O134</f>
        <v>41090</v>
      </c>
      <c r="E136" s="251"/>
      <c r="F136" s="247"/>
      <c r="G136" s="246"/>
    </row>
    <row r="137" spans="2:7" ht="15" x14ac:dyDescent="0.2">
      <c r="B137" s="246"/>
      <c r="C137" s="246"/>
      <c r="D137" s="252">
        <f ca="1">RESULTADOS!O135</f>
        <v>41121</v>
      </c>
      <c r="E137" s="251"/>
      <c r="F137" s="247"/>
      <c r="G137" s="246"/>
    </row>
    <row r="138" spans="2:7" ht="15" x14ac:dyDescent="0.2">
      <c r="B138" s="246"/>
      <c r="C138" s="246"/>
      <c r="D138" s="252">
        <f ca="1">RESULTADOS!O136</f>
        <v>41152</v>
      </c>
      <c r="E138" s="251"/>
      <c r="F138" s="247"/>
      <c r="G138" s="246"/>
    </row>
    <row r="139" spans="2:7" ht="15" x14ac:dyDescent="0.2">
      <c r="B139" s="246"/>
      <c r="C139" s="246"/>
      <c r="D139" s="252">
        <f ca="1">RESULTADOS!O137</f>
        <v>41182</v>
      </c>
      <c r="E139" s="251"/>
      <c r="F139" s="247"/>
      <c r="G139" s="246"/>
    </row>
    <row r="140" spans="2:7" ht="15" x14ac:dyDescent="0.2">
      <c r="B140" s="246"/>
      <c r="C140" s="246"/>
      <c r="D140" s="252">
        <f ca="1">RESULTADOS!O138</f>
        <v>41213</v>
      </c>
      <c r="E140" s="251"/>
      <c r="F140" s="247"/>
      <c r="G140" s="246"/>
    </row>
    <row r="141" spans="2:7" ht="15" x14ac:dyDescent="0.2">
      <c r="B141" s="246"/>
      <c r="C141" s="246"/>
      <c r="D141" s="252">
        <f ca="1">RESULTADOS!O139</f>
        <v>41243</v>
      </c>
      <c r="E141" s="251"/>
      <c r="F141" s="247"/>
      <c r="G141" s="246"/>
    </row>
    <row r="142" spans="2:7" ht="15" x14ac:dyDescent="0.2">
      <c r="B142" s="246"/>
      <c r="C142" s="246"/>
      <c r="D142" s="252" t="str">
        <f ca="1">RESULTADOS!O140</f>
        <v>13º 2012</v>
      </c>
      <c r="E142" s="251"/>
      <c r="F142" s="247"/>
      <c r="G142" s="246"/>
    </row>
    <row r="143" spans="2:7" ht="15" x14ac:dyDescent="0.2">
      <c r="B143" s="246"/>
      <c r="C143" s="246"/>
      <c r="D143" s="252">
        <f ca="1">RESULTADOS!O141</f>
        <v>41274</v>
      </c>
      <c r="E143" s="251"/>
      <c r="F143" s="247"/>
      <c r="G143" s="246"/>
    </row>
    <row r="144" spans="2:7" ht="15" x14ac:dyDescent="0.2">
      <c r="B144" s="246"/>
      <c r="C144" s="246"/>
      <c r="D144" s="252">
        <f ca="1">RESULTADOS!O142</f>
        <v>41305</v>
      </c>
      <c r="E144" s="251"/>
      <c r="F144" s="247"/>
      <c r="G144" s="246"/>
    </row>
    <row r="145" spans="2:7" ht="15" x14ac:dyDescent="0.2">
      <c r="B145" s="246"/>
      <c r="C145" s="246"/>
      <c r="D145" s="252">
        <f ca="1">RESULTADOS!O143</f>
        <v>41333</v>
      </c>
      <c r="E145" s="251"/>
      <c r="F145" s="247"/>
      <c r="G145" s="246"/>
    </row>
    <row r="146" spans="2:7" ht="15" x14ac:dyDescent="0.2">
      <c r="B146" s="246"/>
      <c r="C146" s="246"/>
      <c r="D146" s="252">
        <f ca="1">RESULTADOS!O144</f>
        <v>41364</v>
      </c>
      <c r="E146" s="251"/>
      <c r="F146" s="247"/>
      <c r="G146" s="246"/>
    </row>
    <row r="147" spans="2:7" ht="15" x14ac:dyDescent="0.2">
      <c r="B147" s="246"/>
      <c r="C147" s="246"/>
      <c r="D147" s="252">
        <f ca="1">RESULTADOS!O145</f>
        <v>41394</v>
      </c>
      <c r="E147" s="251"/>
      <c r="F147" s="247"/>
      <c r="G147" s="246"/>
    </row>
    <row r="148" spans="2:7" ht="15" x14ac:dyDescent="0.2">
      <c r="B148" s="246"/>
      <c r="C148" s="246"/>
      <c r="D148" s="252">
        <f ca="1">RESULTADOS!O146</f>
        <v>41425</v>
      </c>
      <c r="E148" s="251"/>
      <c r="F148" s="247"/>
      <c r="G148" s="246"/>
    </row>
    <row r="149" spans="2:7" ht="15" x14ac:dyDescent="0.2">
      <c r="B149" s="246"/>
      <c r="C149" s="246"/>
      <c r="D149" s="252">
        <f ca="1">RESULTADOS!O147</f>
        <v>41455</v>
      </c>
      <c r="E149" s="251"/>
      <c r="F149" s="247"/>
      <c r="G149" s="246"/>
    </row>
    <row r="150" spans="2:7" ht="15" x14ac:dyDescent="0.2">
      <c r="B150" s="246"/>
      <c r="C150" s="246"/>
      <c r="D150" s="252">
        <f ca="1">RESULTADOS!O148</f>
        <v>41486</v>
      </c>
      <c r="E150" s="251"/>
      <c r="F150" s="247"/>
      <c r="G150" s="246"/>
    </row>
    <row r="151" spans="2:7" ht="15" x14ac:dyDescent="0.2">
      <c r="B151" s="246"/>
      <c r="C151" s="246"/>
      <c r="D151" s="252">
        <f ca="1">RESULTADOS!O149</f>
        <v>41517</v>
      </c>
      <c r="E151" s="251"/>
      <c r="F151" s="247"/>
      <c r="G151" s="246"/>
    </row>
    <row r="152" spans="2:7" ht="15" x14ac:dyDescent="0.2">
      <c r="B152" s="246"/>
      <c r="C152" s="246"/>
      <c r="D152" s="252">
        <f ca="1">RESULTADOS!O150</f>
        <v>41547</v>
      </c>
      <c r="E152" s="251"/>
      <c r="F152" s="247"/>
      <c r="G152" s="246"/>
    </row>
    <row r="153" spans="2:7" ht="15" x14ac:dyDescent="0.2">
      <c r="B153" s="246"/>
      <c r="C153" s="246"/>
      <c r="D153" s="252">
        <f ca="1">RESULTADOS!O151</f>
        <v>41578</v>
      </c>
      <c r="E153" s="251"/>
      <c r="F153" s="247"/>
      <c r="G153" s="246"/>
    </row>
    <row r="154" spans="2:7" ht="15" x14ac:dyDescent="0.2">
      <c r="B154" s="246"/>
      <c r="C154" s="246"/>
      <c r="D154" s="252">
        <f ca="1">RESULTADOS!O152</f>
        <v>41608</v>
      </c>
      <c r="E154" s="251"/>
      <c r="F154" s="247"/>
      <c r="G154" s="246"/>
    </row>
    <row r="155" spans="2:7" ht="15" x14ac:dyDescent="0.2">
      <c r="B155" s="246"/>
      <c r="C155" s="246"/>
      <c r="D155" s="252" t="str">
        <f ca="1">RESULTADOS!O153</f>
        <v>13º 2013</v>
      </c>
      <c r="E155" s="253"/>
      <c r="F155" s="247"/>
      <c r="G155" s="246"/>
    </row>
    <row r="156" spans="2:7" ht="15" x14ac:dyDescent="0.2">
      <c r="B156" s="246"/>
      <c r="C156" s="246"/>
      <c r="D156" s="252">
        <f ca="1">RESULTADOS!O154</f>
        <v>41639</v>
      </c>
      <c r="E156" s="253"/>
      <c r="F156" s="247"/>
      <c r="G156" s="246"/>
    </row>
    <row r="157" spans="2:7" ht="15" x14ac:dyDescent="0.2">
      <c r="B157" s="246"/>
      <c r="C157" s="246"/>
      <c r="D157" s="252">
        <f ca="1">RESULTADOS!O155</f>
        <v>41670</v>
      </c>
      <c r="E157" s="253"/>
      <c r="F157" s="247"/>
      <c r="G157" s="246"/>
    </row>
    <row r="158" spans="2:7" ht="15" x14ac:dyDescent="0.2">
      <c r="B158" s="246"/>
      <c r="C158" s="246"/>
      <c r="D158" s="252">
        <f ca="1">RESULTADOS!O156</f>
        <v>41698</v>
      </c>
      <c r="E158" s="253"/>
      <c r="F158" s="247"/>
      <c r="G158" s="246"/>
    </row>
    <row r="159" spans="2:7" ht="15" x14ac:dyDescent="0.2">
      <c r="B159" s="246"/>
      <c r="C159" s="246"/>
      <c r="D159" s="252">
        <f ca="1">RESULTADOS!O157</f>
        <v>41729</v>
      </c>
      <c r="E159" s="253"/>
      <c r="F159" s="247"/>
      <c r="G159" s="246"/>
    </row>
    <row r="160" spans="2:7" ht="15" x14ac:dyDescent="0.2">
      <c r="B160" s="246"/>
      <c r="C160" s="246"/>
      <c r="D160" s="252">
        <f ca="1">RESULTADOS!O158</f>
        <v>41759</v>
      </c>
      <c r="E160" s="253"/>
      <c r="F160" s="247"/>
      <c r="G160" s="246"/>
    </row>
    <row r="161" spans="2:7" ht="15" x14ac:dyDescent="0.2">
      <c r="B161" s="246"/>
      <c r="C161" s="246"/>
      <c r="D161" s="252">
        <f ca="1">RESULTADOS!O159</f>
        <v>41790</v>
      </c>
      <c r="E161" s="253"/>
      <c r="F161" s="247"/>
      <c r="G161" s="246"/>
    </row>
    <row r="162" spans="2:7" ht="15" x14ac:dyDescent="0.2">
      <c r="B162" s="246"/>
      <c r="C162" s="246"/>
      <c r="D162" s="252">
        <f ca="1">RESULTADOS!O160</f>
        <v>41820</v>
      </c>
      <c r="E162" s="253"/>
      <c r="F162" s="247"/>
      <c r="G162" s="246"/>
    </row>
    <row r="163" spans="2:7" ht="15" x14ac:dyDescent="0.2">
      <c r="B163" s="246"/>
      <c r="C163" s="246"/>
      <c r="D163" s="252">
        <f ca="1">RESULTADOS!O161</f>
        <v>41851</v>
      </c>
      <c r="E163" s="253"/>
      <c r="F163" s="247"/>
      <c r="G163" s="246"/>
    </row>
    <row r="164" spans="2:7" ht="15" x14ac:dyDescent="0.2">
      <c r="B164" s="246"/>
      <c r="C164" s="246"/>
      <c r="D164" s="252">
        <f ca="1">RESULTADOS!O162</f>
        <v>41882</v>
      </c>
      <c r="E164" s="253"/>
      <c r="F164" s="247"/>
      <c r="G164" s="246"/>
    </row>
    <row r="165" spans="2:7" ht="15" x14ac:dyDescent="0.2">
      <c r="B165" s="246"/>
      <c r="C165" s="246"/>
      <c r="D165" s="252">
        <f ca="1">RESULTADOS!O163</f>
        <v>41912</v>
      </c>
      <c r="E165" s="253"/>
      <c r="F165" s="247"/>
      <c r="G165" s="246"/>
    </row>
    <row r="166" spans="2:7" ht="15" x14ac:dyDescent="0.2">
      <c r="B166" s="246"/>
      <c r="C166" s="246"/>
      <c r="D166" s="252">
        <f ca="1">RESULTADOS!O164</f>
        <v>41943</v>
      </c>
      <c r="E166" s="253"/>
      <c r="F166" s="247"/>
      <c r="G166" s="246"/>
    </row>
    <row r="167" spans="2:7" ht="15" x14ac:dyDescent="0.2">
      <c r="B167" s="246"/>
      <c r="C167" s="246"/>
      <c r="D167" s="252">
        <f ca="1">RESULTADOS!O165</f>
        <v>41973</v>
      </c>
      <c r="E167" s="253"/>
      <c r="F167" s="247"/>
      <c r="G167" s="246"/>
    </row>
    <row r="168" spans="2:7" ht="15" x14ac:dyDescent="0.2">
      <c r="B168" s="246"/>
      <c r="C168" s="246"/>
      <c r="D168" s="252" t="str">
        <f ca="1">RESULTADOS!O166</f>
        <v>13º 2014</v>
      </c>
      <c r="E168" s="253"/>
      <c r="F168" s="247"/>
      <c r="G168" s="246"/>
    </row>
    <row r="169" spans="2:7" ht="15" x14ac:dyDescent="0.2">
      <c r="B169" s="246"/>
      <c r="C169" s="246"/>
      <c r="D169" s="252">
        <f ca="1">RESULTADOS!O167</f>
        <v>42004</v>
      </c>
      <c r="E169" s="253"/>
      <c r="F169" s="247"/>
      <c r="G169" s="246"/>
    </row>
    <row r="170" spans="2:7" ht="15" x14ac:dyDescent="0.2">
      <c r="B170" s="246"/>
      <c r="C170" s="246"/>
      <c r="D170" s="252">
        <f ca="1">RESULTADOS!O168</f>
        <v>42035</v>
      </c>
      <c r="E170" s="253"/>
      <c r="F170" s="247"/>
      <c r="G170" s="246"/>
    </row>
    <row r="171" spans="2:7" ht="15" x14ac:dyDescent="0.2">
      <c r="B171" s="246"/>
      <c r="C171" s="246"/>
      <c r="D171" s="252">
        <f ca="1">RESULTADOS!O169</f>
        <v>42063</v>
      </c>
      <c r="E171" s="253"/>
      <c r="F171" s="247"/>
      <c r="G171" s="246"/>
    </row>
    <row r="172" spans="2:7" ht="15" x14ac:dyDescent="0.2">
      <c r="B172" s="246"/>
      <c r="C172" s="246"/>
      <c r="D172" s="252">
        <f ca="1">RESULTADOS!O170</f>
        <v>42094</v>
      </c>
      <c r="E172" s="253"/>
      <c r="F172" s="247"/>
      <c r="G172" s="246"/>
    </row>
    <row r="173" spans="2:7" ht="15" x14ac:dyDescent="0.2">
      <c r="B173" s="246"/>
      <c r="C173" s="246"/>
      <c r="D173" s="252">
        <f ca="1">RESULTADOS!O171</f>
        <v>42124</v>
      </c>
      <c r="E173" s="253"/>
      <c r="F173" s="247"/>
      <c r="G173" s="246"/>
    </row>
    <row r="174" spans="2:7" ht="15" x14ac:dyDescent="0.2">
      <c r="B174" s="246"/>
      <c r="C174" s="246"/>
      <c r="D174" s="252">
        <f ca="1">RESULTADOS!O172</f>
        <v>42155</v>
      </c>
      <c r="E174" s="253"/>
      <c r="F174" s="247"/>
      <c r="G174" s="246"/>
    </row>
    <row r="175" spans="2:7" ht="15" x14ac:dyDescent="0.2">
      <c r="B175" s="246"/>
      <c r="C175" s="246"/>
      <c r="D175" s="252">
        <f ca="1">RESULTADOS!O173</f>
        <v>42185</v>
      </c>
      <c r="E175" s="253"/>
      <c r="F175" s="247"/>
      <c r="G175" s="246"/>
    </row>
    <row r="176" spans="2:7" ht="15" x14ac:dyDescent="0.2">
      <c r="B176" s="246"/>
      <c r="C176" s="246"/>
      <c r="D176" s="252">
        <f ca="1">RESULTADOS!O174</f>
        <v>42216</v>
      </c>
      <c r="E176" s="253"/>
      <c r="F176" s="247"/>
      <c r="G176" s="246"/>
    </row>
    <row r="177" spans="2:7" ht="15" x14ac:dyDescent="0.2">
      <c r="B177" s="246"/>
      <c r="C177" s="246"/>
      <c r="D177" s="252">
        <f ca="1">RESULTADOS!O175</f>
        <v>42247</v>
      </c>
      <c r="E177" s="253"/>
      <c r="F177" s="247"/>
      <c r="G177" s="246"/>
    </row>
    <row r="178" spans="2:7" ht="15" x14ac:dyDescent="0.2">
      <c r="B178" s="246"/>
      <c r="C178" s="246"/>
      <c r="D178" s="252">
        <f ca="1">RESULTADOS!O176</f>
        <v>42277</v>
      </c>
      <c r="E178" s="253"/>
      <c r="F178" s="247"/>
      <c r="G178" s="246"/>
    </row>
    <row r="179" spans="2:7" ht="15" x14ac:dyDescent="0.2">
      <c r="B179" s="246"/>
      <c r="C179" s="246"/>
      <c r="D179" s="252">
        <f ca="1">RESULTADOS!O177</f>
        <v>42308</v>
      </c>
      <c r="E179" s="253"/>
      <c r="F179" s="247"/>
      <c r="G179" s="246"/>
    </row>
    <row r="180" spans="2:7" ht="15" x14ac:dyDescent="0.2">
      <c r="B180" s="246"/>
      <c r="C180" s="246"/>
      <c r="D180" s="252">
        <f ca="1">RESULTADOS!O178</f>
        <v>42338</v>
      </c>
      <c r="E180" s="253"/>
      <c r="F180" s="247"/>
      <c r="G180" s="246"/>
    </row>
    <row r="181" spans="2:7" ht="15" x14ac:dyDescent="0.2">
      <c r="B181" s="246"/>
      <c r="C181" s="246"/>
      <c r="D181" s="252" t="str">
        <f ca="1">RESULTADOS!O179</f>
        <v>13º 2015</v>
      </c>
      <c r="E181" s="253"/>
      <c r="F181" s="247"/>
      <c r="G181" s="246"/>
    </row>
    <row r="182" spans="2:7" ht="15" x14ac:dyDescent="0.2">
      <c r="B182" s="246"/>
      <c r="C182" s="246"/>
      <c r="D182" s="252">
        <f ca="1">RESULTADOS!O180</f>
        <v>42369</v>
      </c>
      <c r="E182" s="253"/>
      <c r="F182" s="247"/>
      <c r="G182" s="246"/>
    </row>
    <row r="183" spans="2:7" ht="15" x14ac:dyDescent="0.2">
      <c r="B183" s="246"/>
      <c r="C183" s="246"/>
      <c r="D183" s="252">
        <f ca="1">RESULTADOS!O181</f>
        <v>42400</v>
      </c>
      <c r="E183" s="253"/>
      <c r="F183" s="247"/>
      <c r="G183" s="246"/>
    </row>
    <row r="184" spans="2:7" ht="15" x14ac:dyDescent="0.2">
      <c r="B184" s="246"/>
      <c r="C184" s="246"/>
      <c r="D184" s="252">
        <f ca="1">RESULTADOS!O182</f>
        <v>42429</v>
      </c>
      <c r="E184" s="253"/>
      <c r="F184" s="247"/>
      <c r="G184" s="246"/>
    </row>
    <row r="185" spans="2:7" ht="15" x14ac:dyDescent="0.2">
      <c r="B185" s="246"/>
      <c r="C185" s="246"/>
      <c r="D185" s="252">
        <f ca="1">RESULTADOS!O183</f>
        <v>42460</v>
      </c>
      <c r="E185" s="253"/>
      <c r="F185" s="247"/>
      <c r="G185" s="246"/>
    </row>
    <row r="186" spans="2:7" ht="15" x14ac:dyDescent="0.2">
      <c r="B186" s="246"/>
      <c r="C186" s="246"/>
      <c r="D186" s="252">
        <f ca="1">RESULTADOS!O184</f>
        <v>42490</v>
      </c>
      <c r="E186" s="253"/>
      <c r="F186" s="247"/>
      <c r="G186" s="246"/>
    </row>
    <row r="187" spans="2:7" ht="15" x14ac:dyDescent="0.2">
      <c r="B187" s="246"/>
      <c r="C187" s="246"/>
      <c r="D187" s="252">
        <f ca="1">RESULTADOS!O185</f>
        <v>42521</v>
      </c>
      <c r="E187" s="253"/>
      <c r="F187" s="247"/>
      <c r="G187" s="246"/>
    </row>
    <row r="188" spans="2:7" ht="15" x14ac:dyDescent="0.2">
      <c r="B188" s="246"/>
      <c r="C188" s="246"/>
      <c r="D188" s="252">
        <f ca="1">RESULTADOS!O186</f>
        <v>42551</v>
      </c>
      <c r="E188" s="253"/>
      <c r="F188" s="247"/>
      <c r="G188" s="246"/>
    </row>
    <row r="189" spans="2:7" ht="15" x14ac:dyDescent="0.2">
      <c r="B189" s="246"/>
      <c r="C189" s="246"/>
      <c r="D189" s="252">
        <f ca="1">RESULTADOS!O187</f>
        <v>42582</v>
      </c>
      <c r="E189" s="253"/>
      <c r="F189" s="247"/>
      <c r="G189" s="246"/>
    </row>
    <row r="190" spans="2:7" ht="15" x14ac:dyDescent="0.2">
      <c r="B190" s="246"/>
      <c r="C190" s="246"/>
      <c r="D190" s="252">
        <f ca="1">RESULTADOS!O188</f>
        <v>42613</v>
      </c>
      <c r="E190" s="253"/>
      <c r="F190" s="247"/>
      <c r="G190" s="246"/>
    </row>
    <row r="191" spans="2:7" ht="15" x14ac:dyDescent="0.2">
      <c r="B191" s="246"/>
      <c r="C191" s="246"/>
      <c r="D191" s="252">
        <f ca="1">RESULTADOS!O189</f>
        <v>42643</v>
      </c>
      <c r="E191" s="253"/>
      <c r="F191" s="247"/>
      <c r="G191" s="246"/>
    </row>
    <row r="192" spans="2:7" ht="15" x14ac:dyDescent="0.2">
      <c r="B192" s="246"/>
      <c r="C192" s="246"/>
      <c r="D192" s="252">
        <f ca="1">RESULTADOS!O190</f>
        <v>42674</v>
      </c>
      <c r="E192" s="253"/>
      <c r="F192" s="247"/>
      <c r="G192" s="246"/>
    </row>
    <row r="193" spans="2:7" ht="15" x14ac:dyDescent="0.2">
      <c r="B193" s="246"/>
      <c r="C193" s="246"/>
      <c r="D193" s="252">
        <f ca="1">RESULTADOS!O191</f>
        <v>42704</v>
      </c>
      <c r="E193" s="253"/>
      <c r="F193" s="247"/>
      <c r="G193" s="246"/>
    </row>
    <row r="194" spans="2:7" ht="15" x14ac:dyDescent="0.2">
      <c r="B194" s="246"/>
      <c r="C194" s="246"/>
      <c r="D194" s="252" t="str">
        <f ca="1">RESULTADOS!O192</f>
        <v>13º 2016</v>
      </c>
      <c r="E194" s="253"/>
      <c r="F194" s="247"/>
      <c r="G194" s="246"/>
    </row>
    <row r="195" spans="2:7" ht="15" x14ac:dyDescent="0.2">
      <c r="B195" s="246"/>
      <c r="C195" s="246"/>
      <c r="D195" s="252">
        <f ca="1">RESULTADOS!O193</f>
        <v>42735</v>
      </c>
      <c r="E195" s="253"/>
      <c r="F195" s="247"/>
      <c r="G195" s="246"/>
    </row>
    <row r="196" spans="2:7" ht="15" x14ac:dyDescent="0.2">
      <c r="B196" s="246"/>
      <c r="C196" s="246"/>
      <c r="D196" s="252">
        <f ca="1">RESULTADOS!O194</f>
        <v>42766</v>
      </c>
      <c r="E196" s="253"/>
      <c r="F196" s="247"/>
      <c r="G196" s="246"/>
    </row>
    <row r="197" spans="2:7" ht="15" x14ac:dyDescent="0.2">
      <c r="B197" s="246"/>
      <c r="C197" s="246"/>
      <c r="D197" s="252">
        <f ca="1">RESULTADOS!O195</f>
        <v>42794</v>
      </c>
      <c r="E197" s="253"/>
      <c r="F197" s="247"/>
      <c r="G197" s="246"/>
    </row>
    <row r="198" spans="2:7" ht="15" x14ac:dyDescent="0.2">
      <c r="B198" s="246"/>
      <c r="C198" s="246"/>
      <c r="D198" s="252">
        <f ca="1">RESULTADOS!O196</f>
        <v>42825</v>
      </c>
      <c r="E198" s="253"/>
      <c r="F198" s="247"/>
      <c r="G198" s="246"/>
    </row>
    <row r="199" spans="2:7" ht="15" x14ac:dyDescent="0.2">
      <c r="B199" s="246"/>
      <c r="C199" s="246"/>
      <c r="D199" s="252">
        <f ca="1">RESULTADOS!O197</f>
        <v>42855</v>
      </c>
      <c r="E199" s="253"/>
      <c r="F199" s="247"/>
      <c r="G199" s="246"/>
    </row>
    <row r="200" spans="2:7" ht="15" x14ac:dyDescent="0.2">
      <c r="B200" s="246"/>
      <c r="C200" s="246"/>
      <c r="D200" s="252">
        <f ca="1">RESULTADOS!O198</f>
        <v>42886</v>
      </c>
      <c r="E200" s="253"/>
      <c r="F200" s="247"/>
      <c r="G200" s="246"/>
    </row>
    <row r="201" spans="2:7" ht="15" x14ac:dyDescent="0.2">
      <c r="B201" s="246"/>
      <c r="C201" s="246"/>
      <c r="D201" s="252">
        <f ca="1">RESULTADOS!O199</f>
        <v>42916</v>
      </c>
      <c r="E201" s="253"/>
      <c r="F201" s="247"/>
      <c r="G201" s="246"/>
    </row>
    <row r="202" spans="2:7" ht="15" x14ac:dyDescent="0.2">
      <c r="B202" s="246"/>
      <c r="C202" s="246"/>
      <c r="D202" s="252">
        <f ca="1">RESULTADOS!O200</f>
        <v>42947</v>
      </c>
      <c r="E202" s="253"/>
      <c r="F202" s="247"/>
      <c r="G202" s="246"/>
    </row>
    <row r="203" spans="2:7" ht="15" x14ac:dyDescent="0.2">
      <c r="B203" s="246"/>
      <c r="C203" s="246"/>
      <c r="D203" s="252">
        <f ca="1">RESULTADOS!O201</f>
        <v>42978</v>
      </c>
      <c r="E203" s="253"/>
      <c r="F203" s="247"/>
      <c r="G203" s="246"/>
    </row>
    <row r="204" spans="2:7" ht="15" x14ac:dyDescent="0.2">
      <c r="B204" s="246"/>
      <c r="C204" s="246"/>
      <c r="D204" s="252">
        <f ca="1">RESULTADOS!O202</f>
        <v>43008</v>
      </c>
      <c r="E204" s="253"/>
      <c r="F204" s="247"/>
      <c r="G204" s="246"/>
    </row>
    <row r="205" spans="2:7" ht="15" x14ac:dyDescent="0.2">
      <c r="B205" s="246"/>
      <c r="C205" s="246"/>
      <c r="D205" s="252">
        <f ca="1">RESULTADOS!O203</f>
        <v>43039</v>
      </c>
      <c r="E205" s="253"/>
      <c r="F205" s="247"/>
      <c r="G205" s="246"/>
    </row>
    <row r="206" spans="2:7" ht="15" x14ac:dyDescent="0.2">
      <c r="B206" s="246"/>
      <c r="C206" s="246"/>
      <c r="D206" s="252">
        <f ca="1">RESULTADOS!O204</f>
        <v>43069</v>
      </c>
      <c r="E206" s="253"/>
      <c r="F206" s="247"/>
      <c r="G206" s="246"/>
    </row>
    <row r="207" spans="2:7" ht="15" x14ac:dyDescent="0.2">
      <c r="B207" s="246"/>
      <c r="C207" s="246"/>
      <c r="D207" s="252" t="str">
        <f ca="1">RESULTADOS!O205</f>
        <v>13º 2017</v>
      </c>
      <c r="E207" s="253"/>
      <c r="F207" s="247"/>
      <c r="G207" s="246"/>
    </row>
    <row r="208" spans="2:7" ht="15" x14ac:dyDescent="0.2">
      <c r="B208" s="246"/>
      <c r="C208" s="246"/>
      <c r="D208" s="252">
        <f ca="1">RESULTADOS!O206</f>
        <v>43100</v>
      </c>
      <c r="E208" s="253"/>
      <c r="F208" s="247"/>
      <c r="G208" s="246"/>
    </row>
    <row r="209" spans="2:7" ht="15" x14ac:dyDescent="0.2">
      <c r="B209" s="246"/>
      <c r="C209" s="246"/>
      <c r="D209" s="252">
        <f ca="1">RESULTADOS!O207</f>
        <v>43131</v>
      </c>
      <c r="E209" s="253"/>
      <c r="F209" s="247"/>
      <c r="G209" s="246"/>
    </row>
    <row r="210" spans="2:7" ht="15" x14ac:dyDescent="0.2">
      <c r="B210" s="246"/>
      <c r="C210" s="246"/>
      <c r="D210" s="252">
        <f ca="1">RESULTADOS!O208</f>
        <v>43159</v>
      </c>
      <c r="E210" s="253"/>
      <c r="F210" s="247"/>
      <c r="G210" s="246"/>
    </row>
    <row r="211" spans="2:7" ht="15" x14ac:dyDescent="0.2">
      <c r="B211" s="246"/>
      <c r="C211" s="246"/>
      <c r="D211" s="252">
        <f ca="1">RESULTADOS!O209</f>
        <v>43190</v>
      </c>
      <c r="E211" s="253"/>
      <c r="F211" s="247"/>
      <c r="G211" s="246"/>
    </row>
    <row r="212" spans="2:7" ht="15" x14ac:dyDescent="0.2">
      <c r="B212" s="246"/>
      <c r="C212" s="246"/>
      <c r="D212" s="252">
        <f ca="1">RESULTADOS!O210</f>
        <v>43220</v>
      </c>
      <c r="E212" s="253"/>
      <c r="F212" s="247"/>
      <c r="G212" s="246"/>
    </row>
    <row r="213" spans="2:7" ht="15" x14ac:dyDescent="0.2">
      <c r="B213" s="246"/>
      <c r="C213" s="246"/>
      <c r="D213" s="252">
        <f ca="1">RESULTADOS!O211</f>
        <v>43251</v>
      </c>
      <c r="E213" s="253"/>
      <c r="F213" s="247"/>
      <c r="G213" s="246"/>
    </row>
    <row r="214" spans="2:7" ht="15" x14ac:dyDescent="0.2">
      <c r="B214" s="246"/>
      <c r="C214" s="246"/>
      <c r="D214" s="252">
        <f ca="1">RESULTADOS!O212</f>
        <v>43281</v>
      </c>
      <c r="E214" s="253"/>
      <c r="F214" s="247"/>
      <c r="G214" s="246"/>
    </row>
    <row r="215" spans="2:7" ht="15" x14ac:dyDescent="0.2">
      <c r="B215" s="246"/>
      <c r="C215" s="246"/>
      <c r="D215" s="252">
        <f ca="1">RESULTADOS!O213</f>
        <v>43312</v>
      </c>
      <c r="E215" s="253"/>
      <c r="F215" s="247"/>
      <c r="G215" s="246"/>
    </row>
    <row r="216" spans="2:7" ht="15" x14ac:dyDescent="0.2">
      <c r="B216" s="246"/>
      <c r="C216" s="246"/>
      <c r="D216" s="252">
        <f ca="1">RESULTADOS!O214</f>
        <v>43343</v>
      </c>
      <c r="E216" s="253"/>
      <c r="F216" s="247"/>
      <c r="G216" s="246"/>
    </row>
    <row r="217" spans="2:7" ht="15" x14ac:dyDescent="0.2">
      <c r="B217" s="246"/>
      <c r="C217" s="246"/>
      <c r="D217" s="252">
        <f ca="1">RESULTADOS!O215</f>
        <v>43373</v>
      </c>
      <c r="E217" s="253"/>
      <c r="F217" s="247"/>
      <c r="G217" s="246"/>
    </row>
    <row r="218" spans="2:7" ht="15" x14ac:dyDescent="0.2">
      <c r="B218" s="246"/>
      <c r="C218" s="246"/>
      <c r="D218" s="252">
        <f ca="1">RESULTADOS!O216</f>
        <v>43404</v>
      </c>
      <c r="E218" s="253"/>
      <c r="F218" s="247"/>
      <c r="G218" s="246"/>
    </row>
    <row r="219" spans="2:7" ht="15" x14ac:dyDescent="0.2">
      <c r="B219" s="246"/>
      <c r="C219" s="246"/>
      <c r="D219" s="252">
        <f ca="1">RESULTADOS!O217</f>
        <v>43434</v>
      </c>
      <c r="E219" s="253"/>
      <c r="F219" s="247"/>
      <c r="G219" s="246"/>
    </row>
    <row r="220" spans="2:7" ht="15" x14ac:dyDescent="0.2">
      <c r="B220" s="246"/>
      <c r="C220" s="246"/>
      <c r="D220" s="252" t="str">
        <f ca="1">RESULTADOS!O218</f>
        <v>13º 2018</v>
      </c>
      <c r="E220" s="253"/>
      <c r="F220" s="247"/>
      <c r="G220" s="246"/>
    </row>
    <row r="221" spans="2:7" ht="15" x14ac:dyDescent="0.2">
      <c r="B221" s="246"/>
      <c r="C221" s="246"/>
      <c r="D221" s="252">
        <f ca="1">RESULTADOS!O219</f>
        <v>43465</v>
      </c>
      <c r="E221" s="253"/>
      <c r="F221" s="247"/>
      <c r="G221" s="246"/>
    </row>
    <row r="222" spans="2:7" ht="15" x14ac:dyDescent="0.2">
      <c r="B222" s="246"/>
      <c r="C222" s="246"/>
      <c r="D222" s="252">
        <f ca="1">RESULTADOS!O220</f>
        <v>43496</v>
      </c>
      <c r="E222" s="253"/>
      <c r="F222" s="247"/>
      <c r="G222" s="246"/>
    </row>
    <row r="223" spans="2:7" ht="15" x14ac:dyDescent="0.2">
      <c r="B223" s="246"/>
      <c r="C223" s="246"/>
      <c r="D223" s="252">
        <f ca="1">RESULTADOS!O221</f>
        <v>43524</v>
      </c>
      <c r="E223" s="253"/>
      <c r="F223" s="247"/>
      <c r="G223" s="246"/>
    </row>
    <row r="224" spans="2:7" ht="15" x14ac:dyDescent="0.2">
      <c r="B224" s="246"/>
      <c r="C224" s="246"/>
      <c r="D224" s="252" t="str">
        <f ca="1">RESULTADOS!O222</f>
        <v/>
      </c>
      <c r="E224" s="253"/>
      <c r="F224" s="247"/>
      <c r="G224" s="246"/>
    </row>
    <row r="225" spans="2:7" ht="15" x14ac:dyDescent="0.2">
      <c r="B225" s="246"/>
      <c r="C225" s="246"/>
      <c r="D225" s="252" t="str">
        <f ca="1">RESULTADOS!O223</f>
        <v/>
      </c>
      <c r="E225" s="253"/>
      <c r="F225" s="247"/>
      <c r="G225" s="246"/>
    </row>
    <row r="226" spans="2:7" ht="15" x14ac:dyDescent="0.2">
      <c r="B226" s="246"/>
      <c r="C226" s="246"/>
      <c r="D226" s="252" t="str">
        <f ca="1">RESULTADOS!O224</f>
        <v/>
      </c>
      <c r="E226" s="253"/>
      <c r="F226" s="247"/>
      <c r="G226" s="246"/>
    </row>
    <row r="227" spans="2:7" ht="15" x14ac:dyDescent="0.2">
      <c r="B227" s="246"/>
      <c r="C227" s="246"/>
      <c r="D227" s="252" t="str">
        <f ca="1">RESULTADOS!O225</f>
        <v/>
      </c>
      <c r="E227" s="253"/>
      <c r="F227" s="247"/>
      <c r="G227" s="246"/>
    </row>
    <row r="228" spans="2:7" ht="15" x14ac:dyDescent="0.2">
      <c r="B228" s="246"/>
      <c r="C228" s="246"/>
      <c r="D228" s="252" t="str">
        <f ca="1">RESULTADOS!O226</f>
        <v/>
      </c>
      <c r="E228" s="253"/>
      <c r="F228" s="247"/>
      <c r="G228" s="246"/>
    </row>
    <row r="229" spans="2:7" ht="15" x14ac:dyDescent="0.2">
      <c r="B229" s="246"/>
      <c r="C229" s="246"/>
      <c r="D229" s="252" t="str">
        <f ca="1">RESULTADOS!O227</f>
        <v/>
      </c>
      <c r="E229" s="253"/>
      <c r="F229" s="247"/>
      <c r="G229" s="246"/>
    </row>
    <row r="230" spans="2:7" ht="15" x14ac:dyDescent="0.2">
      <c r="B230" s="246"/>
      <c r="C230" s="246"/>
      <c r="D230" s="252" t="str">
        <f ca="1">RESULTADOS!O228</f>
        <v/>
      </c>
      <c r="E230" s="253"/>
      <c r="F230" s="247"/>
      <c r="G230" s="246"/>
    </row>
    <row r="231" spans="2:7" ht="15" x14ac:dyDescent="0.2">
      <c r="B231" s="246"/>
      <c r="C231" s="246"/>
      <c r="D231" s="252" t="str">
        <f ca="1">RESULTADOS!O229</f>
        <v/>
      </c>
      <c r="E231" s="253"/>
      <c r="F231" s="247"/>
      <c r="G231" s="246"/>
    </row>
    <row r="232" spans="2:7" ht="15" x14ac:dyDescent="0.2">
      <c r="B232" s="246"/>
      <c r="C232" s="246"/>
      <c r="D232" s="252" t="str">
        <f ca="1">RESULTADOS!O230</f>
        <v/>
      </c>
      <c r="E232" s="253"/>
      <c r="F232" s="247"/>
      <c r="G232" s="246"/>
    </row>
    <row r="233" spans="2:7" ht="15" x14ac:dyDescent="0.2">
      <c r="B233" s="246"/>
      <c r="C233" s="246"/>
      <c r="D233" s="252" t="str">
        <f ca="1">RESULTADOS!O231</f>
        <v/>
      </c>
      <c r="E233" s="253"/>
      <c r="F233" s="247"/>
      <c r="G233" s="246"/>
    </row>
    <row r="234" spans="2:7" ht="15" x14ac:dyDescent="0.2">
      <c r="B234" s="246"/>
      <c r="C234" s="246"/>
      <c r="D234" s="252" t="str">
        <f ca="1">RESULTADOS!O232</f>
        <v/>
      </c>
      <c r="E234" s="253"/>
      <c r="F234" s="247"/>
      <c r="G234" s="246"/>
    </row>
    <row r="235" spans="2:7" ht="15" x14ac:dyDescent="0.2">
      <c r="B235" s="246"/>
      <c r="C235" s="246"/>
      <c r="D235" s="252" t="str">
        <f ca="1">RESULTADOS!O233</f>
        <v/>
      </c>
      <c r="E235" s="253"/>
      <c r="F235" s="247"/>
      <c r="G235" s="246"/>
    </row>
    <row r="236" spans="2:7" ht="15" x14ac:dyDescent="0.2">
      <c r="B236" s="246"/>
      <c r="C236" s="246"/>
      <c r="D236" s="252" t="str">
        <f ca="1">RESULTADOS!O234</f>
        <v/>
      </c>
      <c r="E236" s="253"/>
      <c r="F236" s="247"/>
      <c r="G236" s="246"/>
    </row>
    <row r="237" spans="2:7" ht="15" x14ac:dyDescent="0.2">
      <c r="B237" s="246"/>
      <c r="C237" s="246"/>
      <c r="D237" s="252" t="str">
        <f ca="1">RESULTADOS!O235</f>
        <v/>
      </c>
      <c r="E237" s="253"/>
      <c r="F237" s="247"/>
      <c r="G237" s="246"/>
    </row>
    <row r="238" spans="2:7" ht="15" x14ac:dyDescent="0.2">
      <c r="B238" s="246"/>
      <c r="C238" s="246"/>
      <c r="D238" s="252" t="str">
        <f ca="1">RESULTADOS!O236</f>
        <v/>
      </c>
      <c r="E238" s="253"/>
      <c r="F238" s="247"/>
      <c r="G238" s="246"/>
    </row>
    <row r="239" spans="2:7" ht="15" x14ac:dyDescent="0.2">
      <c r="B239" s="246"/>
      <c r="C239" s="246"/>
      <c r="D239" s="252" t="str">
        <f ca="1">RESULTADOS!O237</f>
        <v/>
      </c>
      <c r="E239" s="253"/>
      <c r="F239" s="247"/>
      <c r="G239" s="246"/>
    </row>
    <row r="240" spans="2:7" ht="15" x14ac:dyDescent="0.2">
      <c r="B240" s="246"/>
      <c r="C240" s="246"/>
      <c r="D240" s="252" t="str">
        <f ca="1">RESULTADOS!O238</f>
        <v/>
      </c>
      <c r="E240" s="253"/>
      <c r="F240" s="247"/>
      <c r="G240" s="246"/>
    </row>
    <row r="241" spans="2:7" ht="15" x14ac:dyDescent="0.2">
      <c r="B241" s="246"/>
      <c r="C241" s="246"/>
      <c r="D241" s="252" t="str">
        <f ca="1">RESULTADOS!O239</f>
        <v/>
      </c>
      <c r="E241" s="253"/>
      <c r="F241" s="247"/>
      <c r="G241" s="246"/>
    </row>
    <row r="242" spans="2:7" ht="15" x14ac:dyDescent="0.2">
      <c r="B242" s="246"/>
      <c r="C242" s="246"/>
      <c r="D242" s="252" t="str">
        <f ca="1">RESULTADOS!O240</f>
        <v/>
      </c>
      <c r="E242" s="253"/>
      <c r="F242" s="247"/>
      <c r="G242" s="246"/>
    </row>
    <row r="243" spans="2:7" ht="15" x14ac:dyDescent="0.2">
      <c r="B243" s="246"/>
      <c r="C243" s="246"/>
      <c r="D243" s="252" t="str">
        <f ca="1">RESULTADOS!O241</f>
        <v/>
      </c>
      <c r="E243" s="253"/>
      <c r="F243" s="247"/>
      <c r="G243" s="246"/>
    </row>
    <row r="244" spans="2:7" ht="15" x14ac:dyDescent="0.2">
      <c r="B244" s="246"/>
      <c r="C244" s="246"/>
      <c r="D244" s="252" t="str">
        <f ca="1">RESULTADOS!O242</f>
        <v/>
      </c>
      <c r="E244" s="253"/>
      <c r="F244" s="247"/>
      <c r="G244" s="246"/>
    </row>
    <row r="245" spans="2:7" ht="15" x14ac:dyDescent="0.2">
      <c r="B245" s="246"/>
      <c r="C245" s="246"/>
      <c r="D245" s="252" t="str">
        <f ca="1">RESULTADOS!O243</f>
        <v/>
      </c>
      <c r="E245" s="253"/>
      <c r="F245" s="247"/>
      <c r="G245" s="246"/>
    </row>
    <row r="246" spans="2:7" ht="15" x14ac:dyDescent="0.2">
      <c r="B246" s="246"/>
      <c r="C246" s="246"/>
      <c r="D246" s="252" t="str">
        <f ca="1">RESULTADOS!O244</f>
        <v/>
      </c>
      <c r="E246" s="253"/>
      <c r="F246" s="247"/>
      <c r="G246" s="246"/>
    </row>
    <row r="247" spans="2:7" ht="15" x14ac:dyDescent="0.2">
      <c r="B247" s="246"/>
      <c r="C247" s="246"/>
      <c r="D247" s="252" t="str">
        <f ca="1">RESULTADOS!O245</f>
        <v/>
      </c>
      <c r="E247" s="253"/>
      <c r="F247" s="247"/>
      <c r="G247" s="246"/>
    </row>
    <row r="248" spans="2:7" ht="15" x14ac:dyDescent="0.2">
      <c r="B248" s="246"/>
      <c r="C248" s="246"/>
      <c r="D248" s="252" t="str">
        <f ca="1">RESULTADOS!O246</f>
        <v/>
      </c>
      <c r="E248" s="253"/>
      <c r="F248" s="247"/>
      <c r="G248" s="246"/>
    </row>
    <row r="249" spans="2:7" ht="15" x14ac:dyDescent="0.2">
      <c r="B249" s="246"/>
      <c r="C249" s="246"/>
      <c r="D249" s="252" t="str">
        <f ca="1">RESULTADOS!O247</f>
        <v/>
      </c>
      <c r="E249" s="253"/>
      <c r="F249" s="247"/>
      <c r="G249" s="246"/>
    </row>
    <row r="250" spans="2:7" ht="15" x14ac:dyDescent="0.2">
      <c r="B250" s="246"/>
      <c r="C250" s="246"/>
      <c r="D250" s="252" t="str">
        <f ca="1">RESULTADOS!O248</f>
        <v/>
      </c>
      <c r="E250" s="253"/>
      <c r="F250" s="247"/>
      <c r="G250" s="246"/>
    </row>
    <row r="251" spans="2:7" ht="15" x14ac:dyDescent="0.2">
      <c r="B251" s="246"/>
      <c r="C251" s="246"/>
      <c r="D251" s="252" t="str">
        <f ca="1">RESULTADOS!O249</f>
        <v/>
      </c>
      <c r="E251" s="253"/>
      <c r="F251" s="247"/>
      <c r="G251" s="246"/>
    </row>
    <row r="252" spans="2:7" ht="15" x14ac:dyDescent="0.2">
      <c r="B252" s="246"/>
      <c r="C252" s="246"/>
      <c r="D252" s="252" t="str">
        <f ca="1">RESULTADOS!O250</f>
        <v/>
      </c>
      <c r="E252" s="253"/>
      <c r="F252" s="247"/>
      <c r="G252" s="246"/>
    </row>
    <row r="253" spans="2:7" ht="15" x14ac:dyDescent="0.2">
      <c r="B253" s="246"/>
      <c r="C253" s="246"/>
      <c r="D253" s="252" t="str">
        <f ca="1">RESULTADOS!O251</f>
        <v/>
      </c>
      <c r="E253" s="253"/>
      <c r="F253" s="247"/>
      <c r="G253" s="246"/>
    </row>
    <row r="254" spans="2:7" ht="15" x14ac:dyDescent="0.2">
      <c r="B254" s="246"/>
      <c r="C254" s="246"/>
      <c r="D254" s="252" t="str">
        <f ca="1">RESULTADOS!O252</f>
        <v/>
      </c>
      <c r="E254" s="253"/>
      <c r="F254" s="247"/>
      <c r="G254" s="246"/>
    </row>
    <row r="255" spans="2:7" ht="15" x14ac:dyDescent="0.2">
      <c r="B255" s="246"/>
      <c r="C255" s="246"/>
      <c r="D255" s="252" t="str">
        <f ca="1">RESULTADOS!O253</f>
        <v/>
      </c>
      <c r="E255" s="253"/>
      <c r="F255" s="247"/>
      <c r="G255" s="246"/>
    </row>
    <row r="256" spans="2:7" ht="15" x14ac:dyDescent="0.2">
      <c r="B256" s="246"/>
      <c r="C256" s="246"/>
      <c r="D256" s="252" t="str">
        <f ca="1">RESULTADOS!O254</f>
        <v/>
      </c>
      <c r="E256" s="253"/>
      <c r="F256" s="247"/>
      <c r="G256" s="246"/>
    </row>
    <row r="257" spans="2:7" ht="15" x14ac:dyDescent="0.2">
      <c r="B257" s="246"/>
      <c r="C257" s="246"/>
      <c r="D257" s="252" t="str">
        <f ca="1">RESULTADOS!O255</f>
        <v/>
      </c>
      <c r="E257" s="253"/>
      <c r="F257" s="247"/>
      <c r="G257" s="246"/>
    </row>
    <row r="258" spans="2:7" ht="15" x14ac:dyDescent="0.2">
      <c r="B258" s="246"/>
      <c r="C258" s="246"/>
      <c r="D258" s="252" t="str">
        <f ca="1">RESULTADOS!O256</f>
        <v/>
      </c>
      <c r="E258" s="253"/>
      <c r="F258" s="247"/>
      <c r="G258" s="246"/>
    </row>
    <row r="259" spans="2:7" ht="15" x14ac:dyDescent="0.2">
      <c r="B259" s="246"/>
      <c r="C259" s="246"/>
      <c r="D259" s="252" t="str">
        <f ca="1">RESULTADOS!O257</f>
        <v/>
      </c>
      <c r="E259" s="253"/>
      <c r="F259" s="247"/>
      <c r="G259" s="246"/>
    </row>
    <row r="260" spans="2:7" ht="15" x14ac:dyDescent="0.2">
      <c r="B260" s="246"/>
      <c r="C260" s="246"/>
      <c r="D260" s="252" t="str">
        <f ca="1">RESULTADOS!O258</f>
        <v/>
      </c>
      <c r="E260" s="253"/>
      <c r="F260" s="247"/>
      <c r="G260" s="246"/>
    </row>
    <row r="261" spans="2:7" ht="15" x14ac:dyDescent="0.2">
      <c r="B261" s="246"/>
      <c r="C261" s="246"/>
      <c r="D261" s="252" t="str">
        <f ca="1">RESULTADOS!O259</f>
        <v/>
      </c>
      <c r="E261" s="253"/>
      <c r="F261" s="247"/>
      <c r="G261" s="246"/>
    </row>
    <row r="262" spans="2:7" ht="15" x14ac:dyDescent="0.2">
      <c r="B262" s="246"/>
      <c r="C262" s="246"/>
      <c r="D262" s="252" t="str">
        <f ca="1">RESULTADOS!O260</f>
        <v/>
      </c>
      <c r="E262" s="253"/>
      <c r="F262" s="247"/>
      <c r="G262" s="246"/>
    </row>
    <row r="263" spans="2:7" ht="15" x14ac:dyDescent="0.2">
      <c r="B263" s="246"/>
      <c r="C263" s="246"/>
      <c r="D263" s="252" t="str">
        <f ca="1">RESULTADOS!O261</f>
        <v/>
      </c>
      <c r="E263" s="253"/>
      <c r="F263" s="247"/>
      <c r="G263" s="246"/>
    </row>
    <row r="264" spans="2:7" ht="15" x14ac:dyDescent="0.2">
      <c r="B264" s="246"/>
      <c r="C264" s="246"/>
      <c r="D264" s="252" t="str">
        <f ca="1">RESULTADOS!O262</f>
        <v/>
      </c>
      <c r="E264" s="253"/>
      <c r="F264" s="247"/>
      <c r="G264" s="246"/>
    </row>
    <row r="265" spans="2:7" ht="15" x14ac:dyDescent="0.2">
      <c r="B265" s="246"/>
      <c r="C265" s="246"/>
      <c r="D265" s="252" t="str">
        <f ca="1">RESULTADOS!O263</f>
        <v/>
      </c>
      <c r="E265" s="253"/>
      <c r="F265" s="247"/>
      <c r="G265" s="246"/>
    </row>
    <row r="266" spans="2:7" ht="15" x14ac:dyDescent="0.2">
      <c r="B266" s="246"/>
      <c r="C266" s="246"/>
      <c r="D266" s="252" t="str">
        <f ca="1">RESULTADOS!O264</f>
        <v/>
      </c>
      <c r="E266" s="253"/>
      <c r="F266" s="247"/>
      <c r="G266" s="246"/>
    </row>
    <row r="267" spans="2:7" ht="15" x14ac:dyDescent="0.2">
      <c r="B267" s="246"/>
      <c r="C267" s="246"/>
      <c r="D267" s="252" t="str">
        <f ca="1">RESULTADOS!O265</f>
        <v/>
      </c>
      <c r="E267" s="253"/>
      <c r="F267" s="247"/>
      <c r="G267" s="246"/>
    </row>
    <row r="268" spans="2:7" ht="15" x14ac:dyDescent="0.2">
      <c r="B268" s="246"/>
      <c r="C268" s="246"/>
      <c r="D268" s="252" t="str">
        <f ca="1">RESULTADOS!O266</f>
        <v/>
      </c>
      <c r="E268" s="253"/>
      <c r="F268" s="247"/>
      <c r="G268" s="246"/>
    </row>
    <row r="269" spans="2:7" ht="15" x14ac:dyDescent="0.2">
      <c r="B269" s="246"/>
      <c r="C269" s="246"/>
      <c r="D269" s="252" t="str">
        <f ca="1">RESULTADOS!O267</f>
        <v/>
      </c>
      <c r="E269" s="253"/>
      <c r="F269" s="247"/>
      <c r="G269" s="246"/>
    </row>
    <row r="270" spans="2:7" ht="15" x14ac:dyDescent="0.2">
      <c r="B270" s="246"/>
      <c r="C270" s="246"/>
      <c r="D270" s="252" t="str">
        <f ca="1">RESULTADOS!O268</f>
        <v/>
      </c>
      <c r="E270" s="253"/>
      <c r="F270" s="247"/>
      <c r="G270" s="246"/>
    </row>
    <row r="271" spans="2:7" ht="15" x14ac:dyDescent="0.2">
      <c r="B271" s="246"/>
      <c r="C271" s="246"/>
      <c r="D271" s="252" t="str">
        <f ca="1">RESULTADOS!O269</f>
        <v/>
      </c>
      <c r="E271" s="253"/>
      <c r="F271" s="247"/>
      <c r="G271" s="246"/>
    </row>
    <row r="272" spans="2:7" ht="15" x14ac:dyDescent="0.2">
      <c r="B272" s="246"/>
      <c r="C272" s="246"/>
      <c r="D272" s="252" t="str">
        <f ca="1">RESULTADOS!O270</f>
        <v/>
      </c>
      <c r="E272" s="253"/>
      <c r="F272" s="247"/>
      <c r="G272" s="246"/>
    </row>
    <row r="273" spans="2:7" ht="15" x14ac:dyDescent="0.2">
      <c r="B273" s="246"/>
      <c r="C273" s="246"/>
      <c r="D273" s="252" t="str">
        <f ca="1">RESULTADOS!O271</f>
        <v/>
      </c>
      <c r="E273" s="253"/>
      <c r="F273" s="247"/>
      <c r="G273" s="246"/>
    </row>
    <row r="274" spans="2:7" ht="15" x14ac:dyDescent="0.2">
      <c r="B274" s="246"/>
      <c r="C274" s="246"/>
      <c r="D274" s="252" t="str">
        <f ca="1">RESULTADOS!O272</f>
        <v/>
      </c>
      <c r="E274" s="253"/>
      <c r="F274" s="247"/>
      <c r="G274" s="246"/>
    </row>
    <row r="275" spans="2:7" ht="15" x14ac:dyDescent="0.2">
      <c r="B275" s="246"/>
      <c r="C275" s="246"/>
      <c r="D275" s="252" t="str">
        <f ca="1">RESULTADOS!O273</f>
        <v/>
      </c>
      <c r="E275" s="253"/>
      <c r="F275" s="247"/>
      <c r="G275" s="246"/>
    </row>
    <row r="276" spans="2:7" ht="15" x14ac:dyDescent="0.2">
      <c r="B276" s="246"/>
      <c r="C276" s="246"/>
      <c r="D276" s="252" t="str">
        <f ca="1">RESULTADOS!O274</f>
        <v/>
      </c>
      <c r="E276" s="253"/>
      <c r="F276" s="247"/>
      <c r="G276" s="246"/>
    </row>
    <row r="277" spans="2:7" ht="15" x14ac:dyDescent="0.2">
      <c r="B277" s="246"/>
      <c r="C277" s="246"/>
      <c r="D277" s="252" t="str">
        <f ca="1">RESULTADOS!O275</f>
        <v/>
      </c>
      <c r="E277" s="253"/>
      <c r="F277" s="247"/>
      <c r="G277" s="246"/>
    </row>
    <row r="278" spans="2:7" ht="15" x14ac:dyDescent="0.2">
      <c r="B278" s="246"/>
      <c r="C278" s="246"/>
      <c r="D278" s="252" t="str">
        <f ca="1">RESULTADOS!O276</f>
        <v/>
      </c>
      <c r="E278" s="253"/>
      <c r="F278" s="247"/>
      <c r="G278" s="246"/>
    </row>
    <row r="279" spans="2:7" ht="15" x14ac:dyDescent="0.2">
      <c r="B279" s="246"/>
      <c r="C279" s="246"/>
      <c r="D279" s="252" t="str">
        <f ca="1">RESULTADOS!O277</f>
        <v/>
      </c>
      <c r="E279" s="253"/>
      <c r="F279" s="247"/>
      <c r="G279" s="246"/>
    </row>
    <row r="280" spans="2:7" ht="15" x14ac:dyDescent="0.2">
      <c r="B280" s="246"/>
      <c r="C280" s="246"/>
      <c r="D280" s="252" t="str">
        <f ca="1">RESULTADOS!O278</f>
        <v/>
      </c>
      <c r="E280" s="253"/>
      <c r="F280" s="247"/>
      <c r="G280" s="246"/>
    </row>
    <row r="281" spans="2:7" ht="15" x14ac:dyDescent="0.2">
      <c r="B281" s="246"/>
      <c r="C281" s="246"/>
      <c r="D281" s="252" t="str">
        <f ca="1">RESULTADOS!O279</f>
        <v/>
      </c>
      <c r="E281" s="253"/>
      <c r="F281" s="247"/>
      <c r="G281" s="246"/>
    </row>
    <row r="282" spans="2:7" ht="15" x14ac:dyDescent="0.2">
      <c r="B282" s="246"/>
      <c r="C282" s="246"/>
      <c r="D282" s="252" t="str">
        <f ca="1">RESULTADOS!O280</f>
        <v/>
      </c>
      <c r="E282" s="253"/>
      <c r="F282" s="247"/>
      <c r="G282" s="246"/>
    </row>
    <row r="283" spans="2:7" ht="15" x14ac:dyDescent="0.2">
      <c r="B283" s="246"/>
      <c r="C283" s="246"/>
      <c r="D283" s="252" t="str">
        <f ca="1">RESULTADOS!O281</f>
        <v/>
      </c>
      <c r="E283" s="253"/>
      <c r="F283" s="247"/>
      <c r="G283" s="246"/>
    </row>
    <row r="284" spans="2:7" ht="15" x14ac:dyDescent="0.2">
      <c r="B284" s="246"/>
      <c r="C284" s="246"/>
      <c r="D284" s="252" t="str">
        <f ca="1">RESULTADOS!O282</f>
        <v/>
      </c>
      <c r="E284" s="253"/>
      <c r="F284" s="247"/>
      <c r="G284" s="246"/>
    </row>
    <row r="285" spans="2:7" ht="15" x14ac:dyDescent="0.2">
      <c r="B285" s="246"/>
      <c r="C285" s="246"/>
      <c r="D285" s="252" t="str">
        <f ca="1">RESULTADOS!O283</f>
        <v/>
      </c>
      <c r="E285" s="253"/>
      <c r="F285" s="247"/>
      <c r="G285" s="246"/>
    </row>
    <row r="286" spans="2:7" ht="15" x14ac:dyDescent="0.2">
      <c r="B286" s="246"/>
      <c r="C286" s="246"/>
      <c r="D286" s="252" t="str">
        <f ca="1">RESULTADOS!O284</f>
        <v/>
      </c>
      <c r="E286" s="253"/>
      <c r="F286" s="247"/>
      <c r="G286" s="246"/>
    </row>
    <row r="287" spans="2:7" ht="15" x14ac:dyDescent="0.2">
      <c r="B287" s="246"/>
      <c r="C287" s="246"/>
      <c r="D287" s="252" t="str">
        <f ca="1">RESULTADOS!O285</f>
        <v/>
      </c>
      <c r="E287" s="253"/>
      <c r="F287" s="247"/>
      <c r="G287" s="246"/>
    </row>
    <row r="288" spans="2:7" ht="15" x14ac:dyDescent="0.2">
      <c r="B288" s="246"/>
      <c r="C288" s="246"/>
      <c r="D288" s="252" t="str">
        <f ca="1">RESULTADOS!O286</f>
        <v/>
      </c>
      <c r="E288" s="253"/>
      <c r="F288" s="247"/>
      <c r="G288" s="246"/>
    </row>
    <row r="289" spans="2:7" ht="15" x14ac:dyDescent="0.2">
      <c r="B289" s="246"/>
      <c r="C289" s="246"/>
      <c r="D289" s="252" t="str">
        <f ca="1">RESULTADOS!O287</f>
        <v/>
      </c>
      <c r="E289" s="253"/>
      <c r="F289" s="247"/>
      <c r="G289" s="246"/>
    </row>
    <row r="290" spans="2:7" ht="15" x14ac:dyDescent="0.2">
      <c r="B290" s="246"/>
      <c r="C290" s="246"/>
      <c r="D290" s="252" t="str">
        <f ca="1">RESULTADOS!O288</f>
        <v/>
      </c>
      <c r="E290" s="253"/>
      <c r="F290" s="247"/>
      <c r="G290" s="246"/>
    </row>
    <row r="291" spans="2:7" ht="15" x14ac:dyDescent="0.2">
      <c r="B291" s="246"/>
      <c r="C291" s="246"/>
      <c r="D291" s="252" t="str">
        <f ca="1">RESULTADOS!O289</f>
        <v/>
      </c>
      <c r="E291" s="253"/>
      <c r="F291" s="247"/>
      <c r="G291" s="246"/>
    </row>
    <row r="292" spans="2:7" ht="15" x14ac:dyDescent="0.2">
      <c r="B292" s="246"/>
      <c r="C292" s="246"/>
      <c r="D292" s="252" t="str">
        <f ca="1">RESULTADOS!O290</f>
        <v/>
      </c>
      <c r="E292" s="253"/>
      <c r="F292" s="247"/>
      <c r="G292" s="246"/>
    </row>
    <row r="293" spans="2:7" ht="15" x14ac:dyDescent="0.2">
      <c r="B293" s="246"/>
      <c r="C293" s="246"/>
      <c r="D293" s="252" t="str">
        <f ca="1">RESULTADOS!O291</f>
        <v/>
      </c>
      <c r="E293" s="253"/>
      <c r="F293" s="247"/>
      <c r="G293" s="246"/>
    </row>
    <row r="294" spans="2:7" ht="15" x14ac:dyDescent="0.2">
      <c r="B294" s="246"/>
      <c r="C294" s="246"/>
      <c r="D294" s="252" t="str">
        <f ca="1">RESULTADOS!O292</f>
        <v/>
      </c>
      <c r="E294" s="253"/>
      <c r="F294" s="247"/>
      <c r="G294" s="246"/>
    </row>
    <row r="295" spans="2:7" ht="15" x14ac:dyDescent="0.2">
      <c r="B295" s="246"/>
      <c r="C295" s="246"/>
      <c r="D295" s="252" t="str">
        <f ca="1">RESULTADOS!O293</f>
        <v/>
      </c>
      <c r="E295" s="253"/>
      <c r="F295" s="247"/>
      <c r="G295" s="246"/>
    </row>
    <row r="296" spans="2:7" ht="15" x14ac:dyDescent="0.2">
      <c r="B296" s="246"/>
      <c r="C296" s="246"/>
      <c r="D296" s="252" t="str">
        <f ca="1">RESULTADOS!O294</f>
        <v/>
      </c>
      <c r="E296" s="253"/>
      <c r="F296" s="247"/>
      <c r="G296" s="246"/>
    </row>
    <row r="297" spans="2:7" ht="15" x14ac:dyDescent="0.2">
      <c r="B297" s="246"/>
      <c r="C297" s="246"/>
      <c r="D297" s="252" t="str">
        <f ca="1">RESULTADOS!O295</f>
        <v/>
      </c>
      <c r="E297" s="253"/>
      <c r="F297" s="247"/>
      <c r="G297" s="246"/>
    </row>
    <row r="298" spans="2:7" ht="15" x14ac:dyDescent="0.2">
      <c r="B298" s="246"/>
      <c r="C298" s="246"/>
      <c r="D298" s="252" t="str">
        <f ca="1">RESULTADOS!O296</f>
        <v/>
      </c>
      <c r="E298" s="253"/>
      <c r="F298" s="247"/>
      <c r="G298" s="246"/>
    </row>
    <row r="299" spans="2:7" ht="15" x14ac:dyDescent="0.2">
      <c r="B299" s="246"/>
      <c r="C299" s="246"/>
      <c r="D299" s="252" t="str">
        <f ca="1">RESULTADOS!O297</f>
        <v/>
      </c>
      <c r="E299" s="253"/>
      <c r="F299" s="247"/>
      <c r="G299" s="246"/>
    </row>
    <row r="300" spans="2:7" ht="15" x14ac:dyDescent="0.2">
      <c r="B300" s="246"/>
      <c r="C300" s="246"/>
      <c r="D300" s="252" t="str">
        <f ca="1">RESULTADOS!O298</f>
        <v/>
      </c>
      <c r="E300" s="253"/>
      <c r="F300" s="247"/>
      <c r="G300" s="246"/>
    </row>
    <row r="301" spans="2:7" ht="15" x14ac:dyDescent="0.2">
      <c r="B301" s="246"/>
      <c r="C301" s="246"/>
      <c r="D301" s="252" t="str">
        <f ca="1">RESULTADOS!O299</f>
        <v/>
      </c>
      <c r="E301" s="253"/>
      <c r="F301" s="247"/>
      <c r="G301" s="246"/>
    </row>
    <row r="302" spans="2:7" ht="15" x14ac:dyDescent="0.2">
      <c r="B302" s="246"/>
      <c r="C302" s="246"/>
      <c r="D302" s="252" t="str">
        <f ca="1">RESULTADOS!O300</f>
        <v/>
      </c>
      <c r="E302" s="253"/>
      <c r="F302" s="247"/>
      <c r="G302" s="246"/>
    </row>
    <row r="303" spans="2:7" ht="15" x14ac:dyDescent="0.2">
      <c r="B303" s="246"/>
      <c r="C303" s="246"/>
      <c r="D303" s="252" t="str">
        <f ca="1">RESULTADOS!O301</f>
        <v/>
      </c>
      <c r="E303" s="253"/>
      <c r="F303" s="247"/>
      <c r="G303" s="246"/>
    </row>
    <row r="304" spans="2:7" ht="15" x14ac:dyDescent="0.2">
      <c r="B304" s="246"/>
      <c r="C304" s="246"/>
      <c r="D304" s="252" t="str">
        <f ca="1">RESULTADOS!O302</f>
        <v/>
      </c>
      <c r="E304" s="253"/>
      <c r="F304" s="247"/>
      <c r="G304" s="246"/>
    </row>
    <row r="305" spans="2:7" ht="15" x14ac:dyDescent="0.2">
      <c r="B305" s="246"/>
      <c r="C305" s="246"/>
      <c r="D305" s="252" t="str">
        <f ca="1">RESULTADOS!O303</f>
        <v/>
      </c>
      <c r="E305" s="253"/>
      <c r="F305" s="247"/>
      <c r="G305" s="246"/>
    </row>
    <row r="306" spans="2:7" ht="15" x14ac:dyDescent="0.2">
      <c r="B306" s="246"/>
      <c r="C306" s="246"/>
      <c r="D306" s="252" t="str">
        <f ca="1">RESULTADOS!O304</f>
        <v/>
      </c>
      <c r="E306" s="253"/>
      <c r="F306" s="247"/>
      <c r="G306" s="246"/>
    </row>
    <row r="307" spans="2:7" ht="15" x14ac:dyDescent="0.2">
      <c r="B307" s="246"/>
      <c r="C307" s="246"/>
      <c r="D307" s="252" t="str">
        <f ca="1">RESULTADOS!O305</f>
        <v/>
      </c>
      <c r="E307" s="253"/>
      <c r="F307" s="247"/>
      <c r="G307" s="246"/>
    </row>
    <row r="308" spans="2:7" ht="15" x14ac:dyDescent="0.2">
      <c r="B308" s="246"/>
      <c r="C308" s="246"/>
      <c r="D308" s="252" t="str">
        <f ca="1">RESULTADOS!O306</f>
        <v/>
      </c>
      <c r="E308" s="253"/>
      <c r="F308" s="247"/>
      <c r="G308" s="246"/>
    </row>
    <row r="309" spans="2:7" ht="15" x14ac:dyDescent="0.2">
      <c r="B309" s="246"/>
      <c r="C309" s="246"/>
      <c r="D309" s="252" t="str">
        <f ca="1">RESULTADOS!O307</f>
        <v/>
      </c>
      <c r="E309" s="253"/>
      <c r="F309" s="247"/>
      <c r="G309" s="246"/>
    </row>
    <row r="310" spans="2:7" ht="15" x14ac:dyDescent="0.2">
      <c r="B310" s="246"/>
      <c r="C310" s="246"/>
      <c r="D310" s="252" t="str">
        <f ca="1">RESULTADOS!O308</f>
        <v/>
      </c>
      <c r="E310" s="253"/>
      <c r="F310" s="247"/>
      <c r="G310" s="246"/>
    </row>
    <row r="311" spans="2:7" ht="15" x14ac:dyDescent="0.2">
      <c r="B311" s="246"/>
      <c r="C311" s="246"/>
      <c r="D311" s="252" t="str">
        <f ca="1">RESULTADOS!O309</f>
        <v/>
      </c>
      <c r="E311" s="253"/>
      <c r="F311" s="247"/>
      <c r="G311" s="246"/>
    </row>
    <row r="312" spans="2:7" ht="15" x14ac:dyDescent="0.2">
      <c r="B312" s="246"/>
      <c r="C312" s="246"/>
      <c r="D312" s="252" t="str">
        <f ca="1">RESULTADOS!O310</f>
        <v/>
      </c>
      <c r="E312" s="253"/>
      <c r="F312" s="247"/>
      <c r="G312" s="246"/>
    </row>
    <row r="313" spans="2:7" ht="15" x14ac:dyDescent="0.2">
      <c r="B313" s="246"/>
      <c r="C313" s="246"/>
      <c r="D313" s="252" t="str">
        <f ca="1">RESULTADOS!O311</f>
        <v/>
      </c>
      <c r="E313" s="253"/>
      <c r="F313" s="247"/>
      <c r="G313" s="246"/>
    </row>
    <row r="314" spans="2:7" ht="15" x14ac:dyDescent="0.2">
      <c r="B314" s="246"/>
      <c r="C314" s="246"/>
      <c r="D314" s="252" t="str">
        <f ca="1">RESULTADOS!O312</f>
        <v/>
      </c>
      <c r="E314" s="253"/>
      <c r="F314" s="247"/>
      <c r="G314" s="246"/>
    </row>
    <row r="315" spans="2:7" ht="15" x14ac:dyDescent="0.2">
      <c r="B315" s="246"/>
      <c r="C315" s="246"/>
      <c r="D315" s="252" t="str">
        <f ca="1">RESULTADOS!O313</f>
        <v/>
      </c>
      <c r="E315" s="253"/>
      <c r="F315" s="247"/>
      <c r="G315" s="246"/>
    </row>
    <row r="316" spans="2:7" ht="15" x14ac:dyDescent="0.2">
      <c r="B316" s="246"/>
      <c r="C316" s="246"/>
      <c r="D316" s="252" t="str">
        <f ca="1">RESULTADOS!O314</f>
        <v/>
      </c>
      <c r="E316" s="253"/>
      <c r="F316" s="247"/>
      <c r="G316" s="246"/>
    </row>
    <row r="317" spans="2:7" ht="15" x14ac:dyDescent="0.2">
      <c r="B317" s="246"/>
      <c r="C317" s="246"/>
      <c r="D317" s="252" t="str">
        <f ca="1">RESULTADOS!O315</f>
        <v/>
      </c>
      <c r="E317" s="253"/>
      <c r="F317" s="247"/>
      <c r="G317" s="246"/>
    </row>
    <row r="318" spans="2:7" ht="15" x14ac:dyDescent="0.2">
      <c r="B318" s="246"/>
      <c r="C318" s="246"/>
      <c r="D318" s="252" t="str">
        <f ca="1">RESULTADOS!O316</f>
        <v/>
      </c>
      <c r="E318" s="253"/>
      <c r="F318" s="247"/>
      <c r="G318" s="246"/>
    </row>
    <row r="319" spans="2:7" ht="15" x14ac:dyDescent="0.2">
      <c r="B319" s="246"/>
      <c r="C319" s="246"/>
      <c r="D319" s="252" t="str">
        <f ca="1">RESULTADOS!O317</f>
        <v/>
      </c>
      <c r="E319" s="253"/>
      <c r="F319" s="247"/>
      <c r="G319" s="246"/>
    </row>
    <row r="320" spans="2:7" ht="15" x14ac:dyDescent="0.2">
      <c r="B320" s="246"/>
      <c r="C320" s="246"/>
      <c r="D320" s="252" t="str">
        <f ca="1">RESULTADOS!O318</f>
        <v/>
      </c>
      <c r="E320" s="253"/>
      <c r="F320" s="247"/>
      <c r="G320" s="246"/>
    </row>
    <row r="321" spans="2:7" ht="15" x14ac:dyDescent="0.2">
      <c r="B321" s="246"/>
      <c r="C321" s="246"/>
      <c r="D321" s="252" t="str">
        <f ca="1">RESULTADOS!O319</f>
        <v/>
      </c>
      <c r="E321" s="253"/>
      <c r="F321" s="247"/>
      <c r="G321" s="246"/>
    </row>
    <row r="322" spans="2:7" ht="15" x14ac:dyDescent="0.2">
      <c r="B322" s="246"/>
      <c r="C322" s="246"/>
      <c r="D322" s="252" t="str">
        <f ca="1">RESULTADOS!O320</f>
        <v/>
      </c>
      <c r="E322" s="253"/>
      <c r="F322" s="247"/>
      <c r="G322" s="246"/>
    </row>
    <row r="323" spans="2:7" ht="15" x14ac:dyDescent="0.2">
      <c r="B323" s="246"/>
      <c r="C323" s="246"/>
      <c r="D323" s="252" t="str">
        <f ca="1">RESULTADOS!O321</f>
        <v/>
      </c>
      <c r="E323" s="253"/>
      <c r="F323" s="247"/>
      <c r="G323" s="246"/>
    </row>
    <row r="324" spans="2:7" ht="15" x14ac:dyDescent="0.2">
      <c r="B324" s="246"/>
      <c r="C324" s="246"/>
      <c r="D324" s="252" t="str">
        <f ca="1">RESULTADOS!O322</f>
        <v/>
      </c>
      <c r="E324" s="253"/>
      <c r="F324" s="247"/>
      <c r="G324" s="246"/>
    </row>
    <row r="325" spans="2:7" ht="15" x14ac:dyDescent="0.2">
      <c r="B325" s="246"/>
      <c r="C325" s="246"/>
      <c r="D325" s="252" t="str">
        <f ca="1">RESULTADOS!O323</f>
        <v/>
      </c>
      <c r="E325" s="253"/>
      <c r="F325" s="247"/>
      <c r="G325" s="246"/>
    </row>
    <row r="326" spans="2:7" ht="15" x14ac:dyDescent="0.2">
      <c r="B326" s="246"/>
      <c r="C326" s="246"/>
      <c r="D326" s="252" t="str">
        <f ca="1">RESULTADOS!O324</f>
        <v/>
      </c>
      <c r="E326" s="253"/>
      <c r="F326" s="247"/>
      <c r="G326" s="246"/>
    </row>
    <row r="327" spans="2:7" ht="15" x14ac:dyDescent="0.2">
      <c r="B327" s="246"/>
      <c r="C327" s="246"/>
      <c r="D327" s="252" t="str">
        <f ca="1">RESULTADOS!O325</f>
        <v/>
      </c>
      <c r="E327" s="253"/>
      <c r="F327" s="247"/>
      <c r="G327" s="246"/>
    </row>
    <row r="328" spans="2:7" ht="15" x14ac:dyDescent="0.2">
      <c r="B328" s="246"/>
      <c r="C328" s="246"/>
      <c r="D328" s="252" t="str">
        <f ca="1">RESULTADOS!O326</f>
        <v/>
      </c>
      <c r="E328" s="253"/>
      <c r="F328" s="247"/>
      <c r="G328" s="246"/>
    </row>
    <row r="329" spans="2:7" ht="15" x14ac:dyDescent="0.2">
      <c r="B329" s="246"/>
      <c r="C329" s="246"/>
      <c r="D329" s="252" t="str">
        <f ca="1">RESULTADOS!O327</f>
        <v/>
      </c>
      <c r="E329" s="253"/>
      <c r="F329" s="247"/>
      <c r="G329" s="246"/>
    </row>
    <row r="330" spans="2:7" ht="15" x14ac:dyDescent="0.2">
      <c r="B330" s="246"/>
      <c r="C330" s="246"/>
      <c r="D330" s="252" t="str">
        <f ca="1">RESULTADOS!O328</f>
        <v/>
      </c>
      <c r="E330" s="253"/>
      <c r="F330" s="247"/>
      <c r="G330" s="246"/>
    </row>
    <row r="331" spans="2:7" ht="15" x14ac:dyDescent="0.2">
      <c r="B331" s="246"/>
      <c r="C331" s="246"/>
      <c r="D331" s="252" t="str">
        <f ca="1">RESULTADOS!O329</f>
        <v/>
      </c>
      <c r="E331" s="253"/>
      <c r="F331" s="247"/>
      <c r="G331" s="246"/>
    </row>
    <row r="332" spans="2:7" ht="15" x14ac:dyDescent="0.2">
      <c r="B332" s="246"/>
      <c r="C332" s="246"/>
      <c r="D332" s="252" t="str">
        <f ca="1">RESULTADOS!O330</f>
        <v/>
      </c>
      <c r="E332" s="253"/>
      <c r="F332" s="247"/>
      <c r="G332" s="246"/>
    </row>
    <row r="333" spans="2:7" ht="15" x14ac:dyDescent="0.2">
      <c r="B333" s="246"/>
      <c r="C333" s="246"/>
      <c r="D333" s="252" t="str">
        <f ca="1">RESULTADOS!O331</f>
        <v/>
      </c>
      <c r="E333" s="253"/>
      <c r="F333" s="247"/>
      <c r="G333" s="246"/>
    </row>
    <row r="334" spans="2:7" ht="15" x14ac:dyDescent="0.2">
      <c r="B334" s="246"/>
      <c r="C334" s="246"/>
      <c r="D334" s="252" t="str">
        <f ca="1">RESULTADOS!O332</f>
        <v/>
      </c>
      <c r="E334" s="253"/>
      <c r="F334" s="247"/>
      <c r="G334" s="246"/>
    </row>
    <row r="335" spans="2:7" ht="15" x14ac:dyDescent="0.2">
      <c r="B335" s="246"/>
      <c r="C335" s="246"/>
      <c r="D335" s="252" t="str">
        <f ca="1">RESULTADOS!O333</f>
        <v/>
      </c>
      <c r="E335" s="253"/>
      <c r="F335" s="247"/>
      <c r="G335" s="246"/>
    </row>
    <row r="336" spans="2:7" ht="15" x14ac:dyDescent="0.2">
      <c r="B336" s="246"/>
      <c r="C336" s="246"/>
      <c r="D336" s="252" t="str">
        <f ca="1">RESULTADOS!O334</f>
        <v/>
      </c>
      <c r="E336" s="253"/>
      <c r="F336" s="247"/>
      <c r="G336" s="246"/>
    </row>
    <row r="337" spans="2:7" ht="15" x14ac:dyDescent="0.2">
      <c r="B337" s="246"/>
      <c r="C337" s="246"/>
      <c r="D337" s="252" t="str">
        <f ca="1">RESULTADOS!O335</f>
        <v/>
      </c>
      <c r="E337" s="253"/>
      <c r="F337" s="247"/>
      <c r="G337" s="246"/>
    </row>
    <row r="338" spans="2:7" ht="15" x14ac:dyDescent="0.2">
      <c r="B338" s="246"/>
      <c r="C338" s="246"/>
      <c r="D338" s="252" t="str">
        <f ca="1">RESULTADOS!O336</f>
        <v/>
      </c>
      <c r="E338" s="253"/>
      <c r="F338" s="247"/>
      <c r="G338" s="246"/>
    </row>
    <row r="339" spans="2:7" ht="15" x14ac:dyDescent="0.2">
      <c r="B339" s="246"/>
      <c r="C339" s="246"/>
      <c r="D339" s="252" t="str">
        <f ca="1">RESULTADOS!O337</f>
        <v/>
      </c>
      <c r="E339" s="253"/>
      <c r="F339" s="247"/>
      <c r="G339" s="246"/>
    </row>
    <row r="340" spans="2:7" ht="15" x14ac:dyDescent="0.2">
      <c r="B340" s="246"/>
      <c r="C340" s="246"/>
      <c r="D340" s="252" t="str">
        <f ca="1">RESULTADOS!O338</f>
        <v/>
      </c>
      <c r="E340" s="253"/>
      <c r="F340" s="247"/>
      <c r="G340" s="246"/>
    </row>
    <row r="341" spans="2:7" ht="15" x14ac:dyDescent="0.2">
      <c r="B341" s="246"/>
      <c r="C341" s="246"/>
      <c r="D341" s="252" t="str">
        <f ca="1">RESULTADOS!O339</f>
        <v/>
      </c>
      <c r="E341" s="253"/>
      <c r="F341" s="247"/>
      <c r="G341" s="246"/>
    </row>
    <row r="342" spans="2:7" ht="15" x14ac:dyDescent="0.2">
      <c r="B342" s="246"/>
      <c r="C342" s="246"/>
      <c r="D342" s="252" t="str">
        <f ca="1">RESULTADOS!O340</f>
        <v/>
      </c>
      <c r="E342" s="253"/>
      <c r="F342" s="247"/>
      <c r="G342" s="246"/>
    </row>
    <row r="343" spans="2:7" ht="15" x14ac:dyDescent="0.2">
      <c r="B343" s="246"/>
      <c r="C343" s="246"/>
      <c r="D343" s="252" t="str">
        <f ca="1">RESULTADOS!O341</f>
        <v/>
      </c>
      <c r="E343" s="253"/>
      <c r="F343" s="247"/>
      <c r="G343" s="246"/>
    </row>
    <row r="344" spans="2:7" ht="15" x14ac:dyDescent="0.2">
      <c r="B344" s="246"/>
      <c r="C344" s="246"/>
      <c r="D344" s="252" t="str">
        <f ca="1">RESULTADOS!O342</f>
        <v/>
      </c>
      <c r="E344" s="253"/>
      <c r="F344" s="247"/>
      <c r="G344" s="246"/>
    </row>
    <row r="345" spans="2:7" ht="15" x14ac:dyDescent="0.2">
      <c r="B345" s="246"/>
      <c r="C345" s="246"/>
      <c r="D345" s="252" t="str">
        <f ca="1">RESULTADOS!O343</f>
        <v/>
      </c>
      <c r="E345" s="253"/>
      <c r="F345" s="247"/>
      <c r="G345" s="246"/>
    </row>
    <row r="346" spans="2:7" ht="15" x14ac:dyDescent="0.2">
      <c r="B346" s="246"/>
      <c r="C346" s="246"/>
      <c r="D346" s="252" t="str">
        <f ca="1">RESULTADOS!O344</f>
        <v/>
      </c>
      <c r="E346" s="253"/>
      <c r="F346" s="247"/>
      <c r="G346" s="246"/>
    </row>
    <row r="347" spans="2:7" ht="15" x14ac:dyDescent="0.2">
      <c r="B347" s="246"/>
      <c r="C347" s="246"/>
      <c r="D347" s="252" t="str">
        <f ca="1">RESULTADOS!O345</f>
        <v/>
      </c>
      <c r="E347" s="253"/>
      <c r="F347" s="247"/>
      <c r="G347" s="246"/>
    </row>
    <row r="348" spans="2:7" ht="15" x14ac:dyDescent="0.2">
      <c r="B348" s="246"/>
      <c r="C348" s="246"/>
      <c r="D348" s="252" t="str">
        <f ca="1">RESULTADOS!O346</f>
        <v/>
      </c>
      <c r="E348" s="253"/>
      <c r="F348" s="247"/>
      <c r="G348" s="246"/>
    </row>
    <row r="349" spans="2:7" ht="15" x14ac:dyDescent="0.2">
      <c r="B349" s="246"/>
      <c r="C349" s="246"/>
      <c r="D349" s="252" t="str">
        <f ca="1">RESULTADOS!O347</f>
        <v/>
      </c>
      <c r="E349" s="253"/>
      <c r="F349" s="247"/>
      <c r="G349" s="246"/>
    </row>
    <row r="350" spans="2:7" ht="15" x14ac:dyDescent="0.2">
      <c r="B350" s="246"/>
      <c r="C350" s="246"/>
      <c r="D350" s="252" t="str">
        <f ca="1">RESULTADOS!O348</f>
        <v/>
      </c>
      <c r="E350" s="253"/>
      <c r="F350" s="247"/>
      <c r="G350" s="246"/>
    </row>
    <row r="351" spans="2:7" ht="15" x14ac:dyDescent="0.2">
      <c r="B351" s="246"/>
      <c r="C351" s="246"/>
      <c r="D351" s="252" t="str">
        <f ca="1">RESULTADOS!O349</f>
        <v/>
      </c>
      <c r="E351" s="253"/>
      <c r="F351" s="247"/>
      <c r="G351" s="246"/>
    </row>
    <row r="352" spans="2:7" ht="15" x14ac:dyDescent="0.2">
      <c r="B352" s="246"/>
      <c r="C352" s="246"/>
      <c r="D352" s="252" t="str">
        <f ca="1">RESULTADOS!O350</f>
        <v/>
      </c>
      <c r="E352" s="253"/>
      <c r="F352" s="247"/>
      <c r="G352" s="246"/>
    </row>
    <row r="353" spans="2:7" ht="15" x14ac:dyDescent="0.2">
      <c r="B353" s="246"/>
      <c r="C353" s="246"/>
      <c r="D353" s="252" t="str">
        <f ca="1">RESULTADOS!O351</f>
        <v/>
      </c>
      <c r="E353" s="253"/>
      <c r="F353" s="247"/>
      <c r="G353" s="246"/>
    </row>
    <row r="354" spans="2:7" ht="15" x14ac:dyDescent="0.2">
      <c r="B354" s="246"/>
      <c r="C354" s="246"/>
      <c r="D354" s="252" t="str">
        <f ca="1">RESULTADOS!O352</f>
        <v/>
      </c>
      <c r="E354" s="253"/>
      <c r="F354" s="247"/>
      <c r="G354" s="246"/>
    </row>
    <row r="355" spans="2:7" ht="15" x14ac:dyDescent="0.2">
      <c r="B355" s="246"/>
      <c r="C355" s="246"/>
      <c r="D355" s="252" t="str">
        <f ca="1">RESULTADOS!O353</f>
        <v/>
      </c>
      <c r="E355" s="253"/>
      <c r="F355" s="247"/>
      <c r="G355" s="246"/>
    </row>
    <row r="356" spans="2:7" ht="15" x14ac:dyDescent="0.2">
      <c r="B356" s="246"/>
      <c r="C356" s="246"/>
      <c r="D356" s="252" t="str">
        <f ca="1">RESULTADOS!O354</f>
        <v/>
      </c>
      <c r="E356" s="253"/>
      <c r="F356" s="247"/>
      <c r="G356" s="246"/>
    </row>
    <row r="357" spans="2:7" ht="15" x14ac:dyDescent="0.2">
      <c r="B357" s="246"/>
      <c r="C357" s="246"/>
      <c r="D357" s="252" t="str">
        <f ca="1">RESULTADOS!O355</f>
        <v/>
      </c>
      <c r="E357" s="253"/>
      <c r="F357" s="247"/>
      <c r="G357" s="246"/>
    </row>
    <row r="358" spans="2:7" ht="15" x14ac:dyDescent="0.2">
      <c r="B358" s="246"/>
      <c r="C358" s="246"/>
      <c r="D358" s="252" t="str">
        <f ca="1">RESULTADOS!O356</f>
        <v/>
      </c>
      <c r="E358" s="253"/>
      <c r="F358" s="247"/>
      <c r="G358" s="246"/>
    </row>
    <row r="359" spans="2:7" ht="15" x14ac:dyDescent="0.2">
      <c r="B359" s="246"/>
      <c r="C359" s="246"/>
      <c r="D359" s="252" t="str">
        <f ca="1">RESULTADOS!O357</f>
        <v/>
      </c>
      <c r="E359" s="253"/>
      <c r="F359" s="247"/>
      <c r="G359" s="246"/>
    </row>
    <row r="360" spans="2:7" ht="15" x14ac:dyDescent="0.2">
      <c r="B360" s="246"/>
      <c r="C360" s="246"/>
      <c r="D360" s="252" t="str">
        <f ca="1">RESULTADOS!O358</f>
        <v/>
      </c>
      <c r="E360" s="253"/>
      <c r="F360" s="247"/>
      <c r="G360" s="246"/>
    </row>
    <row r="361" spans="2:7" ht="15" x14ac:dyDescent="0.2">
      <c r="B361" s="246"/>
      <c r="C361" s="246"/>
      <c r="D361" s="252" t="str">
        <f ca="1">RESULTADOS!O359</f>
        <v/>
      </c>
      <c r="E361" s="253"/>
      <c r="F361" s="247"/>
      <c r="G361" s="246"/>
    </row>
    <row r="362" spans="2:7" ht="15" x14ac:dyDescent="0.2">
      <c r="B362" s="246"/>
      <c r="C362" s="246"/>
      <c r="D362" s="252" t="str">
        <f ca="1">RESULTADOS!O360</f>
        <v/>
      </c>
      <c r="E362" s="253"/>
      <c r="F362" s="247"/>
      <c r="G362" s="246"/>
    </row>
    <row r="363" spans="2:7" ht="15" x14ac:dyDescent="0.2">
      <c r="B363" s="246"/>
      <c r="C363" s="246"/>
      <c r="D363" s="252" t="str">
        <f ca="1">RESULTADOS!O361</f>
        <v/>
      </c>
      <c r="E363" s="253"/>
      <c r="F363" s="247"/>
      <c r="G363" s="246"/>
    </row>
    <row r="364" spans="2:7" ht="15" x14ac:dyDescent="0.2">
      <c r="B364" s="246"/>
      <c r="C364" s="246"/>
      <c r="D364" s="252" t="str">
        <f ca="1">RESULTADOS!O362</f>
        <v/>
      </c>
      <c r="E364" s="253"/>
      <c r="F364" s="247"/>
      <c r="G364" s="246"/>
    </row>
    <row r="365" spans="2:7" ht="15" x14ac:dyDescent="0.2">
      <c r="B365" s="246"/>
      <c r="C365" s="246"/>
      <c r="D365" s="252" t="str">
        <f ca="1">RESULTADOS!O363</f>
        <v/>
      </c>
      <c r="E365" s="253"/>
      <c r="F365" s="247"/>
      <c r="G365" s="246"/>
    </row>
    <row r="366" spans="2:7" ht="15" x14ac:dyDescent="0.2">
      <c r="B366" s="246"/>
      <c r="C366" s="246"/>
      <c r="D366" s="252" t="str">
        <f ca="1">RESULTADOS!O364</f>
        <v/>
      </c>
      <c r="E366" s="253"/>
      <c r="F366" s="247"/>
      <c r="G366" s="246"/>
    </row>
    <row r="367" spans="2:7" ht="15" x14ac:dyDescent="0.2">
      <c r="B367" s="246"/>
      <c r="C367" s="246"/>
      <c r="D367" s="252" t="str">
        <f ca="1">RESULTADOS!O365</f>
        <v/>
      </c>
      <c r="E367" s="253"/>
      <c r="F367" s="247"/>
      <c r="G367" s="246"/>
    </row>
    <row r="368" spans="2:7" ht="15" x14ac:dyDescent="0.2">
      <c r="B368" s="246"/>
      <c r="C368" s="246"/>
      <c r="D368" s="252" t="str">
        <f ca="1">RESULTADOS!O366</f>
        <v/>
      </c>
      <c r="E368" s="253"/>
      <c r="F368" s="247"/>
      <c r="G368" s="246"/>
    </row>
    <row r="369" spans="2:7" ht="15" x14ac:dyDescent="0.2">
      <c r="B369" s="246"/>
      <c r="C369" s="246"/>
      <c r="D369" s="252" t="str">
        <f ca="1">RESULTADOS!O367</f>
        <v/>
      </c>
      <c r="E369" s="253"/>
      <c r="F369" s="247"/>
      <c r="G369" s="246"/>
    </row>
    <row r="370" spans="2:7" ht="15" x14ac:dyDescent="0.2">
      <c r="B370" s="246"/>
      <c r="C370" s="246"/>
      <c r="D370" s="252" t="str">
        <f ca="1">RESULTADOS!O368</f>
        <v/>
      </c>
      <c r="E370" s="253"/>
      <c r="F370" s="247"/>
      <c r="G370" s="246"/>
    </row>
    <row r="371" spans="2:7" ht="15" x14ac:dyDescent="0.2">
      <c r="B371" s="246"/>
      <c r="C371" s="246"/>
      <c r="D371" s="252" t="str">
        <f ca="1">RESULTADOS!O369</f>
        <v/>
      </c>
      <c r="E371" s="253"/>
      <c r="F371" s="247"/>
      <c r="G371" s="246"/>
    </row>
    <row r="372" spans="2:7" ht="15" x14ac:dyDescent="0.2">
      <c r="B372" s="246"/>
      <c r="C372" s="246"/>
      <c r="D372" s="252" t="str">
        <f ca="1">RESULTADOS!O370</f>
        <v/>
      </c>
      <c r="E372" s="253"/>
      <c r="F372" s="247"/>
      <c r="G372" s="246"/>
    </row>
    <row r="373" spans="2:7" ht="15" x14ac:dyDescent="0.2">
      <c r="B373" s="246"/>
      <c r="C373" s="246"/>
      <c r="D373" s="252" t="str">
        <f ca="1">RESULTADOS!O371</f>
        <v/>
      </c>
      <c r="E373" s="253"/>
      <c r="F373" s="247"/>
      <c r="G373" s="246"/>
    </row>
    <row r="374" spans="2:7" ht="15" x14ac:dyDescent="0.2">
      <c r="B374" s="246"/>
      <c r="C374" s="246"/>
      <c r="D374" s="252" t="str">
        <f ca="1">RESULTADOS!O372</f>
        <v/>
      </c>
      <c r="E374" s="253"/>
      <c r="F374" s="247"/>
      <c r="G374" s="246"/>
    </row>
    <row r="375" spans="2:7" ht="15" x14ac:dyDescent="0.2">
      <c r="B375" s="246"/>
      <c r="C375" s="246"/>
      <c r="D375" s="252" t="str">
        <f ca="1">RESULTADOS!O373</f>
        <v/>
      </c>
      <c r="E375" s="253"/>
      <c r="F375" s="247"/>
      <c r="G375" s="246"/>
    </row>
    <row r="376" spans="2:7" ht="15" x14ac:dyDescent="0.2">
      <c r="B376" s="246"/>
      <c r="C376" s="246"/>
      <c r="D376" s="252" t="str">
        <f ca="1">RESULTADOS!O374</f>
        <v/>
      </c>
      <c r="E376" s="253"/>
      <c r="F376" s="247"/>
      <c r="G376" s="246"/>
    </row>
    <row r="377" spans="2:7" ht="15" x14ac:dyDescent="0.2">
      <c r="B377" s="246"/>
      <c r="C377" s="246"/>
      <c r="D377" s="252" t="str">
        <f ca="1">RESULTADOS!O375</f>
        <v/>
      </c>
      <c r="E377" s="253"/>
      <c r="F377" s="247"/>
      <c r="G377" s="246"/>
    </row>
    <row r="378" spans="2:7" ht="15" x14ac:dyDescent="0.2">
      <c r="B378" s="246"/>
      <c r="C378" s="246"/>
      <c r="D378" s="252" t="str">
        <f ca="1">RESULTADOS!O376</f>
        <v/>
      </c>
      <c r="E378" s="253"/>
      <c r="F378" s="247"/>
      <c r="G378" s="246"/>
    </row>
    <row r="379" spans="2:7" ht="15" x14ac:dyDescent="0.2">
      <c r="B379" s="246"/>
      <c r="C379" s="246"/>
      <c r="D379" s="252" t="str">
        <f ca="1">RESULTADOS!O377</f>
        <v/>
      </c>
      <c r="E379" s="253"/>
      <c r="F379" s="247"/>
      <c r="G379" s="246"/>
    </row>
    <row r="380" spans="2:7" ht="15" x14ac:dyDescent="0.2">
      <c r="B380" s="246"/>
      <c r="C380" s="246"/>
      <c r="D380" s="252" t="str">
        <f ca="1">RESULTADOS!O378</f>
        <v/>
      </c>
      <c r="E380" s="253"/>
      <c r="F380" s="247"/>
      <c r="G380" s="246"/>
    </row>
    <row r="381" spans="2:7" ht="15" x14ac:dyDescent="0.2">
      <c r="B381" s="246"/>
      <c r="C381" s="246"/>
      <c r="D381" s="252" t="str">
        <f ca="1">RESULTADOS!O379</f>
        <v/>
      </c>
      <c r="E381" s="253"/>
      <c r="F381" s="247"/>
      <c r="G381" s="246"/>
    </row>
    <row r="382" spans="2:7" ht="15" x14ac:dyDescent="0.2">
      <c r="B382" s="246"/>
      <c r="C382" s="246"/>
      <c r="D382" s="252" t="str">
        <f ca="1">RESULTADOS!O380</f>
        <v/>
      </c>
      <c r="E382" s="253"/>
      <c r="F382" s="247"/>
      <c r="G382" s="246"/>
    </row>
    <row r="383" spans="2:7" ht="15" x14ac:dyDescent="0.2">
      <c r="B383" s="246"/>
      <c r="C383" s="246"/>
      <c r="D383" s="252" t="str">
        <f ca="1">RESULTADOS!O381</f>
        <v/>
      </c>
      <c r="E383" s="253"/>
      <c r="F383" s="247"/>
      <c r="G383" s="246"/>
    </row>
    <row r="384" spans="2:7" ht="15" x14ac:dyDescent="0.2">
      <c r="B384" s="246"/>
      <c r="C384" s="246"/>
      <c r="D384" s="252" t="str">
        <f ca="1">RESULTADOS!O382</f>
        <v/>
      </c>
      <c r="E384" s="253"/>
      <c r="F384" s="247"/>
      <c r="G384" s="246"/>
    </row>
    <row r="385" spans="2:7" ht="15" x14ac:dyDescent="0.2">
      <c r="B385" s="246"/>
      <c r="C385" s="246"/>
      <c r="D385" s="252" t="str">
        <f ca="1">RESULTADOS!O383</f>
        <v/>
      </c>
      <c r="E385" s="253"/>
      <c r="F385" s="247"/>
      <c r="G385" s="246"/>
    </row>
    <row r="386" spans="2:7" ht="15" x14ac:dyDescent="0.2">
      <c r="B386" s="246"/>
      <c r="C386" s="246"/>
      <c r="D386" s="252" t="str">
        <f ca="1">RESULTADOS!O384</f>
        <v/>
      </c>
      <c r="E386" s="253"/>
      <c r="F386" s="247"/>
      <c r="G386" s="246"/>
    </row>
    <row r="387" spans="2:7" ht="15" x14ac:dyDescent="0.2">
      <c r="B387" s="246"/>
      <c r="C387" s="246"/>
      <c r="D387" s="252" t="str">
        <f ca="1">RESULTADOS!O385</f>
        <v/>
      </c>
      <c r="E387" s="254"/>
      <c r="F387" s="247"/>
      <c r="G387" s="246"/>
    </row>
    <row r="388" spans="2:7" ht="15" x14ac:dyDescent="0.2">
      <c r="B388" s="246"/>
      <c r="C388" s="246"/>
      <c r="D388" s="252" t="str">
        <f ca="1">RESULTADOS!O386</f>
        <v/>
      </c>
      <c r="E388" s="254"/>
      <c r="F388" s="247"/>
      <c r="G388" s="246"/>
    </row>
    <row r="389" spans="2:7" ht="15" x14ac:dyDescent="0.2">
      <c r="B389" s="246"/>
      <c r="C389" s="246"/>
      <c r="D389" s="252" t="str">
        <f ca="1">RESULTADOS!O387</f>
        <v/>
      </c>
      <c r="E389" s="254"/>
      <c r="F389" s="247"/>
      <c r="G389" s="246"/>
    </row>
    <row r="390" spans="2:7" ht="15" x14ac:dyDescent="0.2">
      <c r="B390" s="246"/>
      <c r="C390" s="246"/>
      <c r="D390" s="252" t="str">
        <f ca="1">RESULTADOS!O388</f>
        <v/>
      </c>
      <c r="E390" s="254"/>
      <c r="F390" s="247"/>
      <c r="G390" s="246"/>
    </row>
    <row r="391" spans="2:7" ht="15" x14ac:dyDescent="0.2">
      <c r="B391" s="246"/>
      <c r="C391" s="246"/>
      <c r="D391" s="252" t="str">
        <f ca="1">RESULTADOS!O389</f>
        <v/>
      </c>
      <c r="E391" s="254"/>
      <c r="F391" s="247"/>
      <c r="G391" s="246"/>
    </row>
    <row r="392" spans="2:7" ht="15" x14ac:dyDescent="0.2">
      <c r="B392" s="246"/>
      <c r="C392" s="246"/>
      <c r="D392" s="252" t="str">
        <f ca="1">RESULTADOS!O390</f>
        <v/>
      </c>
      <c r="E392" s="254"/>
      <c r="F392" s="247"/>
      <c r="G392" s="246"/>
    </row>
    <row r="393" spans="2:7" ht="15" x14ac:dyDescent="0.2">
      <c r="B393" s="246"/>
      <c r="C393" s="246"/>
      <c r="D393" s="252" t="str">
        <f ca="1">RESULTADOS!O391</f>
        <v/>
      </c>
      <c r="E393" s="254"/>
      <c r="F393" s="247"/>
      <c r="G393" s="246"/>
    </row>
    <row r="394" spans="2:7" ht="15" x14ac:dyDescent="0.2">
      <c r="B394" s="246"/>
      <c r="C394" s="246"/>
      <c r="D394" s="252" t="str">
        <f ca="1">RESULTADOS!O392</f>
        <v/>
      </c>
      <c r="E394" s="254"/>
      <c r="F394" s="247"/>
      <c r="G394" s="246"/>
    </row>
    <row r="395" spans="2:7" ht="15" x14ac:dyDescent="0.2">
      <c r="B395" s="246"/>
      <c r="C395" s="246"/>
      <c r="D395" s="252" t="str">
        <f ca="1">RESULTADOS!O393</f>
        <v/>
      </c>
      <c r="E395" s="254"/>
      <c r="F395" s="247"/>
      <c r="G395" s="246"/>
    </row>
    <row r="396" spans="2:7" ht="15" x14ac:dyDescent="0.2">
      <c r="B396" s="246"/>
      <c r="C396" s="246"/>
      <c r="D396" s="252" t="str">
        <f ca="1">RESULTADOS!O394</f>
        <v/>
      </c>
      <c r="E396" s="254"/>
      <c r="F396" s="247"/>
      <c r="G396" s="246"/>
    </row>
    <row r="397" spans="2:7" ht="15" x14ac:dyDescent="0.2">
      <c r="B397" s="246"/>
      <c r="C397" s="246"/>
      <c r="D397" s="252" t="str">
        <f ca="1">RESULTADOS!O395</f>
        <v/>
      </c>
      <c r="E397" s="254"/>
      <c r="F397" s="247"/>
      <c r="G397" s="246"/>
    </row>
    <row r="398" spans="2:7" ht="15" x14ac:dyDescent="0.2">
      <c r="B398" s="246"/>
      <c r="C398" s="246"/>
      <c r="D398" s="252" t="str">
        <f ca="1">RESULTADOS!O396</f>
        <v/>
      </c>
      <c r="E398" s="254"/>
      <c r="F398" s="247"/>
      <c r="G398" s="246"/>
    </row>
    <row r="399" spans="2:7" ht="15" x14ac:dyDescent="0.2">
      <c r="B399" s="246"/>
      <c r="C399" s="246"/>
      <c r="D399" s="252" t="str">
        <f ca="1">RESULTADOS!O397</f>
        <v/>
      </c>
      <c r="E399" s="254"/>
      <c r="F399" s="247"/>
      <c r="G399" s="246"/>
    </row>
    <row r="400" spans="2:7" ht="15" x14ac:dyDescent="0.2">
      <c r="B400" s="246"/>
      <c r="C400" s="246"/>
      <c r="D400" s="252" t="str">
        <f ca="1">RESULTADOS!O398</f>
        <v/>
      </c>
      <c r="E400" s="254"/>
      <c r="F400" s="247"/>
      <c r="G400" s="246"/>
    </row>
    <row r="401" spans="2:7" ht="15" x14ac:dyDescent="0.2">
      <c r="B401" s="246"/>
      <c r="C401" s="246"/>
      <c r="D401" s="252" t="str">
        <f ca="1">RESULTADOS!O399</f>
        <v/>
      </c>
      <c r="E401" s="254"/>
      <c r="F401" s="247"/>
      <c r="G401" s="246"/>
    </row>
    <row r="402" spans="2:7" ht="15" x14ac:dyDescent="0.2">
      <c r="B402" s="246"/>
      <c r="C402" s="246"/>
      <c r="D402" s="252" t="str">
        <f ca="1">RESULTADOS!O400</f>
        <v/>
      </c>
      <c r="E402" s="254"/>
      <c r="F402" s="247"/>
      <c r="G402" s="246"/>
    </row>
    <row r="403" spans="2:7" ht="15" x14ac:dyDescent="0.2">
      <c r="B403" s="246"/>
      <c r="C403" s="246"/>
      <c r="D403" s="252" t="str">
        <f ca="1">RESULTADOS!O401</f>
        <v/>
      </c>
      <c r="E403" s="254"/>
      <c r="F403" s="247"/>
      <c r="G403" s="246"/>
    </row>
    <row r="404" spans="2:7" ht="15" x14ac:dyDescent="0.2">
      <c r="B404" s="246"/>
      <c r="C404" s="246"/>
      <c r="D404" s="252" t="str">
        <f ca="1">RESULTADOS!O402</f>
        <v/>
      </c>
      <c r="E404" s="254"/>
      <c r="F404" s="247"/>
      <c r="G404" s="246"/>
    </row>
    <row r="405" spans="2:7" ht="15" x14ac:dyDescent="0.2">
      <c r="B405" s="246"/>
      <c r="C405" s="246"/>
      <c r="D405" s="252" t="str">
        <f ca="1">RESULTADOS!O403</f>
        <v/>
      </c>
      <c r="E405" s="254"/>
      <c r="F405" s="247"/>
      <c r="G405" s="246"/>
    </row>
    <row r="406" spans="2:7" ht="15" x14ac:dyDescent="0.2">
      <c r="B406" s="246"/>
      <c r="C406" s="246"/>
      <c r="D406" s="252" t="str">
        <f ca="1">RESULTADOS!O404</f>
        <v/>
      </c>
      <c r="E406" s="254"/>
      <c r="F406" s="247"/>
      <c r="G406" s="246"/>
    </row>
    <row r="407" spans="2:7" ht="15" x14ac:dyDescent="0.2">
      <c r="B407" s="246"/>
      <c r="C407" s="246"/>
      <c r="D407" s="252" t="str">
        <f ca="1">RESULTADOS!O405</f>
        <v/>
      </c>
      <c r="E407" s="254"/>
      <c r="F407" s="247"/>
      <c r="G407" s="246"/>
    </row>
    <row r="408" spans="2:7" ht="15" x14ac:dyDescent="0.2">
      <c r="B408" s="246"/>
      <c r="C408" s="246"/>
      <c r="D408" s="252" t="str">
        <f ca="1">RESULTADOS!O406</f>
        <v/>
      </c>
      <c r="E408" s="254"/>
      <c r="F408" s="247"/>
      <c r="G408" s="246"/>
    </row>
    <row r="409" spans="2:7" ht="15" x14ac:dyDescent="0.2">
      <c r="B409" s="246"/>
      <c r="C409" s="246"/>
      <c r="D409" s="252" t="str">
        <f ca="1">RESULTADOS!O407</f>
        <v/>
      </c>
      <c r="E409" s="254"/>
      <c r="F409" s="247"/>
      <c r="G409" s="246"/>
    </row>
    <row r="410" spans="2:7" ht="15" x14ac:dyDescent="0.2">
      <c r="B410" s="246"/>
      <c r="C410" s="246"/>
      <c r="D410" s="252" t="str">
        <f ca="1">RESULTADOS!O408</f>
        <v/>
      </c>
      <c r="E410" s="254"/>
      <c r="F410" s="247"/>
      <c r="G410" s="246"/>
    </row>
    <row r="411" spans="2:7" ht="15" x14ac:dyDescent="0.2">
      <c r="B411" s="246"/>
      <c r="C411" s="246"/>
      <c r="D411" s="252" t="str">
        <f ca="1">RESULTADOS!O409</f>
        <v/>
      </c>
      <c r="E411" s="254"/>
      <c r="F411" s="247"/>
      <c r="G411" s="246"/>
    </row>
    <row r="412" spans="2:7" ht="15" x14ac:dyDescent="0.2">
      <c r="B412" s="246"/>
      <c r="C412" s="246"/>
      <c r="D412" s="252" t="str">
        <f ca="1">RESULTADOS!O410</f>
        <v/>
      </c>
      <c r="E412" s="254"/>
      <c r="F412" s="247"/>
      <c r="G412" s="246"/>
    </row>
    <row r="413" spans="2:7" ht="15" x14ac:dyDescent="0.2">
      <c r="B413" s="246"/>
      <c r="C413" s="246"/>
      <c r="D413" s="252" t="str">
        <f ca="1">RESULTADOS!O411</f>
        <v/>
      </c>
      <c r="E413" s="254"/>
      <c r="F413" s="247"/>
      <c r="G413" s="246"/>
    </row>
    <row r="414" spans="2:7" ht="15" x14ac:dyDescent="0.2">
      <c r="B414" s="246"/>
      <c r="C414" s="246"/>
      <c r="D414" s="252" t="str">
        <f ca="1">RESULTADOS!O412</f>
        <v/>
      </c>
      <c r="E414" s="254"/>
      <c r="F414" s="247"/>
      <c r="G414" s="246"/>
    </row>
    <row r="415" spans="2:7" ht="15" x14ac:dyDescent="0.2">
      <c r="B415" s="246"/>
      <c r="C415" s="246"/>
      <c r="D415" s="252" t="str">
        <f ca="1">RESULTADOS!O413</f>
        <v/>
      </c>
      <c r="E415" s="254"/>
      <c r="F415" s="247"/>
      <c r="G415" s="246"/>
    </row>
    <row r="416" spans="2:7" ht="15" x14ac:dyDescent="0.2">
      <c r="B416" s="246"/>
      <c r="C416" s="246"/>
      <c r="D416" s="252" t="str">
        <f ca="1">RESULTADOS!O414</f>
        <v/>
      </c>
      <c r="E416" s="254"/>
      <c r="F416" s="247"/>
      <c r="G416" s="246"/>
    </row>
    <row r="417" spans="2:7" ht="15" x14ac:dyDescent="0.2">
      <c r="B417" s="246"/>
      <c r="C417" s="246"/>
      <c r="D417" s="252" t="str">
        <f ca="1">RESULTADOS!O415</f>
        <v/>
      </c>
      <c r="E417" s="254"/>
      <c r="F417" s="247"/>
      <c r="G417" s="246"/>
    </row>
    <row r="418" spans="2:7" ht="15" x14ac:dyDescent="0.2">
      <c r="B418" s="246"/>
      <c r="C418" s="246"/>
      <c r="D418" s="252" t="str">
        <f ca="1">RESULTADOS!O416</f>
        <v/>
      </c>
      <c r="E418" s="254"/>
      <c r="F418" s="247"/>
      <c r="G418" s="246"/>
    </row>
    <row r="419" spans="2:7" ht="15" x14ac:dyDescent="0.2">
      <c r="B419" s="246"/>
      <c r="C419" s="246"/>
      <c r="D419" s="252" t="str">
        <f ca="1">RESULTADOS!O417</f>
        <v/>
      </c>
      <c r="E419" s="254"/>
      <c r="F419" s="247"/>
      <c r="G419" s="246"/>
    </row>
    <row r="420" spans="2:7" ht="15" x14ac:dyDescent="0.2">
      <c r="B420" s="246"/>
      <c r="C420" s="246"/>
      <c r="D420" s="252" t="str">
        <f ca="1">RESULTADOS!O418</f>
        <v/>
      </c>
      <c r="E420" s="254"/>
      <c r="F420" s="247"/>
      <c r="G420" s="246"/>
    </row>
    <row r="421" spans="2:7" ht="15" x14ac:dyDescent="0.2">
      <c r="B421" s="246"/>
      <c r="C421" s="246"/>
      <c r="D421" s="252" t="str">
        <f ca="1">RESULTADOS!O419</f>
        <v/>
      </c>
      <c r="E421" s="254"/>
      <c r="F421" s="247"/>
      <c r="G421" s="246"/>
    </row>
    <row r="422" spans="2:7" ht="15" x14ac:dyDescent="0.2">
      <c r="B422" s="246"/>
      <c r="C422" s="246"/>
      <c r="D422" s="252" t="str">
        <f ca="1">RESULTADOS!O420</f>
        <v/>
      </c>
      <c r="E422" s="254"/>
      <c r="F422" s="247"/>
      <c r="G422" s="246"/>
    </row>
    <row r="423" spans="2:7" ht="15" x14ac:dyDescent="0.2">
      <c r="B423" s="246"/>
      <c r="C423" s="246"/>
      <c r="D423" s="252" t="str">
        <f ca="1">RESULTADOS!O421</f>
        <v/>
      </c>
      <c r="E423" s="254"/>
      <c r="F423" s="247"/>
      <c r="G423" s="246"/>
    </row>
    <row r="424" spans="2:7" ht="15" x14ac:dyDescent="0.2">
      <c r="B424" s="246"/>
      <c r="C424" s="246"/>
      <c r="D424" s="252" t="str">
        <f ca="1">RESULTADOS!O422</f>
        <v/>
      </c>
      <c r="E424" s="254"/>
      <c r="F424" s="247"/>
      <c r="G424" s="246"/>
    </row>
    <row r="425" spans="2:7" ht="15" x14ac:dyDescent="0.2">
      <c r="B425" s="246"/>
      <c r="C425" s="246"/>
      <c r="D425" s="252" t="str">
        <f ca="1">RESULTADOS!O423</f>
        <v/>
      </c>
      <c r="E425" s="254"/>
      <c r="F425" s="247"/>
      <c r="G425" s="246"/>
    </row>
    <row r="426" spans="2:7" ht="15" x14ac:dyDescent="0.2">
      <c r="B426" s="246"/>
      <c r="C426" s="246"/>
      <c r="D426" s="252" t="str">
        <f ca="1">RESULTADOS!O424</f>
        <v/>
      </c>
      <c r="E426" s="254"/>
      <c r="F426" s="247"/>
      <c r="G426" s="246"/>
    </row>
    <row r="427" spans="2:7" ht="15" x14ac:dyDescent="0.2">
      <c r="B427" s="246"/>
      <c r="C427" s="246"/>
      <c r="D427" s="252" t="str">
        <f ca="1">RESULTADOS!O425</f>
        <v/>
      </c>
      <c r="E427" s="254"/>
      <c r="F427" s="247"/>
      <c r="G427" s="246"/>
    </row>
    <row r="428" spans="2:7" ht="15" x14ac:dyDescent="0.2">
      <c r="B428" s="246"/>
      <c r="C428" s="246"/>
      <c r="D428" s="252" t="str">
        <f ca="1">RESULTADOS!O426</f>
        <v/>
      </c>
      <c r="E428" s="254"/>
      <c r="F428" s="247"/>
      <c r="G428" s="246"/>
    </row>
    <row r="429" spans="2:7" ht="15" x14ac:dyDescent="0.2">
      <c r="B429" s="246"/>
      <c r="C429" s="246"/>
      <c r="D429" s="252" t="str">
        <f ca="1">RESULTADOS!O427</f>
        <v/>
      </c>
      <c r="E429" s="254"/>
      <c r="F429" s="247"/>
      <c r="G429" s="246"/>
    </row>
    <row r="430" spans="2:7" ht="15" x14ac:dyDescent="0.2">
      <c r="B430" s="246"/>
      <c r="C430" s="246"/>
      <c r="D430" s="252" t="str">
        <f ca="1">RESULTADOS!O428</f>
        <v/>
      </c>
      <c r="E430" s="254"/>
      <c r="F430" s="247"/>
      <c r="G430" s="246"/>
    </row>
    <row r="431" spans="2:7" ht="15" x14ac:dyDescent="0.2">
      <c r="B431" s="246"/>
      <c r="C431" s="246"/>
      <c r="D431" s="252" t="str">
        <f ca="1">RESULTADOS!O429</f>
        <v/>
      </c>
      <c r="E431" s="254"/>
      <c r="F431" s="247"/>
      <c r="G431" s="246"/>
    </row>
    <row r="432" spans="2:7" ht="15" x14ac:dyDescent="0.2">
      <c r="B432" s="246"/>
      <c r="C432" s="246"/>
      <c r="D432" s="252" t="str">
        <f ca="1">RESULTADOS!O430</f>
        <v/>
      </c>
      <c r="E432" s="254"/>
      <c r="F432" s="247"/>
      <c r="G432" s="246"/>
    </row>
    <row r="433" spans="2:7" ht="15" x14ac:dyDescent="0.2">
      <c r="B433" s="246"/>
      <c r="C433" s="246"/>
      <c r="D433" s="252" t="str">
        <f ca="1">RESULTADOS!O431</f>
        <v/>
      </c>
      <c r="E433" s="254"/>
      <c r="F433" s="247"/>
      <c r="G433" s="246"/>
    </row>
    <row r="434" spans="2:7" ht="15" x14ac:dyDescent="0.2">
      <c r="B434" s="246"/>
      <c r="C434" s="246"/>
      <c r="D434" s="252" t="str">
        <f ca="1">RESULTADOS!O432</f>
        <v/>
      </c>
      <c r="E434" s="254"/>
      <c r="F434" s="247"/>
      <c r="G434" s="246"/>
    </row>
    <row r="435" spans="2:7" ht="15" x14ac:dyDescent="0.2">
      <c r="B435" s="246"/>
      <c r="C435" s="246"/>
      <c r="D435" s="252" t="str">
        <f ca="1">RESULTADOS!O433</f>
        <v/>
      </c>
      <c r="E435" s="254"/>
      <c r="F435" s="247"/>
      <c r="G435" s="246"/>
    </row>
    <row r="436" spans="2:7" ht="15" x14ac:dyDescent="0.2">
      <c r="B436" s="246"/>
      <c r="C436" s="246"/>
      <c r="D436" s="252" t="str">
        <f ca="1">RESULTADOS!O434</f>
        <v/>
      </c>
      <c r="E436" s="254"/>
      <c r="F436" s="247"/>
      <c r="G436" s="246"/>
    </row>
    <row r="437" spans="2:7" ht="15" x14ac:dyDescent="0.2">
      <c r="B437" s="246"/>
      <c r="C437" s="246"/>
      <c r="D437" s="252" t="str">
        <f ca="1">RESULTADOS!O435</f>
        <v/>
      </c>
      <c r="E437" s="254"/>
      <c r="F437" s="247"/>
      <c r="G437" s="246"/>
    </row>
    <row r="438" spans="2:7" ht="15" x14ac:dyDescent="0.2">
      <c r="B438" s="246"/>
      <c r="C438" s="246"/>
      <c r="D438" s="252" t="str">
        <f ca="1">RESULTADOS!O436</f>
        <v/>
      </c>
      <c r="E438" s="254"/>
      <c r="F438" s="247"/>
      <c r="G438" s="246"/>
    </row>
    <row r="439" spans="2:7" ht="15" x14ac:dyDescent="0.2">
      <c r="B439" s="246"/>
      <c r="C439" s="246"/>
      <c r="D439" s="252" t="str">
        <f ca="1">RESULTADOS!O437</f>
        <v/>
      </c>
      <c r="E439" s="254"/>
      <c r="F439" s="247"/>
      <c r="G439" s="246"/>
    </row>
    <row r="440" spans="2:7" ht="15" x14ac:dyDescent="0.2">
      <c r="B440" s="246"/>
      <c r="C440" s="246"/>
      <c r="D440" s="252" t="str">
        <f ca="1">RESULTADOS!O438</f>
        <v/>
      </c>
      <c r="E440" s="254"/>
      <c r="F440" s="247"/>
      <c r="G440" s="246"/>
    </row>
    <row r="441" spans="2:7" ht="15" x14ac:dyDescent="0.2">
      <c r="B441" s="246"/>
      <c r="C441" s="246"/>
      <c r="D441" s="252" t="str">
        <f ca="1">RESULTADOS!O439</f>
        <v/>
      </c>
      <c r="E441" s="254"/>
      <c r="F441" s="247"/>
      <c r="G441" s="246"/>
    </row>
    <row r="442" spans="2:7" ht="15" x14ac:dyDescent="0.2">
      <c r="B442" s="246"/>
      <c r="C442" s="246"/>
      <c r="D442" s="252" t="str">
        <f ca="1">RESULTADOS!O440</f>
        <v/>
      </c>
      <c r="E442" s="254"/>
      <c r="F442" s="247"/>
      <c r="G442" s="246"/>
    </row>
    <row r="443" spans="2:7" ht="15" x14ac:dyDescent="0.2">
      <c r="B443" s="246"/>
      <c r="C443" s="246"/>
      <c r="D443" s="252" t="str">
        <f ca="1">RESULTADOS!O441</f>
        <v/>
      </c>
      <c r="E443" s="254"/>
      <c r="F443" s="247"/>
      <c r="G443" s="246"/>
    </row>
    <row r="444" spans="2:7" ht="15" x14ac:dyDescent="0.2">
      <c r="B444" s="246"/>
      <c r="C444" s="246"/>
      <c r="D444" s="252" t="str">
        <f ca="1">RESULTADOS!O442</f>
        <v/>
      </c>
      <c r="E444" s="254"/>
      <c r="F444" s="247"/>
      <c r="G444" s="246"/>
    </row>
    <row r="445" spans="2:7" ht="15" x14ac:dyDescent="0.2">
      <c r="B445" s="246"/>
      <c r="C445" s="246"/>
      <c r="D445" s="252" t="str">
        <f ca="1">RESULTADOS!O443</f>
        <v/>
      </c>
      <c r="E445" s="254"/>
      <c r="F445" s="247"/>
      <c r="G445" s="246"/>
    </row>
    <row r="446" spans="2:7" ht="15" x14ac:dyDescent="0.2">
      <c r="B446" s="246"/>
      <c r="C446" s="246"/>
      <c r="D446" s="252" t="str">
        <f ca="1">RESULTADOS!O444</f>
        <v/>
      </c>
      <c r="E446" s="254"/>
      <c r="F446" s="247"/>
      <c r="G446" s="246"/>
    </row>
    <row r="447" spans="2:7" ht="15" x14ac:dyDescent="0.2">
      <c r="B447" s="246"/>
      <c r="C447" s="246"/>
      <c r="D447" s="252" t="str">
        <f ca="1">RESULTADOS!O445</f>
        <v/>
      </c>
      <c r="E447" s="254"/>
      <c r="F447" s="247"/>
      <c r="G447" s="246"/>
    </row>
    <row r="448" spans="2:7" ht="15" x14ac:dyDescent="0.2">
      <c r="B448" s="246"/>
      <c r="C448" s="246"/>
      <c r="D448" s="252" t="str">
        <f ca="1">RESULTADOS!O446</f>
        <v/>
      </c>
      <c r="E448" s="254"/>
      <c r="F448" s="247"/>
      <c r="G448" s="246"/>
    </row>
    <row r="449" spans="2:7" ht="15" x14ac:dyDescent="0.2">
      <c r="B449" s="246"/>
      <c r="C449" s="246"/>
      <c r="D449" s="252" t="str">
        <f ca="1">RESULTADOS!O447</f>
        <v/>
      </c>
      <c r="E449" s="254"/>
      <c r="F449" s="247"/>
      <c r="G449" s="246"/>
    </row>
    <row r="450" spans="2:7" ht="15" x14ac:dyDescent="0.2">
      <c r="B450" s="246"/>
      <c r="C450" s="246"/>
      <c r="D450" s="252" t="str">
        <f ca="1">RESULTADOS!O448</f>
        <v/>
      </c>
      <c r="E450" s="254"/>
      <c r="F450" s="247"/>
      <c r="G450" s="246"/>
    </row>
    <row r="451" spans="2:7" ht="15" x14ac:dyDescent="0.2">
      <c r="B451" s="246"/>
      <c r="C451" s="246"/>
      <c r="D451" s="252" t="str">
        <f ca="1">RESULTADOS!O449</f>
        <v/>
      </c>
      <c r="E451" s="254"/>
      <c r="F451" s="247"/>
      <c r="G451" s="246"/>
    </row>
    <row r="452" spans="2:7" ht="15" x14ac:dyDescent="0.2">
      <c r="B452" s="246"/>
      <c r="C452" s="246"/>
      <c r="D452" s="252" t="str">
        <f ca="1">RESULTADOS!O450</f>
        <v/>
      </c>
      <c r="E452" s="254"/>
      <c r="F452" s="247"/>
      <c r="G452" s="246"/>
    </row>
    <row r="453" spans="2:7" ht="15" x14ac:dyDescent="0.2">
      <c r="B453" s="246"/>
      <c r="C453" s="246"/>
      <c r="D453" s="252" t="str">
        <f ca="1">RESULTADOS!O451</f>
        <v/>
      </c>
      <c r="E453" s="254"/>
      <c r="F453" s="247"/>
      <c r="G453" s="246"/>
    </row>
    <row r="454" spans="2:7" ht="15" x14ac:dyDescent="0.2">
      <c r="B454" s="246"/>
      <c r="C454" s="246"/>
      <c r="D454" s="252" t="str">
        <f ca="1">RESULTADOS!O452</f>
        <v/>
      </c>
      <c r="E454" s="254"/>
      <c r="F454" s="247"/>
      <c r="G454" s="246"/>
    </row>
    <row r="455" spans="2:7" ht="15" x14ac:dyDescent="0.2">
      <c r="B455" s="246"/>
      <c r="C455" s="246"/>
      <c r="D455" s="252" t="str">
        <f ca="1">RESULTADOS!O453</f>
        <v/>
      </c>
      <c r="E455" s="254"/>
      <c r="F455" s="247"/>
      <c r="G455" s="246"/>
    </row>
    <row r="456" spans="2:7" ht="15" x14ac:dyDescent="0.2">
      <c r="B456" s="246"/>
      <c r="C456" s="246"/>
      <c r="D456" s="252" t="str">
        <f ca="1">RESULTADOS!O454</f>
        <v/>
      </c>
      <c r="E456" s="254"/>
      <c r="F456" s="247"/>
      <c r="G456" s="246"/>
    </row>
    <row r="457" spans="2:7" ht="15" x14ac:dyDescent="0.2">
      <c r="B457" s="246"/>
      <c r="C457" s="246"/>
      <c r="D457" s="252" t="str">
        <f ca="1">RESULTADOS!O455</f>
        <v/>
      </c>
      <c r="E457" s="254"/>
      <c r="F457" s="247"/>
      <c r="G457" s="246"/>
    </row>
    <row r="458" spans="2:7" ht="15" x14ac:dyDescent="0.2">
      <c r="B458" s="246"/>
      <c r="C458" s="246"/>
      <c r="D458" s="252" t="str">
        <f ca="1">RESULTADOS!O456</f>
        <v/>
      </c>
      <c r="E458" s="254"/>
      <c r="F458" s="247"/>
      <c r="G458" s="246"/>
    </row>
    <row r="459" spans="2:7" ht="15" x14ac:dyDescent="0.2">
      <c r="B459" s="246"/>
      <c r="C459" s="246"/>
      <c r="D459" s="252" t="str">
        <f ca="1">RESULTADOS!O457</f>
        <v/>
      </c>
      <c r="E459" s="254"/>
      <c r="F459" s="247"/>
      <c r="G459" s="246"/>
    </row>
    <row r="460" spans="2:7" ht="15" x14ac:dyDescent="0.2">
      <c r="B460" s="246"/>
      <c r="C460" s="246"/>
      <c r="D460" s="252" t="str">
        <f ca="1">RESULTADOS!O458</f>
        <v/>
      </c>
      <c r="E460" s="254"/>
      <c r="F460" s="247"/>
      <c r="G460" s="246"/>
    </row>
    <row r="461" spans="2:7" ht="15" x14ac:dyDescent="0.2">
      <c r="B461" s="246"/>
      <c r="C461" s="246"/>
      <c r="D461" s="252" t="str">
        <f ca="1">RESULTADOS!O459</f>
        <v/>
      </c>
      <c r="E461" s="254"/>
      <c r="F461" s="247"/>
      <c r="G461" s="246"/>
    </row>
    <row r="462" spans="2:7" ht="15" x14ac:dyDescent="0.2">
      <c r="B462" s="246"/>
      <c r="C462" s="246"/>
      <c r="D462" s="252" t="str">
        <f ca="1">RESULTADOS!O460</f>
        <v/>
      </c>
      <c r="E462" s="254"/>
      <c r="F462" s="247"/>
      <c r="G462" s="246"/>
    </row>
    <row r="463" spans="2:7" ht="15" x14ac:dyDescent="0.2">
      <c r="B463" s="246"/>
      <c r="C463" s="246"/>
      <c r="D463" s="252" t="str">
        <f ca="1">RESULTADOS!O461</f>
        <v/>
      </c>
      <c r="E463" s="254"/>
      <c r="F463" s="247"/>
      <c r="G463" s="246"/>
    </row>
    <row r="464" spans="2:7" ht="15" x14ac:dyDescent="0.2">
      <c r="B464" s="246"/>
      <c r="C464" s="246"/>
      <c r="D464" s="252" t="str">
        <f ca="1">RESULTADOS!O462</f>
        <v/>
      </c>
      <c r="E464" s="254"/>
      <c r="F464" s="247"/>
      <c r="G464" s="246"/>
    </row>
    <row r="465" spans="2:7" ht="15" x14ac:dyDescent="0.2">
      <c r="B465" s="246"/>
      <c r="C465" s="246"/>
      <c r="D465" s="252" t="str">
        <f ca="1">RESULTADOS!O463</f>
        <v/>
      </c>
      <c r="E465" s="254"/>
      <c r="F465" s="247"/>
      <c r="G465" s="246"/>
    </row>
    <row r="466" spans="2:7" ht="15" x14ac:dyDescent="0.2">
      <c r="B466" s="246"/>
      <c r="C466" s="246"/>
      <c r="D466" s="252" t="str">
        <f ca="1">RESULTADOS!O464</f>
        <v/>
      </c>
      <c r="E466" s="254"/>
      <c r="F466" s="247"/>
      <c r="G466" s="246"/>
    </row>
    <row r="467" spans="2:7" ht="15" x14ac:dyDescent="0.2">
      <c r="B467" s="246"/>
      <c r="C467" s="246"/>
      <c r="D467" s="252" t="str">
        <f ca="1">RESULTADOS!O465</f>
        <v/>
      </c>
      <c r="E467" s="254"/>
      <c r="F467" s="247"/>
      <c r="G467" s="246"/>
    </row>
    <row r="468" spans="2:7" ht="15" x14ac:dyDescent="0.2">
      <c r="B468" s="246"/>
      <c r="C468" s="246"/>
      <c r="D468" s="252" t="str">
        <f ca="1">RESULTADOS!O466</f>
        <v/>
      </c>
      <c r="E468" s="254"/>
      <c r="F468" s="247"/>
      <c r="G468" s="246"/>
    </row>
    <row r="469" spans="2:7" ht="15" x14ac:dyDescent="0.2">
      <c r="B469" s="246"/>
      <c r="C469" s="246"/>
      <c r="D469" s="252" t="str">
        <f ca="1">RESULTADOS!O467</f>
        <v/>
      </c>
      <c r="E469" s="254"/>
      <c r="F469" s="247"/>
      <c r="G469" s="246"/>
    </row>
    <row r="470" spans="2:7" ht="15" x14ac:dyDescent="0.2">
      <c r="B470" s="246"/>
      <c r="C470" s="246"/>
      <c r="D470" s="252" t="str">
        <f ca="1">RESULTADOS!O468</f>
        <v/>
      </c>
      <c r="E470" s="254"/>
      <c r="F470" s="247"/>
      <c r="G470" s="246"/>
    </row>
    <row r="471" spans="2:7" ht="15" x14ac:dyDescent="0.2">
      <c r="B471" s="246"/>
      <c r="C471" s="246"/>
      <c r="D471" s="252" t="str">
        <f ca="1">RESULTADOS!O469</f>
        <v/>
      </c>
      <c r="E471" s="254"/>
      <c r="F471" s="247"/>
      <c r="G471" s="246"/>
    </row>
    <row r="472" spans="2:7" ht="15" x14ac:dyDescent="0.2">
      <c r="B472" s="246"/>
      <c r="C472" s="246"/>
      <c r="D472" s="252" t="str">
        <f ca="1">RESULTADOS!O470</f>
        <v/>
      </c>
      <c r="E472" s="254"/>
      <c r="F472" s="247"/>
      <c r="G472" s="246"/>
    </row>
    <row r="473" spans="2:7" ht="15" x14ac:dyDescent="0.2">
      <c r="B473" s="246"/>
      <c r="C473" s="246"/>
      <c r="D473" s="252" t="str">
        <f ca="1">RESULTADOS!O471</f>
        <v/>
      </c>
      <c r="E473" s="254"/>
      <c r="F473" s="247"/>
      <c r="G473" s="246"/>
    </row>
    <row r="474" spans="2:7" ht="15" x14ac:dyDescent="0.2">
      <c r="B474" s="246"/>
      <c r="C474" s="246"/>
      <c r="D474" s="252" t="str">
        <f ca="1">RESULTADOS!O472</f>
        <v/>
      </c>
      <c r="E474" s="254"/>
      <c r="F474" s="247"/>
      <c r="G474" s="246"/>
    </row>
    <row r="475" spans="2:7" ht="15" x14ac:dyDescent="0.2">
      <c r="B475" s="246"/>
      <c r="C475" s="246"/>
      <c r="D475" s="252" t="str">
        <f ca="1">RESULTADOS!O473</f>
        <v/>
      </c>
      <c r="E475" s="254"/>
      <c r="F475" s="247"/>
      <c r="G475" s="246"/>
    </row>
    <row r="476" spans="2:7" ht="15" x14ac:dyDescent="0.2">
      <c r="B476" s="246"/>
      <c r="C476" s="246"/>
      <c r="D476" s="252" t="str">
        <f ca="1">RESULTADOS!O474</f>
        <v/>
      </c>
      <c r="E476" s="254"/>
      <c r="F476" s="247"/>
      <c r="G476" s="246"/>
    </row>
    <row r="477" spans="2:7" ht="15" x14ac:dyDescent="0.2">
      <c r="B477" s="246"/>
      <c r="C477" s="246"/>
      <c r="D477" s="252" t="str">
        <f ca="1">RESULTADOS!O475</f>
        <v/>
      </c>
      <c r="E477" s="254"/>
      <c r="F477" s="247"/>
      <c r="G477" s="246"/>
    </row>
    <row r="478" spans="2:7" ht="15" x14ac:dyDescent="0.2">
      <c r="B478" s="246"/>
      <c r="C478" s="246"/>
      <c r="D478" s="252" t="str">
        <f ca="1">RESULTADOS!O476</f>
        <v/>
      </c>
      <c r="E478" s="254"/>
      <c r="F478" s="247"/>
      <c r="G478" s="246"/>
    </row>
    <row r="479" spans="2:7" ht="15" x14ac:dyDescent="0.2">
      <c r="B479" s="246"/>
      <c r="C479" s="246"/>
      <c r="D479" s="252" t="str">
        <f ca="1">RESULTADOS!O477</f>
        <v/>
      </c>
      <c r="E479" s="254"/>
      <c r="F479" s="247"/>
      <c r="G479" s="246"/>
    </row>
    <row r="480" spans="2:7" ht="15" x14ac:dyDescent="0.2">
      <c r="B480" s="246"/>
      <c r="C480" s="246"/>
      <c r="D480" s="252" t="str">
        <f ca="1">RESULTADOS!O478</f>
        <v/>
      </c>
      <c r="E480" s="254"/>
      <c r="F480" s="247"/>
      <c r="G480" s="246"/>
    </row>
    <row r="481" spans="2:7" ht="15" x14ac:dyDescent="0.2">
      <c r="B481" s="246"/>
      <c r="C481" s="246"/>
      <c r="D481" s="252" t="str">
        <f ca="1">RESULTADOS!O479</f>
        <v/>
      </c>
      <c r="E481" s="254"/>
      <c r="F481" s="247"/>
      <c r="G481" s="246"/>
    </row>
    <row r="482" spans="2:7" ht="15" x14ac:dyDescent="0.2">
      <c r="B482" s="246"/>
      <c r="C482" s="246"/>
      <c r="D482" s="252" t="str">
        <f ca="1">RESULTADOS!O480</f>
        <v/>
      </c>
      <c r="E482" s="254"/>
      <c r="F482" s="247"/>
      <c r="G482" s="246"/>
    </row>
    <row r="483" spans="2:7" ht="15" x14ac:dyDescent="0.2">
      <c r="B483" s="246"/>
      <c r="C483" s="246"/>
      <c r="D483" s="252" t="str">
        <f ca="1">RESULTADOS!O481</f>
        <v/>
      </c>
      <c r="E483" s="254"/>
      <c r="F483" s="247"/>
      <c r="G483" s="246"/>
    </row>
    <row r="484" spans="2:7" ht="15" x14ac:dyDescent="0.2">
      <c r="B484" s="246"/>
      <c r="C484" s="246"/>
      <c r="D484" s="252" t="str">
        <f ca="1">RESULTADOS!O482</f>
        <v/>
      </c>
      <c r="E484" s="254"/>
      <c r="F484" s="247"/>
      <c r="G484" s="246"/>
    </row>
    <row r="485" spans="2:7" ht="15" x14ac:dyDescent="0.2">
      <c r="B485" s="246"/>
      <c r="C485" s="246"/>
      <c r="D485" s="252" t="str">
        <f ca="1">RESULTADOS!O483</f>
        <v/>
      </c>
      <c r="E485" s="254"/>
      <c r="F485" s="247"/>
      <c r="G485" s="246"/>
    </row>
    <row r="486" spans="2:7" ht="15" x14ac:dyDescent="0.2">
      <c r="B486" s="246"/>
      <c r="C486" s="246"/>
      <c r="D486" s="252" t="str">
        <f ca="1">RESULTADOS!O484</f>
        <v/>
      </c>
      <c r="E486" s="254"/>
      <c r="F486" s="247"/>
      <c r="G486" s="246"/>
    </row>
    <row r="487" spans="2:7" ht="15" x14ac:dyDescent="0.2">
      <c r="B487" s="246"/>
      <c r="C487" s="246"/>
      <c r="D487" s="252" t="str">
        <f ca="1">RESULTADOS!O485</f>
        <v/>
      </c>
      <c r="E487" s="254"/>
      <c r="F487" s="247"/>
      <c r="G487" s="246"/>
    </row>
    <row r="488" spans="2:7" ht="15" x14ac:dyDescent="0.2">
      <c r="B488" s="246"/>
      <c r="C488" s="246"/>
      <c r="D488" s="252" t="str">
        <f ca="1">RESULTADOS!O486</f>
        <v/>
      </c>
      <c r="E488" s="254"/>
      <c r="F488" s="247"/>
      <c r="G488" s="246"/>
    </row>
    <row r="489" spans="2:7" ht="15" x14ac:dyDescent="0.2">
      <c r="B489" s="246"/>
      <c r="C489" s="246"/>
      <c r="D489" s="252" t="str">
        <f ca="1">RESULTADOS!O487</f>
        <v/>
      </c>
      <c r="E489" s="254"/>
      <c r="F489" s="247"/>
      <c r="G489" s="246"/>
    </row>
    <row r="490" spans="2:7" ht="15" x14ac:dyDescent="0.2">
      <c r="B490" s="246"/>
      <c r="C490" s="246"/>
      <c r="D490" s="252" t="str">
        <f ca="1">RESULTADOS!O488</f>
        <v/>
      </c>
      <c r="E490" s="254"/>
      <c r="F490" s="247"/>
      <c r="G490" s="246"/>
    </row>
    <row r="491" spans="2:7" ht="15" x14ac:dyDescent="0.2">
      <c r="B491" s="246"/>
      <c r="C491" s="246"/>
      <c r="D491" s="252" t="str">
        <f ca="1">RESULTADOS!O489</f>
        <v/>
      </c>
      <c r="E491" s="254"/>
      <c r="F491" s="247"/>
      <c r="G491" s="246"/>
    </row>
    <row r="492" spans="2:7" ht="15" x14ac:dyDescent="0.2">
      <c r="B492" s="246"/>
      <c r="C492" s="246"/>
      <c r="D492" s="252" t="str">
        <f ca="1">RESULTADOS!O490</f>
        <v/>
      </c>
      <c r="E492" s="254"/>
      <c r="F492" s="247"/>
      <c r="G492" s="246"/>
    </row>
    <row r="493" spans="2:7" ht="15" x14ac:dyDescent="0.2">
      <c r="B493" s="246"/>
      <c r="C493" s="246"/>
      <c r="D493" s="252" t="str">
        <f ca="1">RESULTADOS!O491</f>
        <v/>
      </c>
      <c r="E493" s="254"/>
      <c r="F493" s="247"/>
      <c r="G493" s="246"/>
    </row>
    <row r="494" spans="2:7" ht="15" x14ac:dyDescent="0.2">
      <c r="B494" s="246"/>
      <c r="C494" s="246"/>
      <c r="D494" s="252" t="str">
        <f ca="1">RESULTADOS!O492</f>
        <v/>
      </c>
      <c r="E494" s="254"/>
      <c r="F494" s="247"/>
      <c r="G494" s="246"/>
    </row>
    <row r="495" spans="2:7" ht="15" x14ac:dyDescent="0.2">
      <c r="B495" s="246"/>
      <c r="C495" s="246"/>
      <c r="D495" s="252" t="str">
        <f ca="1">RESULTADOS!O493</f>
        <v/>
      </c>
      <c r="E495" s="254"/>
      <c r="F495" s="247"/>
      <c r="G495" s="246"/>
    </row>
    <row r="496" spans="2:7" ht="15" x14ac:dyDescent="0.2">
      <c r="B496" s="246"/>
      <c r="C496" s="246"/>
      <c r="D496" s="252" t="str">
        <f ca="1">RESULTADOS!O494</f>
        <v/>
      </c>
      <c r="E496" s="254"/>
      <c r="F496" s="247"/>
      <c r="G496" s="246"/>
    </row>
    <row r="497" spans="2:7" ht="15" x14ac:dyDescent="0.2">
      <c r="B497" s="246"/>
      <c r="C497" s="246"/>
      <c r="D497" s="252" t="str">
        <f ca="1">RESULTADOS!O495</f>
        <v/>
      </c>
      <c r="E497" s="254"/>
      <c r="F497" s="247"/>
      <c r="G497" s="246"/>
    </row>
    <row r="498" spans="2:7" ht="15" x14ac:dyDescent="0.2">
      <c r="B498" s="246"/>
      <c r="C498" s="246"/>
      <c r="D498" s="252" t="str">
        <f ca="1">RESULTADOS!O496</f>
        <v/>
      </c>
      <c r="E498" s="254"/>
      <c r="F498" s="247"/>
      <c r="G498" s="246"/>
    </row>
    <row r="499" spans="2:7" ht="15" x14ac:dyDescent="0.2">
      <c r="B499" s="246"/>
      <c r="C499" s="246"/>
      <c r="D499" s="252" t="str">
        <f ca="1">RESULTADOS!O497</f>
        <v/>
      </c>
      <c r="E499" s="254"/>
      <c r="F499" s="247"/>
      <c r="G499" s="246"/>
    </row>
    <row r="500" spans="2:7" ht="15" x14ac:dyDescent="0.2">
      <c r="B500" s="246"/>
      <c r="C500" s="246"/>
      <c r="D500" s="252" t="str">
        <f ca="1">RESULTADOS!O498</f>
        <v/>
      </c>
      <c r="E500" s="254"/>
      <c r="F500" s="247"/>
      <c r="G500" s="246"/>
    </row>
    <row r="501" spans="2:7" ht="15" x14ac:dyDescent="0.2">
      <c r="B501" s="246"/>
      <c r="C501" s="246"/>
      <c r="D501" s="252" t="str">
        <f ca="1">RESULTADOS!O499</f>
        <v/>
      </c>
      <c r="E501" s="254"/>
      <c r="F501" s="247"/>
      <c r="G501" s="246"/>
    </row>
    <row r="502" spans="2:7" ht="15" x14ac:dyDescent="0.2">
      <c r="B502" s="246"/>
      <c r="C502" s="246"/>
      <c r="D502" s="252" t="str">
        <f ca="1">RESULTADOS!O500</f>
        <v/>
      </c>
      <c r="E502" s="254"/>
      <c r="F502" s="247"/>
      <c r="G502" s="246"/>
    </row>
    <row r="503" spans="2:7" ht="15" x14ac:dyDescent="0.2">
      <c r="B503" s="246"/>
      <c r="C503" s="246"/>
      <c r="D503" s="252" t="str">
        <f ca="1">RESULTADOS!O501</f>
        <v/>
      </c>
      <c r="E503" s="254"/>
      <c r="F503" s="247"/>
      <c r="G503" s="246"/>
    </row>
    <row r="504" spans="2:7" ht="15" x14ac:dyDescent="0.2">
      <c r="B504" s="246"/>
      <c r="C504" s="246"/>
      <c r="D504" s="252" t="str">
        <f ca="1">RESULTADOS!O502</f>
        <v/>
      </c>
      <c r="E504" s="254"/>
      <c r="F504" s="247"/>
      <c r="G504" s="246"/>
    </row>
    <row r="505" spans="2:7" ht="15" x14ac:dyDescent="0.2">
      <c r="B505" s="246"/>
      <c r="C505" s="246"/>
      <c r="D505" s="252" t="str">
        <f ca="1">RESULTADOS!O503</f>
        <v/>
      </c>
      <c r="E505" s="254"/>
      <c r="F505" s="247"/>
      <c r="G505" s="246"/>
    </row>
    <row r="506" spans="2:7" ht="15" x14ac:dyDescent="0.2">
      <c r="B506" s="246"/>
      <c r="C506" s="246"/>
      <c r="D506" s="252" t="str">
        <f ca="1">RESULTADOS!O504</f>
        <v/>
      </c>
      <c r="E506" s="254"/>
      <c r="F506" s="247"/>
      <c r="G506" s="246"/>
    </row>
    <row r="507" spans="2:7" ht="15" x14ac:dyDescent="0.2">
      <c r="B507" s="246"/>
      <c r="C507" s="246"/>
      <c r="D507" s="252" t="str">
        <f ca="1">RESULTADOS!O505</f>
        <v/>
      </c>
      <c r="E507" s="254"/>
      <c r="F507" s="247"/>
      <c r="G507" s="246"/>
    </row>
    <row r="508" spans="2:7" ht="15" x14ac:dyDescent="0.2">
      <c r="B508" s="246"/>
      <c r="C508" s="246"/>
      <c r="D508" s="252" t="str">
        <f ca="1">RESULTADOS!O506</f>
        <v/>
      </c>
      <c r="E508" s="254"/>
      <c r="F508" s="247"/>
      <c r="G508" s="246"/>
    </row>
    <row r="509" spans="2:7" ht="15" x14ac:dyDescent="0.2">
      <c r="B509" s="246"/>
      <c r="C509" s="246"/>
      <c r="D509" s="252" t="str">
        <f ca="1">RESULTADOS!O507</f>
        <v/>
      </c>
      <c r="E509" s="254"/>
      <c r="F509" s="247"/>
      <c r="G509" s="246"/>
    </row>
    <row r="510" spans="2:7" ht="15" x14ac:dyDescent="0.2">
      <c r="B510" s="246"/>
      <c r="C510" s="246"/>
      <c r="D510" s="252" t="str">
        <f ca="1">RESULTADOS!O508</f>
        <v/>
      </c>
      <c r="E510" s="254"/>
      <c r="F510" s="247"/>
      <c r="G510" s="246"/>
    </row>
    <row r="511" spans="2:7" ht="15" x14ac:dyDescent="0.2">
      <c r="B511" s="246"/>
      <c r="C511" s="246"/>
      <c r="D511" s="252" t="str">
        <f ca="1">RESULTADOS!O509</f>
        <v/>
      </c>
      <c r="E511" s="254"/>
      <c r="F511" s="247"/>
      <c r="G511" s="246"/>
    </row>
    <row r="512" spans="2:7" ht="15" x14ac:dyDescent="0.2">
      <c r="B512" s="246"/>
      <c r="C512" s="246"/>
      <c r="D512" s="252" t="str">
        <f ca="1">RESULTADOS!O510</f>
        <v/>
      </c>
      <c r="E512" s="254"/>
      <c r="F512" s="247"/>
      <c r="G512" s="246"/>
    </row>
    <row r="513" spans="2:7" ht="15" x14ac:dyDescent="0.2">
      <c r="B513" s="246"/>
      <c r="C513" s="246"/>
      <c r="D513" s="252" t="str">
        <f ca="1">RESULTADOS!O511</f>
        <v/>
      </c>
      <c r="E513" s="254"/>
      <c r="F513" s="247"/>
      <c r="G513" s="246"/>
    </row>
    <row r="514" spans="2:7" ht="15" x14ac:dyDescent="0.2">
      <c r="B514" s="246"/>
      <c r="C514" s="246"/>
      <c r="D514" s="252" t="str">
        <f ca="1">RESULTADOS!O512</f>
        <v/>
      </c>
      <c r="E514" s="254"/>
      <c r="F514" s="247"/>
      <c r="G514" s="246"/>
    </row>
    <row r="515" spans="2:7" ht="15" x14ac:dyDescent="0.2">
      <c r="B515" s="246"/>
      <c r="C515" s="246"/>
      <c r="D515" s="252" t="str">
        <f ca="1">RESULTADOS!O513</f>
        <v/>
      </c>
      <c r="E515" s="254"/>
      <c r="F515" s="247"/>
      <c r="G515" s="246"/>
    </row>
    <row r="516" spans="2:7" ht="15" x14ac:dyDescent="0.2">
      <c r="B516" s="246"/>
      <c r="C516" s="246"/>
      <c r="D516" s="252" t="str">
        <f ca="1">RESULTADOS!O514</f>
        <v/>
      </c>
      <c r="E516" s="254"/>
      <c r="F516" s="247"/>
      <c r="G516" s="246"/>
    </row>
    <row r="517" spans="2:7" ht="15" x14ac:dyDescent="0.2">
      <c r="B517" s="246"/>
      <c r="C517" s="246"/>
      <c r="D517" s="252" t="str">
        <f ca="1">RESULTADOS!O515</f>
        <v/>
      </c>
      <c r="E517" s="254"/>
      <c r="F517" s="247"/>
      <c r="G517" s="246"/>
    </row>
    <row r="518" spans="2:7" ht="15" x14ac:dyDescent="0.2">
      <c r="B518" s="246"/>
      <c r="C518" s="246"/>
      <c r="D518" s="252" t="str">
        <f ca="1">RESULTADOS!O516</f>
        <v/>
      </c>
      <c r="E518" s="254"/>
      <c r="F518" s="247"/>
      <c r="G518" s="246"/>
    </row>
    <row r="519" spans="2:7" ht="15" x14ac:dyDescent="0.2">
      <c r="B519" s="246"/>
      <c r="C519" s="246"/>
      <c r="D519" s="252" t="str">
        <f ca="1">RESULTADOS!O517</f>
        <v/>
      </c>
      <c r="E519" s="254"/>
      <c r="F519" s="247"/>
      <c r="G519" s="246"/>
    </row>
    <row r="520" spans="2:7" ht="15" x14ac:dyDescent="0.2">
      <c r="B520" s="246"/>
      <c r="C520" s="246"/>
      <c r="D520" s="252" t="str">
        <f ca="1">RESULTADOS!O518</f>
        <v/>
      </c>
      <c r="E520" s="254"/>
      <c r="F520" s="247"/>
      <c r="G520" s="246"/>
    </row>
    <row r="521" spans="2:7" ht="15" x14ac:dyDescent="0.2">
      <c r="B521" s="246"/>
      <c r="C521" s="246"/>
      <c r="D521" s="252" t="str">
        <f ca="1">RESULTADOS!O519</f>
        <v/>
      </c>
      <c r="E521" s="254"/>
      <c r="F521" s="247"/>
      <c r="G521" s="246"/>
    </row>
    <row r="522" spans="2:7" ht="15" x14ac:dyDescent="0.2">
      <c r="B522" s="246"/>
      <c r="C522" s="246"/>
      <c r="D522" s="252" t="str">
        <f ca="1">RESULTADOS!O520</f>
        <v/>
      </c>
      <c r="E522" s="254"/>
      <c r="F522" s="247"/>
      <c r="G522" s="246"/>
    </row>
    <row r="523" spans="2:7" ht="15" x14ac:dyDescent="0.2">
      <c r="B523" s="246"/>
      <c r="C523" s="246"/>
      <c r="D523" s="252" t="str">
        <f ca="1">RESULTADOS!O521</f>
        <v/>
      </c>
      <c r="E523" s="254"/>
      <c r="F523" s="247"/>
      <c r="G523" s="246"/>
    </row>
    <row r="524" spans="2:7" ht="15" x14ac:dyDescent="0.2">
      <c r="B524" s="246"/>
      <c r="C524" s="246"/>
      <c r="D524" s="252" t="str">
        <f ca="1">RESULTADOS!O522</f>
        <v/>
      </c>
      <c r="E524" s="254"/>
      <c r="F524" s="247"/>
      <c r="G524" s="246"/>
    </row>
    <row r="525" spans="2:7" ht="15" x14ac:dyDescent="0.2">
      <c r="B525" s="246"/>
      <c r="C525" s="246"/>
      <c r="D525" s="252" t="str">
        <f ca="1">RESULTADOS!O523</f>
        <v/>
      </c>
      <c r="E525" s="254"/>
      <c r="F525" s="247"/>
      <c r="G525" s="246"/>
    </row>
    <row r="526" spans="2:7" ht="15" x14ac:dyDescent="0.2">
      <c r="B526" s="246"/>
      <c r="C526" s="246"/>
      <c r="D526" s="252" t="str">
        <f ca="1">RESULTADOS!O524</f>
        <v/>
      </c>
      <c r="E526" s="254"/>
      <c r="F526" s="247"/>
      <c r="G526" s="246"/>
    </row>
    <row r="527" spans="2:7" ht="15" x14ac:dyDescent="0.2">
      <c r="B527" s="246"/>
      <c r="C527" s="246"/>
      <c r="D527" s="252" t="str">
        <f ca="1">RESULTADOS!O525</f>
        <v/>
      </c>
      <c r="E527" s="254"/>
      <c r="F527" s="247"/>
      <c r="G527" s="246"/>
    </row>
    <row r="528" spans="2:7" ht="15" x14ac:dyDescent="0.2">
      <c r="B528" s="246"/>
      <c r="C528" s="246"/>
      <c r="D528" s="252" t="str">
        <f ca="1">RESULTADOS!O526</f>
        <v/>
      </c>
      <c r="E528" s="254"/>
      <c r="F528" s="247"/>
      <c r="G528" s="246"/>
    </row>
    <row r="529" spans="2:7" ht="15" x14ac:dyDescent="0.2">
      <c r="B529" s="246"/>
      <c r="C529" s="246"/>
      <c r="D529" s="252" t="str">
        <f ca="1">RESULTADOS!O527</f>
        <v/>
      </c>
      <c r="E529" s="254"/>
      <c r="F529" s="247"/>
      <c r="G529" s="246"/>
    </row>
    <row r="530" spans="2:7" ht="15" x14ac:dyDescent="0.2">
      <c r="B530" s="246"/>
      <c r="C530" s="246"/>
      <c r="D530" s="252" t="str">
        <f ca="1">RESULTADOS!O528</f>
        <v/>
      </c>
      <c r="E530" s="254"/>
      <c r="F530" s="247"/>
      <c r="G530" s="246"/>
    </row>
    <row r="531" spans="2:7" ht="15" x14ac:dyDescent="0.2">
      <c r="B531" s="246"/>
      <c r="C531" s="246"/>
      <c r="D531" s="252" t="str">
        <f ca="1">RESULTADOS!O529</f>
        <v/>
      </c>
      <c r="E531" s="254"/>
      <c r="F531" s="247"/>
      <c r="G531" s="246"/>
    </row>
    <row r="532" spans="2:7" ht="15" x14ac:dyDescent="0.2">
      <c r="B532" s="246"/>
      <c r="C532" s="246"/>
      <c r="D532" s="252" t="str">
        <f ca="1">RESULTADOS!O530</f>
        <v/>
      </c>
      <c r="E532" s="254"/>
      <c r="F532" s="247"/>
      <c r="G532" s="246"/>
    </row>
    <row r="533" spans="2:7" ht="15" x14ac:dyDescent="0.2">
      <c r="B533" s="246"/>
      <c r="C533" s="246"/>
      <c r="D533" s="252" t="str">
        <f ca="1">RESULTADOS!O531</f>
        <v/>
      </c>
      <c r="E533" s="254"/>
      <c r="F533" s="247"/>
      <c r="G533" s="246"/>
    </row>
    <row r="534" spans="2:7" ht="15" x14ac:dyDescent="0.2">
      <c r="B534" s="246"/>
      <c r="C534" s="246"/>
      <c r="D534" s="252" t="str">
        <f ca="1">RESULTADOS!O532</f>
        <v/>
      </c>
      <c r="E534" s="254"/>
      <c r="F534" s="247"/>
      <c r="G534" s="246"/>
    </row>
    <row r="535" spans="2:7" ht="15" x14ac:dyDescent="0.2">
      <c r="B535" s="246"/>
      <c r="C535" s="246"/>
      <c r="D535" s="252" t="str">
        <f ca="1">RESULTADOS!O533</f>
        <v/>
      </c>
      <c r="E535" s="254"/>
      <c r="F535" s="247"/>
      <c r="G535" s="246"/>
    </row>
    <row r="536" spans="2:7" ht="15" x14ac:dyDescent="0.2">
      <c r="B536" s="246"/>
      <c r="C536" s="246"/>
      <c r="D536" s="252" t="str">
        <f ca="1">RESULTADOS!O534</f>
        <v/>
      </c>
      <c r="E536" s="254"/>
      <c r="F536" s="247"/>
      <c r="G536" s="246"/>
    </row>
    <row r="537" spans="2:7" ht="15" x14ac:dyDescent="0.2">
      <c r="B537" s="246"/>
      <c r="C537" s="246"/>
      <c r="D537" s="252" t="str">
        <f ca="1">RESULTADOS!O535</f>
        <v/>
      </c>
      <c r="E537" s="254"/>
      <c r="F537" s="247"/>
      <c r="G537" s="246"/>
    </row>
    <row r="538" spans="2:7" ht="15" x14ac:dyDescent="0.2">
      <c r="B538" s="246"/>
      <c r="C538" s="246"/>
      <c r="D538" s="252" t="str">
        <f ca="1">RESULTADOS!O536</f>
        <v/>
      </c>
      <c r="E538" s="254"/>
      <c r="F538" s="247"/>
      <c r="G538" s="246"/>
    </row>
    <row r="539" spans="2:7" ht="15" x14ac:dyDescent="0.2">
      <c r="B539" s="246"/>
      <c r="C539" s="246"/>
      <c r="D539" s="252" t="str">
        <f ca="1">RESULTADOS!O537</f>
        <v/>
      </c>
      <c r="E539" s="254"/>
      <c r="F539" s="247"/>
      <c r="G539" s="246"/>
    </row>
    <row r="540" spans="2:7" ht="15" x14ac:dyDescent="0.2">
      <c r="B540" s="246"/>
      <c r="C540" s="246"/>
      <c r="D540" s="252" t="str">
        <f ca="1">RESULTADOS!O538</f>
        <v/>
      </c>
      <c r="E540" s="254"/>
      <c r="F540" s="247"/>
      <c r="G540" s="246"/>
    </row>
    <row r="541" spans="2:7" ht="15" x14ac:dyDescent="0.2">
      <c r="B541" s="246"/>
      <c r="C541" s="246"/>
      <c r="D541" s="252" t="str">
        <f ca="1">RESULTADOS!O539</f>
        <v/>
      </c>
      <c r="E541" s="254"/>
      <c r="F541" s="247"/>
      <c r="G541" s="246"/>
    </row>
    <row r="542" spans="2:7" ht="15" x14ac:dyDescent="0.2">
      <c r="B542" s="246"/>
      <c r="C542" s="246"/>
      <c r="D542" s="252" t="str">
        <f ca="1">RESULTADOS!O540</f>
        <v/>
      </c>
      <c r="E542" s="254"/>
      <c r="F542" s="247"/>
      <c r="G542" s="246"/>
    </row>
    <row r="543" spans="2:7" ht="15" x14ac:dyDescent="0.2">
      <c r="B543" s="246"/>
      <c r="C543" s="246"/>
      <c r="D543" s="252" t="str">
        <f ca="1">RESULTADOS!O541</f>
        <v/>
      </c>
      <c r="E543" s="254"/>
      <c r="F543" s="247"/>
      <c r="G543" s="246"/>
    </row>
    <row r="544" spans="2:7" ht="15" x14ac:dyDescent="0.2">
      <c r="B544" s="246"/>
      <c r="C544" s="246"/>
      <c r="D544" s="252" t="str">
        <f ca="1">RESULTADOS!O542</f>
        <v/>
      </c>
      <c r="E544" s="254"/>
      <c r="F544" s="247"/>
      <c r="G544" s="246"/>
    </row>
    <row r="545" spans="2:7" ht="15" x14ac:dyDescent="0.2">
      <c r="B545" s="246"/>
      <c r="C545" s="246"/>
      <c r="D545" s="252" t="str">
        <f ca="1">RESULTADOS!O543</f>
        <v/>
      </c>
      <c r="E545" s="254"/>
      <c r="F545" s="247"/>
      <c r="G545" s="246"/>
    </row>
    <row r="546" spans="2:7" x14ac:dyDescent="0.2">
      <c r="D546" s="252" t="str">
        <f ca="1">RESULTADOS!O544</f>
        <v/>
      </c>
      <c r="E546" s="254"/>
    </row>
    <row r="547" spans="2:7" x14ac:dyDescent="0.2">
      <c r="D547" s="252" t="str">
        <f ca="1">RESULTADOS!O545</f>
        <v/>
      </c>
      <c r="E547" s="254"/>
    </row>
    <row r="548" spans="2:7" x14ac:dyDescent="0.2">
      <c r="D548" s="252" t="str">
        <f ca="1">RESULTADOS!O546</f>
        <v/>
      </c>
      <c r="E548" s="254"/>
    </row>
    <row r="549" spans="2:7" x14ac:dyDescent="0.2">
      <c r="D549" s="252" t="str">
        <f ca="1">RESULTADOS!O547</f>
        <v/>
      </c>
      <c r="E549" s="254"/>
    </row>
    <row r="550" spans="2:7" x14ac:dyDescent="0.2">
      <c r="D550" s="252" t="str">
        <f ca="1">RESULTADOS!O548</f>
        <v/>
      </c>
      <c r="E550" s="254"/>
    </row>
    <row r="551" spans="2:7" x14ac:dyDescent="0.2">
      <c r="D551" s="252" t="str">
        <f ca="1">RESULTADOS!O549</f>
        <v/>
      </c>
      <c r="E551" s="254"/>
    </row>
    <row r="552" spans="2:7" x14ac:dyDescent="0.2">
      <c r="D552" s="252" t="str">
        <f ca="1">RESULTADOS!O550</f>
        <v/>
      </c>
      <c r="E552" s="254"/>
    </row>
    <row r="553" spans="2:7" x14ac:dyDescent="0.2">
      <c r="D553" s="252" t="str">
        <f ca="1">RESULTADOS!O551</f>
        <v/>
      </c>
      <c r="E553" s="254"/>
    </row>
    <row r="554" spans="2:7" x14ac:dyDescent="0.2">
      <c r="D554" s="252" t="str">
        <f ca="1">RESULTADOS!O552</f>
        <v/>
      </c>
      <c r="E554" s="254"/>
    </row>
    <row r="555" spans="2:7" x14ac:dyDescent="0.2">
      <c r="D555" s="252" t="str">
        <f ca="1">RESULTADOS!O553</f>
        <v/>
      </c>
      <c r="E555" s="254"/>
    </row>
    <row r="556" spans="2:7" x14ac:dyDescent="0.2">
      <c r="D556" s="252" t="str">
        <f ca="1">RESULTADOS!O554</f>
        <v/>
      </c>
      <c r="E556" s="254"/>
    </row>
    <row r="557" spans="2:7" x14ac:dyDescent="0.2">
      <c r="D557" s="252" t="str">
        <f ca="1">RESULTADOS!O555</f>
        <v/>
      </c>
      <c r="E557" s="254"/>
    </row>
    <row r="558" spans="2:7" x14ac:dyDescent="0.2">
      <c r="D558" s="252" t="str">
        <f ca="1">RESULTADOS!O556</f>
        <v/>
      </c>
      <c r="E558" s="254"/>
    </row>
    <row r="559" spans="2:7" x14ac:dyDescent="0.2">
      <c r="D559" s="252" t="str">
        <f ca="1">RESULTADOS!O557</f>
        <v/>
      </c>
      <c r="E559" s="254"/>
    </row>
    <row r="560" spans="2:7" x14ac:dyDescent="0.2">
      <c r="D560" s="252" t="str">
        <f ca="1">RESULTADOS!O558</f>
        <v/>
      </c>
      <c r="E560" s="254"/>
    </row>
    <row r="561" spans="4:5" x14ac:dyDescent="0.2">
      <c r="D561" s="252" t="str">
        <f ca="1">RESULTADOS!O559</f>
        <v/>
      </c>
      <c r="E561" s="254"/>
    </row>
    <row r="562" spans="4:5" x14ac:dyDescent="0.2">
      <c r="D562" s="252" t="str">
        <f ca="1">RESULTADOS!O560</f>
        <v/>
      </c>
      <c r="E562" s="254"/>
    </row>
    <row r="563" spans="4:5" x14ac:dyDescent="0.2">
      <c r="D563" s="252" t="str">
        <f ca="1">RESULTADOS!O561</f>
        <v/>
      </c>
      <c r="E563" s="254"/>
    </row>
    <row r="564" spans="4:5" x14ac:dyDescent="0.2">
      <c r="D564" s="252" t="str">
        <f ca="1">RESULTADOS!O562</f>
        <v/>
      </c>
      <c r="E564" s="254"/>
    </row>
    <row r="565" spans="4:5" x14ac:dyDescent="0.2">
      <c r="D565" s="252" t="str">
        <f ca="1">RESULTADOS!O563</f>
        <v/>
      </c>
      <c r="E565" s="254"/>
    </row>
    <row r="566" spans="4:5" x14ac:dyDescent="0.2">
      <c r="D566" s="252" t="str">
        <f ca="1">RESULTADOS!O564</f>
        <v/>
      </c>
      <c r="E566" s="254"/>
    </row>
    <row r="567" spans="4:5" x14ac:dyDescent="0.2">
      <c r="D567" s="252" t="str">
        <f ca="1">RESULTADOS!O565</f>
        <v/>
      </c>
      <c r="E567" s="254"/>
    </row>
    <row r="568" spans="4:5" x14ac:dyDescent="0.2">
      <c r="D568" s="252" t="str">
        <f ca="1">RESULTADOS!O566</f>
        <v/>
      </c>
      <c r="E568" s="254"/>
    </row>
    <row r="569" spans="4:5" x14ac:dyDescent="0.2">
      <c r="D569" s="252" t="str">
        <f ca="1">RESULTADOS!O567</f>
        <v/>
      </c>
      <c r="E569" s="254"/>
    </row>
    <row r="570" spans="4:5" x14ac:dyDescent="0.2">
      <c r="D570" s="252" t="str">
        <f ca="1">RESULTADOS!O568</f>
        <v/>
      </c>
      <c r="E570" s="254"/>
    </row>
    <row r="571" spans="4:5" x14ac:dyDescent="0.2">
      <c r="D571" s="252" t="str">
        <f ca="1">RESULTADOS!O569</f>
        <v/>
      </c>
      <c r="E571" s="254"/>
    </row>
    <row r="572" spans="4:5" x14ac:dyDescent="0.2">
      <c r="D572" s="252" t="str">
        <f ca="1">RESULTADOS!O570</f>
        <v/>
      </c>
      <c r="E572" s="254"/>
    </row>
    <row r="573" spans="4:5" x14ac:dyDescent="0.2">
      <c r="D573" s="252" t="str">
        <f ca="1">RESULTADOS!O571</f>
        <v/>
      </c>
      <c r="E573" s="254"/>
    </row>
    <row r="574" spans="4:5" x14ac:dyDescent="0.2">
      <c r="D574" s="252" t="str">
        <f ca="1">RESULTADOS!O572</f>
        <v/>
      </c>
      <c r="E574" s="254"/>
    </row>
    <row r="575" spans="4:5" x14ac:dyDescent="0.2">
      <c r="D575" s="252" t="str">
        <f ca="1">RESULTADOS!O573</f>
        <v/>
      </c>
      <c r="E575" s="254"/>
    </row>
    <row r="576" spans="4:5" x14ac:dyDescent="0.2">
      <c r="D576" s="252" t="str">
        <f ca="1">RESULTADOS!O574</f>
        <v/>
      </c>
      <c r="E576" s="254"/>
    </row>
    <row r="577" spans="4:5" x14ac:dyDescent="0.2">
      <c r="D577" s="252" t="str">
        <f ca="1">RESULTADOS!O575</f>
        <v/>
      </c>
      <c r="E577" s="254"/>
    </row>
    <row r="578" spans="4:5" x14ac:dyDescent="0.2">
      <c r="D578" s="252" t="str">
        <f ca="1">RESULTADOS!O576</f>
        <v/>
      </c>
      <c r="E578" s="254"/>
    </row>
    <row r="579" spans="4:5" x14ac:dyDescent="0.2">
      <c r="D579" s="252" t="str">
        <f ca="1">RESULTADOS!O577</f>
        <v/>
      </c>
      <c r="E579" s="254"/>
    </row>
    <row r="580" spans="4:5" x14ac:dyDescent="0.2">
      <c r="D580" s="252" t="str">
        <f ca="1">RESULTADOS!O578</f>
        <v/>
      </c>
      <c r="E580" s="254"/>
    </row>
    <row r="581" spans="4:5" x14ac:dyDescent="0.2">
      <c r="D581" s="252" t="str">
        <f ca="1">RESULTADOS!O579</f>
        <v/>
      </c>
      <c r="E581" s="254"/>
    </row>
    <row r="582" spans="4:5" x14ac:dyDescent="0.2">
      <c r="D582" s="252" t="str">
        <f ca="1">RESULTADOS!O580</f>
        <v/>
      </c>
      <c r="E582" s="254"/>
    </row>
    <row r="583" spans="4:5" x14ac:dyDescent="0.2">
      <c r="D583" s="252" t="str">
        <f ca="1">RESULTADOS!O581</f>
        <v/>
      </c>
      <c r="E583" s="254"/>
    </row>
    <row r="584" spans="4:5" x14ac:dyDescent="0.2">
      <c r="D584" s="252" t="str">
        <f ca="1">RESULTADOS!O582</f>
        <v/>
      </c>
      <c r="E584" s="254"/>
    </row>
    <row r="585" spans="4:5" x14ac:dyDescent="0.2">
      <c r="D585" s="252" t="str">
        <f ca="1">RESULTADOS!O583</f>
        <v/>
      </c>
      <c r="E585" s="254"/>
    </row>
    <row r="586" spans="4:5" x14ac:dyDescent="0.2">
      <c r="D586" s="252" t="str">
        <f ca="1">RESULTADOS!O584</f>
        <v/>
      </c>
      <c r="E586" s="254"/>
    </row>
    <row r="587" spans="4:5" x14ac:dyDescent="0.2">
      <c r="D587" s="252" t="str">
        <f ca="1">RESULTADOS!O585</f>
        <v/>
      </c>
      <c r="E587" s="254"/>
    </row>
    <row r="588" spans="4:5" x14ac:dyDescent="0.2">
      <c r="D588" s="252" t="str">
        <f ca="1">RESULTADOS!O586</f>
        <v/>
      </c>
      <c r="E588" s="254"/>
    </row>
    <row r="589" spans="4:5" x14ac:dyDescent="0.2">
      <c r="D589" s="252" t="str">
        <f ca="1">RESULTADOS!O587</f>
        <v/>
      </c>
      <c r="E589" s="254"/>
    </row>
    <row r="590" spans="4:5" x14ac:dyDescent="0.2">
      <c r="D590" s="252" t="str">
        <f ca="1">RESULTADOS!O588</f>
        <v/>
      </c>
      <c r="E590" s="254"/>
    </row>
    <row r="591" spans="4:5" x14ac:dyDescent="0.2">
      <c r="D591" s="252" t="str">
        <f ca="1">RESULTADOS!O589</f>
        <v/>
      </c>
      <c r="E591" s="254"/>
    </row>
    <row r="592" spans="4:5" x14ac:dyDescent="0.2">
      <c r="D592" s="252" t="str">
        <f ca="1">RESULTADOS!O590</f>
        <v/>
      </c>
      <c r="E592" s="254"/>
    </row>
    <row r="593" spans="4:5" x14ac:dyDescent="0.2">
      <c r="D593" s="252" t="str">
        <f ca="1">RESULTADOS!O591</f>
        <v/>
      </c>
      <c r="E593" s="254"/>
    </row>
    <row r="594" spans="4:5" x14ac:dyDescent="0.2">
      <c r="D594" s="252" t="str">
        <f ca="1">RESULTADOS!O592</f>
        <v/>
      </c>
      <c r="E594" s="254"/>
    </row>
    <row r="595" spans="4:5" x14ac:dyDescent="0.2">
      <c r="D595" s="252" t="str">
        <f ca="1">RESULTADOS!O593</f>
        <v/>
      </c>
      <c r="E595" s="254"/>
    </row>
    <row r="596" spans="4:5" x14ac:dyDescent="0.2">
      <c r="D596" s="252" t="str">
        <f ca="1">RESULTADOS!O594</f>
        <v/>
      </c>
      <c r="E596" s="254"/>
    </row>
    <row r="597" spans="4:5" x14ac:dyDescent="0.2">
      <c r="D597" s="252" t="str">
        <f ca="1">RESULTADOS!O595</f>
        <v/>
      </c>
      <c r="E597" s="254"/>
    </row>
    <row r="598" spans="4:5" x14ac:dyDescent="0.2">
      <c r="D598" s="252" t="str">
        <f ca="1">RESULTADOS!O596</f>
        <v/>
      </c>
      <c r="E598" s="254"/>
    </row>
    <row r="599" spans="4:5" x14ac:dyDescent="0.2">
      <c r="D599" s="252" t="str">
        <f ca="1">RESULTADOS!O597</f>
        <v/>
      </c>
      <c r="E599" s="254"/>
    </row>
    <row r="600" spans="4:5" x14ac:dyDescent="0.2">
      <c r="D600" s="252" t="str">
        <f ca="1">RESULTADOS!O598</f>
        <v/>
      </c>
      <c r="E600" s="254"/>
    </row>
    <row r="601" spans="4:5" x14ac:dyDescent="0.2">
      <c r="D601" s="252" t="str">
        <f ca="1">RESULTADOS!O599</f>
        <v/>
      </c>
      <c r="E601" s="254"/>
    </row>
    <row r="602" spans="4:5" x14ac:dyDescent="0.2">
      <c r="D602" s="252" t="str">
        <f ca="1">RESULTADOS!O600</f>
        <v/>
      </c>
      <c r="E602" s="254"/>
    </row>
    <row r="603" spans="4:5" x14ac:dyDescent="0.2">
      <c r="D603" s="252" t="str">
        <f ca="1">RESULTADOS!O601</f>
        <v/>
      </c>
      <c r="E603" s="254"/>
    </row>
    <row r="604" spans="4:5" x14ac:dyDescent="0.2">
      <c r="D604" s="252" t="str">
        <f ca="1">RESULTADOS!O602</f>
        <v/>
      </c>
      <c r="E604" s="254"/>
    </row>
    <row r="605" spans="4:5" x14ac:dyDescent="0.2">
      <c r="D605" s="252" t="str">
        <f ca="1">RESULTADOS!O603</f>
        <v/>
      </c>
      <c r="E605" s="254"/>
    </row>
    <row r="606" spans="4:5" x14ac:dyDescent="0.2">
      <c r="D606" s="252" t="str">
        <f ca="1">RESULTADOS!O604</f>
        <v/>
      </c>
      <c r="E606" s="254"/>
    </row>
    <row r="607" spans="4:5" x14ac:dyDescent="0.2">
      <c r="D607" s="252" t="str">
        <f ca="1">RESULTADOS!O605</f>
        <v/>
      </c>
      <c r="E607" s="254"/>
    </row>
    <row r="608" spans="4:5" x14ac:dyDescent="0.2">
      <c r="D608" s="252" t="str">
        <f ca="1">RESULTADOS!O606</f>
        <v/>
      </c>
      <c r="E608" s="254"/>
    </row>
    <row r="609" spans="4:5" x14ac:dyDescent="0.2">
      <c r="D609" s="252" t="str">
        <f ca="1">RESULTADOS!O607</f>
        <v/>
      </c>
      <c r="E609" s="254"/>
    </row>
    <row r="610" spans="4:5" x14ac:dyDescent="0.2">
      <c r="D610" s="252" t="str">
        <f ca="1">RESULTADOS!O608</f>
        <v/>
      </c>
      <c r="E610" s="254"/>
    </row>
    <row r="611" spans="4:5" x14ac:dyDescent="0.2">
      <c r="D611" s="252" t="str">
        <f ca="1">RESULTADOS!O609</f>
        <v/>
      </c>
      <c r="E611" s="254"/>
    </row>
    <row r="612" spans="4:5" x14ac:dyDescent="0.2">
      <c r="D612" s="252" t="str">
        <f ca="1">RESULTADOS!O610</f>
        <v/>
      </c>
      <c r="E612" s="254"/>
    </row>
    <row r="613" spans="4:5" x14ac:dyDescent="0.2">
      <c r="D613" s="252" t="str">
        <f ca="1">RESULTADOS!O611</f>
        <v/>
      </c>
      <c r="E613" s="254"/>
    </row>
    <row r="614" spans="4:5" x14ac:dyDescent="0.2">
      <c r="D614" s="252" t="str">
        <f ca="1">RESULTADOS!O612</f>
        <v/>
      </c>
      <c r="E614" s="254"/>
    </row>
    <row r="615" spans="4:5" x14ac:dyDescent="0.2">
      <c r="D615" s="252" t="str">
        <f ca="1">RESULTADOS!O613</f>
        <v/>
      </c>
      <c r="E615" s="254"/>
    </row>
    <row r="616" spans="4:5" x14ac:dyDescent="0.2">
      <c r="D616" s="252" t="str">
        <f ca="1">RESULTADOS!O614</f>
        <v/>
      </c>
      <c r="E616" s="254"/>
    </row>
    <row r="617" spans="4:5" x14ac:dyDescent="0.2">
      <c r="D617" s="252" t="str">
        <f ca="1">RESULTADOS!O615</f>
        <v/>
      </c>
      <c r="E617" s="254"/>
    </row>
    <row r="618" spans="4:5" x14ac:dyDescent="0.2">
      <c r="D618" s="252" t="str">
        <f ca="1">RESULTADOS!O616</f>
        <v/>
      </c>
      <c r="E618" s="254"/>
    </row>
    <row r="619" spans="4:5" x14ac:dyDescent="0.2">
      <c r="D619" s="252" t="str">
        <f ca="1">RESULTADOS!O617</f>
        <v/>
      </c>
      <c r="E619" s="254"/>
    </row>
    <row r="620" spans="4:5" x14ac:dyDescent="0.2">
      <c r="D620" s="252" t="str">
        <f ca="1">RESULTADOS!O618</f>
        <v/>
      </c>
      <c r="E620" s="254"/>
    </row>
    <row r="621" spans="4:5" x14ac:dyDescent="0.2">
      <c r="D621" s="252" t="str">
        <f ca="1">RESULTADOS!O619</f>
        <v/>
      </c>
      <c r="E621" s="254"/>
    </row>
    <row r="622" spans="4:5" x14ac:dyDescent="0.2">
      <c r="D622" s="252" t="str">
        <f ca="1">RESULTADOS!O620</f>
        <v/>
      </c>
      <c r="E622" s="254"/>
    </row>
    <row r="623" spans="4:5" x14ac:dyDescent="0.2">
      <c r="D623" s="252" t="str">
        <f ca="1">RESULTADOS!O621</f>
        <v/>
      </c>
      <c r="E623" s="254"/>
    </row>
    <row r="624" spans="4:5" x14ac:dyDescent="0.2">
      <c r="D624" s="252" t="str">
        <f ca="1">RESULTADOS!O622</f>
        <v/>
      </c>
      <c r="E624" s="254"/>
    </row>
    <row r="625" spans="4:5" x14ac:dyDescent="0.2">
      <c r="D625" s="252" t="str">
        <f ca="1">RESULTADOS!O623</f>
        <v/>
      </c>
      <c r="E625" s="254"/>
    </row>
    <row r="626" spans="4:5" x14ac:dyDescent="0.2">
      <c r="D626" s="252" t="str">
        <f ca="1">RESULTADOS!O624</f>
        <v/>
      </c>
      <c r="E626" s="254"/>
    </row>
    <row r="627" spans="4:5" x14ac:dyDescent="0.2">
      <c r="D627" s="252" t="str">
        <f ca="1">RESULTADOS!O625</f>
        <v/>
      </c>
      <c r="E627" s="254"/>
    </row>
    <row r="628" spans="4:5" x14ac:dyDescent="0.2">
      <c r="D628" s="252" t="str">
        <f ca="1">RESULTADOS!O626</f>
        <v/>
      </c>
      <c r="E628" s="254"/>
    </row>
    <row r="629" spans="4:5" x14ac:dyDescent="0.2">
      <c r="D629" s="252" t="str">
        <f ca="1">RESULTADOS!O627</f>
        <v/>
      </c>
      <c r="E629" s="254"/>
    </row>
    <row r="630" spans="4:5" x14ac:dyDescent="0.2">
      <c r="D630" s="252" t="str">
        <f ca="1">RESULTADOS!O628</f>
        <v/>
      </c>
      <c r="E630" s="254"/>
    </row>
    <row r="631" spans="4:5" x14ac:dyDescent="0.2">
      <c r="D631" s="252" t="str">
        <f ca="1">RESULTADOS!O629</f>
        <v/>
      </c>
      <c r="E631" s="254"/>
    </row>
    <row r="632" spans="4:5" x14ac:dyDescent="0.2">
      <c r="D632" s="252" t="str">
        <f ca="1">RESULTADOS!O630</f>
        <v/>
      </c>
      <c r="E632" s="254"/>
    </row>
    <row r="633" spans="4:5" x14ac:dyDescent="0.2">
      <c r="D633" s="252" t="str">
        <f ca="1">RESULTADOS!O631</f>
        <v/>
      </c>
      <c r="E633" s="254"/>
    </row>
    <row r="634" spans="4:5" x14ac:dyDescent="0.2">
      <c r="D634" s="252" t="str">
        <f ca="1">RESULTADOS!O632</f>
        <v/>
      </c>
      <c r="E634" s="254"/>
    </row>
    <row r="635" spans="4:5" x14ac:dyDescent="0.2">
      <c r="D635" s="252" t="str">
        <f ca="1">RESULTADOS!O633</f>
        <v/>
      </c>
      <c r="E635" s="254"/>
    </row>
    <row r="636" spans="4:5" x14ac:dyDescent="0.2">
      <c r="D636" s="252" t="str">
        <f ca="1">RESULTADOS!O634</f>
        <v/>
      </c>
      <c r="E636" s="254"/>
    </row>
    <row r="637" spans="4:5" x14ac:dyDescent="0.2">
      <c r="D637" s="252" t="str">
        <f ca="1">RESULTADOS!O635</f>
        <v/>
      </c>
      <c r="E637" s="254"/>
    </row>
    <row r="638" spans="4:5" x14ac:dyDescent="0.2">
      <c r="D638" s="252" t="str">
        <f ca="1">RESULTADOS!O636</f>
        <v/>
      </c>
      <c r="E638" s="254"/>
    </row>
    <row r="639" spans="4:5" x14ac:dyDescent="0.2">
      <c r="D639" s="252" t="str">
        <f ca="1">RESULTADOS!O637</f>
        <v/>
      </c>
      <c r="E639" s="254"/>
    </row>
    <row r="640" spans="4:5" x14ac:dyDescent="0.2">
      <c r="D640" s="252" t="str">
        <f ca="1">RESULTADOS!O638</f>
        <v/>
      </c>
      <c r="E640" s="254"/>
    </row>
    <row r="641" spans="4:5" x14ac:dyDescent="0.2">
      <c r="D641" s="252" t="str">
        <f ca="1">RESULTADOS!O639</f>
        <v/>
      </c>
      <c r="E641" s="254"/>
    </row>
    <row r="642" spans="4:5" x14ac:dyDescent="0.2">
      <c r="D642" s="252" t="str">
        <f ca="1">RESULTADOS!O640</f>
        <v/>
      </c>
      <c r="E642" s="254"/>
    </row>
    <row r="643" spans="4:5" x14ac:dyDescent="0.2">
      <c r="D643" s="252" t="str">
        <f ca="1">RESULTADOS!O641</f>
        <v/>
      </c>
      <c r="E643" s="254"/>
    </row>
    <row r="644" spans="4:5" x14ac:dyDescent="0.2">
      <c r="D644" s="252" t="str">
        <f ca="1">RESULTADOS!O642</f>
        <v/>
      </c>
      <c r="E644" s="254"/>
    </row>
    <row r="645" spans="4:5" x14ac:dyDescent="0.2">
      <c r="D645" s="252" t="str">
        <f ca="1">RESULTADOS!O643</f>
        <v/>
      </c>
      <c r="E645" s="254"/>
    </row>
    <row r="646" spans="4:5" x14ac:dyDescent="0.2">
      <c r="D646" s="252" t="str">
        <f ca="1">RESULTADOS!O644</f>
        <v/>
      </c>
      <c r="E646" s="254"/>
    </row>
    <row r="647" spans="4:5" x14ac:dyDescent="0.2">
      <c r="D647" s="252" t="str">
        <f ca="1">RESULTADOS!O645</f>
        <v/>
      </c>
      <c r="E647" s="254"/>
    </row>
    <row r="648" spans="4:5" x14ac:dyDescent="0.2">
      <c r="D648" s="252" t="str">
        <f ca="1">RESULTADOS!O646</f>
        <v/>
      </c>
      <c r="E648" s="254"/>
    </row>
    <row r="649" spans="4:5" x14ac:dyDescent="0.2">
      <c r="D649" s="252" t="str">
        <f ca="1">RESULTADOS!O647</f>
        <v/>
      </c>
      <c r="E649" s="254"/>
    </row>
    <row r="650" spans="4:5" x14ac:dyDescent="0.2">
      <c r="D650" s="252" t="str">
        <f ca="1">RESULTADOS!O648</f>
        <v/>
      </c>
      <c r="E650" s="254"/>
    </row>
    <row r="651" spans="4:5" x14ac:dyDescent="0.2">
      <c r="D651" s="252" t="str">
        <f ca="1">RESULTADOS!O649</f>
        <v/>
      </c>
      <c r="E651" s="254"/>
    </row>
    <row r="652" spans="4:5" x14ac:dyDescent="0.2">
      <c r="D652" s="252" t="str">
        <f ca="1">RESULTADOS!O650</f>
        <v/>
      </c>
      <c r="E652" s="254"/>
    </row>
    <row r="653" spans="4:5" x14ac:dyDescent="0.2">
      <c r="D653" s="252" t="str">
        <f ca="1">RESULTADOS!O651</f>
        <v/>
      </c>
      <c r="E653" s="254"/>
    </row>
    <row r="654" spans="4:5" x14ac:dyDescent="0.2">
      <c r="D654" s="252" t="str">
        <f ca="1">RESULTADOS!O652</f>
        <v/>
      </c>
      <c r="E654" s="254"/>
    </row>
    <row r="655" spans="4:5" x14ac:dyDescent="0.2">
      <c r="D655" s="252" t="str">
        <f ca="1">RESULTADOS!O653</f>
        <v/>
      </c>
      <c r="E655" s="254"/>
    </row>
    <row r="656" spans="4:5" x14ac:dyDescent="0.2">
      <c r="D656" s="252" t="str">
        <f ca="1">RESULTADOS!O654</f>
        <v/>
      </c>
      <c r="E656" s="254"/>
    </row>
  </sheetData>
  <sheetProtection algorithmName="SHA-512" hashValue="C5TqSA0hCIRk6nHL52IS3pNInixi+4GENu5RFSD0s2DQP0grjGm9C7wyNS+wlUntuaQ/HSo8DgO1wdIZGQwMkg==" saltValue="qIV/Lelv3eV5ZCuPNPKbbQ==" spinCount="100000" sheet="1" objects="1" scenarios="1"/>
  <autoFilter ref="D6:E656"/>
  <mergeCells count="1">
    <mergeCell ref="E2:F2"/>
  </mergeCells>
  <dataValidations count="1">
    <dataValidation type="decimal" allowBlank="1" showInputMessage="1" showErrorMessage="1" sqref="E7:E199">
      <formula1>0</formula1>
      <formula2>99999999</formula2>
    </dataValidation>
  </dataValidations>
  <pageMargins left="0.51181102362204722" right="0.51181102362204722" top="0.78740157480314965" bottom="0.78740157480314965" header="0.31496062992125984" footer="0.31496062992125984"/>
  <pageSetup paperSize="9" scale="1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2:D296"/>
  <sheetViews>
    <sheetView topLeftCell="A274" workbookViewId="0">
      <selection activeCell="D296" sqref="D296"/>
    </sheetView>
  </sheetViews>
  <sheetFormatPr defaultRowHeight="15" x14ac:dyDescent="0.25"/>
  <cols>
    <col min="4" max="4" width="21" bestFit="1" customWidth="1"/>
  </cols>
  <sheetData>
    <row r="2" spans="1:4" x14ac:dyDescent="0.25">
      <c r="A2" s="23" t="s">
        <v>24</v>
      </c>
      <c r="B2" s="23" t="s">
        <v>43</v>
      </c>
      <c r="C2" s="23" t="s">
        <v>44</v>
      </c>
      <c r="D2" s="23" t="s">
        <v>45</v>
      </c>
    </row>
    <row r="3" spans="1:4" x14ac:dyDescent="0.25">
      <c r="A3" s="24">
        <v>34546</v>
      </c>
      <c r="B3" s="25">
        <v>6.84</v>
      </c>
      <c r="C3" s="25">
        <f t="shared" ref="C3:C21" si="0">1+B3/100</f>
        <v>1.0684</v>
      </c>
      <c r="D3" s="26">
        <f>PRODUCT(C4:$C$290)</f>
        <v>5.507599276117606</v>
      </c>
    </row>
    <row r="4" spans="1:4" x14ac:dyDescent="0.25">
      <c r="A4" s="24">
        <v>34577</v>
      </c>
      <c r="B4" s="25">
        <v>1.86</v>
      </c>
      <c r="C4" s="25">
        <f t="shared" si="0"/>
        <v>1.0185999999999999</v>
      </c>
      <c r="D4" s="26">
        <f>PRODUCT(C5:$C$290)</f>
        <v>5.407028545177301</v>
      </c>
    </row>
    <row r="5" spans="1:4" x14ac:dyDescent="0.25">
      <c r="A5" s="24">
        <v>34607</v>
      </c>
      <c r="B5" s="25">
        <v>1.53</v>
      </c>
      <c r="C5" s="25">
        <f t="shared" si="0"/>
        <v>1.0153000000000001</v>
      </c>
      <c r="D5" s="26">
        <f>PRODUCT(C6:$C$290)</f>
        <v>5.3255476658891974</v>
      </c>
    </row>
    <row r="6" spans="1:4" x14ac:dyDescent="0.25">
      <c r="A6" s="24">
        <v>34638</v>
      </c>
      <c r="B6" s="25">
        <v>2.62</v>
      </c>
      <c r="C6" s="25">
        <f t="shared" si="0"/>
        <v>1.0262</v>
      </c>
      <c r="D6" s="26">
        <f>PRODUCT(C7:$C$290)</f>
        <v>5.189580652786205</v>
      </c>
    </row>
    <row r="7" spans="1:4" x14ac:dyDescent="0.25">
      <c r="A7" s="24">
        <v>34668</v>
      </c>
      <c r="B7" s="25">
        <v>2.81</v>
      </c>
      <c r="C7" s="25">
        <f t="shared" si="0"/>
        <v>1.0281</v>
      </c>
      <c r="D7" s="26">
        <f>PRODUCT(C8:$C$290)</f>
        <v>5.0477391817782244</v>
      </c>
    </row>
    <row r="8" spans="1:4" x14ac:dyDescent="0.25">
      <c r="A8" s="24">
        <v>34699</v>
      </c>
      <c r="B8" s="25">
        <v>1.71</v>
      </c>
      <c r="C8" s="25">
        <f t="shared" si="0"/>
        <v>1.0170999999999999</v>
      </c>
      <c r="D8" s="26">
        <f>PRODUCT(C9:$C$290)</f>
        <v>4.9628740357666272</v>
      </c>
    </row>
    <row r="9" spans="1:4" x14ac:dyDescent="0.25">
      <c r="A9" s="24">
        <v>34730</v>
      </c>
      <c r="B9" s="25">
        <v>1.7</v>
      </c>
      <c r="C9" s="25">
        <f t="shared" si="0"/>
        <v>1.0169999999999999</v>
      </c>
      <c r="D9" s="26">
        <f>PRODUCT(C10:$C$290)</f>
        <v>4.8799154727302172</v>
      </c>
    </row>
    <row r="10" spans="1:4" x14ac:dyDescent="0.25">
      <c r="A10" s="24">
        <v>34758</v>
      </c>
      <c r="B10" s="25">
        <v>1.02</v>
      </c>
      <c r="C10" s="25">
        <f t="shared" si="0"/>
        <v>1.0102</v>
      </c>
      <c r="D10" s="26">
        <f>PRODUCT(C11:$C$290)</f>
        <v>4.8306429149972407</v>
      </c>
    </row>
    <row r="11" spans="1:4" x14ac:dyDescent="0.25">
      <c r="A11" s="24">
        <v>34789</v>
      </c>
      <c r="B11" s="25">
        <v>1.55</v>
      </c>
      <c r="C11" s="25">
        <f t="shared" si="0"/>
        <v>1.0155000000000001</v>
      </c>
      <c r="D11" s="26">
        <f>PRODUCT(C12:$C$290)</f>
        <v>4.7569107976339113</v>
      </c>
    </row>
    <row r="12" spans="1:4" x14ac:dyDescent="0.25">
      <c r="A12" s="24">
        <v>34819</v>
      </c>
      <c r="B12" s="25">
        <v>2.4300000000000002</v>
      </c>
      <c r="C12" s="25">
        <f t="shared" si="0"/>
        <v>1.0243</v>
      </c>
      <c r="D12" s="26">
        <f>PRODUCT(C13:$C$290)</f>
        <v>4.6440601363213103</v>
      </c>
    </row>
    <row r="13" spans="1:4" x14ac:dyDescent="0.25">
      <c r="A13" s="24">
        <v>34850</v>
      </c>
      <c r="B13" s="25">
        <v>2.67</v>
      </c>
      <c r="C13" s="25">
        <f t="shared" si="0"/>
        <v>1.0266999999999999</v>
      </c>
      <c r="D13" s="26">
        <f>PRODUCT(C14:$C$290)</f>
        <v>4.5232883377045932</v>
      </c>
    </row>
    <row r="14" spans="1:4" x14ac:dyDescent="0.25">
      <c r="A14" s="24">
        <v>34880</v>
      </c>
      <c r="B14" s="25">
        <v>2.2599999999999998</v>
      </c>
      <c r="C14" s="25">
        <f t="shared" si="0"/>
        <v>1.0226</v>
      </c>
      <c r="D14" s="26">
        <f>PRODUCT(C15:$C$290)</f>
        <v>4.4233212768478332</v>
      </c>
    </row>
    <row r="15" spans="1:4" x14ac:dyDescent="0.25">
      <c r="A15" s="24">
        <v>34911</v>
      </c>
      <c r="B15" s="25">
        <v>2.36</v>
      </c>
      <c r="C15" s="25">
        <f t="shared" si="0"/>
        <v>1.0236000000000001</v>
      </c>
      <c r="D15" s="26">
        <f>PRODUCT(C16:$C$290)</f>
        <v>4.3213377069634973</v>
      </c>
    </row>
    <row r="16" spans="1:4" x14ac:dyDescent="0.25">
      <c r="A16" s="24">
        <v>34942</v>
      </c>
      <c r="B16" s="25">
        <v>0.99</v>
      </c>
      <c r="C16" s="25">
        <f t="shared" si="0"/>
        <v>1.0099</v>
      </c>
      <c r="D16" s="26">
        <f>PRODUCT(C17:$C$290)</f>
        <v>4.2789758460872314</v>
      </c>
    </row>
    <row r="17" spans="1:4" x14ac:dyDescent="0.25">
      <c r="A17" s="24">
        <v>34972</v>
      </c>
      <c r="B17" s="25">
        <v>0.99</v>
      </c>
      <c r="C17" s="25">
        <f t="shared" si="0"/>
        <v>1.0099</v>
      </c>
      <c r="D17" s="26">
        <f>PRODUCT(C18:$C$290)</f>
        <v>4.2370292564483902</v>
      </c>
    </row>
    <row r="18" spans="1:4" x14ac:dyDescent="0.25">
      <c r="A18" s="24">
        <v>35003</v>
      </c>
      <c r="B18" s="25">
        <v>1.41</v>
      </c>
      <c r="C18" s="25">
        <f t="shared" si="0"/>
        <v>1.0141</v>
      </c>
      <c r="D18" s="26">
        <f>PRODUCT(C19:$C$290)</f>
        <v>4.1781177955313984</v>
      </c>
    </row>
    <row r="19" spans="1:4" x14ac:dyDescent="0.25">
      <c r="A19" s="24">
        <v>35033</v>
      </c>
      <c r="B19" s="25">
        <v>1.47</v>
      </c>
      <c r="C19" s="25">
        <f t="shared" si="0"/>
        <v>1.0146999999999999</v>
      </c>
      <c r="D19" s="26">
        <f>PRODUCT(C20:$C$290)</f>
        <v>4.1175892337946163</v>
      </c>
    </row>
    <row r="20" spans="1:4" x14ac:dyDescent="0.25">
      <c r="A20" s="24">
        <v>35064</v>
      </c>
      <c r="B20" s="25">
        <v>1.56</v>
      </c>
      <c r="C20" s="25">
        <f t="shared" si="0"/>
        <v>1.0156000000000001</v>
      </c>
      <c r="D20" s="26">
        <f>PRODUCT(C21:$C$290)</f>
        <v>4.0543415062963977</v>
      </c>
    </row>
    <row r="21" spans="1:4" x14ac:dyDescent="0.25">
      <c r="A21" s="24">
        <v>35095</v>
      </c>
      <c r="B21" s="25">
        <v>1.34</v>
      </c>
      <c r="C21" s="25">
        <f t="shared" si="0"/>
        <v>1.0134000000000001</v>
      </c>
      <c r="D21" s="26">
        <f>PRODUCT(C22:$C$290)</f>
        <v>4.0007317014963473</v>
      </c>
    </row>
    <row r="22" spans="1:4" x14ac:dyDescent="0.25">
      <c r="A22" s="24">
        <v>35124</v>
      </c>
      <c r="B22" s="25">
        <v>1.03</v>
      </c>
      <c r="C22" s="25">
        <f t="shared" ref="C22:C85" si="1">1+B22/100</f>
        <v>1.0103</v>
      </c>
      <c r="D22" s="26">
        <f>PRODUCT(C23:$C$290)</f>
        <v>3.9599442754591121</v>
      </c>
    </row>
    <row r="23" spans="1:4" x14ac:dyDescent="0.25">
      <c r="A23" s="24">
        <v>35155</v>
      </c>
      <c r="B23" s="25">
        <v>0.35</v>
      </c>
      <c r="C23" s="25">
        <f t="shared" si="1"/>
        <v>1.0035000000000001</v>
      </c>
      <c r="D23" s="26">
        <f>PRODUCT(C24:$C$290)</f>
        <v>3.9461328106219375</v>
      </c>
    </row>
    <row r="24" spans="1:4" x14ac:dyDescent="0.25">
      <c r="A24" s="24">
        <v>35185</v>
      </c>
      <c r="B24" s="25">
        <v>1.26</v>
      </c>
      <c r="C24" s="25">
        <f t="shared" si="1"/>
        <v>1.0125999999999999</v>
      </c>
      <c r="D24" s="26">
        <f>PRODUCT(C25:$C$290)</f>
        <v>3.8970302297273793</v>
      </c>
    </row>
    <row r="25" spans="1:4" x14ac:dyDescent="0.25">
      <c r="A25" s="24">
        <v>35216</v>
      </c>
      <c r="B25" s="25">
        <v>1.22</v>
      </c>
      <c r="C25" s="25">
        <f t="shared" si="1"/>
        <v>1.0122</v>
      </c>
      <c r="D25" s="26">
        <f>PRODUCT(C26:$C$290)</f>
        <v>3.8500595037812424</v>
      </c>
    </row>
    <row r="26" spans="1:4" x14ac:dyDescent="0.25">
      <c r="A26" s="24">
        <v>35246</v>
      </c>
      <c r="B26" s="25">
        <v>1.19</v>
      </c>
      <c r="C26" s="25">
        <f t="shared" si="1"/>
        <v>1.0119</v>
      </c>
      <c r="D26" s="26">
        <f>PRODUCT(C27:$C$290)</f>
        <v>3.8047825909489457</v>
      </c>
    </row>
    <row r="27" spans="1:4" x14ac:dyDescent="0.25">
      <c r="A27" s="24">
        <v>35277</v>
      </c>
      <c r="B27" s="25">
        <v>1.1100000000000001</v>
      </c>
      <c r="C27" s="25">
        <f t="shared" si="1"/>
        <v>1.0111000000000001</v>
      </c>
      <c r="D27" s="26">
        <f>PRODUCT(C28:$C$290)</f>
        <v>3.7630131450390136</v>
      </c>
    </row>
    <row r="28" spans="1:4" x14ac:dyDescent="0.25">
      <c r="A28" s="24">
        <v>35308</v>
      </c>
      <c r="B28" s="25">
        <v>0.44</v>
      </c>
      <c r="C28" s="25">
        <f t="shared" si="1"/>
        <v>1.0044</v>
      </c>
      <c r="D28" s="26">
        <f>PRODUCT(C29:$C$290)</f>
        <v>3.7465284199910514</v>
      </c>
    </row>
    <row r="29" spans="1:4" x14ac:dyDescent="0.25">
      <c r="A29" s="24">
        <v>35338</v>
      </c>
      <c r="B29" s="25">
        <v>0.15</v>
      </c>
      <c r="C29" s="25">
        <f t="shared" si="1"/>
        <v>1.0015000000000001</v>
      </c>
      <c r="D29" s="26">
        <f>PRODUCT(C30:$C$290)</f>
        <v>3.740917044424418</v>
      </c>
    </row>
    <row r="30" spans="1:4" x14ac:dyDescent="0.25">
      <c r="A30" s="24">
        <v>35369</v>
      </c>
      <c r="B30" s="25">
        <v>0.3</v>
      </c>
      <c r="C30" s="25">
        <f t="shared" si="1"/>
        <v>1.0029999999999999</v>
      </c>
      <c r="D30" s="26">
        <f>PRODUCT(C31:$C$290)</f>
        <v>3.7297278608418885</v>
      </c>
    </row>
    <row r="31" spans="1:4" x14ac:dyDescent="0.25">
      <c r="A31" s="24">
        <v>35399</v>
      </c>
      <c r="B31" s="25">
        <v>0.32</v>
      </c>
      <c r="C31" s="25">
        <f t="shared" si="1"/>
        <v>1.0032000000000001</v>
      </c>
      <c r="D31" s="26">
        <f>PRODUCT(C32:$C$290)</f>
        <v>3.7178308022746145</v>
      </c>
    </row>
    <row r="32" spans="1:4" x14ac:dyDescent="0.25">
      <c r="A32" s="24">
        <v>35430</v>
      </c>
      <c r="B32" s="25">
        <v>0.47</v>
      </c>
      <c r="C32" s="25">
        <f t="shared" si="1"/>
        <v>1.0046999999999999</v>
      </c>
      <c r="D32" s="26">
        <f>PRODUCT(C33:$C$290)</f>
        <v>3.7004387401956929</v>
      </c>
    </row>
    <row r="33" spans="1:4" x14ac:dyDescent="0.25">
      <c r="A33" s="24">
        <v>35461</v>
      </c>
      <c r="B33" s="25">
        <v>1.18</v>
      </c>
      <c r="C33" s="25">
        <f t="shared" si="1"/>
        <v>1.0118</v>
      </c>
      <c r="D33" s="26">
        <f>PRODUCT(C34:$C$290)</f>
        <v>3.6572828031188926</v>
      </c>
    </row>
    <row r="34" spans="1:4" x14ac:dyDescent="0.25">
      <c r="A34" s="24">
        <v>35489</v>
      </c>
      <c r="B34" s="25">
        <v>0.5</v>
      </c>
      <c r="C34" s="25">
        <f t="shared" si="1"/>
        <v>1.0049999999999999</v>
      </c>
      <c r="D34" s="26">
        <f>PRODUCT(C35:$C$290)</f>
        <v>3.639087366287455</v>
      </c>
    </row>
    <row r="35" spans="1:4" x14ac:dyDescent="0.25">
      <c r="A35" s="24">
        <v>35520</v>
      </c>
      <c r="B35" s="25">
        <v>0.51</v>
      </c>
      <c r="C35" s="25">
        <f t="shared" si="1"/>
        <v>1.0051000000000001</v>
      </c>
      <c r="D35" s="26">
        <f>PRODUCT(C36:$C$290)</f>
        <v>3.6206221931026326</v>
      </c>
    </row>
    <row r="36" spans="1:4" x14ac:dyDescent="0.25">
      <c r="A36" s="24">
        <v>35550</v>
      </c>
      <c r="B36" s="25">
        <v>0.88</v>
      </c>
      <c r="C36" s="25">
        <f t="shared" si="1"/>
        <v>1.0087999999999999</v>
      </c>
      <c r="D36" s="26">
        <f>PRODUCT(C37:$C$290)</f>
        <v>3.5890386529566141</v>
      </c>
    </row>
    <row r="37" spans="1:4" x14ac:dyDescent="0.25">
      <c r="A37" s="24">
        <v>35581</v>
      </c>
      <c r="B37" s="25">
        <v>0.41</v>
      </c>
      <c r="C37" s="25">
        <f t="shared" si="1"/>
        <v>1.0041</v>
      </c>
      <c r="D37" s="26">
        <f>PRODUCT(C38:$C$290)</f>
        <v>3.5743836798691526</v>
      </c>
    </row>
    <row r="38" spans="1:4" x14ac:dyDescent="0.25">
      <c r="A38" s="24">
        <v>35611</v>
      </c>
      <c r="B38" s="25">
        <v>0.54</v>
      </c>
      <c r="C38" s="25">
        <f t="shared" si="1"/>
        <v>1.0054000000000001</v>
      </c>
      <c r="D38" s="26">
        <f>PRODUCT(C39:$C$290)</f>
        <v>3.5551856772122008</v>
      </c>
    </row>
    <row r="39" spans="1:4" x14ac:dyDescent="0.25">
      <c r="A39" s="24">
        <v>35642</v>
      </c>
      <c r="B39" s="25">
        <v>0.22</v>
      </c>
      <c r="C39" s="25">
        <f t="shared" si="1"/>
        <v>1.0022</v>
      </c>
      <c r="D39" s="26">
        <f>PRODUCT(C40:$C$290)</f>
        <v>3.5473814380484976</v>
      </c>
    </row>
    <row r="40" spans="1:4" x14ac:dyDescent="0.25">
      <c r="A40" s="24">
        <v>35673</v>
      </c>
      <c r="B40" s="25">
        <v>-0.02</v>
      </c>
      <c r="C40" s="25">
        <f t="shared" si="1"/>
        <v>0.99980000000000002</v>
      </c>
      <c r="D40" s="26">
        <f>PRODUCT(C41:$C$290)</f>
        <v>3.548091056259747</v>
      </c>
    </row>
    <row r="41" spans="1:4" x14ac:dyDescent="0.25">
      <c r="A41" s="24">
        <v>35703</v>
      </c>
      <c r="B41" s="25">
        <v>0.06</v>
      </c>
      <c r="C41" s="25">
        <f t="shared" si="1"/>
        <v>1.0005999999999999</v>
      </c>
      <c r="D41" s="26">
        <f>PRODUCT(C42:$C$290)</f>
        <v>3.5459634781728449</v>
      </c>
    </row>
    <row r="42" spans="1:4" x14ac:dyDescent="0.25">
      <c r="A42" s="24">
        <v>35734</v>
      </c>
      <c r="B42" s="25">
        <v>0.23</v>
      </c>
      <c r="C42" s="25">
        <f t="shared" si="1"/>
        <v>1.0023</v>
      </c>
      <c r="D42" s="26">
        <f>PRODUCT(C43:$C$290)</f>
        <v>3.537826477275106</v>
      </c>
    </row>
    <row r="43" spans="1:4" x14ac:dyDescent="0.25">
      <c r="A43" s="24">
        <v>35764</v>
      </c>
      <c r="B43" s="25">
        <v>0.17</v>
      </c>
      <c r="C43" s="25">
        <f t="shared" si="1"/>
        <v>1.0017</v>
      </c>
      <c r="D43" s="26">
        <f>PRODUCT(C44:$C$290)</f>
        <v>3.5318223792304195</v>
      </c>
    </row>
    <row r="44" spans="1:4" x14ac:dyDescent="0.25">
      <c r="A44" s="24">
        <v>35795</v>
      </c>
      <c r="B44" s="25">
        <v>0.43</v>
      </c>
      <c r="C44" s="25">
        <f t="shared" si="1"/>
        <v>1.0043</v>
      </c>
      <c r="D44" s="26">
        <f>PRODUCT(C45:$C$290)</f>
        <v>3.5167005667932103</v>
      </c>
    </row>
    <row r="45" spans="1:4" x14ac:dyDescent="0.25">
      <c r="A45" s="24">
        <v>35826</v>
      </c>
      <c r="B45" s="25">
        <v>0.71</v>
      </c>
      <c r="C45" s="25">
        <f t="shared" si="1"/>
        <v>1.0071000000000001</v>
      </c>
      <c r="D45" s="26">
        <f>PRODUCT(C46:$C$290)</f>
        <v>3.4919080198522603</v>
      </c>
    </row>
    <row r="46" spans="1:4" x14ac:dyDescent="0.25">
      <c r="A46" s="24">
        <v>35854</v>
      </c>
      <c r="B46" s="25">
        <v>0.46</v>
      </c>
      <c r="C46" s="25">
        <f t="shared" si="1"/>
        <v>1.0045999999999999</v>
      </c>
      <c r="D46" s="26">
        <f>PRODUCT(C47:$C$290)</f>
        <v>3.4759187934026037</v>
      </c>
    </row>
    <row r="47" spans="1:4" x14ac:dyDescent="0.25">
      <c r="A47" s="24">
        <v>35885</v>
      </c>
      <c r="B47" s="25">
        <v>0.34</v>
      </c>
      <c r="C47" s="25">
        <f t="shared" si="1"/>
        <v>1.0034000000000001</v>
      </c>
      <c r="D47" s="26">
        <f>PRODUCT(C48:$C$290)</f>
        <v>3.4641407149717036</v>
      </c>
    </row>
    <row r="48" spans="1:4" x14ac:dyDescent="0.25">
      <c r="A48" s="24">
        <v>35915</v>
      </c>
      <c r="B48" s="25">
        <v>0.24</v>
      </c>
      <c r="C48" s="25">
        <f t="shared" si="1"/>
        <v>1.0024</v>
      </c>
      <c r="D48" s="26">
        <f>PRODUCT(C49:$C$290)</f>
        <v>3.4558466829326626</v>
      </c>
    </row>
    <row r="49" spans="1:4" x14ac:dyDescent="0.25">
      <c r="A49" s="24">
        <v>35946</v>
      </c>
      <c r="B49" s="25">
        <v>0.5</v>
      </c>
      <c r="C49" s="25">
        <f t="shared" si="1"/>
        <v>1.0049999999999999</v>
      </c>
      <c r="D49" s="26">
        <f>PRODUCT(C50:$C$290)</f>
        <v>3.438653415853397</v>
      </c>
    </row>
    <row r="50" spans="1:4" x14ac:dyDescent="0.25">
      <c r="A50" s="24">
        <v>35976</v>
      </c>
      <c r="B50" s="25">
        <v>0.02</v>
      </c>
      <c r="C50" s="25">
        <f t="shared" si="1"/>
        <v>1.0002</v>
      </c>
      <c r="D50" s="26">
        <f>PRODUCT(C51:$C$290)</f>
        <v>3.4379658226888576</v>
      </c>
    </row>
    <row r="51" spans="1:4" x14ac:dyDescent="0.25">
      <c r="A51" s="24">
        <v>36007</v>
      </c>
      <c r="B51" s="25">
        <v>-0.12</v>
      </c>
      <c r="C51" s="25">
        <f t="shared" si="1"/>
        <v>0.99880000000000002</v>
      </c>
      <c r="D51" s="26">
        <f>PRODUCT(C52:$C$290)</f>
        <v>3.4420963382948164</v>
      </c>
    </row>
    <row r="52" spans="1:4" x14ac:dyDescent="0.25">
      <c r="A52" s="24">
        <v>36038</v>
      </c>
      <c r="B52" s="25">
        <v>-0.51</v>
      </c>
      <c r="C52" s="25">
        <f t="shared" si="1"/>
        <v>0.99490000000000001</v>
      </c>
      <c r="D52" s="26">
        <f>PRODUCT(C53:$C$290)</f>
        <v>3.4597410174839838</v>
      </c>
    </row>
    <row r="53" spans="1:4" x14ac:dyDescent="0.25">
      <c r="A53" s="24">
        <v>36068</v>
      </c>
      <c r="B53" s="25">
        <v>-0.22</v>
      </c>
      <c r="C53" s="25">
        <f t="shared" si="1"/>
        <v>0.99780000000000002</v>
      </c>
      <c r="D53" s="26">
        <f>PRODUCT(C54:$C$290)</f>
        <v>3.4673692297895182</v>
      </c>
    </row>
    <row r="54" spans="1:4" x14ac:dyDescent="0.25">
      <c r="A54" s="24">
        <v>36099</v>
      </c>
      <c r="B54" s="25">
        <v>0.02</v>
      </c>
      <c r="C54" s="25">
        <f t="shared" si="1"/>
        <v>1.0002</v>
      </c>
      <c r="D54" s="26">
        <f>PRODUCT(C55:$C$290)</f>
        <v>3.4666758946105918</v>
      </c>
    </row>
    <row r="55" spans="1:4" x14ac:dyDescent="0.25">
      <c r="A55" s="24">
        <v>36129</v>
      </c>
      <c r="B55" s="25">
        <v>-0.12</v>
      </c>
      <c r="C55" s="25">
        <f t="shared" si="1"/>
        <v>0.99880000000000002</v>
      </c>
      <c r="D55" s="26">
        <f>PRODUCT(C56:$C$290)</f>
        <v>3.4708409036950334</v>
      </c>
    </row>
    <row r="56" spans="1:4" x14ac:dyDescent="0.25">
      <c r="A56" s="24">
        <v>36160</v>
      </c>
      <c r="B56" s="25">
        <v>0.33</v>
      </c>
      <c r="C56" s="25">
        <f t="shared" si="1"/>
        <v>1.0033000000000001</v>
      </c>
      <c r="D56" s="26">
        <f>PRODUCT(C57:$C$290)</f>
        <v>3.4594248018489289</v>
      </c>
    </row>
    <row r="57" spans="1:4" x14ac:dyDescent="0.25">
      <c r="A57" s="24">
        <v>36191</v>
      </c>
      <c r="B57" s="25">
        <v>0.7</v>
      </c>
      <c r="C57" s="25">
        <f t="shared" si="1"/>
        <v>1.0069999999999999</v>
      </c>
      <c r="D57" s="26">
        <f>PRODUCT(C58:$C$290)</f>
        <v>3.4353771617169175</v>
      </c>
    </row>
    <row r="58" spans="1:4" x14ac:dyDescent="0.25">
      <c r="A58" s="24">
        <v>36219</v>
      </c>
      <c r="B58" s="25">
        <v>1.05</v>
      </c>
      <c r="C58" s="25">
        <f t="shared" si="1"/>
        <v>1.0105</v>
      </c>
      <c r="D58" s="26">
        <f>PRODUCT(C59:$C$290)</f>
        <v>3.3996805162958075</v>
      </c>
    </row>
    <row r="59" spans="1:4" x14ac:dyDescent="0.25">
      <c r="A59" s="24">
        <v>36250</v>
      </c>
      <c r="B59" s="25">
        <v>1.1000000000000001</v>
      </c>
      <c r="C59" s="25">
        <f t="shared" si="1"/>
        <v>1.0109999999999999</v>
      </c>
      <c r="D59" s="26">
        <f>PRODUCT(C60:$C$290)</f>
        <v>3.3626909162174168</v>
      </c>
    </row>
    <row r="60" spans="1:4" x14ac:dyDescent="0.25">
      <c r="A60" s="24">
        <v>36280</v>
      </c>
      <c r="B60" s="25">
        <v>0.56000000000000005</v>
      </c>
      <c r="C60" s="25">
        <f t="shared" si="1"/>
        <v>1.0056</v>
      </c>
      <c r="D60" s="26">
        <f>PRODUCT(C61:$C$290)</f>
        <v>3.3439647138200193</v>
      </c>
    </row>
    <row r="61" spans="1:4" x14ac:dyDescent="0.25">
      <c r="A61" s="24">
        <v>36311</v>
      </c>
      <c r="B61" s="25">
        <v>0.3</v>
      </c>
      <c r="C61" s="25">
        <f t="shared" si="1"/>
        <v>1.0029999999999999</v>
      </c>
      <c r="D61" s="26">
        <f>PRODUCT(C62:$C$290)</f>
        <v>3.3339628253439848</v>
      </c>
    </row>
    <row r="62" spans="1:4" x14ac:dyDescent="0.25">
      <c r="A62" s="24">
        <v>36341</v>
      </c>
      <c r="B62" s="25">
        <v>0.19</v>
      </c>
      <c r="C62" s="25">
        <f t="shared" si="1"/>
        <v>1.0019</v>
      </c>
      <c r="D62" s="26">
        <f>PRODUCT(C63:$C$290)</f>
        <v>3.3276403087573541</v>
      </c>
    </row>
    <row r="63" spans="1:4" x14ac:dyDescent="0.25">
      <c r="A63" s="24">
        <v>36372</v>
      </c>
      <c r="B63" s="25">
        <v>1.0900000000000001</v>
      </c>
      <c r="C63" s="25">
        <f t="shared" si="1"/>
        <v>1.0108999999999999</v>
      </c>
      <c r="D63" s="26">
        <f>PRODUCT(C64:$C$290)</f>
        <v>3.291760123412157</v>
      </c>
    </row>
    <row r="64" spans="1:4" x14ac:dyDescent="0.25">
      <c r="A64" s="24">
        <v>36403</v>
      </c>
      <c r="B64" s="25">
        <v>0.56000000000000005</v>
      </c>
      <c r="C64" s="25">
        <f t="shared" si="1"/>
        <v>1.0056</v>
      </c>
      <c r="D64" s="26">
        <f>PRODUCT(C65:$C$290)</f>
        <v>3.2734289214520302</v>
      </c>
    </row>
    <row r="65" spans="1:4" x14ac:dyDescent="0.25">
      <c r="A65" s="24">
        <v>36433</v>
      </c>
      <c r="B65" s="25">
        <v>0.31</v>
      </c>
      <c r="C65" s="25">
        <f t="shared" si="1"/>
        <v>1.0031000000000001</v>
      </c>
      <c r="D65" s="26">
        <f>PRODUCT(C66:$C$290)</f>
        <v>3.263312652230113</v>
      </c>
    </row>
    <row r="66" spans="1:4" x14ac:dyDescent="0.25">
      <c r="A66" s="24">
        <v>36464</v>
      </c>
      <c r="B66" s="25">
        <v>1.19</v>
      </c>
      <c r="C66" s="25">
        <f t="shared" si="1"/>
        <v>1.0119</v>
      </c>
      <c r="D66" s="26">
        <f>PRODUCT(C67:$C$290)</f>
        <v>3.224935914843476</v>
      </c>
    </row>
    <row r="67" spans="1:4" x14ac:dyDescent="0.25">
      <c r="A67" s="24">
        <v>36494</v>
      </c>
      <c r="B67" s="25">
        <v>0.95</v>
      </c>
      <c r="C67" s="25">
        <f t="shared" si="1"/>
        <v>1.0095000000000001</v>
      </c>
      <c r="D67" s="26">
        <f>PRODUCT(C68:$C$290)</f>
        <v>3.1945873351594631</v>
      </c>
    </row>
    <row r="68" spans="1:4" x14ac:dyDescent="0.25">
      <c r="A68" s="24">
        <v>36525</v>
      </c>
      <c r="B68" s="25">
        <v>0.6</v>
      </c>
      <c r="C68" s="25">
        <f t="shared" si="1"/>
        <v>1.006</v>
      </c>
      <c r="D68" s="26">
        <f>PRODUCT(C69:$C$290)</f>
        <v>3.1755341303772004</v>
      </c>
    </row>
    <row r="69" spans="1:4" x14ac:dyDescent="0.25">
      <c r="A69" s="24">
        <v>36556</v>
      </c>
      <c r="B69" s="25">
        <v>0.62</v>
      </c>
      <c r="C69" s="25">
        <f t="shared" si="1"/>
        <v>1.0062</v>
      </c>
      <c r="D69" s="26">
        <f>PRODUCT(C70:$C$290)</f>
        <v>3.1559671341454978</v>
      </c>
    </row>
    <row r="70" spans="1:4" x14ac:dyDescent="0.25">
      <c r="A70" s="24">
        <v>36585</v>
      </c>
      <c r="B70" s="25">
        <v>0.13</v>
      </c>
      <c r="C70" s="25">
        <f t="shared" si="1"/>
        <v>1.0013000000000001</v>
      </c>
      <c r="D70" s="26">
        <f>PRODUCT(C71:$C$290)</f>
        <v>3.1518697035309082</v>
      </c>
    </row>
    <row r="71" spans="1:4" x14ac:dyDescent="0.25">
      <c r="A71" s="24">
        <v>36616</v>
      </c>
      <c r="B71" s="25">
        <v>0.22</v>
      </c>
      <c r="C71" s="25">
        <f t="shared" si="1"/>
        <v>1.0022</v>
      </c>
      <c r="D71" s="26">
        <f>PRODUCT(C72:$C$290)</f>
        <v>3.1449508117450669</v>
      </c>
    </row>
    <row r="72" spans="1:4" x14ac:dyDescent="0.25">
      <c r="A72" s="24">
        <v>36646</v>
      </c>
      <c r="B72" s="25">
        <v>0.42</v>
      </c>
      <c r="C72" s="25">
        <f t="shared" si="1"/>
        <v>1.0042</v>
      </c>
      <c r="D72" s="26">
        <f>PRODUCT(C73:$C$290)</f>
        <v>3.1317972632394593</v>
      </c>
    </row>
    <row r="73" spans="1:4" x14ac:dyDescent="0.25">
      <c r="A73" s="24">
        <v>36677</v>
      </c>
      <c r="B73" s="25">
        <v>0.01</v>
      </c>
      <c r="C73" s="25">
        <f t="shared" si="1"/>
        <v>1.0001</v>
      </c>
      <c r="D73" s="26">
        <f>PRODUCT(C74:$C$290)</f>
        <v>3.1314841148279768</v>
      </c>
    </row>
    <row r="74" spans="1:4" x14ac:dyDescent="0.25">
      <c r="A74" s="24">
        <v>36707</v>
      </c>
      <c r="B74" s="25">
        <v>0.23</v>
      </c>
      <c r="C74" s="25">
        <f t="shared" si="1"/>
        <v>1.0023</v>
      </c>
      <c r="D74" s="26">
        <f>PRODUCT(C75:$C$290)</f>
        <v>3.1242982289014996</v>
      </c>
    </row>
    <row r="75" spans="1:4" x14ac:dyDescent="0.25">
      <c r="A75" s="24">
        <v>36738</v>
      </c>
      <c r="B75" s="25">
        <v>1.61</v>
      </c>
      <c r="C75" s="25">
        <f t="shared" si="1"/>
        <v>1.0161</v>
      </c>
      <c r="D75" s="26">
        <f>PRODUCT(C76:$C$290)</f>
        <v>3.07479404478054</v>
      </c>
    </row>
    <row r="76" spans="1:4" x14ac:dyDescent="0.25">
      <c r="A76" s="24">
        <v>36769</v>
      </c>
      <c r="B76" s="25">
        <v>1.31</v>
      </c>
      <c r="C76" s="25">
        <f t="shared" si="1"/>
        <v>1.0131000000000001</v>
      </c>
      <c r="D76" s="26">
        <f>PRODUCT(C77:$C$290)</f>
        <v>3.0350350851648775</v>
      </c>
    </row>
    <row r="77" spans="1:4" x14ac:dyDescent="0.25">
      <c r="A77" s="24">
        <v>36799</v>
      </c>
      <c r="B77" s="25">
        <v>0.23</v>
      </c>
      <c r="C77" s="25">
        <f t="shared" si="1"/>
        <v>1.0023</v>
      </c>
      <c r="D77" s="26">
        <f>PRODUCT(C78:$C$290)</f>
        <v>3.0280705229620604</v>
      </c>
    </row>
    <row r="78" spans="1:4" x14ac:dyDescent="0.25">
      <c r="A78" s="24">
        <v>36830</v>
      </c>
      <c r="B78" s="25">
        <v>0.14000000000000001</v>
      </c>
      <c r="C78" s="25">
        <f t="shared" si="1"/>
        <v>1.0014000000000001</v>
      </c>
      <c r="D78" s="26">
        <f>PRODUCT(C79:$C$290)</f>
        <v>3.0238371509507331</v>
      </c>
    </row>
    <row r="79" spans="1:4" x14ac:dyDescent="0.25">
      <c r="A79" s="24">
        <v>36860</v>
      </c>
      <c r="B79" s="25">
        <v>0.32</v>
      </c>
      <c r="C79" s="25">
        <f t="shared" si="1"/>
        <v>1.0032000000000001</v>
      </c>
      <c r="D79" s="26">
        <f>PRODUCT(C80:$C$290)</f>
        <v>3.0141917373910827</v>
      </c>
    </row>
    <row r="80" spans="1:4" x14ac:dyDescent="0.25">
      <c r="A80" s="24">
        <v>36891</v>
      </c>
      <c r="B80" s="25">
        <v>0.59</v>
      </c>
      <c r="C80" s="25">
        <f t="shared" si="1"/>
        <v>1.0059</v>
      </c>
      <c r="D80" s="26">
        <f>PRODUCT(C81:$C$290)</f>
        <v>2.9965123147341521</v>
      </c>
    </row>
    <row r="81" spans="1:4" x14ac:dyDescent="0.25">
      <c r="A81" s="24">
        <v>36922</v>
      </c>
      <c r="B81" s="25">
        <v>0.56999999999999995</v>
      </c>
      <c r="C81" s="25">
        <f t="shared" si="1"/>
        <v>1.0057</v>
      </c>
      <c r="D81" s="26">
        <f>PRODUCT(C82:$C$290)</f>
        <v>2.9795289994373539</v>
      </c>
    </row>
    <row r="82" spans="1:4" x14ac:dyDescent="0.25">
      <c r="A82" s="24">
        <v>36950</v>
      </c>
      <c r="B82" s="25">
        <v>0.46</v>
      </c>
      <c r="C82" s="25">
        <f t="shared" si="1"/>
        <v>1.0045999999999999</v>
      </c>
      <c r="D82" s="26">
        <f>PRODUCT(C83:$C$290)</f>
        <v>2.9658859241860998</v>
      </c>
    </row>
    <row r="83" spans="1:4" x14ac:dyDescent="0.25">
      <c r="A83" s="24">
        <v>36981</v>
      </c>
      <c r="B83" s="25">
        <v>0.38</v>
      </c>
      <c r="C83" s="25">
        <f t="shared" si="1"/>
        <v>1.0038</v>
      </c>
      <c r="D83" s="26">
        <f>PRODUCT(C84:$C$290)</f>
        <v>2.9546582229389329</v>
      </c>
    </row>
    <row r="84" spans="1:4" x14ac:dyDescent="0.25">
      <c r="A84" s="24">
        <v>37011</v>
      </c>
      <c r="B84" s="25">
        <v>0.57999999999999996</v>
      </c>
      <c r="C84" s="25">
        <f t="shared" si="1"/>
        <v>1.0058</v>
      </c>
      <c r="D84" s="26">
        <f>PRODUCT(C85:$C$290)</f>
        <v>2.9376200267835895</v>
      </c>
    </row>
    <row r="85" spans="1:4" x14ac:dyDescent="0.25">
      <c r="A85" s="24">
        <v>37042</v>
      </c>
      <c r="B85" s="25">
        <v>0.41</v>
      </c>
      <c r="C85" s="25">
        <f t="shared" si="1"/>
        <v>1.0041</v>
      </c>
      <c r="D85" s="26">
        <f>PRODUCT(C86:$C$290)</f>
        <v>2.9256249644294283</v>
      </c>
    </row>
    <row r="86" spans="1:4" x14ac:dyDescent="0.25">
      <c r="A86" s="24">
        <v>37072</v>
      </c>
      <c r="B86" s="25">
        <v>0.52</v>
      </c>
      <c r="C86" s="25">
        <f t="shared" ref="C86:C149" si="2">1+B86/100</f>
        <v>1.0052000000000001</v>
      </c>
      <c r="D86" s="26">
        <f>PRODUCT(C87:$C$290)</f>
        <v>2.9104904142751944</v>
      </c>
    </row>
    <row r="87" spans="1:4" x14ac:dyDescent="0.25">
      <c r="A87" s="24">
        <v>37103</v>
      </c>
      <c r="B87" s="25">
        <v>1.33</v>
      </c>
      <c r="C87" s="25">
        <f t="shared" si="2"/>
        <v>1.0133000000000001</v>
      </c>
      <c r="D87" s="26">
        <f>PRODUCT(C88:$C$290)</f>
        <v>2.8722889709614092</v>
      </c>
    </row>
    <row r="88" spans="1:4" x14ac:dyDescent="0.25">
      <c r="A88" s="24">
        <v>37134</v>
      </c>
      <c r="B88" s="25">
        <v>0.7</v>
      </c>
      <c r="C88" s="25">
        <f t="shared" si="2"/>
        <v>1.0069999999999999</v>
      </c>
      <c r="D88" s="26">
        <f>PRODUCT(C89:$C$290)</f>
        <v>2.8523227119775627</v>
      </c>
    </row>
    <row r="89" spans="1:4" x14ac:dyDescent="0.25">
      <c r="A89" s="24">
        <v>37164</v>
      </c>
      <c r="B89" s="25">
        <v>0.28000000000000003</v>
      </c>
      <c r="C89" s="25">
        <f t="shared" si="2"/>
        <v>1.0027999999999999</v>
      </c>
      <c r="D89" s="26">
        <f>PRODUCT(C90:$C$290)</f>
        <v>2.8443585081547385</v>
      </c>
    </row>
    <row r="90" spans="1:4" x14ac:dyDescent="0.25">
      <c r="A90" s="24">
        <v>37195</v>
      </c>
      <c r="B90" s="25">
        <v>0.83</v>
      </c>
      <c r="C90" s="25">
        <f t="shared" si="2"/>
        <v>1.0083</v>
      </c>
      <c r="D90" s="26">
        <f>PRODUCT(C91:$C$290)</f>
        <v>2.8209446674151875</v>
      </c>
    </row>
    <row r="91" spans="1:4" x14ac:dyDescent="0.25">
      <c r="A91" s="24">
        <v>37225</v>
      </c>
      <c r="B91" s="25">
        <v>0.71</v>
      </c>
      <c r="C91" s="25">
        <f t="shared" si="2"/>
        <v>1.0071000000000001</v>
      </c>
      <c r="D91" s="26">
        <f>PRODUCT(C92:$C$290)</f>
        <v>2.8010571615680564</v>
      </c>
    </row>
    <row r="92" spans="1:4" x14ac:dyDescent="0.25">
      <c r="A92" s="24">
        <v>37256</v>
      </c>
      <c r="B92" s="25">
        <v>0.65</v>
      </c>
      <c r="C92" s="25">
        <f t="shared" si="2"/>
        <v>1.0065</v>
      </c>
      <c r="D92" s="26">
        <f>PRODUCT(C93:$C$290)</f>
        <v>2.7829678704103871</v>
      </c>
    </row>
    <row r="93" spans="1:4" x14ac:dyDescent="0.25">
      <c r="A93" s="24">
        <v>37287</v>
      </c>
      <c r="B93" s="25">
        <v>0.52</v>
      </c>
      <c r="C93" s="25">
        <f t="shared" si="2"/>
        <v>1.0052000000000001</v>
      </c>
      <c r="D93" s="26">
        <f>PRODUCT(C94:$C$290)</f>
        <v>2.768571299652193</v>
      </c>
    </row>
    <row r="94" spans="1:4" x14ac:dyDescent="0.25">
      <c r="A94" s="24">
        <v>37315</v>
      </c>
      <c r="B94" s="25">
        <v>0.36</v>
      </c>
      <c r="C94" s="25">
        <f t="shared" si="2"/>
        <v>1.0036</v>
      </c>
      <c r="D94" s="26">
        <f>PRODUCT(C95:$C$290)</f>
        <v>2.7586401949503747</v>
      </c>
    </row>
    <row r="95" spans="1:4" x14ac:dyDescent="0.25">
      <c r="A95" s="24">
        <v>37346</v>
      </c>
      <c r="B95" s="25">
        <v>0.6</v>
      </c>
      <c r="C95" s="25">
        <f t="shared" si="2"/>
        <v>1.006</v>
      </c>
      <c r="D95" s="26">
        <f>PRODUCT(C96:$C$290)</f>
        <v>2.7421870725152839</v>
      </c>
    </row>
    <row r="96" spans="1:4" x14ac:dyDescent="0.25">
      <c r="A96" s="24">
        <v>37376</v>
      </c>
      <c r="B96" s="25">
        <v>0.8</v>
      </c>
      <c r="C96" s="25">
        <f t="shared" si="2"/>
        <v>1.008</v>
      </c>
      <c r="D96" s="26">
        <f>PRODUCT(C97:$C$290)</f>
        <v>2.7204236830508766</v>
      </c>
    </row>
    <row r="97" spans="1:4" x14ac:dyDescent="0.25">
      <c r="A97" s="24">
        <v>37407</v>
      </c>
      <c r="B97" s="25">
        <v>0.21</v>
      </c>
      <c r="C97" s="25">
        <f t="shared" si="2"/>
        <v>1.0021</v>
      </c>
      <c r="D97" s="26">
        <f>PRODUCT(C98:$C$290)</f>
        <v>2.7147227652438626</v>
      </c>
    </row>
    <row r="98" spans="1:4" x14ac:dyDescent="0.25">
      <c r="A98" s="24">
        <v>37437</v>
      </c>
      <c r="B98" s="25">
        <v>0.42</v>
      </c>
      <c r="C98" s="25">
        <f t="shared" si="2"/>
        <v>1.0042</v>
      </c>
      <c r="D98" s="26">
        <f>PRODUCT(C99:$C$290)</f>
        <v>2.703368617052242</v>
      </c>
    </row>
    <row r="99" spans="1:4" x14ac:dyDescent="0.25">
      <c r="A99" s="24">
        <v>37468</v>
      </c>
      <c r="B99" s="25">
        <v>1.19</v>
      </c>
      <c r="C99" s="25">
        <f t="shared" si="2"/>
        <v>1.0119</v>
      </c>
      <c r="D99" s="26">
        <f>PRODUCT(C100:$C$290)</f>
        <v>2.6715768525074033</v>
      </c>
    </row>
    <row r="100" spans="1:4" x14ac:dyDescent="0.25">
      <c r="A100" s="24">
        <v>37499</v>
      </c>
      <c r="B100" s="25">
        <v>0.65</v>
      </c>
      <c r="C100" s="25">
        <f t="shared" si="2"/>
        <v>1.0065</v>
      </c>
      <c r="D100" s="26">
        <f>PRODUCT(C101:$C$290)</f>
        <v>2.6543237481444639</v>
      </c>
    </row>
    <row r="101" spans="1:4" x14ac:dyDescent="0.25">
      <c r="A101" s="24">
        <v>37529</v>
      </c>
      <c r="B101" s="25">
        <v>0.72</v>
      </c>
      <c r="C101" s="25">
        <f t="shared" si="2"/>
        <v>1.0072000000000001</v>
      </c>
      <c r="D101" s="26">
        <f>PRODUCT(C102:$C$290)</f>
        <v>2.6353492336621001</v>
      </c>
    </row>
    <row r="102" spans="1:4" x14ac:dyDescent="0.25">
      <c r="A102" s="24">
        <v>37560</v>
      </c>
      <c r="B102" s="25">
        <v>1.31</v>
      </c>
      <c r="C102" s="25">
        <f t="shared" si="2"/>
        <v>1.0131000000000001</v>
      </c>
      <c r="D102" s="26">
        <f>PRODUCT(C103:$C$290)</f>
        <v>2.6012725630856761</v>
      </c>
    </row>
    <row r="103" spans="1:4" x14ac:dyDescent="0.25">
      <c r="A103" s="24">
        <v>37590</v>
      </c>
      <c r="B103" s="25">
        <v>3.02</v>
      </c>
      <c r="C103" s="25">
        <f t="shared" si="2"/>
        <v>1.0302</v>
      </c>
      <c r="D103" s="26">
        <f>PRODUCT(C104:$C$290)</f>
        <v>2.5250170482291554</v>
      </c>
    </row>
    <row r="104" spans="1:4" x14ac:dyDescent="0.25">
      <c r="A104" s="24">
        <v>37621</v>
      </c>
      <c r="B104" s="25">
        <v>2.1</v>
      </c>
      <c r="C104" s="25">
        <f t="shared" si="2"/>
        <v>1.0209999999999999</v>
      </c>
      <c r="D104" s="26">
        <f>PRODUCT(C105:$C$290)</f>
        <v>2.4730823195192517</v>
      </c>
    </row>
    <row r="105" spans="1:4" x14ac:dyDescent="0.25">
      <c r="A105" s="24">
        <v>37652</v>
      </c>
      <c r="B105" s="25">
        <v>2.25</v>
      </c>
      <c r="C105" s="25">
        <f t="shared" si="2"/>
        <v>1.0225</v>
      </c>
      <c r="D105" s="26">
        <f>PRODUCT(C106:$C$290)</f>
        <v>2.4186624151777525</v>
      </c>
    </row>
    <row r="106" spans="1:4" x14ac:dyDescent="0.25">
      <c r="A106" s="24">
        <v>37680</v>
      </c>
      <c r="B106" s="25">
        <v>1.57</v>
      </c>
      <c r="C106" s="25">
        <f t="shared" si="2"/>
        <v>1.0157</v>
      </c>
      <c r="D106" s="26">
        <f>PRODUCT(C107:$C$290)</f>
        <v>2.3812763760734028</v>
      </c>
    </row>
    <row r="107" spans="1:4" x14ac:dyDescent="0.25">
      <c r="A107" s="24">
        <v>37711</v>
      </c>
      <c r="B107" s="25">
        <v>1.23</v>
      </c>
      <c r="C107" s="25">
        <f t="shared" si="2"/>
        <v>1.0123</v>
      </c>
      <c r="D107" s="26">
        <f>PRODUCT(C108:$C$290)</f>
        <v>2.3523425625539915</v>
      </c>
    </row>
    <row r="108" spans="1:4" x14ac:dyDescent="0.25">
      <c r="A108" s="24">
        <v>37741</v>
      </c>
      <c r="B108" s="25">
        <v>0.97</v>
      </c>
      <c r="C108" s="25">
        <f t="shared" si="2"/>
        <v>1.0097</v>
      </c>
      <c r="D108" s="26">
        <f>PRODUCT(C109:$C$290)</f>
        <v>2.3297440453144338</v>
      </c>
    </row>
    <row r="109" spans="1:4" x14ac:dyDescent="0.25">
      <c r="A109" s="24">
        <v>37772</v>
      </c>
      <c r="B109" s="25">
        <v>0.61</v>
      </c>
      <c r="C109" s="25">
        <f t="shared" si="2"/>
        <v>1.0061</v>
      </c>
      <c r="D109" s="26">
        <f>PRODUCT(C110:$C$290)</f>
        <v>2.3156187708124776</v>
      </c>
    </row>
    <row r="110" spans="1:4" x14ac:dyDescent="0.25">
      <c r="A110" s="24">
        <v>37802</v>
      </c>
      <c r="B110" s="25">
        <v>-0.15</v>
      </c>
      <c r="C110" s="25">
        <f t="shared" si="2"/>
        <v>0.99850000000000005</v>
      </c>
      <c r="D110" s="26">
        <f>PRODUCT(C111:$C$290)</f>
        <v>2.3190974169378875</v>
      </c>
    </row>
    <row r="111" spans="1:4" x14ac:dyDescent="0.25">
      <c r="A111" s="24">
        <v>37833</v>
      </c>
      <c r="B111" s="25">
        <v>0.2</v>
      </c>
      <c r="C111" s="25">
        <f t="shared" si="2"/>
        <v>1.002</v>
      </c>
      <c r="D111" s="26">
        <f>PRODUCT(C112:$C$290)</f>
        <v>2.3144684799779318</v>
      </c>
    </row>
    <row r="112" spans="1:4" x14ac:dyDescent="0.25">
      <c r="A112" s="24">
        <v>37864</v>
      </c>
      <c r="B112" s="25">
        <v>0.34</v>
      </c>
      <c r="C112" s="25">
        <f t="shared" si="2"/>
        <v>1.0034000000000001</v>
      </c>
      <c r="D112" s="26">
        <f>PRODUCT(C113:$C$290)</f>
        <v>2.3066259517420082</v>
      </c>
    </row>
    <row r="113" spans="1:4" x14ac:dyDescent="0.25">
      <c r="A113" s="24">
        <v>37894</v>
      </c>
      <c r="B113" s="25">
        <v>0.78</v>
      </c>
      <c r="C113" s="25">
        <f t="shared" si="2"/>
        <v>1.0078</v>
      </c>
      <c r="D113" s="26">
        <f>PRODUCT(C114:$C$290)</f>
        <v>2.2887735182992737</v>
      </c>
    </row>
    <row r="114" spans="1:4" x14ac:dyDescent="0.25">
      <c r="A114" s="24">
        <v>37925</v>
      </c>
      <c r="B114" s="25">
        <v>0.28999999999999998</v>
      </c>
      <c r="C114" s="25">
        <f t="shared" si="2"/>
        <v>1.0028999999999999</v>
      </c>
      <c r="D114" s="26">
        <f>PRODUCT(C115:$C$290)</f>
        <v>2.2821552680220072</v>
      </c>
    </row>
    <row r="115" spans="1:4" x14ac:dyDescent="0.25">
      <c r="A115" s="24">
        <v>37955</v>
      </c>
      <c r="B115" s="25">
        <v>0.34</v>
      </c>
      <c r="C115" s="25">
        <f t="shared" si="2"/>
        <v>1.0034000000000001</v>
      </c>
      <c r="D115" s="26">
        <f>PRODUCT(C116:$C$290)</f>
        <v>2.2744222324317409</v>
      </c>
    </row>
    <row r="116" spans="1:4" x14ac:dyDescent="0.25">
      <c r="A116" s="24">
        <v>37986</v>
      </c>
      <c r="B116" s="25">
        <v>0.52</v>
      </c>
      <c r="C116" s="25">
        <f t="shared" si="2"/>
        <v>1.0052000000000001</v>
      </c>
      <c r="D116" s="26">
        <f>PRODUCT(C117:$C$290)</f>
        <v>2.2626564190526652</v>
      </c>
    </row>
    <row r="117" spans="1:4" x14ac:dyDescent="0.25">
      <c r="A117" s="24">
        <v>38017</v>
      </c>
      <c r="B117" s="25">
        <v>0.76</v>
      </c>
      <c r="C117" s="25">
        <f t="shared" si="2"/>
        <v>1.0076000000000001</v>
      </c>
      <c r="D117" s="26">
        <f>PRODUCT(C118:$C$290)</f>
        <v>2.2455899355425442</v>
      </c>
    </row>
    <row r="118" spans="1:4" x14ac:dyDescent="0.25">
      <c r="A118" s="24">
        <v>38046</v>
      </c>
      <c r="B118" s="25">
        <v>0.61</v>
      </c>
      <c r="C118" s="25">
        <f t="shared" si="2"/>
        <v>1.0061</v>
      </c>
      <c r="D118" s="26">
        <f>PRODUCT(C119:$C$290)</f>
        <v>2.2319748887213455</v>
      </c>
    </row>
    <row r="119" spans="1:4" x14ac:dyDescent="0.25">
      <c r="A119" s="24">
        <v>38077</v>
      </c>
      <c r="B119" s="25">
        <v>0.47</v>
      </c>
      <c r="C119" s="25">
        <f t="shared" si="2"/>
        <v>1.0046999999999999</v>
      </c>
      <c r="D119" s="26">
        <f>PRODUCT(C120:$C$290)</f>
        <v>2.2215336804233523</v>
      </c>
    </row>
    <row r="120" spans="1:4" x14ac:dyDescent="0.25">
      <c r="A120" s="24">
        <v>38107</v>
      </c>
      <c r="B120" s="25">
        <v>0.37</v>
      </c>
      <c r="C120" s="25">
        <f t="shared" si="2"/>
        <v>1.0037</v>
      </c>
      <c r="D120" s="26">
        <f>PRODUCT(C121:$C$290)</f>
        <v>2.213344306489343</v>
      </c>
    </row>
    <row r="121" spans="1:4" x14ac:dyDescent="0.25">
      <c r="A121" s="24">
        <v>38138</v>
      </c>
      <c r="B121" s="25">
        <v>0.51</v>
      </c>
      <c r="C121" s="25">
        <f t="shared" si="2"/>
        <v>1.0051000000000001</v>
      </c>
      <c r="D121" s="26">
        <f>PRODUCT(C122:$C$290)</f>
        <v>2.2021135274990979</v>
      </c>
    </row>
    <row r="122" spans="1:4" x14ac:dyDescent="0.25">
      <c r="A122" s="24">
        <v>38168</v>
      </c>
      <c r="B122" s="25">
        <v>0.71</v>
      </c>
      <c r="C122" s="25">
        <f t="shared" si="2"/>
        <v>1.0071000000000001</v>
      </c>
      <c r="D122" s="26">
        <f>PRODUCT(C123:$C$290)</f>
        <v>2.1865887473926091</v>
      </c>
    </row>
    <row r="123" spans="1:4" x14ac:dyDescent="0.25">
      <c r="A123" s="24">
        <v>38199</v>
      </c>
      <c r="B123" s="25">
        <v>0.91</v>
      </c>
      <c r="C123" s="25">
        <f t="shared" si="2"/>
        <v>1.0091000000000001</v>
      </c>
      <c r="D123" s="26">
        <f>PRODUCT(C124:$C$290)</f>
        <v>2.1668702283149432</v>
      </c>
    </row>
    <row r="124" spans="1:4" x14ac:dyDescent="0.25">
      <c r="A124" s="24">
        <v>38230</v>
      </c>
      <c r="B124" s="25">
        <v>0.69</v>
      </c>
      <c r="C124" s="25">
        <f t="shared" si="2"/>
        <v>1.0068999999999999</v>
      </c>
      <c r="D124" s="26">
        <f>PRODUCT(C125:$C$290)</f>
        <v>2.1520212814727819</v>
      </c>
    </row>
    <row r="125" spans="1:4" x14ac:dyDescent="0.25">
      <c r="A125" s="24">
        <v>38260</v>
      </c>
      <c r="B125" s="25">
        <v>0.33</v>
      </c>
      <c r="C125" s="25">
        <f t="shared" si="2"/>
        <v>1.0033000000000001</v>
      </c>
      <c r="D125" s="26">
        <f>PRODUCT(C126:$C$290)</f>
        <v>2.1449429696728619</v>
      </c>
    </row>
    <row r="126" spans="1:4" x14ac:dyDescent="0.25">
      <c r="A126" s="24">
        <v>38291</v>
      </c>
      <c r="B126" s="25">
        <v>0.44</v>
      </c>
      <c r="C126" s="25">
        <f t="shared" si="2"/>
        <v>1.0044</v>
      </c>
      <c r="D126" s="26">
        <f>PRODUCT(C127:$C$290)</f>
        <v>2.1355465647877963</v>
      </c>
    </row>
    <row r="127" spans="1:4" x14ac:dyDescent="0.25">
      <c r="A127" s="24">
        <v>38321</v>
      </c>
      <c r="B127" s="25">
        <v>0.69</v>
      </c>
      <c r="C127" s="25">
        <f t="shared" si="2"/>
        <v>1.0068999999999999</v>
      </c>
      <c r="D127" s="26">
        <f>PRODUCT(C128:$C$290)</f>
        <v>2.1209122701239398</v>
      </c>
    </row>
    <row r="128" spans="1:4" x14ac:dyDescent="0.25">
      <c r="A128" s="24">
        <v>38352</v>
      </c>
      <c r="B128" s="25">
        <v>0.86</v>
      </c>
      <c r="C128" s="25">
        <f t="shared" si="2"/>
        <v>1.0085999999999999</v>
      </c>
      <c r="D128" s="26">
        <f>PRODUCT(C129:$C$290)</f>
        <v>2.1028279497560396</v>
      </c>
    </row>
    <row r="129" spans="1:4" x14ac:dyDescent="0.25">
      <c r="A129" s="24">
        <v>38383</v>
      </c>
      <c r="B129" s="25">
        <v>0.57999999999999996</v>
      </c>
      <c r="C129" s="25">
        <f t="shared" si="2"/>
        <v>1.0058</v>
      </c>
      <c r="D129" s="26">
        <f>PRODUCT(C130:$C$290)</f>
        <v>2.0907018788586553</v>
      </c>
    </row>
    <row r="130" spans="1:4" x14ac:dyDescent="0.25">
      <c r="A130" s="24">
        <v>38411</v>
      </c>
      <c r="B130" s="25">
        <v>0.59</v>
      </c>
      <c r="C130" s="25">
        <f t="shared" si="2"/>
        <v>1.0059</v>
      </c>
      <c r="D130" s="26">
        <f>PRODUCT(C131:$C$290)</f>
        <v>2.0784390882380559</v>
      </c>
    </row>
    <row r="131" spans="1:4" x14ac:dyDescent="0.25">
      <c r="A131" s="24">
        <v>38442</v>
      </c>
      <c r="B131" s="25">
        <v>0.61</v>
      </c>
      <c r="C131" s="25">
        <f t="shared" si="2"/>
        <v>1.0061</v>
      </c>
      <c r="D131" s="26">
        <f>PRODUCT(C132:$C$290)</f>
        <v>2.0658374796124193</v>
      </c>
    </row>
    <row r="132" spans="1:4" x14ac:dyDescent="0.25">
      <c r="A132" s="24">
        <v>38472</v>
      </c>
      <c r="B132" s="25">
        <v>0.87</v>
      </c>
      <c r="C132" s="25">
        <f t="shared" si="2"/>
        <v>1.0086999999999999</v>
      </c>
      <c r="D132" s="26">
        <f>PRODUCT(C133:$C$290)</f>
        <v>2.0480197081514984</v>
      </c>
    </row>
    <row r="133" spans="1:4" x14ac:dyDescent="0.25">
      <c r="A133" s="24">
        <v>38503</v>
      </c>
      <c r="B133" s="25">
        <v>0.49</v>
      </c>
      <c r="C133" s="25">
        <f t="shared" si="2"/>
        <v>1.0048999999999999</v>
      </c>
      <c r="D133" s="26">
        <f>PRODUCT(C134:$C$290)</f>
        <v>2.0380333447621632</v>
      </c>
    </row>
    <row r="134" spans="1:4" x14ac:dyDescent="0.25">
      <c r="A134" s="24">
        <v>38533</v>
      </c>
      <c r="B134" s="25">
        <v>-0.02</v>
      </c>
      <c r="C134" s="25">
        <f t="shared" si="2"/>
        <v>0.99980000000000002</v>
      </c>
      <c r="D134" s="26">
        <f>PRODUCT(C135:$C$290)</f>
        <v>2.0384410329687594</v>
      </c>
    </row>
    <row r="135" spans="1:4" x14ac:dyDescent="0.25">
      <c r="A135" s="24">
        <v>38564</v>
      </c>
      <c r="B135" s="25">
        <v>0.25</v>
      </c>
      <c r="C135" s="25">
        <f t="shared" si="2"/>
        <v>1.0024999999999999</v>
      </c>
      <c r="D135" s="26">
        <f>PRODUCT(C136:$C$290)</f>
        <v>2.0333576388715819</v>
      </c>
    </row>
    <row r="136" spans="1:4" x14ac:dyDescent="0.25">
      <c r="A136" s="24">
        <v>38595</v>
      </c>
      <c r="B136" s="25">
        <v>0.17</v>
      </c>
      <c r="C136" s="25">
        <f t="shared" si="2"/>
        <v>1.0017</v>
      </c>
      <c r="D136" s="26">
        <f>PRODUCT(C137:$C$290)</f>
        <v>2.0299067973161411</v>
      </c>
    </row>
    <row r="137" spans="1:4" x14ac:dyDescent="0.25">
      <c r="A137" s="24">
        <v>38625</v>
      </c>
      <c r="B137" s="25">
        <v>0.35</v>
      </c>
      <c r="C137" s="25">
        <f t="shared" si="2"/>
        <v>1.0035000000000001</v>
      </c>
      <c r="D137" s="26">
        <f>PRODUCT(C138:$C$290)</f>
        <v>2.0228269031551007</v>
      </c>
    </row>
    <row r="138" spans="1:4" x14ac:dyDescent="0.25">
      <c r="A138" s="24">
        <v>38656</v>
      </c>
      <c r="B138" s="25">
        <v>0.75</v>
      </c>
      <c r="C138" s="25">
        <f t="shared" si="2"/>
        <v>1.0075000000000001</v>
      </c>
      <c r="D138" s="26">
        <f>PRODUCT(C139:$C$290)</f>
        <v>2.0077686383673443</v>
      </c>
    </row>
    <row r="139" spans="1:4" x14ac:dyDescent="0.25">
      <c r="A139" s="24">
        <v>38686</v>
      </c>
      <c r="B139" s="25">
        <v>0.55000000000000004</v>
      </c>
      <c r="C139" s="25">
        <f t="shared" si="2"/>
        <v>1.0055000000000001</v>
      </c>
      <c r="D139" s="26">
        <f>PRODUCT(C140:$C$290)</f>
        <v>1.9967863136423116</v>
      </c>
    </row>
    <row r="140" spans="1:4" x14ac:dyDescent="0.25">
      <c r="A140" s="24">
        <v>38717</v>
      </c>
      <c r="B140" s="25">
        <v>0.36</v>
      </c>
      <c r="C140" s="25">
        <f t="shared" si="2"/>
        <v>1.0036</v>
      </c>
      <c r="D140" s="26">
        <f>PRODUCT(C141:$C$290)</f>
        <v>1.9896236684359427</v>
      </c>
    </row>
    <row r="141" spans="1:4" x14ac:dyDescent="0.25">
      <c r="A141" s="24">
        <v>38748</v>
      </c>
      <c r="B141" s="25">
        <v>0.59</v>
      </c>
      <c r="C141" s="25">
        <f t="shared" si="2"/>
        <v>1.0059</v>
      </c>
      <c r="D141" s="26">
        <f>PRODUCT(C142:$C$290)</f>
        <v>1.9779537413619053</v>
      </c>
    </row>
    <row r="142" spans="1:4" x14ac:dyDescent="0.25">
      <c r="A142" s="24">
        <v>38776</v>
      </c>
      <c r="B142" s="25">
        <v>0.41</v>
      </c>
      <c r="C142" s="25">
        <f t="shared" si="2"/>
        <v>1.0041</v>
      </c>
      <c r="D142" s="26">
        <f>PRODUCT(C143:$C$290)</f>
        <v>1.9698772446588044</v>
      </c>
    </row>
    <row r="143" spans="1:4" x14ac:dyDescent="0.25">
      <c r="A143" s="24">
        <v>38807</v>
      </c>
      <c r="B143" s="25">
        <v>0.43</v>
      </c>
      <c r="C143" s="25">
        <f t="shared" si="2"/>
        <v>1.0043</v>
      </c>
      <c r="D143" s="26">
        <f>PRODUCT(C144:$C$290)</f>
        <v>1.9614430395885749</v>
      </c>
    </row>
    <row r="144" spans="1:4" x14ac:dyDescent="0.25">
      <c r="A144" s="24">
        <v>38837</v>
      </c>
      <c r="B144" s="25">
        <v>0.21</v>
      </c>
      <c r="C144" s="25">
        <f t="shared" si="2"/>
        <v>1.0021</v>
      </c>
      <c r="D144" s="26">
        <f>PRODUCT(C145:$C$290)</f>
        <v>1.9573326410423864</v>
      </c>
    </row>
    <row r="145" spans="1:4" x14ac:dyDescent="0.25">
      <c r="A145" s="24">
        <v>38868</v>
      </c>
      <c r="B145" s="25">
        <v>0.1</v>
      </c>
      <c r="C145" s="25">
        <f t="shared" si="2"/>
        <v>1.0009999999999999</v>
      </c>
      <c r="D145" s="26">
        <f>PRODUCT(C146:$C$290)</f>
        <v>1.9553772637786062</v>
      </c>
    </row>
    <row r="146" spans="1:4" x14ac:dyDescent="0.25">
      <c r="A146" s="24">
        <v>38898</v>
      </c>
      <c r="B146" s="25">
        <v>-0.21</v>
      </c>
      <c r="C146" s="25">
        <f t="shared" si="2"/>
        <v>0.99790000000000001</v>
      </c>
      <c r="D146" s="26">
        <f>PRODUCT(C147:$C$290)</f>
        <v>1.9594921973931361</v>
      </c>
    </row>
    <row r="147" spans="1:4" x14ac:dyDescent="0.25">
      <c r="A147" s="24">
        <v>38929</v>
      </c>
      <c r="B147" s="25">
        <v>0.19</v>
      </c>
      <c r="C147" s="25">
        <f t="shared" si="2"/>
        <v>1.0019</v>
      </c>
      <c r="D147" s="26">
        <f>PRODUCT(C148:$C$290)</f>
        <v>1.9557762225702517</v>
      </c>
    </row>
    <row r="148" spans="1:4" x14ac:dyDescent="0.25">
      <c r="A148" s="24">
        <v>38960</v>
      </c>
      <c r="B148" s="25">
        <v>0.05</v>
      </c>
      <c r="C148" s="25">
        <f t="shared" si="2"/>
        <v>1.0004999999999999</v>
      </c>
      <c r="D148" s="26">
        <f>PRODUCT(C149:$C$290)</f>
        <v>1.9547988231586706</v>
      </c>
    </row>
    <row r="149" spans="1:4" x14ac:dyDescent="0.25">
      <c r="A149" s="24">
        <v>38990</v>
      </c>
      <c r="B149" s="25">
        <v>0.21</v>
      </c>
      <c r="C149" s="25">
        <f t="shared" si="2"/>
        <v>1.0021</v>
      </c>
      <c r="D149" s="26">
        <f>PRODUCT(C150:$C$290)</f>
        <v>1.9507023482273949</v>
      </c>
    </row>
    <row r="150" spans="1:4" x14ac:dyDescent="0.25">
      <c r="A150" s="24">
        <v>39021</v>
      </c>
      <c r="B150" s="25">
        <v>0.33</v>
      </c>
      <c r="C150" s="25">
        <f t="shared" ref="C150:C213" si="3">1+B150/100</f>
        <v>1.0033000000000001</v>
      </c>
      <c r="D150" s="26">
        <f>PRODUCT(C151:$C$290)</f>
        <v>1.9442862037549993</v>
      </c>
    </row>
    <row r="151" spans="1:4" x14ac:dyDescent="0.25">
      <c r="A151" s="24">
        <v>39051</v>
      </c>
      <c r="B151" s="25">
        <v>0.31</v>
      </c>
      <c r="C151" s="25">
        <f t="shared" si="3"/>
        <v>1.0031000000000001</v>
      </c>
      <c r="D151" s="26">
        <f>PRODUCT(C152:$C$290)</f>
        <v>1.9382775433705517</v>
      </c>
    </row>
    <row r="152" spans="1:4" x14ac:dyDescent="0.25">
      <c r="A152" s="24">
        <v>39082</v>
      </c>
      <c r="B152" s="25">
        <v>0.48</v>
      </c>
      <c r="C152" s="25">
        <f t="shared" si="3"/>
        <v>1.0047999999999999</v>
      </c>
      <c r="D152" s="26">
        <f>PRODUCT(C153:$C$290)</f>
        <v>1.9290182557429849</v>
      </c>
    </row>
    <row r="153" spans="1:4" x14ac:dyDescent="0.25">
      <c r="A153" s="24">
        <v>39113</v>
      </c>
      <c r="B153" s="25">
        <v>0.44</v>
      </c>
      <c r="C153" s="25">
        <f t="shared" si="3"/>
        <v>1.0044</v>
      </c>
      <c r="D153" s="26">
        <f>PRODUCT(C154:$C$290)</f>
        <v>1.920567757609505</v>
      </c>
    </row>
    <row r="154" spans="1:4" x14ac:dyDescent="0.25">
      <c r="A154" s="24">
        <v>39141</v>
      </c>
      <c r="B154" s="25">
        <v>0.44</v>
      </c>
      <c r="C154" s="25">
        <f t="shared" si="3"/>
        <v>1.0044</v>
      </c>
      <c r="D154" s="26">
        <f>PRODUCT(C155:$C$290)</f>
        <v>1.9121542787828603</v>
      </c>
    </row>
    <row r="155" spans="1:4" x14ac:dyDescent="0.25">
      <c r="A155" s="24">
        <v>39172</v>
      </c>
      <c r="B155" s="25">
        <v>0.37</v>
      </c>
      <c r="C155" s="25">
        <f t="shared" si="3"/>
        <v>1.0037</v>
      </c>
      <c r="D155" s="26">
        <f>PRODUCT(C156:$C$290)</f>
        <v>1.905105388844136</v>
      </c>
    </row>
    <row r="156" spans="1:4" x14ac:dyDescent="0.25">
      <c r="A156" s="24">
        <v>39202</v>
      </c>
      <c r="B156" s="25">
        <v>0.25</v>
      </c>
      <c r="C156" s="25">
        <f t="shared" si="3"/>
        <v>1.0024999999999999</v>
      </c>
      <c r="D156" s="26">
        <f>PRODUCT(C157:$C$290)</f>
        <v>1.9003545025876678</v>
      </c>
    </row>
    <row r="157" spans="1:4" x14ac:dyDescent="0.25">
      <c r="A157" s="24">
        <v>39233</v>
      </c>
      <c r="B157" s="25">
        <v>0.28000000000000003</v>
      </c>
      <c r="C157" s="25">
        <f t="shared" si="3"/>
        <v>1.0027999999999999</v>
      </c>
      <c r="D157" s="26">
        <f>PRODUCT(C158:$C$290)</f>
        <v>1.8950483671596221</v>
      </c>
    </row>
    <row r="158" spans="1:4" x14ac:dyDescent="0.25">
      <c r="A158" s="24">
        <v>39263</v>
      </c>
      <c r="B158" s="25">
        <v>0.28000000000000003</v>
      </c>
      <c r="C158" s="25">
        <f t="shared" si="3"/>
        <v>1.0027999999999999</v>
      </c>
      <c r="D158" s="26">
        <f>PRODUCT(C159:$C$290)</f>
        <v>1.8897570474268264</v>
      </c>
    </row>
    <row r="159" spans="1:4" x14ac:dyDescent="0.25">
      <c r="A159" s="24">
        <v>39294</v>
      </c>
      <c r="B159" s="25">
        <v>0.24</v>
      </c>
      <c r="C159" s="25">
        <f t="shared" si="3"/>
        <v>1.0024</v>
      </c>
      <c r="D159" s="26">
        <f>PRODUCT(C160:$C$290)</f>
        <v>1.8852324894521424</v>
      </c>
    </row>
    <row r="160" spans="1:4" x14ac:dyDescent="0.25">
      <c r="A160" s="24">
        <v>39325</v>
      </c>
      <c r="B160" s="25">
        <v>0.47</v>
      </c>
      <c r="C160" s="25">
        <f t="shared" si="3"/>
        <v>1.0046999999999999</v>
      </c>
      <c r="D160" s="26">
        <f>PRODUCT(C161:$C$290)</f>
        <v>1.8764133467225448</v>
      </c>
    </row>
    <row r="161" spans="1:4" x14ac:dyDescent="0.25">
      <c r="A161" s="24">
        <v>39355</v>
      </c>
      <c r="B161" s="25">
        <v>0.18</v>
      </c>
      <c r="C161" s="25">
        <f t="shared" si="3"/>
        <v>1.0018</v>
      </c>
      <c r="D161" s="26">
        <f>PRODUCT(C162:$C$290)</f>
        <v>1.8730418713541077</v>
      </c>
    </row>
    <row r="162" spans="1:4" x14ac:dyDescent="0.25">
      <c r="A162" s="24">
        <v>39386</v>
      </c>
      <c r="B162" s="25">
        <v>0.3</v>
      </c>
      <c r="C162" s="25">
        <f t="shared" si="3"/>
        <v>1.0029999999999999</v>
      </c>
      <c r="D162" s="26">
        <f>PRODUCT(C163:$C$290)</f>
        <v>1.8674395526960195</v>
      </c>
    </row>
    <row r="163" spans="1:4" x14ac:dyDescent="0.25">
      <c r="A163" s="24">
        <v>39416</v>
      </c>
      <c r="B163" s="25">
        <v>0.38</v>
      </c>
      <c r="C163" s="25">
        <f t="shared" si="3"/>
        <v>1.0038</v>
      </c>
      <c r="D163" s="26">
        <f>PRODUCT(C164:$C$290)</f>
        <v>1.8603701461406856</v>
      </c>
    </row>
    <row r="164" spans="1:4" x14ac:dyDescent="0.25">
      <c r="A164" s="24">
        <v>39447</v>
      </c>
      <c r="B164" s="25">
        <v>0.74</v>
      </c>
      <c r="C164" s="25">
        <f t="shared" si="3"/>
        <v>1.0074000000000001</v>
      </c>
      <c r="D164" s="26">
        <f>PRODUCT(C165:$C$290)</f>
        <v>1.8467045325994473</v>
      </c>
    </row>
    <row r="165" spans="1:4" x14ac:dyDescent="0.25">
      <c r="A165" s="24">
        <v>39478</v>
      </c>
      <c r="B165" s="25">
        <v>0.54</v>
      </c>
      <c r="C165" s="25">
        <f t="shared" si="3"/>
        <v>1.0054000000000001</v>
      </c>
      <c r="D165" s="26">
        <f>PRODUCT(C166:$C$290)</f>
        <v>1.8367858887999311</v>
      </c>
    </row>
    <row r="166" spans="1:4" x14ac:dyDescent="0.25">
      <c r="A166" s="24">
        <v>39507</v>
      </c>
      <c r="B166" s="25">
        <v>0.49</v>
      </c>
      <c r="C166" s="25">
        <f t="shared" si="3"/>
        <v>1.0048999999999999</v>
      </c>
      <c r="D166" s="26">
        <f>PRODUCT(C167:$C$290)</f>
        <v>1.8278295241316824</v>
      </c>
    </row>
    <row r="167" spans="1:4" x14ac:dyDescent="0.25">
      <c r="A167" s="24">
        <v>39538</v>
      </c>
      <c r="B167" s="25">
        <v>0.48</v>
      </c>
      <c r="C167" s="25">
        <f t="shared" si="3"/>
        <v>1.0047999999999999</v>
      </c>
      <c r="D167" s="26">
        <f>PRODUCT(C168:$C$290)</f>
        <v>1.8190978544304168</v>
      </c>
    </row>
    <row r="168" spans="1:4" x14ac:dyDescent="0.25">
      <c r="A168" s="24">
        <v>39568</v>
      </c>
      <c r="B168" s="25">
        <v>0.55000000000000004</v>
      </c>
      <c r="C168" s="25">
        <f t="shared" si="3"/>
        <v>1.0055000000000001</v>
      </c>
      <c r="D168" s="26">
        <f>PRODUCT(C169:$C$290)</f>
        <v>1.8091475429442265</v>
      </c>
    </row>
    <row r="169" spans="1:4" x14ac:dyDescent="0.25">
      <c r="A169" s="24">
        <v>39599</v>
      </c>
      <c r="B169" s="25">
        <v>0.79</v>
      </c>
      <c r="C169" s="25">
        <f t="shared" si="3"/>
        <v>1.0079</v>
      </c>
      <c r="D169" s="26">
        <f>PRODUCT(C170:$C$290)</f>
        <v>1.794967301264238</v>
      </c>
    </row>
    <row r="170" spans="1:4" x14ac:dyDescent="0.25">
      <c r="A170" s="24">
        <v>39629</v>
      </c>
      <c r="B170" s="25">
        <v>0.74</v>
      </c>
      <c r="C170" s="25">
        <f t="shared" si="3"/>
        <v>1.0074000000000001</v>
      </c>
      <c r="D170" s="26">
        <f>PRODUCT(C171:$C$290)</f>
        <v>1.7817821136234238</v>
      </c>
    </row>
    <row r="171" spans="1:4" x14ac:dyDescent="0.25">
      <c r="A171" s="24">
        <v>39660</v>
      </c>
      <c r="B171" s="25">
        <v>0.53</v>
      </c>
      <c r="C171" s="25">
        <f t="shared" si="3"/>
        <v>1.0053000000000001</v>
      </c>
      <c r="D171" s="26">
        <f>PRODUCT(C172:$C$290)</f>
        <v>1.7723884548129152</v>
      </c>
    </row>
    <row r="172" spans="1:4" x14ac:dyDescent="0.25">
      <c r="A172" s="24">
        <v>39691</v>
      </c>
      <c r="B172" s="25">
        <v>0.28000000000000003</v>
      </c>
      <c r="C172" s="25">
        <f t="shared" si="3"/>
        <v>1.0027999999999999</v>
      </c>
      <c r="D172" s="26">
        <f>PRODUCT(C173:$C$290)</f>
        <v>1.7674396238660903</v>
      </c>
    </row>
    <row r="173" spans="1:4" x14ac:dyDescent="0.25">
      <c r="A173" s="24">
        <v>39721</v>
      </c>
      <c r="B173" s="25">
        <v>0.26</v>
      </c>
      <c r="C173" s="25">
        <f t="shared" si="3"/>
        <v>1.0025999999999999</v>
      </c>
      <c r="D173" s="26">
        <f>PRODUCT(C174:$C$290)</f>
        <v>1.762856197751935</v>
      </c>
    </row>
    <row r="174" spans="1:4" x14ac:dyDescent="0.25">
      <c r="A174" s="24">
        <v>39752</v>
      </c>
      <c r="B174" s="25">
        <v>0.45</v>
      </c>
      <c r="C174" s="25">
        <f t="shared" si="3"/>
        <v>1.0044999999999999</v>
      </c>
      <c r="D174" s="26">
        <f>PRODUCT(C175:$C$290)</f>
        <v>1.7549588827794294</v>
      </c>
    </row>
    <row r="175" spans="1:4" x14ac:dyDescent="0.25">
      <c r="A175" s="24">
        <v>39782</v>
      </c>
      <c r="B175" s="25">
        <v>0.36</v>
      </c>
      <c r="C175" s="25">
        <f t="shared" si="3"/>
        <v>1.0036</v>
      </c>
      <c r="D175" s="26">
        <f>PRODUCT(C176:$C$290)</f>
        <v>1.7486636934828896</v>
      </c>
    </row>
    <row r="176" spans="1:4" x14ac:dyDescent="0.25">
      <c r="A176" s="24">
        <v>39813</v>
      </c>
      <c r="B176" s="25">
        <v>0.28000000000000003</v>
      </c>
      <c r="C176" s="25">
        <f t="shared" si="3"/>
        <v>1.0027999999999999</v>
      </c>
      <c r="D176" s="26">
        <f>PRODUCT(C177:$C$290)</f>
        <v>1.7437811063850097</v>
      </c>
    </row>
    <row r="177" spans="1:4" x14ac:dyDescent="0.25">
      <c r="A177" s="24">
        <v>39844</v>
      </c>
      <c r="B177" s="25">
        <v>0.48</v>
      </c>
      <c r="C177" s="25">
        <f t="shared" si="3"/>
        <v>1.0047999999999999</v>
      </c>
      <c r="D177" s="26">
        <f>PRODUCT(C178:$C$290)</f>
        <v>1.7354509418640642</v>
      </c>
    </row>
    <row r="178" spans="1:4" x14ac:dyDescent="0.25">
      <c r="A178" s="24">
        <v>39872</v>
      </c>
      <c r="B178" s="25">
        <v>0.55000000000000004</v>
      </c>
      <c r="C178" s="25">
        <f t="shared" si="3"/>
        <v>1.0055000000000001</v>
      </c>
      <c r="D178" s="26">
        <f>PRODUCT(C179:$C$290)</f>
        <v>1.7259581719185135</v>
      </c>
    </row>
    <row r="179" spans="1:4" x14ac:dyDescent="0.25">
      <c r="A179" s="24">
        <v>39903</v>
      </c>
      <c r="B179" s="25">
        <v>0.2</v>
      </c>
      <c r="C179" s="25">
        <f t="shared" si="3"/>
        <v>1.002</v>
      </c>
      <c r="D179" s="26">
        <f>PRODUCT(C180:$C$290)</f>
        <v>1.722513145627258</v>
      </c>
    </row>
    <row r="180" spans="1:4" x14ac:dyDescent="0.25">
      <c r="A180" s="24">
        <v>39933</v>
      </c>
      <c r="B180" s="25">
        <v>0.48</v>
      </c>
      <c r="C180" s="25">
        <f t="shared" si="3"/>
        <v>1.0047999999999999</v>
      </c>
      <c r="D180" s="26">
        <f>PRODUCT(C181:$C$290)</f>
        <v>1.7142845796449613</v>
      </c>
    </row>
    <row r="181" spans="1:4" x14ac:dyDescent="0.25">
      <c r="A181" s="24">
        <v>39964</v>
      </c>
      <c r="B181" s="25">
        <v>0.47</v>
      </c>
      <c r="C181" s="25">
        <f t="shared" si="3"/>
        <v>1.0046999999999999</v>
      </c>
      <c r="D181" s="26">
        <f>PRODUCT(C182:$C$290)</f>
        <v>1.7062651335174308</v>
      </c>
    </row>
    <row r="182" spans="1:4" x14ac:dyDescent="0.25">
      <c r="A182" s="24">
        <v>39994</v>
      </c>
      <c r="B182" s="25">
        <v>0.36</v>
      </c>
      <c r="C182" s="25">
        <f t="shared" si="3"/>
        <v>1.0036</v>
      </c>
      <c r="D182" s="26">
        <f>PRODUCT(C183:$C$290)</f>
        <v>1.7001446129109516</v>
      </c>
    </row>
    <row r="183" spans="1:4" x14ac:dyDescent="0.25">
      <c r="A183" s="24">
        <v>40025</v>
      </c>
      <c r="B183" s="25">
        <v>0.24</v>
      </c>
      <c r="C183" s="25">
        <f t="shared" si="3"/>
        <v>1.0024</v>
      </c>
      <c r="D183" s="26">
        <f>PRODUCT(C184:$C$290)</f>
        <v>1.6960740352264074</v>
      </c>
    </row>
    <row r="184" spans="1:4" x14ac:dyDescent="0.25">
      <c r="A184" s="24">
        <v>40056</v>
      </c>
      <c r="B184" s="25">
        <v>0.15</v>
      </c>
      <c r="C184" s="25">
        <f t="shared" si="3"/>
        <v>1.0015000000000001</v>
      </c>
      <c r="D184" s="26">
        <f>PRODUCT(C185:$C$290)</f>
        <v>1.6935337346244708</v>
      </c>
    </row>
    <row r="185" spans="1:4" x14ac:dyDescent="0.25">
      <c r="A185" s="24">
        <v>40086</v>
      </c>
      <c r="B185" s="25">
        <v>0.24</v>
      </c>
      <c r="C185" s="25">
        <f t="shared" si="3"/>
        <v>1.0024</v>
      </c>
      <c r="D185" s="26">
        <f>PRODUCT(C186:$C$290)</f>
        <v>1.6894789850603253</v>
      </c>
    </row>
    <row r="186" spans="1:4" x14ac:dyDescent="0.25">
      <c r="A186" s="24">
        <v>40117</v>
      </c>
      <c r="B186" s="25">
        <v>0.28000000000000003</v>
      </c>
      <c r="C186" s="25">
        <f t="shared" si="3"/>
        <v>1.0027999999999999</v>
      </c>
      <c r="D186" s="26">
        <f>PRODUCT(C187:$C$290)</f>
        <v>1.6847616524335123</v>
      </c>
    </row>
    <row r="187" spans="1:4" x14ac:dyDescent="0.25">
      <c r="A187" s="24">
        <v>40147</v>
      </c>
      <c r="B187" s="25">
        <v>0.41</v>
      </c>
      <c r="C187" s="25">
        <f t="shared" si="3"/>
        <v>1.0041</v>
      </c>
      <c r="D187" s="26">
        <f>PRODUCT(C188:$C$290)</f>
        <v>1.6778823348605847</v>
      </c>
    </row>
    <row r="188" spans="1:4" x14ac:dyDescent="0.25">
      <c r="A188" s="24">
        <v>40178</v>
      </c>
      <c r="B188" s="25">
        <v>0.37</v>
      </c>
      <c r="C188" s="25">
        <f t="shared" si="3"/>
        <v>1.0037</v>
      </c>
      <c r="D188" s="26">
        <f>PRODUCT(C189:$C$290)</f>
        <v>1.6716970557542936</v>
      </c>
    </row>
    <row r="189" spans="1:4" x14ac:dyDescent="0.25">
      <c r="A189" s="24">
        <v>40209</v>
      </c>
      <c r="B189" s="25">
        <v>0.75</v>
      </c>
      <c r="C189" s="25">
        <f t="shared" si="3"/>
        <v>1.0075000000000001</v>
      </c>
      <c r="D189" s="26">
        <f>PRODUCT(C190:$C$290)</f>
        <v>1.6592526607983051</v>
      </c>
    </row>
    <row r="190" spans="1:4" x14ac:dyDescent="0.25">
      <c r="A190" s="24">
        <v>40237</v>
      </c>
      <c r="B190" s="25">
        <v>0.78</v>
      </c>
      <c r="C190" s="25">
        <f t="shared" si="3"/>
        <v>1.0078</v>
      </c>
      <c r="D190" s="26">
        <f>PRODUCT(C191:$C$290)</f>
        <v>1.6464106576684905</v>
      </c>
    </row>
    <row r="191" spans="1:4" x14ac:dyDescent="0.25">
      <c r="A191" s="24">
        <v>40268</v>
      </c>
      <c r="B191" s="25">
        <v>0.52</v>
      </c>
      <c r="C191" s="25">
        <f t="shared" si="3"/>
        <v>1.0052000000000001</v>
      </c>
      <c r="D191" s="26">
        <f>PRODUCT(C192:$C$290)</f>
        <v>1.6378936108918529</v>
      </c>
    </row>
    <row r="192" spans="1:4" x14ac:dyDescent="0.25">
      <c r="A192" s="24">
        <v>40298</v>
      </c>
      <c r="B192" s="25">
        <v>0.56999999999999995</v>
      </c>
      <c r="C192" s="25">
        <f t="shared" si="3"/>
        <v>1.0057</v>
      </c>
      <c r="D192" s="26">
        <f>PRODUCT(C193:$C$290)</f>
        <v>1.6286105308659189</v>
      </c>
    </row>
    <row r="193" spans="1:4" x14ac:dyDescent="0.25">
      <c r="A193" s="24">
        <v>40329</v>
      </c>
      <c r="B193" s="25">
        <v>0.43</v>
      </c>
      <c r="C193" s="25">
        <f t="shared" si="3"/>
        <v>1.0043</v>
      </c>
      <c r="D193" s="26">
        <f>PRODUCT(C194:$C$290)</f>
        <v>1.6216374896603807</v>
      </c>
    </row>
    <row r="194" spans="1:4" x14ac:dyDescent="0.25">
      <c r="A194" s="24">
        <v>40359</v>
      </c>
      <c r="B194" s="25">
        <v>0</v>
      </c>
      <c r="C194" s="25">
        <f t="shared" si="3"/>
        <v>1</v>
      </c>
      <c r="D194" s="26">
        <f>PRODUCT(C195:$C$290)</f>
        <v>1.6216374896603807</v>
      </c>
    </row>
    <row r="195" spans="1:4" x14ac:dyDescent="0.25">
      <c r="A195" s="24">
        <v>40390</v>
      </c>
      <c r="B195" s="25">
        <v>0.01</v>
      </c>
      <c r="C195" s="25">
        <f t="shared" si="3"/>
        <v>1.0001</v>
      </c>
      <c r="D195" s="26">
        <f>PRODUCT(C196:$C$290)</f>
        <v>1.6214753421261663</v>
      </c>
    </row>
    <row r="196" spans="1:4" x14ac:dyDescent="0.25">
      <c r="A196" s="24">
        <v>40421</v>
      </c>
      <c r="B196" s="25">
        <v>0.04</v>
      </c>
      <c r="C196" s="25">
        <f t="shared" si="3"/>
        <v>1.0004</v>
      </c>
      <c r="D196" s="26">
        <f>PRODUCT(C197:$C$290)</f>
        <v>1.6208270113216374</v>
      </c>
    </row>
    <row r="197" spans="1:4" x14ac:dyDescent="0.25">
      <c r="A197" s="24">
        <v>40451</v>
      </c>
      <c r="B197" s="25">
        <v>0.45</v>
      </c>
      <c r="C197" s="25">
        <f t="shared" si="3"/>
        <v>1.0044999999999999</v>
      </c>
      <c r="D197" s="26">
        <f>PRODUCT(C198:$C$290)</f>
        <v>1.6135659644814697</v>
      </c>
    </row>
    <row r="198" spans="1:4" x14ac:dyDescent="0.25">
      <c r="A198" s="24">
        <v>40482</v>
      </c>
      <c r="B198" s="25">
        <v>0.75</v>
      </c>
      <c r="C198" s="25">
        <f t="shared" si="3"/>
        <v>1.0075000000000001</v>
      </c>
      <c r="D198" s="26">
        <f>PRODUCT(C199:$C$290)</f>
        <v>1.6015543071776381</v>
      </c>
    </row>
    <row r="199" spans="1:4" x14ac:dyDescent="0.25">
      <c r="A199" s="24">
        <v>40512</v>
      </c>
      <c r="B199" s="25">
        <v>0.83</v>
      </c>
      <c r="C199" s="25">
        <f t="shared" si="3"/>
        <v>1.0083</v>
      </c>
      <c r="D199" s="26">
        <f>PRODUCT(C200:$C$290)</f>
        <v>1.5883708292944925</v>
      </c>
    </row>
    <row r="200" spans="1:4" x14ac:dyDescent="0.25">
      <c r="A200" s="24">
        <v>40543</v>
      </c>
      <c r="B200" s="25">
        <v>0.63</v>
      </c>
      <c r="C200" s="25">
        <f t="shared" si="3"/>
        <v>1.0063</v>
      </c>
      <c r="D200" s="26">
        <f>PRODUCT(C201:$C$290)</f>
        <v>1.5784267408272812</v>
      </c>
    </row>
    <row r="201" spans="1:4" x14ac:dyDescent="0.25">
      <c r="A201" s="24">
        <v>40574</v>
      </c>
      <c r="B201" s="25">
        <v>0.83</v>
      </c>
      <c r="C201" s="25">
        <f t="shared" si="3"/>
        <v>1.0083</v>
      </c>
      <c r="D201" s="26">
        <f>PRODUCT(C202:$C$290)</f>
        <v>1.5654336416019852</v>
      </c>
    </row>
    <row r="202" spans="1:4" x14ac:dyDescent="0.25">
      <c r="A202" s="24">
        <v>40602</v>
      </c>
      <c r="B202" s="25">
        <v>0.8</v>
      </c>
      <c r="C202" s="25">
        <f t="shared" si="3"/>
        <v>1.008</v>
      </c>
      <c r="D202" s="26">
        <f>PRODUCT(C203:$C$290)</f>
        <v>1.5530095650813358</v>
      </c>
    </row>
    <row r="203" spans="1:4" x14ac:dyDescent="0.25">
      <c r="A203" s="24">
        <v>40633</v>
      </c>
      <c r="B203" s="25">
        <v>0.79</v>
      </c>
      <c r="C203" s="25">
        <f t="shared" si="3"/>
        <v>1.0079</v>
      </c>
      <c r="D203" s="26">
        <f>PRODUCT(C204:$C$290)</f>
        <v>1.5408369531514385</v>
      </c>
    </row>
    <row r="204" spans="1:4" x14ac:dyDescent="0.25">
      <c r="A204" s="24">
        <v>40663</v>
      </c>
      <c r="B204" s="25">
        <v>0.77</v>
      </c>
      <c r="C204" s="25">
        <f t="shared" si="3"/>
        <v>1.0077</v>
      </c>
      <c r="D204" s="26">
        <f>PRODUCT(C205:$C$290)</f>
        <v>1.5290631667673296</v>
      </c>
    </row>
    <row r="205" spans="1:4" x14ac:dyDescent="0.25">
      <c r="A205" s="24">
        <v>40694</v>
      </c>
      <c r="B205" s="25">
        <v>0.47</v>
      </c>
      <c r="C205" s="25">
        <f t="shared" si="3"/>
        <v>1.0046999999999999</v>
      </c>
      <c r="D205" s="26">
        <f>PRODUCT(C206:$C$290)</f>
        <v>1.5219101888795956</v>
      </c>
    </row>
    <row r="206" spans="1:4" x14ac:dyDescent="0.25">
      <c r="A206" s="24">
        <v>40724</v>
      </c>
      <c r="B206" s="25">
        <v>0.15</v>
      </c>
      <c r="C206" s="25">
        <f t="shared" si="3"/>
        <v>1.0015000000000001</v>
      </c>
      <c r="D206" s="26">
        <f>PRODUCT(C207:$C$290)</f>
        <v>1.519630742765447</v>
      </c>
    </row>
    <row r="207" spans="1:4" x14ac:dyDescent="0.25">
      <c r="A207" s="24">
        <v>40755</v>
      </c>
      <c r="B207" s="25">
        <v>0.16</v>
      </c>
      <c r="C207" s="25">
        <f t="shared" si="3"/>
        <v>1.0016</v>
      </c>
      <c r="D207" s="26">
        <f>PRODUCT(C208:$C$290)</f>
        <v>1.5172032176172596</v>
      </c>
    </row>
    <row r="208" spans="1:4" x14ac:dyDescent="0.25">
      <c r="A208" s="24">
        <v>40786</v>
      </c>
      <c r="B208" s="25">
        <v>0.37</v>
      </c>
      <c r="C208" s="25">
        <f t="shared" si="3"/>
        <v>1.0037</v>
      </c>
      <c r="D208" s="26">
        <f>PRODUCT(C209:$C$290)</f>
        <v>1.511610259656532</v>
      </c>
    </row>
    <row r="209" spans="1:4" x14ac:dyDescent="0.25">
      <c r="A209" s="24">
        <v>40816</v>
      </c>
      <c r="B209" s="25">
        <v>0.53</v>
      </c>
      <c r="C209" s="25">
        <f t="shared" si="3"/>
        <v>1.0053000000000001</v>
      </c>
      <c r="D209" s="26">
        <f>PRODUCT(C210:$C$290)</f>
        <v>1.5036409625549909</v>
      </c>
    </row>
    <row r="210" spans="1:4" x14ac:dyDescent="0.25">
      <c r="A210" s="24">
        <v>40847</v>
      </c>
      <c r="B210" s="25">
        <v>0.43</v>
      </c>
      <c r="C210" s="25">
        <f t="shared" si="3"/>
        <v>1.0043</v>
      </c>
      <c r="D210" s="26">
        <f>PRODUCT(C211:$C$290)</f>
        <v>1.4972029896992844</v>
      </c>
    </row>
    <row r="211" spans="1:4" x14ac:dyDescent="0.25">
      <c r="A211" s="24">
        <v>40877</v>
      </c>
      <c r="B211" s="25">
        <v>0.52</v>
      </c>
      <c r="C211" s="25">
        <f t="shared" si="3"/>
        <v>1.0052000000000001</v>
      </c>
      <c r="D211" s="26">
        <f>PRODUCT(C212:$C$290)</f>
        <v>1.4894578090920032</v>
      </c>
    </row>
    <row r="212" spans="1:4" x14ac:dyDescent="0.25">
      <c r="A212" s="24">
        <v>40908</v>
      </c>
      <c r="B212" s="25">
        <v>0.5</v>
      </c>
      <c r="C212" s="25">
        <f t="shared" si="3"/>
        <v>1.0049999999999999</v>
      </c>
      <c r="D212" s="26">
        <f>PRODUCT(C213:$C$290)</f>
        <v>1.4820475712358265</v>
      </c>
    </row>
    <row r="213" spans="1:4" x14ac:dyDescent="0.25">
      <c r="A213" s="24">
        <v>40939</v>
      </c>
      <c r="B213" s="25">
        <v>0.56000000000000005</v>
      </c>
      <c r="C213" s="25">
        <f t="shared" si="3"/>
        <v>1.0056</v>
      </c>
      <c r="D213" s="26">
        <f>PRODUCT(C214:$C$290)</f>
        <v>1.4737943230268742</v>
      </c>
    </row>
    <row r="214" spans="1:4" x14ac:dyDescent="0.25">
      <c r="A214" s="24">
        <v>40968</v>
      </c>
      <c r="B214" s="25">
        <v>0.45</v>
      </c>
      <c r="C214" s="25">
        <f t="shared" ref="C214:C277" si="4">1+B214/100</f>
        <v>1.0044999999999999</v>
      </c>
      <c r="D214" s="26">
        <f>PRODUCT(C215:$C$290)</f>
        <v>1.4671919592104283</v>
      </c>
    </row>
    <row r="215" spans="1:4" x14ac:dyDescent="0.25">
      <c r="A215" s="24">
        <v>40999</v>
      </c>
      <c r="B215" s="25">
        <v>0.21</v>
      </c>
      <c r="C215" s="25">
        <f t="shared" si="4"/>
        <v>1.0021</v>
      </c>
      <c r="D215" s="26">
        <f>PRODUCT(C216:$C$290)</f>
        <v>1.4641173128534364</v>
      </c>
    </row>
    <row r="216" spans="1:4" x14ac:dyDescent="0.25">
      <c r="A216" s="24">
        <v>41029</v>
      </c>
      <c r="B216" s="25">
        <v>0.64</v>
      </c>
      <c r="C216" s="25">
        <f t="shared" si="4"/>
        <v>1.0064</v>
      </c>
      <c r="D216" s="26">
        <f>PRODUCT(C217:$C$290)</f>
        <v>1.4548065509275008</v>
      </c>
    </row>
    <row r="217" spans="1:4" x14ac:dyDescent="0.25">
      <c r="A217" s="24">
        <v>41060</v>
      </c>
      <c r="B217" s="25">
        <v>0.36</v>
      </c>
      <c r="C217" s="25">
        <f t="shared" si="4"/>
        <v>1.0036</v>
      </c>
      <c r="D217" s="26">
        <f>PRODUCT(C218:$C$290)</f>
        <v>1.4495880340050802</v>
      </c>
    </row>
    <row r="218" spans="1:4" x14ac:dyDescent="0.25">
      <c r="A218" s="24">
        <v>41090</v>
      </c>
      <c r="B218" s="25">
        <v>0.08</v>
      </c>
      <c r="C218" s="25">
        <f t="shared" si="4"/>
        <v>1.0007999999999999</v>
      </c>
      <c r="D218" s="26">
        <f>PRODUCT(C219:$C$290)</f>
        <v>1.4484292905726235</v>
      </c>
    </row>
    <row r="219" spans="1:4" x14ac:dyDescent="0.25">
      <c r="A219" s="24">
        <v>41121</v>
      </c>
      <c r="B219" s="25">
        <v>0.43</v>
      </c>
      <c r="C219" s="25">
        <f t="shared" si="4"/>
        <v>1.0043</v>
      </c>
      <c r="D219" s="26">
        <f>PRODUCT(C220:$C$290)</f>
        <v>1.4422277114135456</v>
      </c>
    </row>
    <row r="220" spans="1:4" x14ac:dyDescent="0.25">
      <c r="A220" s="24">
        <v>41152</v>
      </c>
      <c r="B220" s="25">
        <v>0.41</v>
      </c>
      <c r="C220" s="25">
        <f t="shared" si="4"/>
        <v>1.0041</v>
      </c>
      <c r="D220" s="26">
        <f>PRODUCT(C221:$C$290)</f>
        <v>1.4363387226506772</v>
      </c>
    </row>
    <row r="221" spans="1:4" x14ac:dyDescent="0.25">
      <c r="A221" s="24">
        <v>41182</v>
      </c>
      <c r="B221" s="25">
        <v>0.56999999999999995</v>
      </c>
      <c r="C221" s="25">
        <f t="shared" si="4"/>
        <v>1.0057</v>
      </c>
      <c r="D221" s="26">
        <f>PRODUCT(C222:$C$290)</f>
        <v>1.4281979940843963</v>
      </c>
    </row>
    <row r="222" spans="1:4" x14ac:dyDescent="0.25">
      <c r="A222" s="24">
        <v>41213</v>
      </c>
      <c r="B222" s="25">
        <v>0.59</v>
      </c>
      <c r="C222" s="25">
        <f t="shared" si="4"/>
        <v>1.0059</v>
      </c>
      <c r="D222" s="26">
        <f>PRODUCT(C223:$C$290)</f>
        <v>1.4198210498900443</v>
      </c>
    </row>
    <row r="223" spans="1:4" x14ac:dyDescent="0.25">
      <c r="A223" s="24">
        <v>41243</v>
      </c>
      <c r="B223" s="25">
        <v>0.6</v>
      </c>
      <c r="C223" s="25">
        <f t="shared" si="4"/>
        <v>1.006</v>
      </c>
      <c r="D223" s="26">
        <f>PRODUCT(C224:$C$290)</f>
        <v>1.4113529322962683</v>
      </c>
    </row>
    <row r="224" spans="1:4" x14ac:dyDescent="0.25">
      <c r="A224" s="24">
        <v>41274</v>
      </c>
      <c r="B224" s="25">
        <v>0.79</v>
      </c>
      <c r="C224" s="25">
        <f t="shared" si="4"/>
        <v>1.0079</v>
      </c>
      <c r="D224" s="26">
        <f>PRODUCT(C225:$C$290)</f>
        <v>1.400290636269736</v>
      </c>
    </row>
    <row r="225" spans="1:4" x14ac:dyDescent="0.25">
      <c r="A225" s="24">
        <v>41305</v>
      </c>
      <c r="B225" s="25">
        <v>0.86</v>
      </c>
      <c r="C225" s="25">
        <f t="shared" si="4"/>
        <v>1.0085999999999999</v>
      </c>
      <c r="D225" s="26">
        <f>PRODUCT(C226:$C$290)</f>
        <v>1.3883508192244061</v>
      </c>
    </row>
    <row r="226" spans="1:4" x14ac:dyDescent="0.25">
      <c r="A226" s="24">
        <v>41333</v>
      </c>
      <c r="B226" s="25">
        <v>0.6</v>
      </c>
      <c r="C226" s="25">
        <f t="shared" si="4"/>
        <v>1.006</v>
      </c>
      <c r="D226" s="26">
        <f>PRODUCT(C227:$C$290)</f>
        <v>1.3800703968433463</v>
      </c>
    </row>
    <row r="227" spans="1:4" x14ac:dyDescent="0.25">
      <c r="A227" s="24">
        <v>41364</v>
      </c>
      <c r="B227" s="25">
        <v>0.47</v>
      </c>
      <c r="C227" s="25">
        <f t="shared" si="4"/>
        <v>1.0046999999999999</v>
      </c>
      <c r="D227" s="26">
        <f>PRODUCT(C228:$C$290)</f>
        <v>1.3736144091204803</v>
      </c>
    </row>
    <row r="228" spans="1:4" x14ac:dyDescent="0.25">
      <c r="A228" s="24">
        <v>41394</v>
      </c>
      <c r="B228" s="25">
        <v>0.55000000000000004</v>
      </c>
      <c r="C228" s="25">
        <f t="shared" si="4"/>
        <v>1.0055000000000001</v>
      </c>
      <c r="D228" s="26">
        <f>PRODUCT(C229:$C$290)</f>
        <v>1.366100854421163</v>
      </c>
    </row>
    <row r="229" spans="1:4" x14ac:dyDescent="0.25">
      <c r="A229" s="24">
        <v>41425</v>
      </c>
      <c r="B229" s="25">
        <v>0.37</v>
      </c>
      <c r="C229" s="25">
        <f t="shared" si="4"/>
        <v>1.0037</v>
      </c>
      <c r="D229" s="26">
        <f>PRODUCT(C230:$C$290)</f>
        <v>1.3610649142384812</v>
      </c>
    </row>
    <row r="230" spans="1:4" x14ac:dyDescent="0.25">
      <c r="A230" s="24">
        <v>41455</v>
      </c>
      <c r="B230" s="25">
        <v>0.26</v>
      </c>
      <c r="C230" s="25">
        <f t="shared" si="4"/>
        <v>1.0025999999999999</v>
      </c>
      <c r="D230" s="26">
        <f>PRODUCT(C231:$C$290)</f>
        <v>1.3575353224002411</v>
      </c>
    </row>
    <row r="231" spans="1:4" x14ac:dyDescent="0.25">
      <c r="A231" s="24">
        <v>41486</v>
      </c>
      <c r="B231" s="25">
        <v>0.03</v>
      </c>
      <c r="C231" s="25">
        <f t="shared" si="4"/>
        <v>1.0003</v>
      </c>
      <c r="D231" s="26">
        <f>PRODUCT(C232:$C$290)</f>
        <v>1.3571281839450577</v>
      </c>
    </row>
    <row r="232" spans="1:4" x14ac:dyDescent="0.25">
      <c r="A232" s="24">
        <v>41517</v>
      </c>
      <c r="B232" s="25">
        <v>0.24</v>
      </c>
      <c r="C232" s="25">
        <f t="shared" si="4"/>
        <v>1.0024</v>
      </c>
      <c r="D232" s="26">
        <f>PRODUCT(C233:$C$290)</f>
        <v>1.3538788746459074</v>
      </c>
    </row>
    <row r="233" spans="1:4" x14ac:dyDescent="0.25">
      <c r="A233" s="24">
        <v>41547</v>
      </c>
      <c r="B233" s="25">
        <v>0.35</v>
      </c>
      <c r="C233" s="25">
        <f t="shared" si="4"/>
        <v>1.0035000000000001</v>
      </c>
      <c r="D233" s="26">
        <f>PRODUCT(C234:$C$290)</f>
        <v>1.3491568257557607</v>
      </c>
    </row>
    <row r="234" spans="1:4" x14ac:dyDescent="0.25">
      <c r="A234" s="24">
        <v>41578</v>
      </c>
      <c r="B234" s="25">
        <v>0.56999999999999995</v>
      </c>
      <c r="C234" s="25">
        <f t="shared" si="4"/>
        <v>1.0057</v>
      </c>
      <c r="D234" s="26">
        <f>PRODUCT(C235:$C$290)</f>
        <v>1.3415102175159215</v>
      </c>
    </row>
    <row r="235" spans="1:4" x14ac:dyDescent="0.25">
      <c r="A235" s="24">
        <v>41608</v>
      </c>
      <c r="B235" s="25">
        <v>0.54</v>
      </c>
      <c r="C235" s="25">
        <f t="shared" si="4"/>
        <v>1.0054000000000001</v>
      </c>
      <c r="D235" s="26">
        <f>PRODUCT(C236:$C$290)</f>
        <v>1.3343049706742793</v>
      </c>
    </row>
    <row r="236" spans="1:4" x14ac:dyDescent="0.25">
      <c r="A236" s="24">
        <v>41639</v>
      </c>
      <c r="B236" s="25">
        <v>0.92</v>
      </c>
      <c r="C236" s="25">
        <f t="shared" si="4"/>
        <v>1.0092000000000001</v>
      </c>
      <c r="D236" s="26">
        <f>PRODUCT(C237:$C$290)</f>
        <v>1.3221412709812526</v>
      </c>
    </row>
    <row r="237" spans="1:4" x14ac:dyDescent="0.25">
      <c r="A237" s="24">
        <v>41670</v>
      </c>
      <c r="B237" s="25">
        <v>0.55000000000000004</v>
      </c>
      <c r="C237" s="25">
        <f t="shared" si="4"/>
        <v>1.0055000000000001</v>
      </c>
      <c r="D237" s="26">
        <f>PRODUCT(C238:$C$290)</f>
        <v>1.3149092699962728</v>
      </c>
    </row>
    <row r="238" spans="1:4" x14ac:dyDescent="0.25">
      <c r="A238" s="24">
        <v>41698</v>
      </c>
      <c r="B238" s="25">
        <v>0.69</v>
      </c>
      <c r="C238" s="25">
        <f t="shared" si="4"/>
        <v>1.0068999999999999</v>
      </c>
      <c r="D238" s="26">
        <f>PRODUCT(C239:$C$290)</f>
        <v>1.3058985698642094</v>
      </c>
    </row>
    <row r="239" spans="1:4" x14ac:dyDescent="0.25">
      <c r="A239" s="24">
        <v>41729</v>
      </c>
      <c r="B239" s="25">
        <v>0.92</v>
      </c>
      <c r="C239" s="25">
        <f t="shared" si="4"/>
        <v>1.0092000000000001</v>
      </c>
      <c r="D239" s="26">
        <f>PRODUCT(C240:$C$290)</f>
        <v>1.2939938266589472</v>
      </c>
    </row>
    <row r="240" spans="1:4" x14ac:dyDescent="0.25">
      <c r="A240" s="24">
        <v>41759</v>
      </c>
      <c r="B240" s="25">
        <v>0.67</v>
      </c>
      <c r="C240" s="25">
        <f t="shared" si="4"/>
        <v>1.0066999999999999</v>
      </c>
      <c r="D240" s="26">
        <f>PRODUCT(C241:$C$290)</f>
        <v>1.2853817688079345</v>
      </c>
    </row>
    <row r="241" spans="1:4" x14ac:dyDescent="0.25">
      <c r="A241" s="24">
        <v>41790</v>
      </c>
      <c r="B241" s="25">
        <v>0.46</v>
      </c>
      <c r="C241" s="25">
        <f t="shared" si="4"/>
        <v>1.0045999999999999</v>
      </c>
      <c r="D241" s="26">
        <f>PRODUCT(C242:$C$290)</f>
        <v>1.2794960868086152</v>
      </c>
    </row>
    <row r="242" spans="1:4" x14ac:dyDescent="0.25">
      <c r="A242" s="24">
        <v>41820</v>
      </c>
      <c r="B242" s="25">
        <v>0.4</v>
      </c>
      <c r="C242" s="25">
        <f t="shared" si="4"/>
        <v>1.004</v>
      </c>
      <c r="D242" s="26">
        <f>PRODUCT(C243:$C$290)</f>
        <v>1.2743984928372654</v>
      </c>
    </row>
    <row r="243" spans="1:4" x14ac:dyDescent="0.25">
      <c r="A243" s="24">
        <v>41851</v>
      </c>
      <c r="B243" s="25">
        <v>0.01</v>
      </c>
      <c r="C243" s="25">
        <f t="shared" si="4"/>
        <v>1.0001</v>
      </c>
      <c r="D243" s="26">
        <f>PRODUCT(C244:$C$290)</f>
        <v>1.2742710657306924</v>
      </c>
    </row>
    <row r="244" spans="1:4" x14ac:dyDescent="0.25">
      <c r="A244" s="24">
        <v>41882</v>
      </c>
      <c r="B244" s="25">
        <v>0.25</v>
      </c>
      <c r="C244" s="25">
        <f t="shared" si="4"/>
        <v>1.0024999999999999</v>
      </c>
      <c r="D244" s="26">
        <f>PRODUCT(C245:$C$290)</f>
        <v>1.2710933323996936</v>
      </c>
    </row>
    <row r="245" spans="1:4" x14ac:dyDescent="0.25">
      <c r="A245" s="24">
        <v>41912</v>
      </c>
      <c r="B245" s="25">
        <v>0.56999999999999995</v>
      </c>
      <c r="C245" s="25">
        <f t="shared" si="4"/>
        <v>1.0057</v>
      </c>
      <c r="D245" s="26">
        <f>PRODUCT(C246:$C$290)</f>
        <v>1.2638891641639587</v>
      </c>
    </row>
    <row r="246" spans="1:4" x14ac:dyDescent="0.25">
      <c r="A246" s="24">
        <v>41943</v>
      </c>
      <c r="B246" s="25">
        <v>0.42</v>
      </c>
      <c r="C246" s="25">
        <f t="shared" si="4"/>
        <v>1.0042</v>
      </c>
      <c r="D246" s="26">
        <f>PRODUCT(C247:$C$290)</f>
        <v>1.2586030314319447</v>
      </c>
    </row>
    <row r="247" spans="1:4" x14ac:dyDescent="0.25">
      <c r="A247" s="24">
        <v>41973</v>
      </c>
      <c r="B247" s="25">
        <v>0.51</v>
      </c>
      <c r="C247" s="25">
        <f t="shared" si="4"/>
        <v>1.0051000000000001</v>
      </c>
      <c r="D247" s="26">
        <f>PRODUCT(C248:$C$290)</f>
        <v>1.2522167261286874</v>
      </c>
    </row>
    <row r="248" spans="1:4" x14ac:dyDescent="0.25">
      <c r="A248" s="24">
        <v>42004</v>
      </c>
      <c r="B248" s="25">
        <v>0.78</v>
      </c>
      <c r="C248" s="25">
        <f t="shared" si="4"/>
        <v>1.0078</v>
      </c>
      <c r="D248" s="26">
        <f>PRODUCT(C249:$C$290)</f>
        <v>1.2425250308877631</v>
      </c>
    </row>
    <row r="249" spans="1:4" x14ac:dyDescent="0.25">
      <c r="A249" s="24">
        <v>42035</v>
      </c>
      <c r="B249" s="25">
        <v>1.24</v>
      </c>
      <c r="C249" s="25">
        <f t="shared" si="4"/>
        <v>1.0124</v>
      </c>
      <c r="D249" s="26">
        <f>PRODUCT(C250:$C$290)</f>
        <v>1.2273064311416078</v>
      </c>
    </row>
    <row r="250" spans="1:4" x14ac:dyDescent="0.25">
      <c r="A250" s="24">
        <v>42063</v>
      </c>
      <c r="B250" s="25">
        <v>1.22</v>
      </c>
      <c r="C250" s="25">
        <f t="shared" si="4"/>
        <v>1.0122</v>
      </c>
      <c r="D250" s="26">
        <f>PRODUCT(C251:$C$290)</f>
        <v>1.212513763230199</v>
      </c>
    </row>
    <row r="251" spans="1:4" x14ac:dyDescent="0.25">
      <c r="A251" s="24">
        <v>42094</v>
      </c>
      <c r="B251" s="25">
        <v>1.32</v>
      </c>
      <c r="C251" s="25">
        <f t="shared" si="4"/>
        <v>1.0132000000000001</v>
      </c>
      <c r="D251" s="26">
        <f>PRODUCT(C252:$C$290)</f>
        <v>1.1967170975426362</v>
      </c>
    </row>
    <row r="252" spans="1:4" x14ac:dyDescent="0.25">
      <c r="A252" s="24">
        <v>42124</v>
      </c>
      <c r="B252" s="25">
        <v>0.71</v>
      </c>
      <c r="C252" s="25">
        <f t="shared" si="4"/>
        <v>1.0071000000000001</v>
      </c>
      <c r="D252" s="26">
        <f>PRODUCT(C253:$C$290)</f>
        <v>1.1882803073603774</v>
      </c>
    </row>
    <row r="253" spans="1:4" x14ac:dyDescent="0.25">
      <c r="A253" s="24">
        <v>42155</v>
      </c>
      <c r="B253" s="25">
        <v>0.74</v>
      </c>
      <c r="C253" s="25">
        <f t="shared" si="4"/>
        <v>1.0074000000000001</v>
      </c>
      <c r="D253" s="26">
        <f>PRODUCT(C254:$C$290)</f>
        <v>1.1795516253329139</v>
      </c>
    </row>
    <row r="254" spans="1:4" x14ac:dyDescent="0.25">
      <c r="A254" s="24">
        <v>42185</v>
      </c>
      <c r="B254" s="25">
        <v>0.79</v>
      </c>
      <c r="C254" s="25">
        <f t="shared" si="4"/>
        <v>1.0079</v>
      </c>
      <c r="D254" s="26">
        <f>PRODUCT(C255:$C$290)</f>
        <v>1.1703062063031193</v>
      </c>
    </row>
    <row r="255" spans="1:4" x14ac:dyDescent="0.25">
      <c r="A255" s="24">
        <v>42216</v>
      </c>
      <c r="B255" s="25">
        <v>0.62</v>
      </c>
      <c r="C255" s="25">
        <f t="shared" si="4"/>
        <v>1.0062</v>
      </c>
      <c r="D255" s="26">
        <f>PRODUCT(C256:$C$290)</f>
        <v>1.1630950171965009</v>
      </c>
    </row>
    <row r="256" spans="1:4" x14ac:dyDescent="0.25">
      <c r="A256" s="24">
        <v>42247</v>
      </c>
      <c r="B256" s="25">
        <v>0.22</v>
      </c>
      <c r="C256" s="25">
        <f t="shared" si="4"/>
        <v>1.0022</v>
      </c>
      <c r="D256" s="26">
        <f>PRODUCT(C257:$C$290)</f>
        <v>1.1605418251811024</v>
      </c>
    </row>
    <row r="257" spans="1:4" x14ac:dyDescent="0.25">
      <c r="A257" s="24">
        <v>42277</v>
      </c>
      <c r="B257" s="25">
        <v>0.54</v>
      </c>
      <c r="C257" s="25">
        <f t="shared" si="4"/>
        <v>1.0054000000000001</v>
      </c>
      <c r="D257" s="26">
        <f>PRODUCT(C258:$C$290)</f>
        <v>1.1543085589627038</v>
      </c>
    </row>
    <row r="258" spans="1:4" x14ac:dyDescent="0.25">
      <c r="A258" s="24">
        <v>42308</v>
      </c>
      <c r="B258" s="25">
        <v>0.82</v>
      </c>
      <c r="C258" s="25">
        <f t="shared" si="4"/>
        <v>1.0082</v>
      </c>
      <c r="D258" s="26">
        <f>PRODUCT(C259:$C$290)</f>
        <v>1.1449202132143463</v>
      </c>
    </row>
    <row r="259" spans="1:4" x14ac:dyDescent="0.25">
      <c r="A259" s="24">
        <v>42338</v>
      </c>
      <c r="B259" s="25">
        <v>1.01</v>
      </c>
      <c r="C259" s="25">
        <f t="shared" si="4"/>
        <v>1.0101</v>
      </c>
      <c r="D259" s="26">
        <f>PRODUCT(C260:$C$290)</f>
        <v>1.1334721445543472</v>
      </c>
    </row>
    <row r="260" spans="1:4" x14ac:dyDescent="0.25">
      <c r="A260" s="24">
        <v>42369</v>
      </c>
      <c r="B260" s="25">
        <v>0.96</v>
      </c>
      <c r="C260" s="25">
        <f t="shared" si="4"/>
        <v>1.0096000000000001</v>
      </c>
      <c r="D260" s="26">
        <f>PRODUCT(C261:$C$290)</f>
        <v>1.1226942794714214</v>
      </c>
    </row>
    <row r="261" spans="1:4" x14ac:dyDescent="0.25">
      <c r="A261" s="24">
        <v>42400</v>
      </c>
      <c r="B261" s="25">
        <v>1.27</v>
      </c>
      <c r="C261" s="25">
        <f t="shared" si="4"/>
        <v>1.0126999999999999</v>
      </c>
      <c r="D261" s="26">
        <f>PRODUCT(C262:$C$290)</f>
        <v>1.1086148706146157</v>
      </c>
    </row>
    <row r="262" spans="1:4" x14ac:dyDescent="0.25">
      <c r="A262" s="24">
        <v>42429</v>
      </c>
      <c r="B262" s="25">
        <v>0.9</v>
      </c>
      <c r="C262" s="25">
        <f t="shared" si="4"/>
        <v>1.0089999999999999</v>
      </c>
      <c r="D262" s="26">
        <f>PRODUCT(C263:$C$290)</f>
        <v>1.0987263336121074</v>
      </c>
    </row>
    <row r="263" spans="1:4" x14ac:dyDescent="0.25">
      <c r="A263" s="24">
        <v>42460</v>
      </c>
      <c r="B263" s="25">
        <v>0.43</v>
      </c>
      <c r="C263" s="25">
        <f t="shared" si="4"/>
        <v>1.0043</v>
      </c>
      <c r="D263" s="26">
        <f>PRODUCT(C264:$C$290)</f>
        <v>1.0940220388450734</v>
      </c>
    </row>
    <row r="264" spans="1:4" x14ac:dyDescent="0.25">
      <c r="A264" s="24">
        <v>42490</v>
      </c>
      <c r="B264" s="25">
        <v>0.61</v>
      </c>
      <c r="C264" s="25">
        <f t="shared" si="4"/>
        <v>1.0061</v>
      </c>
      <c r="D264" s="26">
        <f>PRODUCT(C265:$C$290)</f>
        <v>1.087388966151549</v>
      </c>
    </row>
    <row r="265" spans="1:4" x14ac:dyDescent="0.25">
      <c r="A265" s="24">
        <v>42521</v>
      </c>
      <c r="B265" s="25">
        <v>0.78</v>
      </c>
      <c r="C265" s="25">
        <f t="shared" si="4"/>
        <v>1.0078</v>
      </c>
      <c r="D265" s="26">
        <f>PRODUCT(C266:$C$290)</f>
        <v>1.0789729769314838</v>
      </c>
    </row>
    <row r="266" spans="1:4" x14ac:dyDescent="0.25">
      <c r="A266" s="24">
        <v>42551</v>
      </c>
      <c r="B266" s="25">
        <v>0.35</v>
      </c>
      <c r="C266" s="25">
        <f t="shared" si="4"/>
        <v>1.0035000000000001</v>
      </c>
      <c r="D266" s="26">
        <f>PRODUCT(C267:$C$290)</f>
        <v>1.0752097428315728</v>
      </c>
    </row>
    <row r="267" spans="1:4" x14ac:dyDescent="0.25">
      <c r="A267" s="24">
        <v>42582</v>
      </c>
      <c r="B267" s="25">
        <v>0.52</v>
      </c>
      <c r="C267" s="25">
        <f t="shared" si="4"/>
        <v>1.0052000000000001</v>
      </c>
      <c r="D267" s="26">
        <f>PRODUCT(C268:$C$290)</f>
        <v>1.0696475754392885</v>
      </c>
    </row>
    <row r="268" spans="1:4" x14ac:dyDescent="0.25">
      <c r="A268" s="24">
        <v>42613</v>
      </c>
      <c r="B268" s="25">
        <v>0.44</v>
      </c>
      <c r="C268" s="25">
        <f t="shared" si="4"/>
        <v>1.0044</v>
      </c>
      <c r="D268" s="26">
        <f>PRODUCT(C269:$C$290)</f>
        <v>1.0649617437667147</v>
      </c>
    </row>
    <row r="269" spans="1:4" x14ac:dyDescent="0.25">
      <c r="A269" s="24">
        <v>42643</v>
      </c>
      <c r="B269" s="25">
        <v>0.08</v>
      </c>
      <c r="C269" s="25">
        <f t="shared" si="4"/>
        <v>1.0007999999999999</v>
      </c>
      <c r="D269" s="26">
        <f>PRODUCT(C270:$C$290)</f>
        <v>1.064110455402393</v>
      </c>
    </row>
    <row r="270" spans="1:4" x14ac:dyDescent="0.25">
      <c r="A270" s="24">
        <v>42674</v>
      </c>
      <c r="B270" s="25">
        <v>0.26</v>
      </c>
      <c r="C270" s="25">
        <f t="shared" si="4"/>
        <v>1.0025999999999999</v>
      </c>
      <c r="D270" s="26">
        <f>PRODUCT(C271:$C$290)</f>
        <v>1.0613509429507215</v>
      </c>
    </row>
    <row r="271" spans="1:4" x14ac:dyDescent="0.25">
      <c r="A271" s="24">
        <v>42704</v>
      </c>
      <c r="B271" s="25">
        <v>0.18</v>
      </c>
      <c r="C271" s="25">
        <f t="shared" si="4"/>
        <v>1.0018</v>
      </c>
      <c r="D271" s="26">
        <f>PRODUCT(C272:$C$290)</f>
        <v>1.059443943851788</v>
      </c>
    </row>
    <row r="272" spans="1:4" x14ac:dyDescent="0.25">
      <c r="A272" s="24">
        <v>42735</v>
      </c>
      <c r="B272" s="25">
        <v>0.3</v>
      </c>
      <c r="C272" s="25">
        <f t="shared" si="4"/>
        <v>1.0029999999999999</v>
      </c>
      <c r="D272" s="26">
        <f>PRODUCT(C273:$C$290)</f>
        <v>1.0562751184962995</v>
      </c>
    </row>
    <row r="273" spans="1:4" x14ac:dyDescent="0.25">
      <c r="A273" s="24">
        <v>42766</v>
      </c>
      <c r="B273" s="25">
        <v>0.38</v>
      </c>
      <c r="C273" s="25">
        <f t="shared" si="4"/>
        <v>1.0038</v>
      </c>
      <c r="D273" s="26">
        <f>PRODUCT(C274:$C$290)</f>
        <v>1.0522764679182102</v>
      </c>
    </row>
    <row r="274" spans="1:4" x14ac:dyDescent="0.25">
      <c r="A274" s="24">
        <v>42794</v>
      </c>
      <c r="B274" s="25">
        <v>0.33</v>
      </c>
      <c r="C274" s="25">
        <f t="shared" si="4"/>
        <v>1.0033000000000001</v>
      </c>
      <c r="D274" s="26">
        <f>PRODUCT(C275:$C$290)</f>
        <v>1.0488153771735369</v>
      </c>
    </row>
    <row r="275" spans="1:4" x14ac:dyDescent="0.25">
      <c r="A275" s="24">
        <v>42825</v>
      </c>
      <c r="B275" s="25">
        <v>0.25</v>
      </c>
      <c r="C275" s="25">
        <f t="shared" si="4"/>
        <v>1.0024999999999999</v>
      </c>
      <c r="D275" s="26">
        <f>PRODUCT(C276:$C$290)</f>
        <v>1.0461998774798376</v>
      </c>
    </row>
    <row r="276" spans="1:4" x14ac:dyDescent="0.25">
      <c r="A276" s="24">
        <v>42855</v>
      </c>
      <c r="B276" s="25">
        <v>0.14000000000000001</v>
      </c>
      <c r="C276" s="25">
        <f t="shared" si="4"/>
        <v>1.0014000000000001</v>
      </c>
      <c r="D276" s="26">
        <f>PRODUCT(C277:$C$290)</f>
        <v>1.0447372453363668</v>
      </c>
    </row>
    <row r="277" spans="1:4" x14ac:dyDescent="0.25">
      <c r="A277" s="24">
        <v>42886</v>
      </c>
      <c r="B277" s="25">
        <v>0.31</v>
      </c>
      <c r="C277" s="25">
        <f t="shared" si="4"/>
        <v>1.0031000000000001</v>
      </c>
      <c r="D277" s="26">
        <f>PRODUCT(C278:$C$290)</f>
        <v>1.0415085687731696</v>
      </c>
    </row>
    <row r="278" spans="1:4" x14ac:dyDescent="0.25">
      <c r="A278" s="24">
        <v>42916</v>
      </c>
      <c r="B278" s="25">
        <v>-0.23</v>
      </c>
      <c r="C278" s="25">
        <f t="shared" ref="C278:C284" si="5">1+B278/100</f>
        <v>0.99770000000000003</v>
      </c>
      <c r="D278" s="26">
        <f>PRODUCT(C279:$C$290)</f>
        <v>1.0439095607629245</v>
      </c>
    </row>
    <row r="279" spans="1:4" x14ac:dyDescent="0.25">
      <c r="A279" s="24">
        <v>42947</v>
      </c>
      <c r="B279" s="25">
        <v>0.24</v>
      </c>
      <c r="C279" s="25">
        <f t="shared" si="5"/>
        <v>1.0024</v>
      </c>
      <c r="D279" s="26">
        <f>PRODUCT(C280:$C$290)</f>
        <v>1.0414101763397088</v>
      </c>
    </row>
    <row r="280" spans="1:4" x14ac:dyDescent="0.25">
      <c r="A280" s="24">
        <v>42978</v>
      </c>
      <c r="B280" s="25">
        <v>0.19</v>
      </c>
      <c r="C280" s="25">
        <f t="shared" si="5"/>
        <v>1.0019</v>
      </c>
      <c r="D280" s="26">
        <f>PRODUCT(C281:$C$290)</f>
        <v>1.0394352493659136</v>
      </c>
    </row>
    <row r="281" spans="1:4" x14ac:dyDescent="0.25">
      <c r="A281" s="24">
        <v>43008</v>
      </c>
      <c r="B281" s="25">
        <v>0.16</v>
      </c>
      <c r="C281" s="25">
        <f t="shared" si="5"/>
        <v>1.0016</v>
      </c>
      <c r="D281" s="26">
        <f>PRODUCT(C282:$C$290)</f>
        <v>1.0377748096704413</v>
      </c>
    </row>
    <row r="282" spans="1:4" x14ac:dyDescent="0.25">
      <c r="A282" s="24">
        <v>43039</v>
      </c>
      <c r="B282" s="25">
        <v>0.42</v>
      </c>
      <c r="C282" s="25">
        <f t="shared" si="5"/>
        <v>1.0042</v>
      </c>
      <c r="D282" s="26">
        <f>PRODUCT(C283:$C$290)</f>
        <v>1.0334343852523811</v>
      </c>
    </row>
    <row r="283" spans="1:4" x14ac:dyDescent="0.25">
      <c r="A283" s="24">
        <v>43069</v>
      </c>
      <c r="B283" s="25">
        <v>0.28000000000000003</v>
      </c>
      <c r="C283" s="25">
        <f t="shared" si="5"/>
        <v>1.0027999999999999</v>
      </c>
      <c r="D283" s="26">
        <f>PRODUCT(C284:$C$290)</f>
        <v>1.0305488484766463</v>
      </c>
    </row>
    <row r="284" spans="1:4" x14ac:dyDescent="0.25">
      <c r="A284" s="24">
        <v>43100</v>
      </c>
      <c r="B284" s="25">
        <v>0.44</v>
      </c>
      <c r="C284" s="25">
        <f t="shared" si="5"/>
        <v>1.0044</v>
      </c>
      <c r="D284" s="26">
        <f>PRODUCT(C285:$C$290)</f>
        <v>1.0260342975673502</v>
      </c>
    </row>
    <row r="285" spans="1:4" x14ac:dyDescent="0.25">
      <c r="A285" s="24">
        <v>43131</v>
      </c>
      <c r="B285" s="25">
        <v>0.28999999999999998</v>
      </c>
      <c r="C285" s="25">
        <f t="shared" ref="C285:C289" si="6">1+B285/100</f>
        <v>1.0028999999999999</v>
      </c>
      <c r="D285" s="26">
        <f>PRODUCT(C286:$C$290)</f>
        <v>1.0230674021012569</v>
      </c>
    </row>
    <row r="286" spans="1:4" x14ac:dyDescent="0.25">
      <c r="A286" s="24">
        <v>43159</v>
      </c>
      <c r="B286" s="25">
        <v>0.32</v>
      </c>
      <c r="C286" s="25">
        <f t="shared" si="6"/>
        <v>1.0032000000000001</v>
      </c>
      <c r="D286" s="26">
        <f>PRODUCT(C287:$C$290)</f>
        <v>1.0198040292077917</v>
      </c>
    </row>
    <row r="287" spans="1:4" x14ac:dyDescent="0.25">
      <c r="A287" s="24">
        <v>43190</v>
      </c>
      <c r="B287" s="25">
        <v>0.09</v>
      </c>
      <c r="C287" s="25">
        <f t="shared" si="6"/>
        <v>1.0008999999999999</v>
      </c>
      <c r="D287" s="26">
        <f>PRODUCT(C288:$C$290)</f>
        <v>1.01888703088</v>
      </c>
    </row>
    <row r="288" spans="1:4" x14ac:dyDescent="0.25">
      <c r="A288" s="24">
        <v>43220</v>
      </c>
      <c r="B288" s="25">
        <v>0.22</v>
      </c>
      <c r="C288" s="25">
        <f t="shared" si="6"/>
        <v>1.0022</v>
      </c>
      <c r="D288" s="26">
        <f>PRODUCT(C289:$C$290)</f>
        <v>1.0166503999999998</v>
      </c>
    </row>
    <row r="289" spans="1:4" x14ac:dyDescent="0.25">
      <c r="A289" s="24">
        <v>43251</v>
      </c>
      <c r="B289" s="242">
        <v>0.4</v>
      </c>
      <c r="C289" s="25">
        <f t="shared" si="6"/>
        <v>1.004</v>
      </c>
      <c r="D289" s="26">
        <f>PRODUCT(C290:$C$290)</f>
        <v>1.0125999999999999</v>
      </c>
    </row>
    <row r="290" spans="1:4" x14ac:dyDescent="0.25">
      <c r="A290" s="24">
        <v>43281</v>
      </c>
      <c r="B290" s="25">
        <v>1.26</v>
      </c>
      <c r="C290" s="25">
        <f t="shared" ref="C290:C296" si="7">1+B290/100</f>
        <v>1.0125999999999999</v>
      </c>
      <c r="D290" s="26">
        <f>PRODUCT(C$290:$C291)</f>
        <v>1.01594158</v>
      </c>
    </row>
    <row r="291" spans="1:4" x14ac:dyDescent="0.25">
      <c r="A291" s="24">
        <v>43282</v>
      </c>
      <c r="B291" s="25">
        <v>0.33</v>
      </c>
      <c r="C291" s="25">
        <f t="shared" si="7"/>
        <v>1.0033000000000001</v>
      </c>
      <c r="D291" s="26">
        <f>PRODUCT(C$290:$C292)</f>
        <v>1.0150272325780001</v>
      </c>
    </row>
    <row r="292" spans="1:4" x14ac:dyDescent="0.25">
      <c r="A292" s="24">
        <v>43313</v>
      </c>
      <c r="B292" s="25">
        <v>-0.09</v>
      </c>
      <c r="C292" s="25">
        <f t="shared" si="7"/>
        <v>0.99909999999999999</v>
      </c>
      <c r="D292" s="26">
        <f>PRODUCT(C$290:$C293)</f>
        <v>1.0198993632943745</v>
      </c>
    </row>
    <row r="293" spans="1:4" x14ac:dyDescent="0.25">
      <c r="A293" s="24">
        <v>43344</v>
      </c>
      <c r="B293" s="25">
        <v>0.48</v>
      </c>
      <c r="C293" s="25">
        <f t="shared" si="7"/>
        <v>1.0047999999999999</v>
      </c>
      <c r="D293" s="26">
        <f>PRODUCT(C$290:$C294)</f>
        <v>1.0244889104291992</v>
      </c>
    </row>
    <row r="294" spans="1:4" x14ac:dyDescent="0.25">
      <c r="A294" s="24">
        <v>43374</v>
      </c>
      <c r="B294" s="25">
        <v>0.45</v>
      </c>
      <c r="C294" s="25">
        <f t="shared" si="7"/>
        <v>1.0044999999999999</v>
      </c>
      <c r="D294" s="26">
        <f>PRODUCT(C$290:$C295)</f>
        <v>1.0223374837172978</v>
      </c>
    </row>
    <row r="295" spans="1:4" x14ac:dyDescent="0.25">
      <c r="A295" s="24">
        <v>43405</v>
      </c>
      <c r="B295" s="25">
        <v>-0.21</v>
      </c>
      <c r="C295" s="25">
        <f t="shared" si="7"/>
        <v>0.99790000000000001</v>
      </c>
      <c r="D295" s="26">
        <f>PRODUCT(C$290:$C296)</f>
        <v>1.0238709899428737</v>
      </c>
    </row>
    <row r="296" spans="1:4" x14ac:dyDescent="0.25">
      <c r="A296" s="24">
        <v>43435</v>
      </c>
      <c r="B296" s="25">
        <v>0.15</v>
      </c>
      <c r="C296" s="25">
        <f t="shared" si="7"/>
        <v>1.0015000000000001</v>
      </c>
      <c r="D296" s="26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NL90"/>
  <sheetViews>
    <sheetView topLeftCell="MJ1" workbookViewId="0">
      <selection activeCell="F32" sqref="F32"/>
    </sheetView>
  </sheetViews>
  <sheetFormatPr defaultRowHeight="15" x14ac:dyDescent="0.2"/>
  <cols>
    <col min="1" max="1" width="9.140625" style="88"/>
    <col min="2" max="2" width="14.5703125" style="88" customWidth="1"/>
    <col min="3" max="4" width="12.7109375" style="88" customWidth="1"/>
    <col min="5" max="14" width="13.42578125" style="88" bestFit="1" customWidth="1"/>
    <col min="15" max="16384" width="9.140625" style="88"/>
  </cols>
  <sheetData>
    <row r="1" spans="1:376" ht="15" customHeight="1" x14ac:dyDescent="0.2">
      <c r="B1" s="256" t="s">
        <v>152</v>
      </c>
      <c r="C1" s="89">
        <f>INT(C2/12)</f>
        <v>45</v>
      </c>
      <c r="D1" s="89">
        <f t="shared" ref="D1:BO1" si="0">INT(D2/12)</f>
        <v>45</v>
      </c>
      <c r="E1" s="89">
        <f t="shared" si="0"/>
        <v>45</v>
      </c>
      <c r="F1" s="89">
        <f t="shared" si="0"/>
        <v>45</v>
      </c>
      <c r="G1" s="89">
        <f t="shared" si="0"/>
        <v>45</v>
      </c>
      <c r="H1" s="89">
        <f t="shared" si="0"/>
        <v>45</v>
      </c>
      <c r="I1" s="89">
        <f t="shared" si="0"/>
        <v>45</v>
      </c>
      <c r="J1" s="89">
        <f t="shared" si="0"/>
        <v>45</v>
      </c>
      <c r="K1" s="89">
        <f t="shared" si="0"/>
        <v>45</v>
      </c>
      <c r="L1" s="89">
        <f t="shared" si="0"/>
        <v>45</v>
      </c>
      <c r="M1" s="89">
        <f t="shared" si="0"/>
        <v>45</v>
      </c>
      <c r="N1" s="89">
        <f t="shared" si="0"/>
        <v>45</v>
      </c>
      <c r="O1" s="89">
        <f t="shared" si="0"/>
        <v>46</v>
      </c>
      <c r="P1" s="89">
        <f t="shared" si="0"/>
        <v>46</v>
      </c>
      <c r="Q1" s="89">
        <f t="shared" si="0"/>
        <v>46</v>
      </c>
      <c r="R1" s="89">
        <f t="shared" si="0"/>
        <v>46</v>
      </c>
      <c r="S1" s="89">
        <f t="shared" si="0"/>
        <v>46</v>
      </c>
      <c r="T1" s="89">
        <f t="shared" si="0"/>
        <v>46</v>
      </c>
      <c r="U1" s="89">
        <f t="shared" si="0"/>
        <v>46</v>
      </c>
      <c r="V1" s="89">
        <f t="shared" si="0"/>
        <v>46</v>
      </c>
      <c r="W1" s="89">
        <f t="shared" si="0"/>
        <v>46</v>
      </c>
      <c r="X1" s="89">
        <f t="shared" si="0"/>
        <v>46</v>
      </c>
      <c r="Y1" s="89">
        <f t="shared" si="0"/>
        <v>46</v>
      </c>
      <c r="Z1" s="89">
        <f t="shared" si="0"/>
        <v>46</v>
      </c>
      <c r="AA1" s="89">
        <f t="shared" si="0"/>
        <v>47</v>
      </c>
      <c r="AB1" s="89">
        <f t="shared" si="0"/>
        <v>47</v>
      </c>
      <c r="AC1" s="89">
        <f t="shared" si="0"/>
        <v>47</v>
      </c>
      <c r="AD1" s="89">
        <f t="shared" si="0"/>
        <v>47</v>
      </c>
      <c r="AE1" s="89">
        <f t="shared" si="0"/>
        <v>47</v>
      </c>
      <c r="AF1" s="89">
        <f t="shared" si="0"/>
        <v>47</v>
      </c>
      <c r="AG1" s="89">
        <f t="shared" si="0"/>
        <v>47</v>
      </c>
      <c r="AH1" s="89">
        <f t="shared" si="0"/>
        <v>47</v>
      </c>
      <c r="AI1" s="89">
        <f t="shared" si="0"/>
        <v>47</v>
      </c>
      <c r="AJ1" s="89">
        <f t="shared" si="0"/>
        <v>47</v>
      </c>
      <c r="AK1" s="89">
        <f t="shared" si="0"/>
        <v>47</v>
      </c>
      <c r="AL1" s="89">
        <f t="shared" si="0"/>
        <v>47</v>
      </c>
      <c r="AM1" s="89">
        <f t="shared" si="0"/>
        <v>48</v>
      </c>
      <c r="AN1" s="89">
        <f t="shared" si="0"/>
        <v>48</v>
      </c>
      <c r="AO1" s="89">
        <f t="shared" si="0"/>
        <v>48</v>
      </c>
      <c r="AP1" s="89">
        <f t="shared" si="0"/>
        <v>48</v>
      </c>
      <c r="AQ1" s="89">
        <f t="shared" si="0"/>
        <v>48</v>
      </c>
      <c r="AR1" s="89">
        <f t="shared" si="0"/>
        <v>48</v>
      </c>
      <c r="AS1" s="89">
        <f t="shared" si="0"/>
        <v>48</v>
      </c>
      <c r="AT1" s="89">
        <f t="shared" si="0"/>
        <v>48</v>
      </c>
      <c r="AU1" s="89">
        <f t="shared" si="0"/>
        <v>48</v>
      </c>
      <c r="AV1" s="89">
        <f t="shared" si="0"/>
        <v>48</v>
      </c>
      <c r="AW1" s="89">
        <f t="shared" si="0"/>
        <v>48</v>
      </c>
      <c r="AX1" s="89">
        <f t="shared" si="0"/>
        <v>48</v>
      </c>
      <c r="AY1" s="89">
        <f t="shared" si="0"/>
        <v>49</v>
      </c>
      <c r="AZ1" s="89">
        <f t="shared" si="0"/>
        <v>49</v>
      </c>
      <c r="BA1" s="89">
        <f t="shared" si="0"/>
        <v>49</v>
      </c>
      <c r="BB1" s="89">
        <f t="shared" si="0"/>
        <v>49</v>
      </c>
      <c r="BC1" s="89">
        <f t="shared" si="0"/>
        <v>49</v>
      </c>
      <c r="BD1" s="89">
        <f t="shared" si="0"/>
        <v>49</v>
      </c>
      <c r="BE1" s="89">
        <f t="shared" si="0"/>
        <v>49</v>
      </c>
      <c r="BF1" s="89">
        <f t="shared" si="0"/>
        <v>49</v>
      </c>
      <c r="BG1" s="89">
        <f t="shared" si="0"/>
        <v>49</v>
      </c>
      <c r="BH1" s="89">
        <f t="shared" si="0"/>
        <v>49</v>
      </c>
      <c r="BI1" s="89">
        <f t="shared" si="0"/>
        <v>49</v>
      </c>
      <c r="BJ1" s="89">
        <f t="shared" si="0"/>
        <v>49</v>
      </c>
      <c r="BK1" s="89">
        <f t="shared" si="0"/>
        <v>50</v>
      </c>
      <c r="BL1" s="89">
        <f t="shared" si="0"/>
        <v>50</v>
      </c>
      <c r="BM1" s="89">
        <f t="shared" si="0"/>
        <v>50</v>
      </c>
      <c r="BN1" s="89">
        <f t="shared" si="0"/>
        <v>50</v>
      </c>
      <c r="BO1" s="89">
        <f t="shared" si="0"/>
        <v>50</v>
      </c>
      <c r="BP1" s="89">
        <f t="shared" ref="BP1:EA1" si="1">INT(BP2/12)</f>
        <v>50</v>
      </c>
      <c r="BQ1" s="89">
        <f t="shared" si="1"/>
        <v>50</v>
      </c>
      <c r="BR1" s="89">
        <f t="shared" si="1"/>
        <v>50</v>
      </c>
      <c r="BS1" s="89">
        <f t="shared" si="1"/>
        <v>50</v>
      </c>
      <c r="BT1" s="89">
        <f t="shared" si="1"/>
        <v>50</v>
      </c>
      <c r="BU1" s="89">
        <f t="shared" si="1"/>
        <v>50</v>
      </c>
      <c r="BV1" s="89">
        <f t="shared" si="1"/>
        <v>50</v>
      </c>
      <c r="BW1" s="89">
        <f t="shared" si="1"/>
        <v>51</v>
      </c>
      <c r="BX1" s="89">
        <f t="shared" si="1"/>
        <v>51</v>
      </c>
      <c r="BY1" s="89">
        <f t="shared" si="1"/>
        <v>51</v>
      </c>
      <c r="BZ1" s="89">
        <f t="shared" si="1"/>
        <v>51</v>
      </c>
      <c r="CA1" s="89">
        <f t="shared" si="1"/>
        <v>51</v>
      </c>
      <c r="CB1" s="89">
        <f t="shared" si="1"/>
        <v>51</v>
      </c>
      <c r="CC1" s="89">
        <f t="shared" si="1"/>
        <v>51</v>
      </c>
      <c r="CD1" s="89">
        <f t="shared" si="1"/>
        <v>51</v>
      </c>
      <c r="CE1" s="89">
        <f t="shared" si="1"/>
        <v>51</v>
      </c>
      <c r="CF1" s="89">
        <f t="shared" si="1"/>
        <v>51</v>
      </c>
      <c r="CG1" s="89">
        <f t="shared" si="1"/>
        <v>51</v>
      </c>
      <c r="CH1" s="89">
        <f t="shared" si="1"/>
        <v>51</v>
      </c>
      <c r="CI1" s="89">
        <f t="shared" si="1"/>
        <v>52</v>
      </c>
      <c r="CJ1" s="89">
        <f t="shared" si="1"/>
        <v>52</v>
      </c>
      <c r="CK1" s="89">
        <f t="shared" si="1"/>
        <v>52</v>
      </c>
      <c r="CL1" s="89">
        <f t="shared" si="1"/>
        <v>52</v>
      </c>
      <c r="CM1" s="89">
        <f t="shared" si="1"/>
        <v>52</v>
      </c>
      <c r="CN1" s="89">
        <f t="shared" si="1"/>
        <v>52</v>
      </c>
      <c r="CO1" s="89">
        <f t="shared" si="1"/>
        <v>52</v>
      </c>
      <c r="CP1" s="89">
        <f t="shared" si="1"/>
        <v>52</v>
      </c>
      <c r="CQ1" s="89">
        <f t="shared" si="1"/>
        <v>52</v>
      </c>
      <c r="CR1" s="89">
        <f t="shared" si="1"/>
        <v>52</v>
      </c>
      <c r="CS1" s="89">
        <f t="shared" si="1"/>
        <v>52</v>
      </c>
      <c r="CT1" s="89">
        <f t="shared" si="1"/>
        <v>52</v>
      </c>
      <c r="CU1" s="89">
        <f t="shared" si="1"/>
        <v>53</v>
      </c>
      <c r="CV1" s="89">
        <f t="shared" si="1"/>
        <v>53</v>
      </c>
      <c r="CW1" s="89">
        <f t="shared" si="1"/>
        <v>53</v>
      </c>
      <c r="CX1" s="89">
        <f t="shared" si="1"/>
        <v>53</v>
      </c>
      <c r="CY1" s="89">
        <f t="shared" si="1"/>
        <v>53</v>
      </c>
      <c r="CZ1" s="89">
        <f t="shared" si="1"/>
        <v>53</v>
      </c>
      <c r="DA1" s="89">
        <f t="shared" si="1"/>
        <v>53</v>
      </c>
      <c r="DB1" s="89">
        <f t="shared" si="1"/>
        <v>53</v>
      </c>
      <c r="DC1" s="89">
        <f t="shared" si="1"/>
        <v>53</v>
      </c>
      <c r="DD1" s="89">
        <f t="shared" si="1"/>
        <v>53</v>
      </c>
      <c r="DE1" s="89">
        <f t="shared" si="1"/>
        <v>53</v>
      </c>
      <c r="DF1" s="89">
        <f t="shared" si="1"/>
        <v>53</v>
      </c>
      <c r="DG1" s="89">
        <f t="shared" si="1"/>
        <v>54</v>
      </c>
      <c r="DH1" s="89">
        <f t="shared" si="1"/>
        <v>54</v>
      </c>
      <c r="DI1" s="89">
        <f t="shared" si="1"/>
        <v>54</v>
      </c>
      <c r="DJ1" s="89">
        <f t="shared" si="1"/>
        <v>54</v>
      </c>
      <c r="DK1" s="89">
        <f t="shared" si="1"/>
        <v>54</v>
      </c>
      <c r="DL1" s="89">
        <f t="shared" si="1"/>
        <v>54</v>
      </c>
      <c r="DM1" s="89">
        <f t="shared" si="1"/>
        <v>54</v>
      </c>
      <c r="DN1" s="89">
        <f t="shared" si="1"/>
        <v>54</v>
      </c>
      <c r="DO1" s="89">
        <f t="shared" si="1"/>
        <v>54</v>
      </c>
      <c r="DP1" s="89">
        <f t="shared" si="1"/>
        <v>54</v>
      </c>
      <c r="DQ1" s="89">
        <f t="shared" si="1"/>
        <v>54</v>
      </c>
      <c r="DR1" s="89">
        <f t="shared" si="1"/>
        <v>54</v>
      </c>
      <c r="DS1" s="89">
        <f t="shared" si="1"/>
        <v>55</v>
      </c>
      <c r="DT1" s="89">
        <f t="shared" si="1"/>
        <v>55</v>
      </c>
      <c r="DU1" s="89">
        <f t="shared" si="1"/>
        <v>55</v>
      </c>
      <c r="DV1" s="89">
        <f t="shared" si="1"/>
        <v>55</v>
      </c>
      <c r="DW1" s="89">
        <f t="shared" si="1"/>
        <v>55</v>
      </c>
      <c r="DX1" s="89">
        <f t="shared" si="1"/>
        <v>55</v>
      </c>
      <c r="DY1" s="89">
        <f t="shared" si="1"/>
        <v>55</v>
      </c>
      <c r="DZ1" s="89">
        <f t="shared" si="1"/>
        <v>55</v>
      </c>
      <c r="EA1" s="89">
        <f t="shared" si="1"/>
        <v>55</v>
      </c>
      <c r="EB1" s="89">
        <f t="shared" ref="EB1:GM1" si="2">INT(EB2/12)</f>
        <v>55</v>
      </c>
      <c r="EC1" s="89">
        <f t="shared" si="2"/>
        <v>55</v>
      </c>
      <c r="ED1" s="89">
        <f t="shared" si="2"/>
        <v>55</v>
      </c>
      <c r="EE1" s="89">
        <f t="shared" si="2"/>
        <v>56</v>
      </c>
      <c r="EF1" s="89">
        <f t="shared" si="2"/>
        <v>56</v>
      </c>
      <c r="EG1" s="89">
        <f t="shared" si="2"/>
        <v>56</v>
      </c>
      <c r="EH1" s="89">
        <f t="shared" si="2"/>
        <v>56</v>
      </c>
      <c r="EI1" s="89">
        <f t="shared" si="2"/>
        <v>56</v>
      </c>
      <c r="EJ1" s="89">
        <f t="shared" si="2"/>
        <v>56</v>
      </c>
      <c r="EK1" s="89">
        <f t="shared" si="2"/>
        <v>56</v>
      </c>
      <c r="EL1" s="89">
        <f t="shared" si="2"/>
        <v>56</v>
      </c>
      <c r="EM1" s="89">
        <f t="shared" si="2"/>
        <v>56</v>
      </c>
      <c r="EN1" s="89">
        <f t="shared" si="2"/>
        <v>56</v>
      </c>
      <c r="EO1" s="89">
        <f t="shared" si="2"/>
        <v>56</v>
      </c>
      <c r="EP1" s="89">
        <f t="shared" si="2"/>
        <v>56</v>
      </c>
      <c r="EQ1" s="89">
        <f t="shared" si="2"/>
        <v>57</v>
      </c>
      <c r="ER1" s="89">
        <f t="shared" si="2"/>
        <v>57</v>
      </c>
      <c r="ES1" s="89">
        <f t="shared" si="2"/>
        <v>57</v>
      </c>
      <c r="ET1" s="89">
        <f t="shared" si="2"/>
        <v>57</v>
      </c>
      <c r="EU1" s="89">
        <f t="shared" si="2"/>
        <v>57</v>
      </c>
      <c r="EV1" s="89">
        <f t="shared" si="2"/>
        <v>57</v>
      </c>
      <c r="EW1" s="89">
        <f t="shared" si="2"/>
        <v>57</v>
      </c>
      <c r="EX1" s="89">
        <f t="shared" si="2"/>
        <v>57</v>
      </c>
      <c r="EY1" s="89">
        <f t="shared" si="2"/>
        <v>57</v>
      </c>
      <c r="EZ1" s="89">
        <f t="shared" si="2"/>
        <v>57</v>
      </c>
      <c r="FA1" s="89">
        <f t="shared" si="2"/>
        <v>57</v>
      </c>
      <c r="FB1" s="89">
        <f t="shared" si="2"/>
        <v>57</v>
      </c>
      <c r="FC1" s="89">
        <f t="shared" si="2"/>
        <v>58</v>
      </c>
      <c r="FD1" s="89">
        <f t="shared" si="2"/>
        <v>58</v>
      </c>
      <c r="FE1" s="89">
        <f t="shared" si="2"/>
        <v>58</v>
      </c>
      <c r="FF1" s="89">
        <f t="shared" si="2"/>
        <v>58</v>
      </c>
      <c r="FG1" s="89">
        <f t="shared" si="2"/>
        <v>58</v>
      </c>
      <c r="FH1" s="89">
        <f t="shared" si="2"/>
        <v>58</v>
      </c>
      <c r="FI1" s="89">
        <f t="shared" si="2"/>
        <v>58</v>
      </c>
      <c r="FJ1" s="89">
        <f t="shared" si="2"/>
        <v>58</v>
      </c>
      <c r="FK1" s="89">
        <f t="shared" si="2"/>
        <v>58</v>
      </c>
      <c r="FL1" s="89">
        <f t="shared" si="2"/>
        <v>58</v>
      </c>
      <c r="FM1" s="89">
        <f t="shared" si="2"/>
        <v>58</v>
      </c>
      <c r="FN1" s="89">
        <f t="shared" si="2"/>
        <v>58</v>
      </c>
      <c r="FO1" s="89">
        <f t="shared" si="2"/>
        <v>59</v>
      </c>
      <c r="FP1" s="89">
        <f t="shared" si="2"/>
        <v>59</v>
      </c>
      <c r="FQ1" s="89">
        <f t="shared" si="2"/>
        <v>59</v>
      </c>
      <c r="FR1" s="89">
        <f t="shared" si="2"/>
        <v>59</v>
      </c>
      <c r="FS1" s="89">
        <f t="shared" si="2"/>
        <v>59</v>
      </c>
      <c r="FT1" s="89">
        <f t="shared" si="2"/>
        <v>59</v>
      </c>
      <c r="FU1" s="89">
        <f t="shared" si="2"/>
        <v>59</v>
      </c>
      <c r="FV1" s="89">
        <f t="shared" si="2"/>
        <v>59</v>
      </c>
      <c r="FW1" s="89">
        <f t="shared" si="2"/>
        <v>59</v>
      </c>
      <c r="FX1" s="89">
        <f t="shared" si="2"/>
        <v>59</v>
      </c>
      <c r="FY1" s="89">
        <f t="shared" si="2"/>
        <v>59</v>
      </c>
      <c r="FZ1" s="89">
        <f t="shared" si="2"/>
        <v>59</v>
      </c>
      <c r="GA1" s="89">
        <f t="shared" si="2"/>
        <v>60</v>
      </c>
      <c r="GB1" s="89">
        <f t="shared" si="2"/>
        <v>60</v>
      </c>
      <c r="GC1" s="89">
        <f t="shared" si="2"/>
        <v>60</v>
      </c>
      <c r="GD1" s="89">
        <f t="shared" si="2"/>
        <v>60</v>
      </c>
      <c r="GE1" s="89">
        <f t="shared" si="2"/>
        <v>60</v>
      </c>
      <c r="GF1" s="89">
        <f t="shared" si="2"/>
        <v>60</v>
      </c>
      <c r="GG1" s="89">
        <f t="shared" si="2"/>
        <v>60</v>
      </c>
      <c r="GH1" s="89">
        <f t="shared" si="2"/>
        <v>60</v>
      </c>
      <c r="GI1" s="89">
        <f t="shared" si="2"/>
        <v>60</v>
      </c>
      <c r="GJ1" s="89">
        <f t="shared" si="2"/>
        <v>60</v>
      </c>
      <c r="GK1" s="89">
        <f t="shared" si="2"/>
        <v>60</v>
      </c>
      <c r="GL1" s="89">
        <f t="shared" si="2"/>
        <v>60</v>
      </c>
      <c r="GM1" s="89">
        <f t="shared" si="2"/>
        <v>61</v>
      </c>
      <c r="GN1" s="89">
        <f t="shared" ref="GN1:IY1" si="3">INT(GN2/12)</f>
        <v>61</v>
      </c>
      <c r="GO1" s="89">
        <f t="shared" si="3"/>
        <v>61</v>
      </c>
      <c r="GP1" s="89">
        <f t="shared" si="3"/>
        <v>61</v>
      </c>
      <c r="GQ1" s="89">
        <f t="shared" si="3"/>
        <v>61</v>
      </c>
      <c r="GR1" s="89">
        <f t="shared" si="3"/>
        <v>61</v>
      </c>
      <c r="GS1" s="89">
        <f t="shared" si="3"/>
        <v>61</v>
      </c>
      <c r="GT1" s="89">
        <f t="shared" si="3"/>
        <v>61</v>
      </c>
      <c r="GU1" s="89">
        <f t="shared" si="3"/>
        <v>61</v>
      </c>
      <c r="GV1" s="89">
        <f t="shared" si="3"/>
        <v>61</v>
      </c>
      <c r="GW1" s="89">
        <f t="shared" si="3"/>
        <v>61</v>
      </c>
      <c r="GX1" s="89">
        <f t="shared" si="3"/>
        <v>61</v>
      </c>
      <c r="GY1" s="89">
        <f t="shared" si="3"/>
        <v>62</v>
      </c>
      <c r="GZ1" s="89">
        <f t="shared" si="3"/>
        <v>62</v>
      </c>
      <c r="HA1" s="89">
        <f t="shared" si="3"/>
        <v>62</v>
      </c>
      <c r="HB1" s="89">
        <f t="shared" si="3"/>
        <v>62</v>
      </c>
      <c r="HC1" s="89">
        <f t="shared" si="3"/>
        <v>62</v>
      </c>
      <c r="HD1" s="89">
        <f t="shared" si="3"/>
        <v>62</v>
      </c>
      <c r="HE1" s="89">
        <f t="shared" si="3"/>
        <v>62</v>
      </c>
      <c r="HF1" s="89">
        <f t="shared" si="3"/>
        <v>62</v>
      </c>
      <c r="HG1" s="89">
        <f t="shared" si="3"/>
        <v>62</v>
      </c>
      <c r="HH1" s="89">
        <f t="shared" si="3"/>
        <v>62</v>
      </c>
      <c r="HI1" s="89">
        <f t="shared" si="3"/>
        <v>62</v>
      </c>
      <c r="HJ1" s="89">
        <f t="shared" si="3"/>
        <v>62</v>
      </c>
      <c r="HK1" s="89">
        <f t="shared" si="3"/>
        <v>63</v>
      </c>
      <c r="HL1" s="89">
        <f t="shared" si="3"/>
        <v>63</v>
      </c>
      <c r="HM1" s="89">
        <f t="shared" si="3"/>
        <v>63</v>
      </c>
      <c r="HN1" s="89">
        <f t="shared" si="3"/>
        <v>63</v>
      </c>
      <c r="HO1" s="89">
        <f t="shared" si="3"/>
        <v>63</v>
      </c>
      <c r="HP1" s="89">
        <f t="shared" si="3"/>
        <v>63</v>
      </c>
      <c r="HQ1" s="89">
        <f t="shared" si="3"/>
        <v>63</v>
      </c>
      <c r="HR1" s="89">
        <f t="shared" si="3"/>
        <v>63</v>
      </c>
      <c r="HS1" s="89">
        <f t="shared" si="3"/>
        <v>63</v>
      </c>
      <c r="HT1" s="89">
        <f t="shared" si="3"/>
        <v>63</v>
      </c>
      <c r="HU1" s="89">
        <f t="shared" si="3"/>
        <v>63</v>
      </c>
      <c r="HV1" s="89">
        <f t="shared" si="3"/>
        <v>63</v>
      </c>
      <c r="HW1" s="89">
        <f t="shared" si="3"/>
        <v>64</v>
      </c>
      <c r="HX1" s="89">
        <f t="shared" si="3"/>
        <v>64</v>
      </c>
      <c r="HY1" s="89">
        <f t="shared" si="3"/>
        <v>64</v>
      </c>
      <c r="HZ1" s="89">
        <f t="shared" si="3"/>
        <v>64</v>
      </c>
      <c r="IA1" s="89">
        <f t="shared" si="3"/>
        <v>64</v>
      </c>
      <c r="IB1" s="89">
        <f t="shared" si="3"/>
        <v>64</v>
      </c>
      <c r="IC1" s="89">
        <f t="shared" si="3"/>
        <v>64</v>
      </c>
      <c r="ID1" s="89">
        <f t="shared" si="3"/>
        <v>64</v>
      </c>
      <c r="IE1" s="89">
        <f t="shared" si="3"/>
        <v>64</v>
      </c>
      <c r="IF1" s="89">
        <f t="shared" si="3"/>
        <v>64</v>
      </c>
      <c r="IG1" s="89">
        <f t="shared" si="3"/>
        <v>64</v>
      </c>
      <c r="IH1" s="89">
        <f t="shared" si="3"/>
        <v>64</v>
      </c>
      <c r="II1" s="89">
        <f t="shared" si="3"/>
        <v>65</v>
      </c>
      <c r="IJ1" s="89">
        <f t="shared" si="3"/>
        <v>65</v>
      </c>
      <c r="IK1" s="89">
        <f t="shared" si="3"/>
        <v>65</v>
      </c>
      <c r="IL1" s="89">
        <f t="shared" si="3"/>
        <v>65</v>
      </c>
      <c r="IM1" s="89">
        <f t="shared" si="3"/>
        <v>65</v>
      </c>
      <c r="IN1" s="89">
        <f t="shared" si="3"/>
        <v>65</v>
      </c>
      <c r="IO1" s="89">
        <f t="shared" si="3"/>
        <v>65</v>
      </c>
      <c r="IP1" s="89">
        <f t="shared" si="3"/>
        <v>65</v>
      </c>
      <c r="IQ1" s="89">
        <f t="shared" si="3"/>
        <v>65</v>
      </c>
      <c r="IR1" s="89">
        <f t="shared" si="3"/>
        <v>65</v>
      </c>
      <c r="IS1" s="89">
        <f t="shared" si="3"/>
        <v>65</v>
      </c>
      <c r="IT1" s="89">
        <f t="shared" si="3"/>
        <v>65</v>
      </c>
      <c r="IU1" s="89">
        <f t="shared" si="3"/>
        <v>66</v>
      </c>
      <c r="IV1" s="89">
        <f t="shared" si="3"/>
        <v>66</v>
      </c>
      <c r="IW1" s="89">
        <f t="shared" si="3"/>
        <v>66</v>
      </c>
      <c r="IX1" s="89">
        <f t="shared" si="3"/>
        <v>66</v>
      </c>
      <c r="IY1" s="89">
        <f t="shared" si="3"/>
        <v>66</v>
      </c>
      <c r="IZ1" s="89">
        <f t="shared" ref="IZ1:LB1" si="4">INT(IZ2/12)</f>
        <v>66</v>
      </c>
      <c r="JA1" s="89">
        <f t="shared" si="4"/>
        <v>66</v>
      </c>
      <c r="JB1" s="89">
        <f t="shared" si="4"/>
        <v>66</v>
      </c>
      <c r="JC1" s="89">
        <f t="shared" si="4"/>
        <v>66</v>
      </c>
      <c r="JD1" s="89">
        <f t="shared" si="4"/>
        <v>66</v>
      </c>
      <c r="JE1" s="89">
        <f t="shared" si="4"/>
        <v>66</v>
      </c>
      <c r="JF1" s="89">
        <f t="shared" si="4"/>
        <v>66</v>
      </c>
      <c r="JG1" s="89">
        <f t="shared" si="4"/>
        <v>67</v>
      </c>
      <c r="JH1" s="89">
        <f t="shared" si="4"/>
        <v>67</v>
      </c>
      <c r="JI1" s="89">
        <f t="shared" si="4"/>
        <v>67</v>
      </c>
      <c r="JJ1" s="89">
        <f t="shared" si="4"/>
        <v>67</v>
      </c>
      <c r="JK1" s="89">
        <f t="shared" si="4"/>
        <v>67</v>
      </c>
      <c r="JL1" s="89">
        <f t="shared" si="4"/>
        <v>67</v>
      </c>
      <c r="JM1" s="89">
        <f t="shared" si="4"/>
        <v>67</v>
      </c>
      <c r="JN1" s="89">
        <f t="shared" si="4"/>
        <v>67</v>
      </c>
      <c r="JO1" s="89">
        <f t="shared" si="4"/>
        <v>67</v>
      </c>
      <c r="JP1" s="89">
        <f t="shared" si="4"/>
        <v>67</v>
      </c>
      <c r="JQ1" s="89">
        <f t="shared" si="4"/>
        <v>67</v>
      </c>
      <c r="JR1" s="89">
        <f t="shared" si="4"/>
        <v>67</v>
      </c>
      <c r="JS1" s="89">
        <f t="shared" si="4"/>
        <v>68</v>
      </c>
      <c r="JT1" s="89">
        <f t="shared" si="4"/>
        <v>68</v>
      </c>
      <c r="JU1" s="89">
        <f t="shared" si="4"/>
        <v>68</v>
      </c>
      <c r="JV1" s="89">
        <f t="shared" si="4"/>
        <v>68</v>
      </c>
      <c r="JW1" s="89">
        <f t="shared" si="4"/>
        <v>68</v>
      </c>
      <c r="JX1" s="89">
        <f t="shared" si="4"/>
        <v>68</v>
      </c>
      <c r="JY1" s="89">
        <f t="shared" si="4"/>
        <v>68</v>
      </c>
      <c r="JZ1" s="89">
        <f t="shared" si="4"/>
        <v>68</v>
      </c>
      <c r="KA1" s="89">
        <f t="shared" si="4"/>
        <v>68</v>
      </c>
      <c r="KB1" s="89">
        <f t="shared" si="4"/>
        <v>68</v>
      </c>
      <c r="KC1" s="89">
        <f t="shared" si="4"/>
        <v>68</v>
      </c>
      <c r="KD1" s="89">
        <f t="shared" si="4"/>
        <v>68</v>
      </c>
      <c r="KE1" s="89">
        <f t="shared" si="4"/>
        <v>69</v>
      </c>
      <c r="KF1" s="89">
        <f t="shared" si="4"/>
        <v>69</v>
      </c>
      <c r="KG1" s="89">
        <f t="shared" si="4"/>
        <v>69</v>
      </c>
      <c r="KH1" s="89">
        <f t="shared" si="4"/>
        <v>69</v>
      </c>
      <c r="KI1" s="89">
        <f t="shared" si="4"/>
        <v>69</v>
      </c>
      <c r="KJ1" s="89">
        <f t="shared" si="4"/>
        <v>69</v>
      </c>
      <c r="KK1" s="89">
        <f t="shared" si="4"/>
        <v>69</v>
      </c>
      <c r="KL1" s="89">
        <f t="shared" si="4"/>
        <v>69</v>
      </c>
      <c r="KM1" s="89">
        <f t="shared" si="4"/>
        <v>69</v>
      </c>
      <c r="KN1" s="89">
        <f t="shared" si="4"/>
        <v>69</v>
      </c>
      <c r="KO1" s="89">
        <f t="shared" si="4"/>
        <v>69</v>
      </c>
      <c r="KP1" s="89">
        <f t="shared" si="4"/>
        <v>69</v>
      </c>
      <c r="KQ1" s="89">
        <f t="shared" si="4"/>
        <v>70</v>
      </c>
      <c r="KR1" s="89">
        <f t="shared" si="4"/>
        <v>70</v>
      </c>
      <c r="KS1" s="89">
        <f t="shared" si="4"/>
        <v>70</v>
      </c>
      <c r="KT1" s="89">
        <f t="shared" si="4"/>
        <v>70</v>
      </c>
      <c r="KU1" s="89">
        <f t="shared" si="4"/>
        <v>70</v>
      </c>
      <c r="KV1" s="89">
        <f t="shared" si="4"/>
        <v>70</v>
      </c>
      <c r="KW1" s="89">
        <f t="shared" si="4"/>
        <v>70</v>
      </c>
      <c r="KX1" s="89">
        <f t="shared" si="4"/>
        <v>70</v>
      </c>
      <c r="KY1" s="89">
        <f t="shared" si="4"/>
        <v>70</v>
      </c>
      <c r="KZ1" s="89">
        <f t="shared" si="4"/>
        <v>70</v>
      </c>
      <c r="LA1" s="89">
        <f t="shared" si="4"/>
        <v>70</v>
      </c>
      <c r="LB1" s="89">
        <f t="shared" si="4"/>
        <v>70</v>
      </c>
      <c r="LC1" s="89">
        <f>INT(LC2/12)</f>
        <v>71</v>
      </c>
      <c r="LD1" s="89">
        <f>INT(LD2/12)</f>
        <v>71</v>
      </c>
      <c r="LE1" s="89">
        <f t="shared" ref="LE1:NJ1" si="5">INT(LE2/12)</f>
        <v>71</v>
      </c>
      <c r="LF1" s="89">
        <f t="shared" si="5"/>
        <v>71</v>
      </c>
      <c r="LG1" s="89">
        <f t="shared" si="5"/>
        <v>71</v>
      </c>
      <c r="LH1" s="89">
        <f t="shared" si="5"/>
        <v>71</v>
      </c>
      <c r="LI1" s="89">
        <f t="shared" si="5"/>
        <v>71</v>
      </c>
      <c r="LJ1" s="89">
        <f t="shared" si="5"/>
        <v>71</v>
      </c>
      <c r="LK1" s="89">
        <f t="shared" si="5"/>
        <v>71</v>
      </c>
      <c r="LL1" s="89">
        <f t="shared" si="5"/>
        <v>71</v>
      </c>
      <c r="LM1" s="89">
        <f t="shared" si="5"/>
        <v>71</v>
      </c>
      <c r="LN1" s="89">
        <f t="shared" si="5"/>
        <v>71</v>
      </c>
      <c r="LO1" s="89">
        <f t="shared" si="5"/>
        <v>72</v>
      </c>
      <c r="LP1" s="89">
        <f t="shared" si="5"/>
        <v>72</v>
      </c>
      <c r="LQ1" s="89">
        <f t="shared" si="5"/>
        <v>72</v>
      </c>
      <c r="LR1" s="89">
        <f t="shared" si="5"/>
        <v>72</v>
      </c>
      <c r="LS1" s="89">
        <f t="shared" si="5"/>
        <v>72</v>
      </c>
      <c r="LT1" s="89">
        <f t="shared" si="5"/>
        <v>72</v>
      </c>
      <c r="LU1" s="89">
        <f t="shared" si="5"/>
        <v>72</v>
      </c>
      <c r="LV1" s="89">
        <f t="shared" si="5"/>
        <v>72</v>
      </c>
      <c r="LW1" s="89">
        <f t="shared" si="5"/>
        <v>72</v>
      </c>
      <c r="LX1" s="89">
        <f t="shared" si="5"/>
        <v>72</v>
      </c>
      <c r="LY1" s="89">
        <f t="shared" si="5"/>
        <v>72</v>
      </c>
      <c r="LZ1" s="89">
        <f t="shared" si="5"/>
        <v>72</v>
      </c>
      <c r="MA1" s="89">
        <f t="shared" si="5"/>
        <v>73</v>
      </c>
      <c r="MB1" s="89">
        <f t="shared" si="5"/>
        <v>73</v>
      </c>
      <c r="MC1" s="89">
        <f t="shared" si="5"/>
        <v>73</v>
      </c>
      <c r="MD1" s="89">
        <f t="shared" si="5"/>
        <v>73</v>
      </c>
      <c r="ME1" s="89">
        <f t="shared" si="5"/>
        <v>73</v>
      </c>
      <c r="MF1" s="89">
        <f t="shared" si="5"/>
        <v>73</v>
      </c>
      <c r="MG1" s="89">
        <f t="shared" si="5"/>
        <v>73</v>
      </c>
      <c r="MH1" s="89">
        <f t="shared" si="5"/>
        <v>73</v>
      </c>
      <c r="MI1" s="89">
        <f t="shared" si="5"/>
        <v>73</v>
      </c>
      <c r="MJ1" s="89">
        <f t="shared" si="5"/>
        <v>73</v>
      </c>
      <c r="MK1" s="89">
        <f t="shared" si="5"/>
        <v>73</v>
      </c>
      <c r="ML1" s="89">
        <f t="shared" si="5"/>
        <v>73</v>
      </c>
      <c r="MM1" s="89">
        <f t="shared" si="5"/>
        <v>74</v>
      </c>
      <c r="MN1" s="89">
        <f t="shared" si="5"/>
        <v>74</v>
      </c>
      <c r="MO1" s="89">
        <f t="shared" si="5"/>
        <v>74</v>
      </c>
      <c r="MP1" s="89">
        <f t="shared" si="5"/>
        <v>74</v>
      </c>
      <c r="MQ1" s="89">
        <f t="shared" si="5"/>
        <v>74</v>
      </c>
      <c r="MR1" s="89">
        <f t="shared" si="5"/>
        <v>74</v>
      </c>
      <c r="MS1" s="89">
        <f t="shared" si="5"/>
        <v>74</v>
      </c>
      <c r="MT1" s="89">
        <f t="shared" si="5"/>
        <v>74</v>
      </c>
      <c r="MU1" s="89">
        <f t="shared" si="5"/>
        <v>74</v>
      </c>
      <c r="MV1" s="89">
        <f t="shared" si="5"/>
        <v>74</v>
      </c>
      <c r="MW1" s="89">
        <f t="shared" si="5"/>
        <v>74</v>
      </c>
      <c r="MX1" s="89">
        <f t="shared" si="5"/>
        <v>74</v>
      </c>
      <c r="MY1" s="89">
        <f t="shared" si="5"/>
        <v>75</v>
      </c>
      <c r="MZ1" s="89">
        <f t="shared" si="5"/>
        <v>75</v>
      </c>
      <c r="NA1" s="89">
        <f t="shared" si="5"/>
        <v>75</v>
      </c>
      <c r="NB1" s="89">
        <f t="shared" si="5"/>
        <v>75</v>
      </c>
      <c r="NC1" s="89">
        <f t="shared" si="5"/>
        <v>75</v>
      </c>
      <c r="ND1" s="89">
        <f t="shared" si="5"/>
        <v>75</v>
      </c>
      <c r="NE1" s="89">
        <f t="shared" si="5"/>
        <v>75</v>
      </c>
      <c r="NF1" s="89">
        <f t="shared" si="5"/>
        <v>75</v>
      </c>
      <c r="NG1" s="89">
        <f t="shared" si="5"/>
        <v>75</v>
      </c>
      <c r="NH1" s="89">
        <f t="shared" si="5"/>
        <v>75</v>
      </c>
      <c r="NI1" s="89">
        <f t="shared" si="5"/>
        <v>75</v>
      </c>
      <c r="NJ1" s="89">
        <f t="shared" si="5"/>
        <v>75</v>
      </c>
      <c r="NK1" s="89"/>
      <c r="NL1" s="89"/>
    </row>
    <row r="2" spans="1:376" ht="16.5" thickBot="1" x14ac:dyDescent="0.3">
      <c r="A2" s="90" t="s">
        <v>2</v>
      </c>
      <c r="B2" s="257"/>
      <c r="C2" s="91">
        <f>45*12</f>
        <v>540</v>
      </c>
      <c r="D2" s="91">
        <f>IF((C2/12)&lt;71,C2+1,0)</f>
        <v>541</v>
      </c>
      <c r="E2" s="91">
        <f t="shared" ref="E2:BP2" si="6">IF((D2/12)&lt;71,D2+1,0)</f>
        <v>542</v>
      </c>
      <c r="F2" s="91">
        <f t="shared" si="6"/>
        <v>543</v>
      </c>
      <c r="G2" s="91">
        <f t="shared" si="6"/>
        <v>544</v>
      </c>
      <c r="H2" s="91">
        <f t="shared" si="6"/>
        <v>545</v>
      </c>
      <c r="I2" s="91">
        <f t="shared" si="6"/>
        <v>546</v>
      </c>
      <c r="J2" s="91">
        <f t="shared" si="6"/>
        <v>547</v>
      </c>
      <c r="K2" s="91">
        <f t="shared" si="6"/>
        <v>548</v>
      </c>
      <c r="L2" s="91">
        <f t="shared" si="6"/>
        <v>549</v>
      </c>
      <c r="M2" s="91">
        <f t="shared" si="6"/>
        <v>550</v>
      </c>
      <c r="N2" s="91">
        <f t="shared" si="6"/>
        <v>551</v>
      </c>
      <c r="O2" s="91">
        <f t="shared" si="6"/>
        <v>552</v>
      </c>
      <c r="P2" s="91">
        <f t="shared" si="6"/>
        <v>553</v>
      </c>
      <c r="Q2" s="91">
        <f t="shared" si="6"/>
        <v>554</v>
      </c>
      <c r="R2" s="91">
        <f t="shared" si="6"/>
        <v>555</v>
      </c>
      <c r="S2" s="91">
        <f t="shared" si="6"/>
        <v>556</v>
      </c>
      <c r="T2" s="91">
        <f t="shared" si="6"/>
        <v>557</v>
      </c>
      <c r="U2" s="91">
        <f t="shared" si="6"/>
        <v>558</v>
      </c>
      <c r="V2" s="91">
        <f t="shared" si="6"/>
        <v>559</v>
      </c>
      <c r="W2" s="91">
        <f t="shared" si="6"/>
        <v>560</v>
      </c>
      <c r="X2" s="91">
        <f t="shared" si="6"/>
        <v>561</v>
      </c>
      <c r="Y2" s="91">
        <f t="shared" si="6"/>
        <v>562</v>
      </c>
      <c r="Z2" s="91">
        <f t="shared" si="6"/>
        <v>563</v>
      </c>
      <c r="AA2" s="91">
        <f t="shared" si="6"/>
        <v>564</v>
      </c>
      <c r="AB2" s="91">
        <f t="shared" si="6"/>
        <v>565</v>
      </c>
      <c r="AC2" s="91">
        <f t="shared" si="6"/>
        <v>566</v>
      </c>
      <c r="AD2" s="91">
        <f t="shared" si="6"/>
        <v>567</v>
      </c>
      <c r="AE2" s="91">
        <f t="shared" si="6"/>
        <v>568</v>
      </c>
      <c r="AF2" s="91">
        <f t="shared" si="6"/>
        <v>569</v>
      </c>
      <c r="AG2" s="91">
        <f t="shared" si="6"/>
        <v>570</v>
      </c>
      <c r="AH2" s="91">
        <f t="shared" si="6"/>
        <v>571</v>
      </c>
      <c r="AI2" s="91">
        <f t="shared" si="6"/>
        <v>572</v>
      </c>
      <c r="AJ2" s="91">
        <f t="shared" si="6"/>
        <v>573</v>
      </c>
      <c r="AK2" s="91">
        <f t="shared" si="6"/>
        <v>574</v>
      </c>
      <c r="AL2" s="91">
        <f t="shared" si="6"/>
        <v>575</v>
      </c>
      <c r="AM2" s="91">
        <f t="shared" si="6"/>
        <v>576</v>
      </c>
      <c r="AN2" s="91">
        <f t="shared" si="6"/>
        <v>577</v>
      </c>
      <c r="AO2" s="91">
        <f t="shared" si="6"/>
        <v>578</v>
      </c>
      <c r="AP2" s="91">
        <f t="shared" si="6"/>
        <v>579</v>
      </c>
      <c r="AQ2" s="91">
        <f t="shared" si="6"/>
        <v>580</v>
      </c>
      <c r="AR2" s="91">
        <f t="shared" si="6"/>
        <v>581</v>
      </c>
      <c r="AS2" s="91">
        <f t="shared" si="6"/>
        <v>582</v>
      </c>
      <c r="AT2" s="91">
        <f t="shared" si="6"/>
        <v>583</v>
      </c>
      <c r="AU2" s="91">
        <f t="shared" si="6"/>
        <v>584</v>
      </c>
      <c r="AV2" s="91">
        <f t="shared" si="6"/>
        <v>585</v>
      </c>
      <c r="AW2" s="91">
        <f t="shared" si="6"/>
        <v>586</v>
      </c>
      <c r="AX2" s="91">
        <f t="shared" si="6"/>
        <v>587</v>
      </c>
      <c r="AY2" s="91">
        <f t="shared" si="6"/>
        <v>588</v>
      </c>
      <c r="AZ2" s="91">
        <f t="shared" si="6"/>
        <v>589</v>
      </c>
      <c r="BA2" s="91">
        <f t="shared" si="6"/>
        <v>590</v>
      </c>
      <c r="BB2" s="91">
        <f t="shared" si="6"/>
        <v>591</v>
      </c>
      <c r="BC2" s="91">
        <f t="shared" si="6"/>
        <v>592</v>
      </c>
      <c r="BD2" s="91">
        <f t="shared" si="6"/>
        <v>593</v>
      </c>
      <c r="BE2" s="91">
        <f t="shared" si="6"/>
        <v>594</v>
      </c>
      <c r="BF2" s="91">
        <f t="shared" si="6"/>
        <v>595</v>
      </c>
      <c r="BG2" s="91">
        <f t="shared" si="6"/>
        <v>596</v>
      </c>
      <c r="BH2" s="91">
        <f t="shared" si="6"/>
        <v>597</v>
      </c>
      <c r="BI2" s="91">
        <f t="shared" si="6"/>
        <v>598</v>
      </c>
      <c r="BJ2" s="91">
        <f t="shared" si="6"/>
        <v>599</v>
      </c>
      <c r="BK2" s="91">
        <f t="shared" si="6"/>
        <v>600</v>
      </c>
      <c r="BL2" s="91">
        <f t="shared" si="6"/>
        <v>601</v>
      </c>
      <c r="BM2" s="91">
        <f t="shared" si="6"/>
        <v>602</v>
      </c>
      <c r="BN2" s="91">
        <f t="shared" si="6"/>
        <v>603</v>
      </c>
      <c r="BO2" s="91">
        <f t="shared" si="6"/>
        <v>604</v>
      </c>
      <c r="BP2" s="91">
        <f t="shared" si="6"/>
        <v>605</v>
      </c>
      <c r="BQ2" s="91">
        <f t="shared" ref="BQ2:EB2" si="7">IF((BP2/12)&lt;71,BP2+1,0)</f>
        <v>606</v>
      </c>
      <c r="BR2" s="91">
        <f t="shared" si="7"/>
        <v>607</v>
      </c>
      <c r="BS2" s="91">
        <f t="shared" si="7"/>
        <v>608</v>
      </c>
      <c r="BT2" s="91">
        <f t="shared" si="7"/>
        <v>609</v>
      </c>
      <c r="BU2" s="91">
        <f t="shared" si="7"/>
        <v>610</v>
      </c>
      <c r="BV2" s="91">
        <f t="shared" si="7"/>
        <v>611</v>
      </c>
      <c r="BW2" s="91">
        <f t="shared" si="7"/>
        <v>612</v>
      </c>
      <c r="BX2" s="91">
        <f t="shared" si="7"/>
        <v>613</v>
      </c>
      <c r="BY2" s="91">
        <f t="shared" si="7"/>
        <v>614</v>
      </c>
      <c r="BZ2" s="91">
        <f t="shared" si="7"/>
        <v>615</v>
      </c>
      <c r="CA2" s="91">
        <f t="shared" si="7"/>
        <v>616</v>
      </c>
      <c r="CB2" s="91">
        <f t="shared" si="7"/>
        <v>617</v>
      </c>
      <c r="CC2" s="91">
        <f t="shared" si="7"/>
        <v>618</v>
      </c>
      <c r="CD2" s="91">
        <f t="shared" si="7"/>
        <v>619</v>
      </c>
      <c r="CE2" s="91">
        <f t="shared" si="7"/>
        <v>620</v>
      </c>
      <c r="CF2" s="91">
        <f t="shared" si="7"/>
        <v>621</v>
      </c>
      <c r="CG2" s="91">
        <f t="shared" si="7"/>
        <v>622</v>
      </c>
      <c r="CH2" s="91">
        <f t="shared" si="7"/>
        <v>623</v>
      </c>
      <c r="CI2" s="91">
        <f t="shared" si="7"/>
        <v>624</v>
      </c>
      <c r="CJ2" s="91">
        <f t="shared" si="7"/>
        <v>625</v>
      </c>
      <c r="CK2" s="91">
        <f t="shared" si="7"/>
        <v>626</v>
      </c>
      <c r="CL2" s="91">
        <f t="shared" si="7"/>
        <v>627</v>
      </c>
      <c r="CM2" s="91">
        <f t="shared" si="7"/>
        <v>628</v>
      </c>
      <c r="CN2" s="91">
        <f t="shared" si="7"/>
        <v>629</v>
      </c>
      <c r="CO2" s="91">
        <f t="shared" si="7"/>
        <v>630</v>
      </c>
      <c r="CP2" s="91">
        <f t="shared" si="7"/>
        <v>631</v>
      </c>
      <c r="CQ2" s="91">
        <f t="shared" si="7"/>
        <v>632</v>
      </c>
      <c r="CR2" s="91">
        <f t="shared" si="7"/>
        <v>633</v>
      </c>
      <c r="CS2" s="91">
        <f t="shared" si="7"/>
        <v>634</v>
      </c>
      <c r="CT2" s="91">
        <f t="shared" si="7"/>
        <v>635</v>
      </c>
      <c r="CU2" s="91">
        <f t="shared" si="7"/>
        <v>636</v>
      </c>
      <c r="CV2" s="91">
        <f t="shared" si="7"/>
        <v>637</v>
      </c>
      <c r="CW2" s="91">
        <f t="shared" si="7"/>
        <v>638</v>
      </c>
      <c r="CX2" s="91">
        <f t="shared" si="7"/>
        <v>639</v>
      </c>
      <c r="CY2" s="91">
        <f t="shared" si="7"/>
        <v>640</v>
      </c>
      <c r="CZ2" s="91">
        <f t="shared" si="7"/>
        <v>641</v>
      </c>
      <c r="DA2" s="91">
        <f t="shared" si="7"/>
        <v>642</v>
      </c>
      <c r="DB2" s="91">
        <f t="shared" si="7"/>
        <v>643</v>
      </c>
      <c r="DC2" s="91">
        <f t="shared" si="7"/>
        <v>644</v>
      </c>
      <c r="DD2" s="91">
        <f t="shared" si="7"/>
        <v>645</v>
      </c>
      <c r="DE2" s="91">
        <f t="shared" si="7"/>
        <v>646</v>
      </c>
      <c r="DF2" s="91">
        <f t="shared" si="7"/>
        <v>647</v>
      </c>
      <c r="DG2" s="91">
        <f t="shared" si="7"/>
        <v>648</v>
      </c>
      <c r="DH2" s="91">
        <f t="shared" si="7"/>
        <v>649</v>
      </c>
      <c r="DI2" s="91">
        <f t="shared" si="7"/>
        <v>650</v>
      </c>
      <c r="DJ2" s="91">
        <f t="shared" si="7"/>
        <v>651</v>
      </c>
      <c r="DK2" s="91">
        <f t="shared" si="7"/>
        <v>652</v>
      </c>
      <c r="DL2" s="91">
        <f t="shared" si="7"/>
        <v>653</v>
      </c>
      <c r="DM2" s="91">
        <f t="shared" si="7"/>
        <v>654</v>
      </c>
      <c r="DN2" s="91">
        <f t="shared" si="7"/>
        <v>655</v>
      </c>
      <c r="DO2" s="91">
        <f t="shared" si="7"/>
        <v>656</v>
      </c>
      <c r="DP2" s="91">
        <f t="shared" si="7"/>
        <v>657</v>
      </c>
      <c r="DQ2" s="91">
        <f t="shared" si="7"/>
        <v>658</v>
      </c>
      <c r="DR2" s="91">
        <f t="shared" si="7"/>
        <v>659</v>
      </c>
      <c r="DS2" s="91">
        <f t="shared" si="7"/>
        <v>660</v>
      </c>
      <c r="DT2" s="91">
        <f t="shared" si="7"/>
        <v>661</v>
      </c>
      <c r="DU2" s="91">
        <f t="shared" si="7"/>
        <v>662</v>
      </c>
      <c r="DV2" s="91">
        <f t="shared" si="7"/>
        <v>663</v>
      </c>
      <c r="DW2" s="91">
        <f t="shared" si="7"/>
        <v>664</v>
      </c>
      <c r="DX2" s="91">
        <f t="shared" si="7"/>
        <v>665</v>
      </c>
      <c r="DY2" s="91">
        <f t="shared" si="7"/>
        <v>666</v>
      </c>
      <c r="DZ2" s="91">
        <f t="shared" si="7"/>
        <v>667</v>
      </c>
      <c r="EA2" s="91">
        <f t="shared" si="7"/>
        <v>668</v>
      </c>
      <c r="EB2" s="91">
        <f t="shared" si="7"/>
        <v>669</v>
      </c>
      <c r="EC2" s="91">
        <f t="shared" ref="EC2:GN2" si="8">IF((EB2/12)&lt;71,EB2+1,0)</f>
        <v>670</v>
      </c>
      <c r="ED2" s="91">
        <f t="shared" si="8"/>
        <v>671</v>
      </c>
      <c r="EE2" s="91">
        <f t="shared" si="8"/>
        <v>672</v>
      </c>
      <c r="EF2" s="91">
        <f t="shared" si="8"/>
        <v>673</v>
      </c>
      <c r="EG2" s="91">
        <f t="shared" si="8"/>
        <v>674</v>
      </c>
      <c r="EH2" s="91">
        <f t="shared" si="8"/>
        <v>675</v>
      </c>
      <c r="EI2" s="91">
        <f t="shared" si="8"/>
        <v>676</v>
      </c>
      <c r="EJ2" s="91">
        <f t="shared" si="8"/>
        <v>677</v>
      </c>
      <c r="EK2" s="91">
        <f t="shared" si="8"/>
        <v>678</v>
      </c>
      <c r="EL2" s="91">
        <f t="shared" si="8"/>
        <v>679</v>
      </c>
      <c r="EM2" s="91">
        <f t="shared" si="8"/>
        <v>680</v>
      </c>
      <c r="EN2" s="91">
        <f t="shared" si="8"/>
        <v>681</v>
      </c>
      <c r="EO2" s="91">
        <f t="shared" si="8"/>
        <v>682</v>
      </c>
      <c r="EP2" s="91">
        <f t="shared" si="8"/>
        <v>683</v>
      </c>
      <c r="EQ2" s="91">
        <f t="shared" si="8"/>
        <v>684</v>
      </c>
      <c r="ER2" s="91">
        <f t="shared" si="8"/>
        <v>685</v>
      </c>
      <c r="ES2" s="91">
        <f t="shared" si="8"/>
        <v>686</v>
      </c>
      <c r="ET2" s="91">
        <f t="shared" si="8"/>
        <v>687</v>
      </c>
      <c r="EU2" s="91">
        <f t="shared" si="8"/>
        <v>688</v>
      </c>
      <c r="EV2" s="91">
        <f t="shared" si="8"/>
        <v>689</v>
      </c>
      <c r="EW2" s="91">
        <f t="shared" si="8"/>
        <v>690</v>
      </c>
      <c r="EX2" s="91">
        <f t="shared" si="8"/>
        <v>691</v>
      </c>
      <c r="EY2" s="91">
        <f t="shared" si="8"/>
        <v>692</v>
      </c>
      <c r="EZ2" s="91">
        <f t="shared" si="8"/>
        <v>693</v>
      </c>
      <c r="FA2" s="91">
        <f t="shared" si="8"/>
        <v>694</v>
      </c>
      <c r="FB2" s="91">
        <f t="shared" si="8"/>
        <v>695</v>
      </c>
      <c r="FC2" s="91">
        <f t="shared" si="8"/>
        <v>696</v>
      </c>
      <c r="FD2" s="91">
        <f t="shared" si="8"/>
        <v>697</v>
      </c>
      <c r="FE2" s="91">
        <f t="shared" si="8"/>
        <v>698</v>
      </c>
      <c r="FF2" s="91">
        <f t="shared" si="8"/>
        <v>699</v>
      </c>
      <c r="FG2" s="91">
        <f t="shared" si="8"/>
        <v>700</v>
      </c>
      <c r="FH2" s="91">
        <f t="shared" si="8"/>
        <v>701</v>
      </c>
      <c r="FI2" s="91">
        <f t="shared" si="8"/>
        <v>702</v>
      </c>
      <c r="FJ2" s="91">
        <f t="shared" si="8"/>
        <v>703</v>
      </c>
      <c r="FK2" s="91">
        <f t="shared" si="8"/>
        <v>704</v>
      </c>
      <c r="FL2" s="91">
        <f t="shared" si="8"/>
        <v>705</v>
      </c>
      <c r="FM2" s="91">
        <f t="shared" si="8"/>
        <v>706</v>
      </c>
      <c r="FN2" s="91">
        <f t="shared" si="8"/>
        <v>707</v>
      </c>
      <c r="FO2" s="91">
        <f t="shared" si="8"/>
        <v>708</v>
      </c>
      <c r="FP2" s="91">
        <f t="shared" si="8"/>
        <v>709</v>
      </c>
      <c r="FQ2" s="91">
        <f t="shared" si="8"/>
        <v>710</v>
      </c>
      <c r="FR2" s="91">
        <f t="shared" si="8"/>
        <v>711</v>
      </c>
      <c r="FS2" s="91">
        <f t="shared" si="8"/>
        <v>712</v>
      </c>
      <c r="FT2" s="91">
        <f t="shared" si="8"/>
        <v>713</v>
      </c>
      <c r="FU2" s="91">
        <f t="shared" si="8"/>
        <v>714</v>
      </c>
      <c r="FV2" s="91">
        <f t="shared" si="8"/>
        <v>715</v>
      </c>
      <c r="FW2" s="91">
        <f t="shared" si="8"/>
        <v>716</v>
      </c>
      <c r="FX2" s="91">
        <f t="shared" si="8"/>
        <v>717</v>
      </c>
      <c r="FY2" s="91">
        <f t="shared" si="8"/>
        <v>718</v>
      </c>
      <c r="FZ2" s="91">
        <f t="shared" si="8"/>
        <v>719</v>
      </c>
      <c r="GA2" s="91">
        <f t="shared" si="8"/>
        <v>720</v>
      </c>
      <c r="GB2" s="91">
        <f t="shared" si="8"/>
        <v>721</v>
      </c>
      <c r="GC2" s="91">
        <f t="shared" si="8"/>
        <v>722</v>
      </c>
      <c r="GD2" s="91">
        <f t="shared" si="8"/>
        <v>723</v>
      </c>
      <c r="GE2" s="91">
        <f t="shared" si="8"/>
        <v>724</v>
      </c>
      <c r="GF2" s="91">
        <f t="shared" si="8"/>
        <v>725</v>
      </c>
      <c r="GG2" s="91">
        <f t="shared" si="8"/>
        <v>726</v>
      </c>
      <c r="GH2" s="91">
        <f t="shared" si="8"/>
        <v>727</v>
      </c>
      <c r="GI2" s="91">
        <f t="shared" si="8"/>
        <v>728</v>
      </c>
      <c r="GJ2" s="91">
        <f t="shared" si="8"/>
        <v>729</v>
      </c>
      <c r="GK2" s="91">
        <f t="shared" si="8"/>
        <v>730</v>
      </c>
      <c r="GL2" s="91">
        <f t="shared" si="8"/>
        <v>731</v>
      </c>
      <c r="GM2" s="91">
        <f t="shared" si="8"/>
        <v>732</v>
      </c>
      <c r="GN2" s="91">
        <f t="shared" si="8"/>
        <v>733</v>
      </c>
      <c r="GO2" s="91">
        <f t="shared" ref="GO2:IZ2" si="9">IF((GN2/12)&lt;71,GN2+1,0)</f>
        <v>734</v>
      </c>
      <c r="GP2" s="91">
        <f t="shared" si="9"/>
        <v>735</v>
      </c>
      <c r="GQ2" s="91">
        <f t="shared" si="9"/>
        <v>736</v>
      </c>
      <c r="GR2" s="91">
        <f t="shared" si="9"/>
        <v>737</v>
      </c>
      <c r="GS2" s="91">
        <f t="shared" si="9"/>
        <v>738</v>
      </c>
      <c r="GT2" s="91">
        <f t="shared" si="9"/>
        <v>739</v>
      </c>
      <c r="GU2" s="91">
        <f t="shared" si="9"/>
        <v>740</v>
      </c>
      <c r="GV2" s="91">
        <f t="shared" si="9"/>
        <v>741</v>
      </c>
      <c r="GW2" s="91">
        <f t="shared" si="9"/>
        <v>742</v>
      </c>
      <c r="GX2" s="91">
        <f t="shared" si="9"/>
        <v>743</v>
      </c>
      <c r="GY2" s="91">
        <f t="shared" si="9"/>
        <v>744</v>
      </c>
      <c r="GZ2" s="91">
        <f t="shared" si="9"/>
        <v>745</v>
      </c>
      <c r="HA2" s="91">
        <f t="shared" si="9"/>
        <v>746</v>
      </c>
      <c r="HB2" s="91">
        <f t="shared" si="9"/>
        <v>747</v>
      </c>
      <c r="HC2" s="91">
        <f t="shared" si="9"/>
        <v>748</v>
      </c>
      <c r="HD2" s="91">
        <f t="shared" si="9"/>
        <v>749</v>
      </c>
      <c r="HE2" s="91">
        <f t="shared" si="9"/>
        <v>750</v>
      </c>
      <c r="HF2" s="91">
        <f t="shared" si="9"/>
        <v>751</v>
      </c>
      <c r="HG2" s="91">
        <f t="shared" si="9"/>
        <v>752</v>
      </c>
      <c r="HH2" s="91">
        <f t="shared" si="9"/>
        <v>753</v>
      </c>
      <c r="HI2" s="91">
        <f t="shared" si="9"/>
        <v>754</v>
      </c>
      <c r="HJ2" s="91">
        <f t="shared" si="9"/>
        <v>755</v>
      </c>
      <c r="HK2" s="91">
        <f t="shared" si="9"/>
        <v>756</v>
      </c>
      <c r="HL2" s="91">
        <f t="shared" si="9"/>
        <v>757</v>
      </c>
      <c r="HM2" s="91">
        <f t="shared" si="9"/>
        <v>758</v>
      </c>
      <c r="HN2" s="91">
        <f t="shared" si="9"/>
        <v>759</v>
      </c>
      <c r="HO2" s="91">
        <f t="shared" si="9"/>
        <v>760</v>
      </c>
      <c r="HP2" s="91">
        <f t="shared" si="9"/>
        <v>761</v>
      </c>
      <c r="HQ2" s="91">
        <f t="shared" si="9"/>
        <v>762</v>
      </c>
      <c r="HR2" s="91">
        <f t="shared" si="9"/>
        <v>763</v>
      </c>
      <c r="HS2" s="91">
        <f t="shared" si="9"/>
        <v>764</v>
      </c>
      <c r="HT2" s="91">
        <f t="shared" si="9"/>
        <v>765</v>
      </c>
      <c r="HU2" s="91">
        <f t="shared" si="9"/>
        <v>766</v>
      </c>
      <c r="HV2" s="91">
        <f t="shared" si="9"/>
        <v>767</v>
      </c>
      <c r="HW2" s="91">
        <f t="shared" si="9"/>
        <v>768</v>
      </c>
      <c r="HX2" s="91">
        <f t="shared" si="9"/>
        <v>769</v>
      </c>
      <c r="HY2" s="91">
        <f t="shared" si="9"/>
        <v>770</v>
      </c>
      <c r="HZ2" s="91">
        <f t="shared" si="9"/>
        <v>771</v>
      </c>
      <c r="IA2" s="91">
        <f t="shared" si="9"/>
        <v>772</v>
      </c>
      <c r="IB2" s="91">
        <f t="shared" si="9"/>
        <v>773</v>
      </c>
      <c r="IC2" s="91">
        <f t="shared" si="9"/>
        <v>774</v>
      </c>
      <c r="ID2" s="91">
        <f t="shared" si="9"/>
        <v>775</v>
      </c>
      <c r="IE2" s="91">
        <f t="shared" si="9"/>
        <v>776</v>
      </c>
      <c r="IF2" s="91">
        <f t="shared" si="9"/>
        <v>777</v>
      </c>
      <c r="IG2" s="91">
        <f t="shared" si="9"/>
        <v>778</v>
      </c>
      <c r="IH2" s="91">
        <f t="shared" si="9"/>
        <v>779</v>
      </c>
      <c r="II2" s="91">
        <f t="shared" si="9"/>
        <v>780</v>
      </c>
      <c r="IJ2" s="91">
        <f t="shared" si="9"/>
        <v>781</v>
      </c>
      <c r="IK2" s="91">
        <f t="shared" si="9"/>
        <v>782</v>
      </c>
      <c r="IL2" s="91">
        <f t="shared" si="9"/>
        <v>783</v>
      </c>
      <c r="IM2" s="91">
        <f t="shared" si="9"/>
        <v>784</v>
      </c>
      <c r="IN2" s="91">
        <f t="shared" si="9"/>
        <v>785</v>
      </c>
      <c r="IO2" s="91">
        <f t="shared" si="9"/>
        <v>786</v>
      </c>
      <c r="IP2" s="91">
        <f t="shared" si="9"/>
        <v>787</v>
      </c>
      <c r="IQ2" s="91">
        <f t="shared" si="9"/>
        <v>788</v>
      </c>
      <c r="IR2" s="91">
        <f t="shared" si="9"/>
        <v>789</v>
      </c>
      <c r="IS2" s="91">
        <f t="shared" si="9"/>
        <v>790</v>
      </c>
      <c r="IT2" s="91">
        <f t="shared" si="9"/>
        <v>791</v>
      </c>
      <c r="IU2" s="91">
        <f t="shared" si="9"/>
        <v>792</v>
      </c>
      <c r="IV2" s="91">
        <f t="shared" si="9"/>
        <v>793</v>
      </c>
      <c r="IW2" s="91">
        <f t="shared" si="9"/>
        <v>794</v>
      </c>
      <c r="IX2" s="91">
        <f t="shared" si="9"/>
        <v>795</v>
      </c>
      <c r="IY2" s="91">
        <f t="shared" si="9"/>
        <v>796</v>
      </c>
      <c r="IZ2" s="91">
        <f t="shared" si="9"/>
        <v>797</v>
      </c>
      <c r="JA2" s="91">
        <f t="shared" ref="JA2:LB2" si="10">IF((IZ2/12)&lt;71,IZ2+1,0)</f>
        <v>798</v>
      </c>
      <c r="JB2" s="91">
        <f t="shared" si="10"/>
        <v>799</v>
      </c>
      <c r="JC2" s="91">
        <f t="shared" si="10"/>
        <v>800</v>
      </c>
      <c r="JD2" s="91">
        <f t="shared" si="10"/>
        <v>801</v>
      </c>
      <c r="JE2" s="91">
        <f t="shared" si="10"/>
        <v>802</v>
      </c>
      <c r="JF2" s="91">
        <f t="shared" si="10"/>
        <v>803</v>
      </c>
      <c r="JG2" s="91">
        <f t="shared" si="10"/>
        <v>804</v>
      </c>
      <c r="JH2" s="91">
        <f t="shared" si="10"/>
        <v>805</v>
      </c>
      <c r="JI2" s="91">
        <f t="shared" si="10"/>
        <v>806</v>
      </c>
      <c r="JJ2" s="91">
        <f t="shared" si="10"/>
        <v>807</v>
      </c>
      <c r="JK2" s="91">
        <f t="shared" si="10"/>
        <v>808</v>
      </c>
      <c r="JL2" s="91">
        <f t="shared" si="10"/>
        <v>809</v>
      </c>
      <c r="JM2" s="91">
        <f t="shared" si="10"/>
        <v>810</v>
      </c>
      <c r="JN2" s="91">
        <f t="shared" si="10"/>
        <v>811</v>
      </c>
      <c r="JO2" s="91">
        <f t="shared" si="10"/>
        <v>812</v>
      </c>
      <c r="JP2" s="91">
        <f t="shared" si="10"/>
        <v>813</v>
      </c>
      <c r="JQ2" s="91">
        <f t="shared" si="10"/>
        <v>814</v>
      </c>
      <c r="JR2" s="91">
        <f t="shared" si="10"/>
        <v>815</v>
      </c>
      <c r="JS2" s="91">
        <f t="shared" si="10"/>
        <v>816</v>
      </c>
      <c r="JT2" s="91">
        <f t="shared" si="10"/>
        <v>817</v>
      </c>
      <c r="JU2" s="91">
        <f t="shared" si="10"/>
        <v>818</v>
      </c>
      <c r="JV2" s="91">
        <f t="shared" si="10"/>
        <v>819</v>
      </c>
      <c r="JW2" s="91">
        <f t="shared" si="10"/>
        <v>820</v>
      </c>
      <c r="JX2" s="91">
        <f t="shared" si="10"/>
        <v>821</v>
      </c>
      <c r="JY2" s="91">
        <f t="shared" si="10"/>
        <v>822</v>
      </c>
      <c r="JZ2" s="91">
        <f t="shared" si="10"/>
        <v>823</v>
      </c>
      <c r="KA2" s="91">
        <f t="shared" si="10"/>
        <v>824</v>
      </c>
      <c r="KB2" s="91">
        <f t="shared" si="10"/>
        <v>825</v>
      </c>
      <c r="KC2" s="91">
        <f t="shared" si="10"/>
        <v>826</v>
      </c>
      <c r="KD2" s="91">
        <f t="shared" si="10"/>
        <v>827</v>
      </c>
      <c r="KE2" s="91">
        <f t="shared" si="10"/>
        <v>828</v>
      </c>
      <c r="KF2" s="91">
        <f t="shared" si="10"/>
        <v>829</v>
      </c>
      <c r="KG2" s="91">
        <f t="shared" si="10"/>
        <v>830</v>
      </c>
      <c r="KH2" s="91">
        <f t="shared" si="10"/>
        <v>831</v>
      </c>
      <c r="KI2" s="91">
        <f t="shared" si="10"/>
        <v>832</v>
      </c>
      <c r="KJ2" s="91">
        <f t="shared" si="10"/>
        <v>833</v>
      </c>
      <c r="KK2" s="91">
        <f t="shared" si="10"/>
        <v>834</v>
      </c>
      <c r="KL2" s="91">
        <f t="shared" si="10"/>
        <v>835</v>
      </c>
      <c r="KM2" s="91">
        <f t="shared" si="10"/>
        <v>836</v>
      </c>
      <c r="KN2" s="91">
        <f t="shared" si="10"/>
        <v>837</v>
      </c>
      <c r="KO2" s="91">
        <f t="shared" si="10"/>
        <v>838</v>
      </c>
      <c r="KP2" s="91">
        <f t="shared" si="10"/>
        <v>839</v>
      </c>
      <c r="KQ2" s="91">
        <f t="shared" si="10"/>
        <v>840</v>
      </c>
      <c r="KR2" s="91">
        <f>IF((KQ2/12)&lt;71,KQ2+1,0)</f>
        <v>841</v>
      </c>
      <c r="KS2" s="91">
        <f t="shared" si="10"/>
        <v>842</v>
      </c>
      <c r="KT2" s="91">
        <f t="shared" si="10"/>
        <v>843</v>
      </c>
      <c r="KU2" s="91">
        <f t="shared" si="10"/>
        <v>844</v>
      </c>
      <c r="KV2" s="91">
        <f t="shared" si="10"/>
        <v>845</v>
      </c>
      <c r="KW2" s="91">
        <f t="shared" si="10"/>
        <v>846</v>
      </c>
      <c r="KX2" s="91">
        <f t="shared" si="10"/>
        <v>847</v>
      </c>
      <c r="KY2" s="91">
        <f t="shared" si="10"/>
        <v>848</v>
      </c>
      <c r="KZ2" s="91">
        <f t="shared" si="10"/>
        <v>849</v>
      </c>
      <c r="LA2" s="91">
        <f t="shared" si="10"/>
        <v>850</v>
      </c>
      <c r="LB2" s="91">
        <f t="shared" si="10"/>
        <v>851</v>
      </c>
      <c r="LC2" s="91">
        <f>IF((LB2/12)&lt;71,LB2+1,0)</f>
        <v>852</v>
      </c>
      <c r="LD2" s="91">
        <f>IF((LC2/12)&lt;76,LC2+1,0)</f>
        <v>853</v>
      </c>
      <c r="LE2" s="91">
        <f t="shared" ref="LE2:NJ2" si="11">IF((LD2/12)&lt;76,LD2+1,0)</f>
        <v>854</v>
      </c>
      <c r="LF2" s="91">
        <f t="shared" si="11"/>
        <v>855</v>
      </c>
      <c r="LG2" s="91">
        <f t="shared" si="11"/>
        <v>856</v>
      </c>
      <c r="LH2" s="91">
        <f t="shared" si="11"/>
        <v>857</v>
      </c>
      <c r="LI2" s="91">
        <f t="shared" si="11"/>
        <v>858</v>
      </c>
      <c r="LJ2" s="91">
        <f t="shared" si="11"/>
        <v>859</v>
      </c>
      <c r="LK2" s="91">
        <f t="shared" si="11"/>
        <v>860</v>
      </c>
      <c r="LL2" s="91">
        <f t="shared" si="11"/>
        <v>861</v>
      </c>
      <c r="LM2" s="91">
        <f t="shared" si="11"/>
        <v>862</v>
      </c>
      <c r="LN2" s="91">
        <f t="shared" si="11"/>
        <v>863</v>
      </c>
      <c r="LO2" s="91">
        <f t="shared" si="11"/>
        <v>864</v>
      </c>
      <c r="LP2" s="91">
        <f t="shared" si="11"/>
        <v>865</v>
      </c>
      <c r="LQ2" s="91">
        <f t="shared" si="11"/>
        <v>866</v>
      </c>
      <c r="LR2" s="91">
        <f t="shared" si="11"/>
        <v>867</v>
      </c>
      <c r="LS2" s="91">
        <f t="shared" si="11"/>
        <v>868</v>
      </c>
      <c r="LT2" s="91">
        <f t="shared" si="11"/>
        <v>869</v>
      </c>
      <c r="LU2" s="91">
        <f t="shared" si="11"/>
        <v>870</v>
      </c>
      <c r="LV2" s="91">
        <f t="shared" si="11"/>
        <v>871</v>
      </c>
      <c r="LW2" s="91">
        <f t="shared" si="11"/>
        <v>872</v>
      </c>
      <c r="LX2" s="91">
        <f t="shared" si="11"/>
        <v>873</v>
      </c>
      <c r="LY2" s="91">
        <f t="shared" si="11"/>
        <v>874</v>
      </c>
      <c r="LZ2" s="91">
        <f t="shared" si="11"/>
        <v>875</v>
      </c>
      <c r="MA2" s="91">
        <f t="shared" si="11"/>
        <v>876</v>
      </c>
      <c r="MB2" s="91">
        <f t="shared" si="11"/>
        <v>877</v>
      </c>
      <c r="MC2" s="91">
        <f t="shared" si="11"/>
        <v>878</v>
      </c>
      <c r="MD2" s="91">
        <f t="shared" si="11"/>
        <v>879</v>
      </c>
      <c r="ME2" s="91">
        <f t="shared" si="11"/>
        <v>880</v>
      </c>
      <c r="MF2" s="91">
        <f t="shared" si="11"/>
        <v>881</v>
      </c>
      <c r="MG2" s="91">
        <f t="shared" si="11"/>
        <v>882</v>
      </c>
      <c r="MH2" s="91">
        <f t="shared" si="11"/>
        <v>883</v>
      </c>
      <c r="MI2" s="91">
        <f t="shared" si="11"/>
        <v>884</v>
      </c>
      <c r="MJ2" s="91">
        <f t="shared" si="11"/>
        <v>885</v>
      </c>
      <c r="MK2" s="91">
        <f t="shared" si="11"/>
        <v>886</v>
      </c>
      <c r="ML2" s="91">
        <f t="shared" si="11"/>
        <v>887</v>
      </c>
      <c r="MM2" s="91">
        <f t="shared" si="11"/>
        <v>888</v>
      </c>
      <c r="MN2" s="91">
        <f t="shared" si="11"/>
        <v>889</v>
      </c>
      <c r="MO2" s="91">
        <f t="shared" si="11"/>
        <v>890</v>
      </c>
      <c r="MP2" s="91">
        <f t="shared" si="11"/>
        <v>891</v>
      </c>
      <c r="MQ2" s="91">
        <f t="shared" si="11"/>
        <v>892</v>
      </c>
      <c r="MR2" s="91">
        <f t="shared" si="11"/>
        <v>893</v>
      </c>
      <c r="MS2" s="91">
        <f t="shared" si="11"/>
        <v>894</v>
      </c>
      <c r="MT2" s="91">
        <f t="shared" si="11"/>
        <v>895</v>
      </c>
      <c r="MU2" s="91">
        <f t="shared" si="11"/>
        <v>896</v>
      </c>
      <c r="MV2" s="91">
        <f t="shared" si="11"/>
        <v>897</v>
      </c>
      <c r="MW2" s="91">
        <f t="shared" si="11"/>
        <v>898</v>
      </c>
      <c r="MX2" s="91">
        <f t="shared" si="11"/>
        <v>899</v>
      </c>
      <c r="MY2" s="91">
        <f t="shared" si="11"/>
        <v>900</v>
      </c>
      <c r="MZ2" s="91">
        <f t="shared" si="11"/>
        <v>901</v>
      </c>
      <c r="NA2" s="91">
        <f t="shared" si="11"/>
        <v>902</v>
      </c>
      <c r="NB2" s="91">
        <f t="shared" si="11"/>
        <v>903</v>
      </c>
      <c r="NC2" s="91">
        <f t="shared" si="11"/>
        <v>904</v>
      </c>
      <c r="ND2" s="91">
        <f t="shared" si="11"/>
        <v>905</v>
      </c>
      <c r="NE2" s="91">
        <f t="shared" si="11"/>
        <v>906</v>
      </c>
      <c r="NF2" s="91">
        <f t="shared" si="11"/>
        <v>907</v>
      </c>
      <c r="NG2" s="91">
        <f t="shared" si="11"/>
        <v>908</v>
      </c>
      <c r="NH2" s="91">
        <f t="shared" si="11"/>
        <v>909</v>
      </c>
      <c r="NI2" s="91">
        <f t="shared" si="11"/>
        <v>910</v>
      </c>
      <c r="NJ2" s="91">
        <f t="shared" si="11"/>
        <v>911</v>
      </c>
      <c r="NK2" s="91"/>
    </row>
    <row r="3" spans="1:376" ht="15.75" x14ac:dyDescent="0.25">
      <c r="A3" s="90" t="s">
        <v>7</v>
      </c>
      <c r="B3" s="92">
        <v>2013</v>
      </c>
      <c r="C3" s="93">
        <v>486.47</v>
      </c>
      <c r="D3" s="93">
        <v>485.45</v>
      </c>
      <c r="E3" s="93">
        <v>484.44</v>
      </c>
      <c r="F3" s="93">
        <v>483.42</v>
      </c>
      <c r="G3" s="93">
        <v>482.4</v>
      </c>
      <c r="H3" s="93">
        <v>481.39</v>
      </c>
      <c r="I3" s="93">
        <v>480.37</v>
      </c>
      <c r="J3" s="93">
        <v>479.36</v>
      </c>
      <c r="K3" s="93">
        <v>478.34</v>
      </c>
      <c r="L3" s="93">
        <v>477.33</v>
      </c>
      <c r="M3" s="93">
        <v>476.32</v>
      </c>
      <c r="N3" s="93">
        <v>475.3</v>
      </c>
      <c r="O3" s="93">
        <v>474.29</v>
      </c>
      <c r="P3" s="93">
        <v>473.27</v>
      </c>
      <c r="Q3" s="93">
        <v>472.26</v>
      </c>
      <c r="R3" s="93">
        <v>471.25</v>
      </c>
      <c r="S3" s="93">
        <v>470.23</v>
      </c>
      <c r="T3" s="93">
        <v>469.22</v>
      </c>
      <c r="U3" s="93">
        <v>468.21</v>
      </c>
      <c r="V3" s="93">
        <v>467.19</v>
      </c>
      <c r="W3" s="93">
        <v>466.18</v>
      </c>
      <c r="X3" s="93">
        <v>465.17</v>
      </c>
      <c r="Y3" s="93">
        <v>464.16</v>
      </c>
      <c r="Z3" s="93">
        <v>463.14</v>
      </c>
      <c r="AA3" s="93">
        <v>462.13</v>
      </c>
      <c r="AB3" s="93">
        <v>461.12</v>
      </c>
      <c r="AC3" s="93">
        <v>460.11</v>
      </c>
      <c r="AD3" s="93">
        <v>459.1</v>
      </c>
      <c r="AE3" s="93">
        <v>458.09</v>
      </c>
      <c r="AF3" s="93">
        <v>457.08</v>
      </c>
      <c r="AG3" s="93">
        <v>456.07</v>
      </c>
      <c r="AH3" s="93">
        <v>455.05</v>
      </c>
      <c r="AI3" s="93">
        <v>454.04</v>
      </c>
      <c r="AJ3" s="93">
        <v>453.03</v>
      </c>
      <c r="AK3" s="93">
        <v>452.02</v>
      </c>
      <c r="AL3" s="93">
        <v>451.01</v>
      </c>
      <c r="AM3" s="93">
        <v>450</v>
      </c>
      <c r="AN3" s="93">
        <v>448.99</v>
      </c>
      <c r="AO3" s="93">
        <v>447.99</v>
      </c>
      <c r="AP3" s="93">
        <v>446.98</v>
      </c>
      <c r="AQ3" s="93">
        <v>445.97</v>
      </c>
      <c r="AR3" s="93">
        <v>444.96</v>
      </c>
      <c r="AS3" s="93">
        <v>443.95</v>
      </c>
      <c r="AT3" s="93">
        <v>442.94</v>
      </c>
      <c r="AU3" s="93">
        <v>441.94</v>
      </c>
      <c r="AV3" s="93">
        <v>440.93</v>
      </c>
      <c r="AW3" s="93">
        <v>439.92</v>
      </c>
      <c r="AX3" s="93">
        <v>438.91</v>
      </c>
      <c r="AY3" s="93">
        <v>437.91</v>
      </c>
      <c r="AZ3" s="93">
        <v>436.9</v>
      </c>
      <c r="BA3" s="93">
        <v>435.89</v>
      </c>
      <c r="BB3" s="93">
        <v>434.89</v>
      </c>
      <c r="BC3" s="93">
        <v>433.88</v>
      </c>
      <c r="BD3" s="93">
        <v>432.88</v>
      </c>
      <c r="BE3" s="93">
        <v>431.87</v>
      </c>
      <c r="BF3" s="93">
        <v>430.87</v>
      </c>
      <c r="BG3" s="93">
        <v>429.86</v>
      </c>
      <c r="BH3" s="93">
        <v>428.86</v>
      </c>
      <c r="BI3" s="93">
        <v>427.85</v>
      </c>
      <c r="BJ3" s="93">
        <v>426.85</v>
      </c>
      <c r="BK3" s="93">
        <v>425.84</v>
      </c>
      <c r="BL3" s="93">
        <v>424.84</v>
      </c>
      <c r="BM3" s="93">
        <v>423.84</v>
      </c>
      <c r="BN3" s="93">
        <v>422.83</v>
      </c>
      <c r="BO3" s="93">
        <v>421.83</v>
      </c>
      <c r="BP3" s="93">
        <v>420.83</v>
      </c>
      <c r="BQ3" s="93">
        <v>419.83</v>
      </c>
      <c r="BR3" s="93">
        <v>418.83</v>
      </c>
      <c r="BS3" s="93">
        <v>417.82</v>
      </c>
      <c r="BT3" s="93">
        <v>416.82</v>
      </c>
      <c r="BU3" s="93">
        <v>415.82</v>
      </c>
      <c r="BV3" s="93">
        <v>414.82</v>
      </c>
      <c r="BW3" s="93">
        <v>413.82</v>
      </c>
      <c r="BX3" s="93">
        <v>412.82</v>
      </c>
      <c r="BY3" s="93">
        <v>411.82</v>
      </c>
      <c r="BZ3" s="93">
        <v>410.82</v>
      </c>
      <c r="CA3" s="93">
        <v>409.83</v>
      </c>
      <c r="CB3" s="93">
        <v>408.83</v>
      </c>
      <c r="CC3" s="93">
        <v>407.83</v>
      </c>
      <c r="CD3" s="93">
        <v>406.84</v>
      </c>
      <c r="CE3" s="93">
        <v>405.84</v>
      </c>
      <c r="CF3" s="93">
        <v>404.84</v>
      </c>
      <c r="CG3" s="93">
        <v>403.85</v>
      </c>
      <c r="CH3" s="93">
        <v>402.85</v>
      </c>
      <c r="CI3" s="93">
        <v>401.85</v>
      </c>
      <c r="CJ3" s="93">
        <v>400.86</v>
      </c>
      <c r="CK3" s="93">
        <v>399.87</v>
      </c>
      <c r="CL3" s="93">
        <v>398.88</v>
      </c>
      <c r="CM3" s="93">
        <v>397.88</v>
      </c>
      <c r="CN3" s="93">
        <v>396.89</v>
      </c>
      <c r="CO3" s="93">
        <v>395.9</v>
      </c>
      <c r="CP3" s="93">
        <v>394.91</v>
      </c>
      <c r="CQ3" s="93">
        <v>393.91</v>
      </c>
      <c r="CR3" s="93">
        <v>392.92</v>
      </c>
      <c r="CS3" s="93">
        <v>391.93</v>
      </c>
      <c r="CT3" s="93">
        <v>390.94</v>
      </c>
      <c r="CU3" s="93">
        <v>389.95</v>
      </c>
      <c r="CV3" s="93">
        <v>388.96</v>
      </c>
      <c r="CW3" s="93">
        <v>387.97</v>
      </c>
      <c r="CX3" s="93">
        <v>386.99</v>
      </c>
      <c r="CY3" s="93">
        <v>386</v>
      </c>
      <c r="CZ3" s="93">
        <v>385.01</v>
      </c>
      <c r="DA3" s="93">
        <v>384.03</v>
      </c>
      <c r="DB3" s="93">
        <v>383.04</v>
      </c>
      <c r="DC3" s="93">
        <v>382.05</v>
      </c>
      <c r="DD3" s="93">
        <v>381.07</v>
      </c>
      <c r="DE3" s="93">
        <v>380.08</v>
      </c>
      <c r="DF3" s="93">
        <v>379.1</v>
      </c>
      <c r="DG3" s="93">
        <v>378.11</v>
      </c>
      <c r="DH3" s="93">
        <v>377.13</v>
      </c>
      <c r="DI3" s="93">
        <v>376.15</v>
      </c>
      <c r="DJ3" s="93">
        <v>375.17</v>
      </c>
      <c r="DK3" s="93">
        <v>374.18</v>
      </c>
      <c r="DL3" s="93">
        <v>373.2</v>
      </c>
      <c r="DM3" s="93">
        <v>372.22</v>
      </c>
      <c r="DN3" s="93">
        <v>371.24</v>
      </c>
      <c r="DO3" s="93">
        <v>370.26</v>
      </c>
      <c r="DP3" s="93">
        <v>369.28</v>
      </c>
      <c r="DQ3" s="93">
        <v>368.3</v>
      </c>
      <c r="DR3" s="93">
        <v>367.32</v>
      </c>
      <c r="DS3" s="93">
        <v>366.35</v>
      </c>
      <c r="DT3" s="93">
        <v>365.37</v>
      </c>
      <c r="DU3" s="93">
        <v>364.4</v>
      </c>
      <c r="DV3" s="93">
        <v>363.42</v>
      </c>
      <c r="DW3" s="93">
        <v>362.45</v>
      </c>
      <c r="DX3" s="93">
        <v>361.47</v>
      </c>
      <c r="DY3" s="93">
        <v>360.5</v>
      </c>
      <c r="DZ3" s="93">
        <v>359.53</v>
      </c>
      <c r="EA3" s="93">
        <v>358.56</v>
      </c>
      <c r="EB3" s="93">
        <v>357.59</v>
      </c>
      <c r="EC3" s="93">
        <v>356.61</v>
      </c>
      <c r="ED3" s="93">
        <v>355.64</v>
      </c>
      <c r="EE3" s="93">
        <v>354.68</v>
      </c>
      <c r="EF3" s="93">
        <v>353.71</v>
      </c>
      <c r="EG3" s="93">
        <v>352.74</v>
      </c>
      <c r="EH3" s="93">
        <v>351.78</v>
      </c>
      <c r="EI3" s="93">
        <v>350.82</v>
      </c>
      <c r="EJ3" s="93">
        <v>349.85</v>
      </c>
      <c r="EK3" s="93">
        <v>348.89</v>
      </c>
      <c r="EL3" s="93">
        <v>347.93</v>
      </c>
      <c r="EM3" s="93">
        <v>346.97</v>
      </c>
      <c r="EN3" s="93">
        <v>346</v>
      </c>
      <c r="EO3" s="93">
        <v>345.04</v>
      </c>
      <c r="EP3" s="93">
        <v>344.08</v>
      </c>
      <c r="EQ3" s="93">
        <v>343.12</v>
      </c>
      <c r="ER3" s="93">
        <v>342.17</v>
      </c>
      <c r="ES3" s="93">
        <v>341.21</v>
      </c>
      <c r="ET3" s="93">
        <v>340.25</v>
      </c>
      <c r="EU3" s="93">
        <v>339.3</v>
      </c>
      <c r="EV3" s="93">
        <v>338.34</v>
      </c>
      <c r="EW3" s="93">
        <v>337.39</v>
      </c>
      <c r="EX3" s="93">
        <v>336.44</v>
      </c>
      <c r="EY3" s="93">
        <v>335.48</v>
      </c>
      <c r="EZ3" s="93">
        <v>334.53</v>
      </c>
      <c r="FA3" s="93">
        <v>333.58</v>
      </c>
      <c r="FB3" s="93">
        <v>332.63</v>
      </c>
      <c r="FC3" s="93">
        <v>331.68</v>
      </c>
      <c r="FD3" s="93">
        <v>330.73</v>
      </c>
      <c r="FE3" s="93">
        <v>329.78</v>
      </c>
      <c r="FF3" s="93">
        <v>328.83</v>
      </c>
      <c r="FG3" s="93">
        <v>327.89</v>
      </c>
      <c r="FH3" s="93">
        <v>326.94</v>
      </c>
      <c r="FI3" s="93">
        <v>325.99</v>
      </c>
      <c r="FJ3" s="93">
        <v>325.04000000000002</v>
      </c>
      <c r="FK3" s="93">
        <v>324.10000000000002</v>
      </c>
      <c r="FL3" s="93">
        <v>323.16000000000003</v>
      </c>
      <c r="FM3" s="93">
        <v>322.22000000000003</v>
      </c>
      <c r="FN3" s="93">
        <v>321.27999999999997</v>
      </c>
      <c r="FO3" s="93">
        <v>320.32</v>
      </c>
      <c r="FP3" s="93">
        <v>319.39</v>
      </c>
      <c r="FQ3" s="93">
        <v>318.45999999999998</v>
      </c>
      <c r="FR3" s="93">
        <v>317.51</v>
      </c>
      <c r="FS3" s="93">
        <v>316.57</v>
      </c>
      <c r="FT3" s="93">
        <v>315.64</v>
      </c>
      <c r="FU3" s="93">
        <v>314.70999999999998</v>
      </c>
      <c r="FV3" s="93">
        <v>313.76</v>
      </c>
      <c r="FW3" s="93">
        <v>312.83999999999997</v>
      </c>
      <c r="FX3" s="93">
        <v>311.89999999999998</v>
      </c>
      <c r="FY3" s="93">
        <v>310.97000000000003</v>
      </c>
      <c r="FZ3" s="93">
        <v>310.04000000000002</v>
      </c>
      <c r="GA3" s="93">
        <v>309.10000000000002</v>
      </c>
      <c r="GB3" s="93">
        <v>308.18</v>
      </c>
      <c r="GC3" s="93">
        <v>307.25</v>
      </c>
      <c r="GD3" s="93">
        <v>306.32</v>
      </c>
      <c r="GE3" s="93">
        <v>305.39</v>
      </c>
      <c r="GF3" s="93">
        <v>304.47000000000003</v>
      </c>
      <c r="GG3" s="93">
        <v>303.54000000000002</v>
      </c>
      <c r="GH3" s="93">
        <v>302.62</v>
      </c>
      <c r="GI3" s="93">
        <v>301.69</v>
      </c>
      <c r="GJ3" s="93">
        <v>300.76</v>
      </c>
      <c r="GK3" s="93">
        <v>299.85000000000002</v>
      </c>
      <c r="GL3" s="93">
        <v>298.93</v>
      </c>
      <c r="GM3" s="93">
        <v>298.01</v>
      </c>
      <c r="GN3" s="93">
        <v>297.08999999999997</v>
      </c>
      <c r="GO3" s="93">
        <v>296.18</v>
      </c>
      <c r="GP3" s="93">
        <v>295.26</v>
      </c>
      <c r="GQ3" s="93">
        <v>294.35000000000002</v>
      </c>
      <c r="GR3" s="93">
        <v>293.44</v>
      </c>
      <c r="GS3" s="93">
        <v>292.51</v>
      </c>
      <c r="GT3" s="93">
        <v>291.60000000000002</v>
      </c>
      <c r="GU3" s="93">
        <v>290.7</v>
      </c>
      <c r="GV3" s="93">
        <v>289.79000000000002</v>
      </c>
      <c r="GW3" s="93">
        <v>288.89</v>
      </c>
      <c r="GX3" s="93">
        <v>287.98</v>
      </c>
      <c r="GY3" s="93">
        <v>287.07</v>
      </c>
      <c r="GZ3" s="93">
        <v>286.17</v>
      </c>
      <c r="HA3" s="93">
        <v>285.26</v>
      </c>
      <c r="HB3" s="93">
        <v>284.37</v>
      </c>
      <c r="HC3" s="93">
        <v>283.47000000000003</v>
      </c>
      <c r="HD3" s="93">
        <v>282.57</v>
      </c>
      <c r="HE3" s="93">
        <v>281.67</v>
      </c>
      <c r="HF3" s="93">
        <v>280.77999999999997</v>
      </c>
      <c r="HG3" s="93">
        <v>279.88</v>
      </c>
      <c r="HH3" s="93">
        <v>278.99</v>
      </c>
      <c r="HI3" s="93">
        <v>278.08999999999997</v>
      </c>
      <c r="HJ3" s="93">
        <v>277.2</v>
      </c>
      <c r="HK3" s="93">
        <v>276.31</v>
      </c>
      <c r="HL3" s="93">
        <v>275.42</v>
      </c>
      <c r="HM3" s="93">
        <v>274.54000000000002</v>
      </c>
      <c r="HN3" s="93">
        <v>273.64999999999998</v>
      </c>
      <c r="HO3" s="93">
        <v>272.76</v>
      </c>
      <c r="HP3" s="93">
        <v>271.89</v>
      </c>
      <c r="HQ3" s="93">
        <v>271</v>
      </c>
      <c r="HR3" s="93">
        <v>270.12</v>
      </c>
      <c r="HS3" s="93">
        <v>269.24</v>
      </c>
      <c r="HT3" s="93">
        <v>268.37</v>
      </c>
      <c r="HU3" s="93">
        <v>267.49</v>
      </c>
      <c r="HV3" s="93">
        <v>266.60000000000002</v>
      </c>
      <c r="HW3" s="93">
        <v>265.74</v>
      </c>
      <c r="HX3" s="93">
        <v>264.87</v>
      </c>
      <c r="HY3" s="93">
        <v>263.99</v>
      </c>
      <c r="HZ3" s="93">
        <v>263.12</v>
      </c>
      <c r="IA3" s="93">
        <v>262.25</v>
      </c>
      <c r="IB3" s="93">
        <v>261.38</v>
      </c>
      <c r="IC3" s="93">
        <v>260.51</v>
      </c>
      <c r="ID3" s="93">
        <v>259.64999999999998</v>
      </c>
      <c r="IE3" s="93">
        <v>258.79000000000002</v>
      </c>
      <c r="IF3" s="93">
        <v>257.92</v>
      </c>
      <c r="IG3" s="93">
        <v>257.06</v>
      </c>
      <c r="IH3" s="93">
        <v>256.2</v>
      </c>
      <c r="II3" s="93">
        <v>255.34</v>
      </c>
      <c r="IJ3" s="93">
        <v>254.48</v>
      </c>
      <c r="IK3" s="93">
        <v>253.62</v>
      </c>
      <c r="IL3" s="93">
        <v>252.76</v>
      </c>
      <c r="IM3" s="93">
        <v>251.91</v>
      </c>
      <c r="IN3" s="93">
        <v>251.05</v>
      </c>
      <c r="IO3" s="93">
        <v>250.2</v>
      </c>
      <c r="IP3" s="93">
        <v>249.35</v>
      </c>
      <c r="IQ3" s="93">
        <v>248.5</v>
      </c>
      <c r="IR3" s="93">
        <v>247.65</v>
      </c>
      <c r="IS3" s="93">
        <v>246.8</v>
      </c>
      <c r="IT3" s="93">
        <v>245.96</v>
      </c>
      <c r="IU3" s="93">
        <v>245.11</v>
      </c>
      <c r="IV3" s="93">
        <v>244.27</v>
      </c>
      <c r="IW3" s="93">
        <v>243.43</v>
      </c>
      <c r="IX3" s="93">
        <v>242.59</v>
      </c>
      <c r="IY3" s="93">
        <v>241.75</v>
      </c>
      <c r="IZ3" s="93">
        <v>240.91</v>
      </c>
      <c r="JA3" s="93">
        <v>240.08</v>
      </c>
      <c r="JB3" s="93">
        <v>239.24</v>
      </c>
      <c r="JC3" s="93">
        <v>238.41</v>
      </c>
      <c r="JD3" s="93">
        <v>237.58</v>
      </c>
      <c r="JE3" s="93">
        <v>236.74</v>
      </c>
      <c r="JF3" s="93">
        <v>235.91</v>
      </c>
      <c r="JG3" s="93">
        <v>235.08</v>
      </c>
      <c r="JH3" s="93">
        <v>234.26</v>
      </c>
      <c r="JI3" s="93">
        <v>233.43</v>
      </c>
      <c r="JJ3" s="93">
        <v>232.61</v>
      </c>
      <c r="JK3" s="93">
        <v>231.78</v>
      </c>
      <c r="JL3" s="93">
        <v>230.96</v>
      </c>
      <c r="JM3" s="93">
        <v>230.14</v>
      </c>
      <c r="JN3" s="93">
        <v>229.31</v>
      </c>
      <c r="JO3" s="93">
        <v>228.49</v>
      </c>
      <c r="JP3" s="93">
        <v>227.68</v>
      </c>
      <c r="JQ3" s="93">
        <v>226.86</v>
      </c>
      <c r="JR3" s="93">
        <v>226.04</v>
      </c>
      <c r="JS3" s="93">
        <v>225.23</v>
      </c>
      <c r="JT3" s="93">
        <v>224.41</v>
      </c>
      <c r="JU3" s="93">
        <v>223.6</v>
      </c>
      <c r="JV3" s="93">
        <v>222.79</v>
      </c>
      <c r="JW3" s="93">
        <v>221.98</v>
      </c>
      <c r="JX3" s="93">
        <v>221.17</v>
      </c>
      <c r="JY3" s="93">
        <v>220.36</v>
      </c>
      <c r="JZ3" s="93">
        <v>219.55</v>
      </c>
      <c r="KA3" s="93">
        <v>218.75</v>
      </c>
      <c r="KB3" s="93">
        <v>217.94</v>
      </c>
      <c r="KC3" s="93">
        <v>217.14</v>
      </c>
      <c r="KD3" s="93">
        <v>216.33</v>
      </c>
      <c r="KE3" s="93">
        <v>215.53</v>
      </c>
      <c r="KF3" s="93">
        <v>214.73</v>
      </c>
      <c r="KG3" s="93">
        <v>213.93</v>
      </c>
      <c r="KH3" s="93">
        <v>213.13</v>
      </c>
      <c r="KI3" s="93">
        <v>212.33</v>
      </c>
      <c r="KJ3" s="93">
        <v>211.54</v>
      </c>
      <c r="KK3" s="93">
        <v>210.74</v>
      </c>
      <c r="KL3" s="93">
        <v>209.95</v>
      </c>
      <c r="KM3" s="93">
        <v>209.16</v>
      </c>
      <c r="KN3" s="93">
        <v>208.37</v>
      </c>
      <c r="KO3" s="93">
        <v>207.58</v>
      </c>
      <c r="KP3" s="93">
        <v>206.79</v>
      </c>
      <c r="KQ3" s="93">
        <v>206</v>
      </c>
      <c r="KR3" s="93">
        <v>205.25</v>
      </c>
      <c r="KS3" s="93">
        <v>204.5</v>
      </c>
      <c r="KT3" s="93">
        <v>203.75</v>
      </c>
      <c r="KU3" s="93">
        <v>203</v>
      </c>
      <c r="KV3" s="93">
        <v>202.25</v>
      </c>
      <c r="KW3" s="93">
        <v>201.5</v>
      </c>
      <c r="KX3" s="93">
        <v>200.75</v>
      </c>
      <c r="KY3" s="93">
        <v>200</v>
      </c>
      <c r="KZ3" s="93">
        <v>199.25</v>
      </c>
      <c r="LA3" s="93">
        <v>198.5</v>
      </c>
      <c r="LB3" s="93">
        <v>197.75</v>
      </c>
      <c r="LC3" s="93">
        <v>197</v>
      </c>
      <c r="LD3" s="93">
        <v>196.25</v>
      </c>
      <c r="LE3" s="93">
        <v>195.5</v>
      </c>
      <c r="LF3" s="93">
        <v>194.75</v>
      </c>
      <c r="LG3" s="93">
        <v>194</v>
      </c>
      <c r="LH3" s="93">
        <v>193.25</v>
      </c>
      <c r="LI3" s="93">
        <v>192.5</v>
      </c>
      <c r="LJ3" s="93">
        <v>191.75</v>
      </c>
      <c r="LK3" s="93">
        <v>191</v>
      </c>
      <c r="LL3" s="93">
        <v>190.25</v>
      </c>
      <c r="LM3" s="93">
        <v>189.5</v>
      </c>
      <c r="LN3" s="93">
        <v>188.75</v>
      </c>
      <c r="LO3" s="93">
        <v>188</v>
      </c>
      <c r="LP3" s="93">
        <v>187.25</v>
      </c>
      <c r="LQ3" s="93">
        <v>186.5</v>
      </c>
      <c r="LR3" s="93">
        <v>185.75</v>
      </c>
      <c r="LS3" s="93">
        <v>185</v>
      </c>
      <c r="LT3" s="93">
        <v>184.25</v>
      </c>
      <c r="LU3" s="93">
        <v>183.5</v>
      </c>
      <c r="LV3" s="93">
        <v>182.75</v>
      </c>
      <c r="LW3" s="93">
        <v>182</v>
      </c>
      <c r="LX3" s="93">
        <v>181.25</v>
      </c>
      <c r="LY3" s="93">
        <v>180.5</v>
      </c>
      <c r="LZ3" s="93">
        <v>179.75</v>
      </c>
      <c r="MA3" s="93">
        <v>179</v>
      </c>
      <c r="MB3" s="93">
        <v>178.25</v>
      </c>
      <c r="MC3" s="93">
        <v>177.5</v>
      </c>
      <c r="MD3" s="93">
        <v>176.75</v>
      </c>
      <c r="ME3" s="93">
        <v>176</v>
      </c>
      <c r="MF3" s="93">
        <v>175.25</v>
      </c>
      <c r="MG3" s="93">
        <v>174.5</v>
      </c>
      <c r="MH3" s="93">
        <v>173.75</v>
      </c>
      <c r="MI3" s="93">
        <v>173</v>
      </c>
      <c r="MJ3" s="93">
        <v>172.25</v>
      </c>
      <c r="MK3" s="93">
        <v>171.5</v>
      </c>
      <c r="ML3" s="93">
        <v>170.75</v>
      </c>
      <c r="MM3" s="93">
        <v>170</v>
      </c>
      <c r="MN3" s="93">
        <v>169.25</v>
      </c>
      <c r="MO3" s="93">
        <v>168.5</v>
      </c>
      <c r="MP3" s="93">
        <v>167.75</v>
      </c>
      <c r="MQ3" s="93">
        <v>167</v>
      </c>
      <c r="MR3" s="93">
        <v>166.25</v>
      </c>
      <c r="MS3" s="93">
        <v>165.5</v>
      </c>
      <c r="MT3" s="93">
        <v>164.75</v>
      </c>
      <c r="MU3" s="93">
        <v>164</v>
      </c>
      <c r="MV3" s="93">
        <v>163.25</v>
      </c>
      <c r="MW3" s="93">
        <v>162.5</v>
      </c>
      <c r="MX3" s="93">
        <v>161.75</v>
      </c>
      <c r="MY3" s="93">
        <v>161</v>
      </c>
      <c r="MZ3" s="94"/>
      <c r="NA3" s="94"/>
      <c r="NB3" s="94"/>
      <c r="NC3" s="94"/>
      <c r="ND3" s="94"/>
      <c r="NE3" s="94"/>
      <c r="NF3" s="94"/>
      <c r="NG3" s="94"/>
      <c r="NH3" s="94"/>
      <c r="NI3" s="94"/>
      <c r="NJ3" s="94"/>
    </row>
    <row r="4" spans="1:376" ht="15.75" x14ac:dyDescent="0.25">
      <c r="A4" s="90" t="s">
        <v>7</v>
      </c>
      <c r="B4" s="95">
        <v>2014</v>
      </c>
      <c r="C4" s="93">
        <v>487.09</v>
      </c>
      <c r="D4" s="93">
        <v>486.07</v>
      </c>
      <c r="E4" s="93">
        <v>485.06</v>
      </c>
      <c r="F4" s="93">
        <v>484.04</v>
      </c>
      <c r="G4" s="93">
        <v>483.03</v>
      </c>
      <c r="H4" s="93">
        <v>482.01</v>
      </c>
      <c r="I4" s="93">
        <v>481</v>
      </c>
      <c r="J4" s="93">
        <v>479.98</v>
      </c>
      <c r="K4" s="93">
        <v>478.96</v>
      </c>
      <c r="L4" s="93">
        <v>477.95</v>
      </c>
      <c r="M4" s="93">
        <v>476.93</v>
      </c>
      <c r="N4" s="93">
        <v>475.92</v>
      </c>
      <c r="O4" s="93">
        <v>474.9</v>
      </c>
      <c r="P4" s="93">
        <v>473.89</v>
      </c>
      <c r="Q4" s="93">
        <v>472.88</v>
      </c>
      <c r="R4" s="93">
        <v>471.86</v>
      </c>
      <c r="S4" s="93">
        <v>470.85</v>
      </c>
      <c r="T4" s="93">
        <v>469.84</v>
      </c>
      <c r="U4" s="93">
        <v>468.82</v>
      </c>
      <c r="V4" s="93">
        <v>467.81</v>
      </c>
      <c r="W4" s="93">
        <v>466.8</v>
      </c>
      <c r="X4" s="93">
        <v>465.78</v>
      </c>
      <c r="Y4" s="93">
        <v>464.77</v>
      </c>
      <c r="Z4" s="93">
        <v>463.76</v>
      </c>
      <c r="AA4" s="93">
        <v>462.74</v>
      </c>
      <c r="AB4" s="93">
        <v>461.73</v>
      </c>
      <c r="AC4" s="93">
        <v>460.72</v>
      </c>
      <c r="AD4" s="93">
        <v>459.71</v>
      </c>
      <c r="AE4" s="93">
        <v>458.7</v>
      </c>
      <c r="AF4" s="93">
        <v>457.69</v>
      </c>
      <c r="AG4" s="93">
        <v>456.68</v>
      </c>
      <c r="AH4" s="93">
        <v>455.66</v>
      </c>
      <c r="AI4" s="93">
        <v>454.65</v>
      </c>
      <c r="AJ4" s="93">
        <v>453.64</v>
      </c>
      <c r="AK4" s="93">
        <v>452.63</v>
      </c>
      <c r="AL4" s="93">
        <v>451.62</v>
      </c>
      <c r="AM4" s="93">
        <v>450.61</v>
      </c>
      <c r="AN4" s="93">
        <v>449.6</v>
      </c>
      <c r="AO4" s="93">
        <v>448.59</v>
      </c>
      <c r="AP4" s="93">
        <v>447.58</v>
      </c>
      <c r="AQ4" s="93">
        <v>446.57</v>
      </c>
      <c r="AR4" s="93">
        <v>445.56</v>
      </c>
      <c r="AS4" s="93">
        <v>444.56</v>
      </c>
      <c r="AT4" s="93">
        <v>443.55</v>
      </c>
      <c r="AU4" s="93">
        <v>442.54</v>
      </c>
      <c r="AV4" s="93">
        <v>441.53</v>
      </c>
      <c r="AW4" s="93">
        <v>440.52</v>
      </c>
      <c r="AX4" s="93">
        <v>439.51</v>
      </c>
      <c r="AY4" s="93">
        <v>438.51</v>
      </c>
      <c r="AZ4" s="93">
        <v>437.5</v>
      </c>
      <c r="BA4" s="93">
        <v>436.49</v>
      </c>
      <c r="BB4" s="93">
        <v>435.49</v>
      </c>
      <c r="BC4" s="93">
        <v>434.48</v>
      </c>
      <c r="BD4" s="93">
        <v>433.47</v>
      </c>
      <c r="BE4" s="93">
        <v>432.47</v>
      </c>
      <c r="BF4" s="93">
        <v>431.46</v>
      </c>
      <c r="BG4" s="93">
        <v>430.46</v>
      </c>
      <c r="BH4" s="93">
        <v>429.45</v>
      </c>
      <c r="BI4" s="93">
        <v>428.45</v>
      </c>
      <c r="BJ4" s="93">
        <v>427.44</v>
      </c>
      <c r="BK4" s="93">
        <v>426.43</v>
      </c>
      <c r="BL4" s="93">
        <v>425.43</v>
      </c>
      <c r="BM4" s="93">
        <v>424.43</v>
      </c>
      <c r="BN4" s="93">
        <v>423.43</v>
      </c>
      <c r="BO4" s="93">
        <v>422.42</v>
      </c>
      <c r="BP4" s="93">
        <v>421.42</v>
      </c>
      <c r="BQ4" s="93">
        <v>420.42</v>
      </c>
      <c r="BR4" s="93">
        <v>419.41</v>
      </c>
      <c r="BS4" s="93">
        <v>418.41</v>
      </c>
      <c r="BT4" s="93">
        <v>417.41</v>
      </c>
      <c r="BU4" s="93">
        <v>416.41</v>
      </c>
      <c r="BV4" s="93">
        <v>415.41</v>
      </c>
      <c r="BW4" s="93">
        <v>414.41</v>
      </c>
      <c r="BX4" s="93">
        <v>413.41</v>
      </c>
      <c r="BY4" s="93">
        <v>412.41</v>
      </c>
      <c r="BZ4" s="93">
        <v>411.41</v>
      </c>
      <c r="CA4" s="93">
        <v>410.41</v>
      </c>
      <c r="CB4" s="93">
        <v>409.41</v>
      </c>
      <c r="CC4" s="93">
        <v>408.41</v>
      </c>
      <c r="CD4" s="93">
        <v>407.42</v>
      </c>
      <c r="CE4" s="93">
        <v>406.42</v>
      </c>
      <c r="CF4" s="93">
        <v>405.42</v>
      </c>
      <c r="CG4" s="93">
        <v>404.43</v>
      </c>
      <c r="CH4" s="93">
        <v>403.43</v>
      </c>
      <c r="CI4" s="93">
        <v>402.43</v>
      </c>
      <c r="CJ4" s="93">
        <v>401.44</v>
      </c>
      <c r="CK4" s="93">
        <v>400.45</v>
      </c>
      <c r="CL4" s="93">
        <v>399.45</v>
      </c>
      <c r="CM4" s="93">
        <v>398.46</v>
      </c>
      <c r="CN4" s="93">
        <v>397.47</v>
      </c>
      <c r="CO4" s="93">
        <v>396.47</v>
      </c>
      <c r="CP4" s="93">
        <v>395.48</v>
      </c>
      <c r="CQ4" s="93">
        <v>394.49</v>
      </c>
      <c r="CR4" s="93">
        <v>393.5</v>
      </c>
      <c r="CS4" s="93">
        <v>392.5</v>
      </c>
      <c r="CT4" s="93">
        <v>391.51</v>
      </c>
      <c r="CU4" s="93">
        <v>390.52</v>
      </c>
      <c r="CV4" s="93">
        <v>389.53</v>
      </c>
      <c r="CW4" s="93">
        <v>388.54</v>
      </c>
      <c r="CX4" s="93">
        <v>387.56</v>
      </c>
      <c r="CY4" s="93">
        <v>386.57</v>
      </c>
      <c r="CZ4" s="93">
        <v>385.58</v>
      </c>
      <c r="DA4" s="93">
        <v>384.59</v>
      </c>
      <c r="DB4" s="93">
        <v>383.61</v>
      </c>
      <c r="DC4" s="93">
        <v>382.62</v>
      </c>
      <c r="DD4" s="93">
        <v>381.63</v>
      </c>
      <c r="DE4" s="93">
        <v>380.65</v>
      </c>
      <c r="DF4" s="93">
        <v>379.66</v>
      </c>
      <c r="DG4" s="93">
        <v>378.68</v>
      </c>
      <c r="DH4" s="93">
        <v>377.69</v>
      </c>
      <c r="DI4" s="93">
        <v>376.71</v>
      </c>
      <c r="DJ4" s="93">
        <v>375.73</v>
      </c>
      <c r="DK4" s="93">
        <v>374.75</v>
      </c>
      <c r="DL4" s="93">
        <v>373.76</v>
      </c>
      <c r="DM4" s="93">
        <v>372.78</v>
      </c>
      <c r="DN4" s="93">
        <v>371.8</v>
      </c>
      <c r="DO4" s="93">
        <v>370.82</v>
      </c>
      <c r="DP4" s="93">
        <v>369.84</v>
      </c>
      <c r="DQ4" s="93">
        <v>368.86</v>
      </c>
      <c r="DR4" s="93">
        <v>367.88</v>
      </c>
      <c r="DS4" s="93">
        <v>366.9</v>
      </c>
      <c r="DT4" s="93">
        <v>365.93</v>
      </c>
      <c r="DU4" s="93">
        <v>364.95</v>
      </c>
      <c r="DV4" s="93">
        <v>363.98</v>
      </c>
      <c r="DW4" s="93">
        <v>363</v>
      </c>
      <c r="DX4" s="93">
        <v>362.03</v>
      </c>
      <c r="DY4" s="93">
        <v>361.06</v>
      </c>
      <c r="DZ4" s="93">
        <v>360.08</v>
      </c>
      <c r="EA4" s="93">
        <v>359.11</v>
      </c>
      <c r="EB4" s="93">
        <v>358.14</v>
      </c>
      <c r="EC4" s="93">
        <v>357.17</v>
      </c>
      <c r="ED4" s="93">
        <v>356.2</v>
      </c>
      <c r="EE4" s="93">
        <v>355.23</v>
      </c>
      <c r="EF4" s="93">
        <v>354.26</v>
      </c>
      <c r="EG4" s="93">
        <v>353.3</v>
      </c>
      <c r="EH4" s="93">
        <v>352.33</v>
      </c>
      <c r="EI4" s="93">
        <v>351.37</v>
      </c>
      <c r="EJ4" s="93">
        <v>350.4</v>
      </c>
      <c r="EK4" s="93">
        <v>349.44</v>
      </c>
      <c r="EL4" s="93">
        <v>348.48</v>
      </c>
      <c r="EM4" s="93">
        <v>347.52</v>
      </c>
      <c r="EN4" s="93">
        <v>346.56</v>
      </c>
      <c r="EO4" s="93">
        <v>345.59</v>
      </c>
      <c r="EP4" s="93">
        <v>344.63</v>
      </c>
      <c r="EQ4" s="93">
        <v>343.67</v>
      </c>
      <c r="ER4" s="93">
        <v>342.72</v>
      </c>
      <c r="ES4" s="93">
        <v>341.76</v>
      </c>
      <c r="ET4" s="93">
        <v>340.8</v>
      </c>
      <c r="EU4" s="93">
        <v>339.85</v>
      </c>
      <c r="EV4" s="93">
        <v>338.89</v>
      </c>
      <c r="EW4" s="93">
        <v>337.94</v>
      </c>
      <c r="EX4" s="93">
        <v>336.99</v>
      </c>
      <c r="EY4" s="93">
        <v>336.03</v>
      </c>
      <c r="EZ4" s="93">
        <v>335.08</v>
      </c>
      <c r="FA4" s="93">
        <v>334.13</v>
      </c>
      <c r="FB4" s="93">
        <v>333.18</v>
      </c>
      <c r="FC4" s="93">
        <v>332.23</v>
      </c>
      <c r="FD4" s="93">
        <v>331.28</v>
      </c>
      <c r="FE4" s="93">
        <v>330.33</v>
      </c>
      <c r="FF4" s="93">
        <v>329.38</v>
      </c>
      <c r="FG4" s="93">
        <v>328.43</v>
      </c>
      <c r="FH4" s="93">
        <v>327.49</v>
      </c>
      <c r="FI4" s="93">
        <v>326.54000000000002</v>
      </c>
      <c r="FJ4" s="93">
        <v>325.58999999999997</v>
      </c>
      <c r="FK4" s="93">
        <v>324.64999999999998</v>
      </c>
      <c r="FL4" s="93">
        <v>323.70999999999998</v>
      </c>
      <c r="FM4" s="93">
        <v>322.76</v>
      </c>
      <c r="FN4" s="93">
        <v>321.82</v>
      </c>
      <c r="FO4" s="93">
        <v>320.88</v>
      </c>
      <c r="FP4" s="93">
        <v>319.94</v>
      </c>
      <c r="FQ4" s="93">
        <v>319</v>
      </c>
      <c r="FR4" s="93">
        <v>318.06</v>
      </c>
      <c r="FS4" s="93">
        <v>317.12</v>
      </c>
      <c r="FT4" s="93">
        <v>316.19</v>
      </c>
      <c r="FU4" s="93">
        <v>315.25</v>
      </c>
      <c r="FV4" s="93">
        <v>314.31</v>
      </c>
      <c r="FW4" s="93">
        <v>313.38</v>
      </c>
      <c r="FX4" s="93">
        <v>312.45</v>
      </c>
      <c r="FY4" s="93">
        <v>311.51</v>
      </c>
      <c r="FZ4" s="93">
        <v>310.57</v>
      </c>
      <c r="GA4" s="93">
        <v>309.64999999999998</v>
      </c>
      <c r="GB4" s="93">
        <v>308.72000000000003</v>
      </c>
      <c r="GC4" s="93">
        <v>307.79000000000002</v>
      </c>
      <c r="GD4" s="93">
        <v>306.85000000000002</v>
      </c>
      <c r="GE4" s="93">
        <v>305.93</v>
      </c>
      <c r="GF4" s="93">
        <v>305.01</v>
      </c>
      <c r="GG4" s="93">
        <v>304.07</v>
      </c>
      <c r="GH4" s="93">
        <v>303.16000000000003</v>
      </c>
      <c r="GI4" s="93">
        <v>302.23</v>
      </c>
      <c r="GJ4" s="93">
        <v>301.31</v>
      </c>
      <c r="GK4" s="93">
        <v>300.39</v>
      </c>
      <c r="GL4" s="93">
        <v>299.47000000000003</v>
      </c>
      <c r="GM4" s="93">
        <v>298.54000000000002</v>
      </c>
      <c r="GN4" s="93">
        <v>297.63</v>
      </c>
      <c r="GO4" s="93">
        <v>296.70999999999998</v>
      </c>
      <c r="GP4" s="93">
        <v>295.79000000000002</v>
      </c>
      <c r="GQ4" s="93">
        <v>294.89</v>
      </c>
      <c r="GR4" s="93">
        <v>293.97000000000003</v>
      </c>
      <c r="GS4" s="93">
        <v>293.06</v>
      </c>
      <c r="GT4" s="93">
        <v>292.14999999999998</v>
      </c>
      <c r="GU4" s="93">
        <v>291.24</v>
      </c>
      <c r="GV4" s="93">
        <v>290.32</v>
      </c>
      <c r="GW4" s="93">
        <v>289.42</v>
      </c>
      <c r="GX4" s="93">
        <v>288.51</v>
      </c>
      <c r="GY4" s="93">
        <v>287.60000000000002</v>
      </c>
      <c r="GZ4" s="93">
        <v>286.70999999999998</v>
      </c>
      <c r="HA4" s="93">
        <v>285.79000000000002</v>
      </c>
      <c r="HB4" s="93">
        <v>284.89999999999998</v>
      </c>
      <c r="HC4" s="93">
        <v>284</v>
      </c>
      <c r="HD4" s="93">
        <v>283.10000000000002</v>
      </c>
      <c r="HE4" s="93">
        <v>282.2</v>
      </c>
      <c r="HF4" s="93">
        <v>281.31</v>
      </c>
      <c r="HG4" s="93">
        <v>280.41000000000003</v>
      </c>
      <c r="HH4" s="93">
        <v>279.51</v>
      </c>
      <c r="HI4" s="93">
        <v>278.62</v>
      </c>
      <c r="HJ4" s="93">
        <v>277.73</v>
      </c>
      <c r="HK4" s="93">
        <v>276.83999999999997</v>
      </c>
      <c r="HL4" s="93">
        <v>275.95</v>
      </c>
      <c r="HM4" s="93">
        <v>275.07</v>
      </c>
      <c r="HN4" s="93">
        <v>274.18</v>
      </c>
      <c r="HO4" s="93">
        <v>273.29000000000002</v>
      </c>
      <c r="HP4" s="93">
        <v>272.41000000000003</v>
      </c>
      <c r="HQ4" s="93">
        <v>271.52999999999997</v>
      </c>
      <c r="HR4" s="93">
        <v>270.64999999999998</v>
      </c>
      <c r="HS4" s="93">
        <v>269.76</v>
      </c>
      <c r="HT4" s="93">
        <v>268.89</v>
      </c>
      <c r="HU4" s="93">
        <v>268.01</v>
      </c>
      <c r="HV4" s="93">
        <v>267.14</v>
      </c>
      <c r="HW4" s="93">
        <v>266.26</v>
      </c>
      <c r="HX4" s="93">
        <v>265.39</v>
      </c>
      <c r="HY4" s="93">
        <v>264.51</v>
      </c>
      <c r="HZ4" s="93">
        <v>263.64999999999998</v>
      </c>
      <c r="IA4" s="93">
        <v>262.77999999999997</v>
      </c>
      <c r="IB4" s="93">
        <v>261.91000000000003</v>
      </c>
      <c r="IC4" s="93">
        <v>261.04000000000002</v>
      </c>
      <c r="ID4" s="93">
        <v>260.17</v>
      </c>
      <c r="IE4" s="93">
        <v>259.31</v>
      </c>
      <c r="IF4" s="93">
        <v>258.44</v>
      </c>
      <c r="IG4" s="93">
        <v>257.57</v>
      </c>
      <c r="IH4" s="93">
        <v>256.70999999999998</v>
      </c>
      <c r="II4" s="93">
        <v>255.85</v>
      </c>
      <c r="IJ4" s="93">
        <v>254.99</v>
      </c>
      <c r="IK4" s="93">
        <v>254.14</v>
      </c>
      <c r="IL4" s="93">
        <v>253.28</v>
      </c>
      <c r="IM4" s="93">
        <v>252.42</v>
      </c>
      <c r="IN4" s="93">
        <v>251.57</v>
      </c>
      <c r="IO4" s="93">
        <v>250.71</v>
      </c>
      <c r="IP4" s="93">
        <v>249.86</v>
      </c>
      <c r="IQ4" s="93">
        <v>249.01</v>
      </c>
      <c r="IR4" s="93">
        <v>248.16</v>
      </c>
      <c r="IS4" s="93">
        <v>247.31</v>
      </c>
      <c r="IT4" s="93">
        <v>246.47</v>
      </c>
      <c r="IU4" s="93">
        <v>245.62</v>
      </c>
      <c r="IV4" s="93">
        <v>244.78</v>
      </c>
      <c r="IW4" s="93">
        <v>243.94</v>
      </c>
      <c r="IX4" s="93">
        <v>243.1</v>
      </c>
      <c r="IY4" s="93">
        <v>242.26</v>
      </c>
      <c r="IZ4" s="93">
        <v>241.42</v>
      </c>
      <c r="JA4" s="93">
        <v>240.58</v>
      </c>
      <c r="JB4" s="93">
        <v>239.75</v>
      </c>
      <c r="JC4" s="93">
        <v>238.92</v>
      </c>
      <c r="JD4" s="93">
        <v>238.08</v>
      </c>
      <c r="JE4" s="93">
        <v>237.25</v>
      </c>
      <c r="JF4" s="93">
        <v>236.42</v>
      </c>
      <c r="JG4" s="93">
        <v>235.59</v>
      </c>
      <c r="JH4" s="93">
        <v>234.76</v>
      </c>
      <c r="JI4" s="93">
        <v>233.94</v>
      </c>
      <c r="JJ4" s="93">
        <v>233.11</v>
      </c>
      <c r="JK4" s="93">
        <v>232.28</v>
      </c>
      <c r="JL4" s="93">
        <v>231.46</v>
      </c>
      <c r="JM4" s="93">
        <v>230.64</v>
      </c>
      <c r="JN4" s="93">
        <v>229.82</v>
      </c>
      <c r="JO4" s="93">
        <v>229</v>
      </c>
      <c r="JP4" s="93">
        <v>228.18</v>
      </c>
      <c r="JQ4" s="93">
        <v>227.36</v>
      </c>
      <c r="JR4" s="93">
        <v>226.54</v>
      </c>
      <c r="JS4" s="93">
        <v>225.72</v>
      </c>
      <c r="JT4" s="93">
        <v>224.91</v>
      </c>
      <c r="JU4" s="93">
        <v>224.1</v>
      </c>
      <c r="JV4" s="93">
        <v>223.29</v>
      </c>
      <c r="JW4" s="93">
        <v>222.47</v>
      </c>
      <c r="JX4" s="93">
        <v>221.66</v>
      </c>
      <c r="JY4" s="93">
        <v>220.86</v>
      </c>
      <c r="JZ4" s="93">
        <v>220.05</v>
      </c>
      <c r="KA4" s="93">
        <v>219.24</v>
      </c>
      <c r="KB4" s="93">
        <v>218.43</v>
      </c>
      <c r="KC4" s="93">
        <v>217.63</v>
      </c>
      <c r="KD4" s="93">
        <v>216.83</v>
      </c>
      <c r="KE4" s="93">
        <v>216.02</v>
      </c>
      <c r="KF4" s="93">
        <v>215.22</v>
      </c>
      <c r="KG4" s="93">
        <v>214.42</v>
      </c>
      <c r="KH4" s="93">
        <v>213.62</v>
      </c>
      <c r="KI4" s="93">
        <v>212.82</v>
      </c>
      <c r="KJ4" s="93">
        <v>212.03</v>
      </c>
      <c r="KK4" s="93">
        <v>211.23</v>
      </c>
      <c r="KL4" s="93">
        <v>210.44</v>
      </c>
      <c r="KM4" s="93">
        <v>209.64</v>
      </c>
      <c r="KN4" s="93">
        <v>208.85</v>
      </c>
      <c r="KO4" s="93">
        <v>208.06</v>
      </c>
      <c r="KP4" s="93">
        <v>207.27</v>
      </c>
      <c r="KQ4" s="93">
        <v>206.49</v>
      </c>
      <c r="KR4" s="93">
        <v>205.71</v>
      </c>
      <c r="KS4" s="93">
        <v>204.96</v>
      </c>
      <c r="KT4" s="93">
        <v>204.21</v>
      </c>
      <c r="KU4" s="93">
        <v>203.46</v>
      </c>
      <c r="KV4" s="93">
        <v>202.71</v>
      </c>
      <c r="KW4" s="93">
        <v>201.96</v>
      </c>
      <c r="KX4" s="93">
        <v>201.21</v>
      </c>
      <c r="KY4" s="93">
        <v>200.46</v>
      </c>
      <c r="KZ4" s="93">
        <v>199.71</v>
      </c>
      <c r="LA4" s="93">
        <v>198.96</v>
      </c>
      <c r="LB4" s="93">
        <v>198.21</v>
      </c>
      <c r="LC4" s="93">
        <v>197.46</v>
      </c>
      <c r="LD4" s="93">
        <v>196.71</v>
      </c>
      <c r="LE4" s="93">
        <v>195.96</v>
      </c>
      <c r="LF4" s="93">
        <v>195.21</v>
      </c>
      <c r="LG4" s="93">
        <v>194.46</v>
      </c>
      <c r="LH4" s="93">
        <v>193.71</v>
      </c>
      <c r="LI4" s="93">
        <v>192.96</v>
      </c>
      <c r="LJ4" s="93">
        <v>192.21</v>
      </c>
      <c r="LK4" s="93">
        <v>191.46</v>
      </c>
      <c r="LL4" s="93">
        <v>190.71</v>
      </c>
      <c r="LM4" s="93">
        <v>189.96</v>
      </c>
      <c r="LN4" s="93">
        <v>189.21</v>
      </c>
      <c r="LO4" s="93">
        <v>188.46</v>
      </c>
      <c r="LP4" s="93">
        <v>187.71</v>
      </c>
      <c r="LQ4" s="93">
        <v>186.96</v>
      </c>
      <c r="LR4" s="93">
        <v>186.21</v>
      </c>
      <c r="LS4" s="93">
        <v>185.46</v>
      </c>
      <c r="LT4" s="93">
        <v>184.71</v>
      </c>
      <c r="LU4" s="93">
        <v>183.96</v>
      </c>
      <c r="LV4" s="93">
        <v>183.21</v>
      </c>
      <c r="LW4" s="93">
        <v>182.46</v>
      </c>
      <c r="LX4" s="93">
        <v>181.71</v>
      </c>
      <c r="LY4" s="93">
        <v>180.96</v>
      </c>
      <c r="LZ4" s="93">
        <v>180.21</v>
      </c>
      <c r="MA4" s="93">
        <v>179.46</v>
      </c>
      <c r="MB4" s="93">
        <v>178.71</v>
      </c>
      <c r="MC4" s="93">
        <v>177.96</v>
      </c>
      <c r="MD4" s="93">
        <v>177.21</v>
      </c>
      <c r="ME4" s="93">
        <v>176.46</v>
      </c>
      <c r="MF4" s="93">
        <v>175.71</v>
      </c>
      <c r="MG4" s="93">
        <v>174.96</v>
      </c>
      <c r="MH4" s="93">
        <v>174.21</v>
      </c>
      <c r="MI4" s="93">
        <v>173.46</v>
      </c>
      <c r="MJ4" s="93">
        <v>172.71</v>
      </c>
      <c r="MK4" s="93">
        <v>171.96</v>
      </c>
      <c r="ML4" s="93">
        <v>171.21</v>
      </c>
      <c r="MM4" s="93">
        <v>170.46</v>
      </c>
      <c r="MN4" s="93">
        <v>169.71</v>
      </c>
      <c r="MO4" s="93">
        <v>168.96</v>
      </c>
      <c r="MP4" s="93">
        <v>168.21</v>
      </c>
      <c r="MQ4" s="93">
        <v>167.46</v>
      </c>
      <c r="MR4" s="93">
        <v>166.71</v>
      </c>
      <c r="MS4" s="93">
        <v>165.96</v>
      </c>
      <c r="MT4" s="93">
        <v>165.21</v>
      </c>
      <c r="MU4" s="93">
        <v>164.46</v>
      </c>
      <c r="MV4" s="93">
        <v>163.71</v>
      </c>
      <c r="MW4" s="93">
        <v>162.96</v>
      </c>
      <c r="MX4" s="93">
        <v>162.21</v>
      </c>
      <c r="MY4" s="93">
        <v>161.46</v>
      </c>
    </row>
    <row r="5" spans="1:376" ht="15.75" x14ac:dyDescent="0.25">
      <c r="A5" s="90" t="s">
        <v>7</v>
      </c>
      <c r="B5" s="95">
        <v>2015</v>
      </c>
      <c r="C5" s="93">
        <v>487.71</v>
      </c>
      <c r="D5" s="93">
        <v>486.69</v>
      </c>
      <c r="E5" s="93">
        <v>485.68</v>
      </c>
      <c r="F5" s="93">
        <v>484.66</v>
      </c>
      <c r="G5" s="93">
        <v>483.65</v>
      </c>
      <c r="H5" s="93">
        <v>482.63</v>
      </c>
      <c r="I5" s="93">
        <v>481.61</v>
      </c>
      <c r="J5" s="93">
        <v>480.6</v>
      </c>
      <c r="K5" s="93">
        <v>479.58</v>
      </c>
      <c r="L5" s="93">
        <v>478.57</v>
      </c>
      <c r="M5" s="93">
        <v>477.55</v>
      </c>
      <c r="N5" s="93">
        <v>476.54</v>
      </c>
      <c r="O5" s="93">
        <v>475.52</v>
      </c>
      <c r="P5" s="93">
        <v>474.51</v>
      </c>
      <c r="Q5" s="93">
        <v>473.49</v>
      </c>
      <c r="R5" s="93">
        <v>472.48</v>
      </c>
      <c r="S5" s="93">
        <v>471.46</v>
      </c>
      <c r="T5" s="93">
        <v>470.45</v>
      </c>
      <c r="U5" s="93">
        <v>469.44</v>
      </c>
      <c r="V5" s="93">
        <v>468.42</v>
      </c>
      <c r="W5" s="93">
        <v>467.41</v>
      </c>
      <c r="X5" s="93">
        <v>466.4</v>
      </c>
      <c r="Y5" s="93">
        <v>465.38</v>
      </c>
      <c r="Z5" s="93">
        <v>464.37</v>
      </c>
      <c r="AA5" s="93">
        <v>463.36</v>
      </c>
      <c r="AB5" s="93">
        <v>462.34</v>
      </c>
      <c r="AC5" s="93">
        <v>461.33</v>
      </c>
      <c r="AD5" s="93">
        <v>460.32</v>
      </c>
      <c r="AE5" s="93">
        <v>459.31</v>
      </c>
      <c r="AF5" s="93">
        <v>458.3</v>
      </c>
      <c r="AG5" s="93">
        <v>457.28</v>
      </c>
      <c r="AH5" s="93">
        <v>456.27</v>
      </c>
      <c r="AI5" s="93">
        <v>455.26</v>
      </c>
      <c r="AJ5" s="93">
        <v>454.25</v>
      </c>
      <c r="AK5" s="93">
        <v>453.24</v>
      </c>
      <c r="AL5" s="93">
        <v>452.23</v>
      </c>
      <c r="AM5" s="93">
        <v>451.22</v>
      </c>
      <c r="AN5" s="93">
        <v>450.21</v>
      </c>
      <c r="AO5" s="93">
        <v>449.2</v>
      </c>
      <c r="AP5" s="93">
        <v>448.19</v>
      </c>
      <c r="AQ5" s="93">
        <v>447.18</v>
      </c>
      <c r="AR5" s="93">
        <v>446.17</v>
      </c>
      <c r="AS5" s="93">
        <v>445.16</v>
      </c>
      <c r="AT5" s="93">
        <v>444.15</v>
      </c>
      <c r="AU5" s="93">
        <v>443.14</v>
      </c>
      <c r="AV5" s="93">
        <v>442.13</v>
      </c>
      <c r="AW5" s="93">
        <v>441.12</v>
      </c>
      <c r="AX5" s="93">
        <v>440.11</v>
      </c>
      <c r="AY5" s="93">
        <v>439.1</v>
      </c>
      <c r="AZ5" s="93">
        <v>438.1</v>
      </c>
      <c r="BA5" s="93">
        <v>437.09</v>
      </c>
      <c r="BB5" s="93">
        <v>436.08</v>
      </c>
      <c r="BC5" s="93">
        <v>435.08</v>
      </c>
      <c r="BD5" s="93">
        <v>434.07</v>
      </c>
      <c r="BE5" s="93">
        <v>433.06</v>
      </c>
      <c r="BF5" s="93">
        <v>432.06</v>
      </c>
      <c r="BG5" s="93">
        <v>431.05</v>
      </c>
      <c r="BH5" s="93">
        <v>430.04</v>
      </c>
      <c r="BI5" s="93">
        <v>429.04</v>
      </c>
      <c r="BJ5" s="93">
        <v>428.03</v>
      </c>
      <c r="BK5" s="93">
        <v>427.03</v>
      </c>
      <c r="BL5" s="93">
        <v>426.02</v>
      </c>
      <c r="BM5" s="93">
        <v>425.02</v>
      </c>
      <c r="BN5" s="93">
        <v>424.02</v>
      </c>
      <c r="BO5" s="93">
        <v>423.01</v>
      </c>
      <c r="BP5" s="93">
        <v>422.01</v>
      </c>
      <c r="BQ5" s="93">
        <v>421</v>
      </c>
      <c r="BR5" s="93">
        <v>420</v>
      </c>
      <c r="BS5" s="93">
        <v>419</v>
      </c>
      <c r="BT5" s="93">
        <v>418</v>
      </c>
      <c r="BU5" s="93">
        <v>416.99</v>
      </c>
      <c r="BV5" s="93">
        <v>415.99</v>
      </c>
      <c r="BW5" s="93">
        <v>414.99</v>
      </c>
      <c r="BX5" s="93">
        <v>413.99</v>
      </c>
      <c r="BY5" s="93">
        <v>412.99</v>
      </c>
      <c r="BZ5" s="93">
        <v>411.99</v>
      </c>
      <c r="CA5" s="93">
        <v>410.99</v>
      </c>
      <c r="CB5" s="93">
        <v>409.99</v>
      </c>
      <c r="CC5" s="93">
        <v>409</v>
      </c>
      <c r="CD5" s="93">
        <v>408</v>
      </c>
      <c r="CE5" s="93">
        <v>407</v>
      </c>
      <c r="CF5" s="93">
        <v>406</v>
      </c>
      <c r="CG5" s="93">
        <v>405</v>
      </c>
      <c r="CH5" s="93">
        <v>404.01</v>
      </c>
      <c r="CI5" s="93">
        <v>403.01</v>
      </c>
      <c r="CJ5" s="93">
        <v>402.02</v>
      </c>
      <c r="CK5" s="93">
        <v>401.02</v>
      </c>
      <c r="CL5" s="93">
        <v>400.03</v>
      </c>
      <c r="CM5" s="93">
        <v>399.03</v>
      </c>
      <c r="CN5" s="93">
        <v>398.04</v>
      </c>
      <c r="CO5" s="93">
        <v>397.05</v>
      </c>
      <c r="CP5" s="93">
        <v>396.05</v>
      </c>
      <c r="CQ5" s="93">
        <v>395.06</v>
      </c>
      <c r="CR5" s="93">
        <v>394.07</v>
      </c>
      <c r="CS5" s="93">
        <v>393.07</v>
      </c>
      <c r="CT5" s="93">
        <v>392.08</v>
      </c>
      <c r="CU5" s="93">
        <v>391.09</v>
      </c>
      <c r="CV5" s="93">
        <v>390.1</v>
      </c>
      <c r="CW5" s="93">
        <v>389.11</v>
      </c>
      <c r="CX5" s="93">
        <v>388.12</v>
      </c>
      <c r="CY5" s="93">
        <v>387.14</v>
      </c>
      <c r="CZ5" s="93">
        <v>386.15</v>
      </c>
      <c r="DA5" s="93">
        <v>385.16</v>
      </c>
      <c r="DB5" s="93">
        <v>384.17</v>
      </c>
      <c r="DC5" s="93">
        <v>383.19</v>
      </c>
      <c r="DD5" s="93">
        <v>382.2</v>
      </c>
      <c r="DE5" s="93">
        <v>381.21</v>
      </c>
      <c r="DF5" s="93">
        <v>380.22</v>
      </c>
      <c r="DG5" s="93">
        <v>379.24</v>
      </c>
      <c r="DH5" s="93">
        <v>378.26</v>
      </c>
      <c r="DI5" s="93">
        <v>377.27</v>
      </c>
      <c r="DJ5" s="93">
        <v>376.29</v>
      </c>
      <c r="DK5" s="93">
        <v>375.31</v>
      </c>
      <c r="DL5" s="93">
        <v>374.33</v>
      </c>
      <c r="DM5" s="93">
        <v>373.34</v>
      </c>
      <c r="DN5" s="93">
        <v>372.36</v>
      </c>
      <c r="DO5" s="93">
        <v>371.38</v>
      </c>
      <c r="DP5" s="93">
        <v>370.4</v>
      </c>
      <c r="DQ5" s="93">
        <v>369.42</v>
      </c>
      <c r="DR5" s="93">
        <v>368.44</v>
      </c>
      <c r="DS5" s="93">
        <v>367.46</v>
      </c>
      <c r="DT5" s="93">
        <v>366.49</v>
      </c>
      <c r="DU5" s="93">
        <v>365.51</v>
      </c>
      <c r="DV5" s="93">
        <v>364.54</v>
      </c>
      <c r="DW5" s="93">
        <v>363.56</v>
      </c>
      <c r="DX5" s="93">
        <v>362.59</v>
      </c>
      <c r="DY5" s="93">
        <v>361.61</v>
      </c>
      <c r="DZ5" s="93">
        <v>360.64</v>
      </c>
      <c r="EA5" s="93">
        <v>359.67</v>
      </c>
      <c r="EB5" s="93">
        <v>358.69</v>
      </c>
      <c r="EC5" s="93">
        <v>357.72</v>
      </c>
      <c r="ED5" s="93">
        <v>356.75</v>
      </c>
      <c r="EE5" s="93">
        <v>355.78</v>
      </c>
      <c r="EF5" s="93">
        <v>354.82</v>
      </c>
      <c r="EG5" s="93">
        <v>353.85</v>
      </c>
      <c r="EH5" s="93">
        <v>352.88</v>
      </c>
      <c r="EI5" s="93">
        <v>351.92</v>
      </c>
      <c r="EJ5" s="93">
        <v>350.96</v>
      </c>
      <c r="EK5" s="93">
        <v>349.99</v>
      </c>
      <c r="EL5" s="93">
        <v>349.03</v>
      </c>
      <c r="EM5" s="93">
        <v>348.07</v>
      </c>
      <c r="EN5" s="93">
        <v>347.11</v>
      </c>
      <c r="EO5" s="93">
        <v>346.14</v>
      </c>
      <c r="EP5" s="93">
        <v>345.18</v>
      </c>
      <c r="EQ5" s="93">
        <v>344.22</v>
      </c>
      <c r="ER5" s="93">
        <v>343.27</v>
      </c>
      <c r="ES5" s="93">
        <v>342.31</v>
      </c>
      <c r="ET5" s="93">
        <v>341.35</v>
      </c>
      <c r="EU5" s="93">
        <v>340.4</v>
      </c>
      <c r="EV5" s="93">
        <v>339.44</v>
      </c>
      <c r="EW5" s="93">
        <v>338.49</v>
      </c>
      <c r="EX5" s="93">
        <v>337.53</v>
      </c>
      <c r="EY5" s="93">
        <v>336.58</v>
      </c>
      <c r="EZ5" s="93">
        <v>335.63</v>
      </c>
      <c r="FA5" s="93">
        <v>334.67</v>
      </c>
      <c r="FB5" s="93">
        <v>333.72</v>
      </c>
      <c r="FC5" s="93">
        <v>332.77</v>
      </c>
      <c r="FD5" s="93">
        <v>331.82</v>
      </c>
      <c r="FE5" s="93">
        <v>330.87</v>
      </c>
      <c r="FF5" s="93">
        <v>329.93</v>
      </c>
      <c r="FG5" s="93">
        <v>328.98</v>
      </c>
      <c r="FH5" s="93">
        <v>328.03</v>
      </c>
      <c r="FI5" s="93">
        <v>327.08999999999997</v>
      </c>
      <c r="FJ5" s="93">
        <v>326.14</v>
      </c>
      <c r="FK5" s="93">
        <v>325.2</v>
      </c>
      <c r="FL5" s="93">
        <v>324.25</v>
      </c>
      <c r="FM5" s="93">
        <v>323.31</v>
      </c>
      <c r="FN5" s="93">
        <v>322.35000000000002</v>
      </c>
      <c r="FO5" s="93">
        <v>321.42</v>
      </c>
      <c r="FP5" s="93">
        <v>320.48</v>
      </c>
      <c r="FQ5" s="93">
        <v>319.54000000000002</v>
      </c>
      <c r="FR5" s="93">
        <v>318.60000000000002</v>
      </c>
      <c r="FS5" s="93">
        <v>317.67</v>
      </c>
      <c r="FT5" s="93">
        <v>316.73</v>
      </c>
      <c r="FU5" s="93">
        <v>315.79000000000002</v>
      </c>
      <c r="FV5" s="93">
        <v>314.85000000000002</v>
      </c>
      <c r="FW5" s="93">
        <v>313.92</v>
      </c>
      <c r="FX5" s="93">
        <v>312.99</v>
      </c>
      <c r="FY5" s="93">
        <v>312.04000000000002</v>
      </c>
      <c r="FZ5" s="93">
        <v>311.12</v>
      </c>
      <c r="GA5" s="93">
        <v>310.19</v>
      </c>
      <c r="GB5" s="93">
        <v>309.26</v>
      </c>
      <c r="GC5" s="93">
        <v>308.32</v>
      </c>
      <c r="GD5" s="93">
        <v>307.39999999999998</v>
      </c>
      <c r="GE5" s="93">
        <v>306.47000000000003</v>
      </c>
      <c r="GF5" s="93">
        <v>305.54000000000002</v>
      </c>
      <c r="GG5" s="93">
        <v>304.62</v>
      </c>
      <c r="GH5" s="93">
        <v>303.69</v>
      </c>
      <c r="GI5" s="93">
        <v>302.76</v>
      </c>
      <c r="GJ5" s="93">
        <v>301.85000000000002</v>
      </c>
      <c r="GK5" s="93">
        <v>300.93</v>
      </c>
      <c r="GL5" s="93">
        <v>300</v>
      </c>
      <c r="GM5" s="93">
        <v>299.08999999999997</v>
      </c>
      <c r="GN5" s="93">
        <v>298.17</v>
      </c>
      <c r="GO5" s="93">
        <v>297.25</v>
      </c>
      <c r="GP5" s="93">
        <v>296.32</v>
      </c>
      <c r="GQ5" s="93">
        <v>295.42</v>
      </c>
      <c r="GR5" s="93">
        <v>294.51</v>
      </c>
      <c r="GS5" s="93">
        <v>293.58999999999997</v>
      </c>
      <c r="GT5" s="93">
        <v>292.68</v>
      </c>
      <c r="GU5" s="93">
        <v>291.76</v>
      </c>
      <c r="GV5" s="93">
        <v>290.85000000000002</v>
      </c>
      <c r="GW5" s="93">
        <v>289.95999999999998</v>
      </c>
      <c r="GX5" s="93">
        <v>289.04000000000002</v>
      </c>
      <c r="GY5" s="93">
        <v>288.14</v>
      </c>
      <c r="GZ5" s="93">
        <v>287.24</v>
      </c>
      <c r="HA5" s="93">
        <v>286.33999999999997</v>
      </c>
      <c r="HB5" s="93">
        <v>285.43</v>
      </c>
      <c r="HC5" s="93">
        <v>284.52999999999997</v>
      </c>
      <c r="HD5" s="93">
        <v>283.63</v>
      </c>
      <c r="HE5" s="93">
        <v>282.73</v>
      </c>
      <c r="HF5" s="93">
        <v>281.83999999999997</v>
      </c>
      <c r="HG5" s="93">
        <v>280.94</v>
      </c>
      <c r="HH5" s="93">
        <v>280.04000000000002</v>
      </c>
      <c r="HI5" s="93">
        <v>279.14999999999998</v>
      </c>
      <c r="HJ5" s="93">
        <v>278.26</v>
      </c>
      <c r="HK5" s="93">
        <v>277.37</v>
      </c>
      <c r="HL5" s="93">
        <v>276.48</v>
      </c>
      <c r="HM5" s="93">
        <v>275.58999999999997</v>
      </c>
      <c r="HN5" s="93">
        <v>274.70999999999998</v>
      </c>
      <c r="HO5" s="93">
        <v>273.82</v>
      </c>
      <c r="HP5" s="93">
        <v>272.94</v>
      </c>
      <c r="HQ5" s="93">
        <v>272.04000000000002</v>
      </c>
      <c r="HR5" s="93">
        <v>271.17</v>
      </c>
      <c r="HS5" s="93">
        <v>270.29000000000002</v>
      </c>
      <c r="HT5" s="93">
        <v>269.41000000000003</v>
      </c>
      <c r="HU5" s="93">
        <v>268.54000000000002</v>
      </c>
      <c r="HV5" s="93">
        <v>267.66000000000003</v>
      </c>
      <c r="HW5" s="93">
        <v>266.77999999999997</v>
      </c>
      <c r="HX5" s="93">
        <v>265.91000000000003</v>
      </c>
      <c r="HY5" s="93">
        <v>265.04000000000002</v>
      </c>
      <c r="HZ5" s="93">
        <v>264.17</v>
      </c>
      <c r="IA5" s="93">
        <v>263.29000000000002</v>
      </c>
      <c r="IB5" s="93">
        <v>262.43</v>
      </c>
      <c r="IC5" s="93">
        <v>261.56</v>
      </c>
      <c r="ID5" s="93">
        <v>260.69</v>
      </c>
      <c r="IE5" s="93">
        <v>259.82</v>
      </c>
      <c r="IF5" s="93">
        <v>258.95999999999998</v>
      </c>
      <c r="IG5" s="93">
        <v>258.10000000000002</v>
      </c>
      <c r="IH5" s="93">
        <v>257.23</v>
      </c>
      <c r="II5" s="93">
        <v>256.37</v>
      </c>
      <c r="IJ5" s="93">
        <v>255.51</v>
      </c>
      <c r="IK5" s="93">
        <v>254.65</v>
      </c>
      <c r="IL5" s="93">
        <v>253.79</v>
      </c>
      <c r="IM5" s="93">
        <v>252.94</v>
      </c>
      <c r="IN5" s="93">
        <v>252.08</v>
      </c>
      <c r="IO5" s="93">
        <v>251.23</v>
      </c>
      <c r="IP5" s="93">
        <v>250.38</v>
      </c>
      <c r="IQ5" s="93">
        <v>249.53</v>
      </c>
      <c r="IR5" s="93">
        <v>248.68</v>
      </c>
      <c r="IS5" s="93">
        <v>247.83</v>
      </c>
      <c r="IT5" s="93">
        <v>246.98</v>
      </c>
      <c r="IU5" s="93">
        <v>246.13</v>
      </c>
      <c r="IV5" s="93">
        <v>245.29</v>
      </c>
      <c r="IW5" s="93">
        <v>244.45</v>
      </c>
      <c r="IX5" s="93">
        <v>243.61</v>
      </c>
      <c r="IY5" s="93">
        <v>242.77</v>
      </c>
      <c r="IZ5" s="93">
        <v>241.93</v>
      </c>
      <c r="JA5" s="93">
        <v>241.09</v>
      </c>
      <c r="JB5" s="93">
        <v>240.26</v>
      </c>
      <c r="JC5" s="93">
        <v>239.42</v>
      </c>
      <c r="JD5" s="93">
        <v>238.59</v>
      </c>
      <c r="JE5" s="93">
        <v>237.76</v>
      </c>
      <c r="JF5" s="93">
        <v>236.93</v>
      </c>
      <c r="JG5" s="93">
        <v>236.1</v>
      </c>
      <c r="JH5" s="93">
        <v>235.27</v>
      </c>
      <c r="JI5" s="93">
        <v>234.44</v>
      </c>
      <c r="JJ5" s="93">
        <v>233.61</v>
      </c>
      <c r="JK5" s="93">
        <v>232.79</v>
      </c>
      <c r="JL5" s="93">
        <v>231.96</v>
      </c>
      <c r="JM5" s="93">
        <v>231.14</v>
      </c>
      <c r="JN5" s="93">
        <v>230.32</v>
      </c>
      <c r="JO5" s="93">
        <v>229.5</v>
      </c>
      <c r="JP5" s="93">
        <v>228.68</v>
      </c>
      <c r="JQ5" s="93">
        <v>227.86</v>
      </c>
      <c r="JR5" s="93">
        <v>227.04</v>
      </c>
      <c r="JS5" s="93">
        <v>226.22</v>
      </c>
      <c r="JT5" s="93">
        <v>225.41</v>
      </c>
      <c r="JU5" s="93">
        <v>224.59</v>
      </c>
      <c r="JV5" s="93">
        <v>223.78</v>
      </c>
      <c r="JW5" s="93">
        <v>222.97</v>
      </c>
      <c r="JX5" s="93">
        <v>222.16</v>
      </c>
      <c r="JY5" s="93">
        <v>221.35</v>
      </c>
      <c r="JZ5" s="93">
        <v>220.54</v>
      </c>
      <c r="KA5" s="93">
        <v>219.73</v>
      </c>
      <c r="KB5" s="93">
        <v>218.93</v>
      </c>
      <c r="KC5" s="93">
        <v>218.12</v>
      </c>
      <c r="KD5" s="93">
        <v>217.32</v>
      </c>
      <c r="KE5" s="93">
        <v>216.51</v>
      </c>
      <c r="KF5" s="93">
        <v>215.71</v>
      </c>
      <c r="KG5" s="93">
        <v>214.91</v>
      </c>
      <c r="KH5" s="93">
        <v>214.11</v>
      </c>
      <c r="KI5" s="93">
        <v>213.31</v>
      </c>
      <c r="KJ5" s="93">
        <v>212.51</v>
      </c>
      <c r="KK5" s="93">
        <v>211.72</v>
      </c>
      <c r="KL5" s="93">
        <v>210.92</v>
      </c>
      <c r="KM5" s="93">
        <v>210.13</v>
      </c>
      <c r="KN5" s="93">
        <v>209.34</v>
      </c>
      <c r="KO5" s="93">
        <v>208.55</v>
      </c>
      <c r="KP5" s="93">
        <v>207.76</v>
      </c>
      <c r="KQ5" s="93">
        <v>206.97</v>
      </c>
      <c r="KR5" s="93">
        <v>206.17000000000002</v>
      </c>
      <c r="KS5" s="93">
        <v>205.42000000000002</v>
      </c>
      <c r="KT5" s="93">
        <v>204.67000000000002</v>
      </c>
      <c r="KU5" s="93">
        <v>203.92000000000002</v>
      </c>
      <c r="KV5" s="93">
        <v>203.17000000000002</v>
      </c>
      <c r="KW5" s="93">
        <v>202.42000000000002</v>
      </c>
      <c r="KX5" s="93">
        <v>201.67000000000002</v>
      </c>
      <c r="KY5" s="93">
        <v>200.92000000000002</v>
      </c>
      <c r="KZ5" s="93">
        <v>200.17000000000002</v>
      </c>
      <c r="LA5" s="93">
        <v>199.42000000000002</v>
      </c>
      <c r="LB5" s="93">
        <v>198.67000000000002</v>
      </c>
      <c r="LC5" s="93">
        <v>197.92000000000002</v>
      </c>
      <c r="LD5" s="93">
        <v>197.17000000000002</v>
      </c>
      <c r="LE5" s="93">
        <v>196.42000000000002</v>
      </c>
      <c r="LF5" s="93">
        <v>195.67000000000002</v>
      </c>
      <c r="LG5" s="93">
        <v>194.92000000000002</v>
      </c>
      <c r="LH5" s="93">
        <v>194.17000000000002</v>
      </c>
      <c r="LI5" s="93">
        <v>193.42000000000002</v>
      </c>
      <c r="LJ5" s="93">
        <v>192.67000000000002</v>
      </c>
      <c r="LK5" s="93">
        <v>191.92000000000002</v>
      </c>
      <c r="LL5" s="93">
        <v>191.17000000000002</v>
      </c>
      <c r="LM5" s="93">
        <v>190.42000000000002</v>
      </c>
      <c r="LN5" s="93">
        <v>189.67000000000002</v>
      </c>
      <c r="LO5" s="93">
        <v>188.92000000000002</v>
      </c>
      <c r="LP5" s="93">
        <v>188.17000000000002</v>
      </c>
      <c r="LQ5" s="93">
        <v>187.42000000000002</v>
      </c>
      <c r="LR5" s="93">
        <v>186.67000000000002</v>
      </c>
      <c r="LS5" s="93">
        <v>185.92000000000002</v>
      </c>
      <c r="LT5" s="93">
        <v>185.17000000000002</v>
      </c>
      <c r="LU5" s="93">
        <v>184.42000000000002</v>
      </c>
      <c r="LV5" s="93">
        <v>183.67000000000002</v>
      </c>
      <c r="LW5" s="93">
        <v>182.92000000000002</v>
      </c>
      <c r="LX5" s="93">
        <v>182.17000000000002</v>
      </c>
      <c r="LY5" s="93">
        <v>181.42000000000002</v>
      </c>
      <c r="LZ5" s="93">
        <v>180.67000000000002</v>
      </c>
      <c r="MA5" s="93">
        <v>179.92000000000002</v>
      </c>
      <c r="MB5" s="93">
        <v>179.17000000000002</v>
      </c>
      <c r="MC5" s="93">
        <v>178.42000000000002</v>
      </c>
      <c r="MD5" s="93">
        <v>177.67000000000002</v>
      </c>
      <c r="ME5" s="93">
        <v>176.92000000000002</v>
      </c>
      <c r="MF5" s="93">
        <v>176.17000000000002</v>
      </c>
      <c r="MG5" s="93">
        <v>175.42000000000002</v>
      </c>
      <c r="MH5" s="93">
        <v>174.67000000000002</v>
      </c>
      <c r="MI5" s="93">
        <v>173.92000000000002</v>
      </c>
      <c r="MJ5" s="93">
        <v>173.17000000000002</v>
      </c>
      <c r="MK5" s="93">
        <v>172.42000000000002</v>
      </c>
      <c r="ML5" s="93">
        <v>171.67000000000002</v>
      </c>
      <c r="MM5" s="93">
        <v>170.92000000000002</v>
      </c>
      <c r="MN5" s="93">
        <v>170.17000000000002</v>
      </c>
      <c r="MO5" s="93">
        <v>169.42000000000002</v>
      </c>
      <c r="MP5" s="93">
        <v>168.67000000000002</v>
      </c>
      <c r="MQ5" s="93">
        <v>167.92000000000002</v>
      </c>
      <c r="MR5" s="93">
        <v>167.17000000000002</v>
      </c>
      <c r="MS5" s="93">
        <v>166.42000000000002</v>
      </c>
      <c r="MT5" s="93">
        <v>165.67000000000002</v>
      </c>
      <c r="MU5" s="93">
        <v>164.92000000000002</v>
      </c>
      <c r="MV5" s="93">
        <v>164.17000000000002</v>
      </c>
      <c r="MW5" s="93">
        <v>163.42000000000002</v>
      </c>
      <c r="MX5" s="93">
        <v>162.67000000000002</v>
      </c>
      <c r="MY5" s="93">
        <v>161.92000000000002</v>
      </c>
    </row>
    <row r="6" spans="1:376" ht="15.75" x14ac:dyDescent="0.25">
      <c r="A6" s="90" t="s">
        <v>7</v>
      </c>
      <c r="B6" s="95">
        <v>2016</v>
      </c>
      <c r="C6" s="93">
        <v>488.33</v>
      </c>
      <c r="D6" s="93">
        <v>487.31</v>
      </c>
      <c r="E6" s="93">
        <v>486.3</v>
      </c>
      <c r="F6" s="93">
        <v>485.28</v>
      </c>
      <c r="G6" s="93">
        <v>484.26</v>
      </c>
      <c r="H6" s="93">
        <v>483.25</v>
      </c>
      <c r="I6" s="93">
        <v>482.23</v>
      </c>
      <c r="J6" s="93">
        <v>481.21</v>
      </c>
      <c r="K6" s="93">
        <v>480.2</v>
      </c>
      <c r="L6" s="93">
        <v>479.18</v>
      </c>
      <c r="M6" s="93">
        <v>478.17</v>
      </c>
      <c r="N6" s="93">
        <v>477.15</v>
      </c>
      <c r="O6" s="93">
        <v>476.14</v>
      </c>
      <c r="P6" s="93">
        <v>475.12</v>
      </c>
      <c r="Q6" s="93">
        <v>474.11</v>
      </c>
      <c r="R6" s="93">
        <v>473.09</v>
      </c>
      <c r="S6" s="93">
        <v>472.08</v>
      </c>
      <c r="T6" s="93">
        <v>471.06</v>
      </c>
      <c r="U6" s="93">
        <v>470.05</v>
      </c>
      <c r="V6" s="93">
        <v>469.03</v>
      </c>
      <c r="W6" s="93">
        <v>468.02</v>
      </c>
      <c r="X6" s="93">
        <v>467.01</v>
      </c>
      <c r="Y6" s="93">
        <v>465.99</v>
      </c>
      <c r="Z6" s="93">
        <v>464.98</v>
      </c>
      <c r="AA6" s="93">
        <v>463.97</v>
      </c>
      <c r="AB6" s="93">
        <v>462.95</v>
      </c>
      <c r="AC6" s="93">
        <v>461.94</v>
      </c>
      <c r="AD6" s="93">
        <v>460.93</v>
      </c>
      <c r="AE6" s="93">
        <v>459.92</v>
      </c>
      <c r="AF6" s="93">
        <v>458.9</v>
      </c>
      <c r="AG6" s="93">
        <v>457.89</v>
      </c>
      <c r="AH6" s="93">
        <v>456.88</v>
      </c>
      <c r="AI6" s="93">
        <v>455.87</v>
      </c>
      <c r="AJ6" s="93">
        <v>454.85</v>
      </c>
      <c r="AK6" s="93">
        <v>453.84</v>
      </c>
      <c r="AL6" s="93">
        <v>452.83</v>
      </c>
      <c r="AM6" s="93">
        <v>451.82</v>
      </c>
      <c r="AN6" s="93">
        <v>450.81</v>
      </c>
      <c r="AO6" s="93">
        <v>449.8</v>
      </c>
      <c r="AP6" s="93">
        <v>448.79</v>
      </c>
      <c r="AQ6" s="93">
        <v>447.78</v>
      </c>
      <c r="AR6" s="93">
        <v>446.77</v>
      </c>
      <c r="AS6" s="93">
        <v>445.76</v>
      </c>
      <c r="AT6" s="93">
        <v>444.75</v>
      </c>
      <c r="AU6" s="93">
        <v>443.74</v>
      </c>
      <c r="AV6" s="93">
        <v>442.73</v>
      </c>
      <c r="AW6" s="93">
        <v>441.72</v>
      </c>
      <c r="AX6" s="93">
        <v>440.71</v>
      </c>
      <c r="AY6" s="93">
        <v>439.7</v>
      </c>
      <c r="AZ6" s="93">
        <v>438.69</v>
      </c>
      <c r="BA6" s="93">
        <v>437.69</v>
      </c>
      <c r="BB6" s="93">
        <v>436.68</v>
      </c>
      <c r="BC6" s="93">
        <v>435.67</v>
      </c>
      <c r="BD6" s="93">
        <v>434.66</v>
      </c>
      <c r="BE6" s="93">
        <v>433.66</v>
      </c>
      <c r="BF6" s="93">
        <v>432.65</v>
      </c>
      <c r="BG6" s="93">
        <v>431.64</v>
      </c>
      <c r="BH6" s="93">
        <v>430.64</v>
      </c>
      <c r="BI6" s="93">
        <v>429.63</v>
      </c>
      <c r="BJ6" s="93">
        <v>428.62</v>
      </c>
      <c r="BK6" s="93">
        <v>427.62</v>
      </c>
      <c r="BL6" s="93">
        <v>426.61</v>
      </c>
      <c r="BM6" s="93">
        <v>425.61</v>
      </c>
      <c r="BN6" s="93">
        <v>424.6</v>
      </c>
      <c r="BO6" s="93">
        <v>423.6</v>
      </c>
      <c r="BP6" s="93">
        <v>422.6</v>
      </c>
      <c r="BQ6" s="93">
        <v>421.59</v>
      </c>
      <c r="BR6" s="93">
        <v>420.59</v>
      </c>
      <c r="BS6" s="93">
        <v>419.58</v>
      </c>
      <c r="BT6" s="93">
        <v>418.58</v>
      </c>
      <c r="BU6" s="93">
        <v>417.58</v>
      </c>
      <c r="BV6" s="93">
        <v>416.58</v>
      </c>
      <c r="BW6" s="93">
        <v>415.57</v>
      </c>
      <c r="BX6" s="93">
        <v>414.57</v>
      </c>
      <c r="BY6" s="93">
        <v>413.57</v>
      </c>
      <c r="BZ6" s="93">
        <v>412.57</v>
      </c>
      <c r="CA6" s="93">
        <v>411.57</v>
      </c>
      <c r="CB6" s="93">
        <v>410.57</v>
      </c>
      <c r="CC6" s="93">
        <v>409.57</v>
      </c>
      <c r="CD6" s="93">
        <v>408.58</v>
      </c>
      <c r="CE6" s="93">
        <v>407.58</v>
      </c>
      <c r="CF6" s="93">
        <v>406.58</v>
      </c>
      <c r="CG6" s="93">
        <v>405.58</v>
      </c>
      <c r="CH6" s="93">
        <v>404.58</v>
      </c>
      <c r="CI6" s="93">
        <v>403.58</v>
      </c>
      <c r="CJ6" s="93">
        <v>402.59</v>
      </c>
      <c r="CK6" s="93">
        <v>401.6</v>
      </c>
      <c r="CL6" s="93">
        <v>400.6</v>
      </c>
      <c r="CM6" s="93">
        <v>399.61</v>
      </c>
      <c r="CN6" s="93">
        <v>398.61</v>
      </c>
      <c r="CO6" s="93">
        <v>397.62</v>
      </c>
      <c r="CP6" s="93">
        <v>396.62</v>
      </c>
      <c r="CQ6" s="93">
        <v>395.63</v>
      </c>
      <c r="CR6" s="93">
        <v>394.64</v>
      </c>
      <c r="CS6" s="93">
        <v>393.64</v>
      </c>
      <c r="CT6" s="93">
        <v>392.65</v>
      </c>
      <c r="CU6" s="93">
        <v>391.66</v>
      </c>
      <c r="CV6" s="93">
        <v>390.67</v>
      </c>
      <c r="CW6" s="93">
        <v>389.68</v>
      </c>
      <c r="CX6" s="93">
        <v>388.69</v>
      </c>
      <c r="CY6" s="93">
        <v>387.7</v>
      </c>
      <c r="CZ6" s="93">
        <v>386.71</v>
      </c>
      <c r="DA6" s="93">
        <v>385.73</v>
      </c>
      <c r="DB6" s="93">
        <v>384.74</v>
      </c>
      <c r="DC6" s="93">
        <v>383.75</v>
      </c>
      <c r="DD6" s="93">
        <v>382.76</v>
      </c>
      <c r="DE6" s="93">
        <v>381.77</v>
      </c>
      <c r="DF6" s="93">
        <v>380.79</v>
      </c>
      <c r="DG6" s="93">
        <v>379.8</v>
      </c>
      <c r="DH6" s="93">
        <v>378.82</v>
      </c>
      <c r="DI6" s="93">
        <v>377.83</v>
      </c>
      <c r="DJ6" s="93">
        <v>376.85</v>
      </c>
      <c r="DK6" s="93">
        <v>375.87</v>
      </c>
      <c r="DL6" s="93">
        <v>374.89</v>
      </c>
      <c r="DM6" s="93">
        <v>373.9</v>
      </c>
      <c r="DN6" s="93">
        <v>372.92</v>
      </c>
      <c r="DO6" s="93">
        <v>371.94</v>
      </c>
      <c r="DP6" s="93">
        <v>370.96</v>
      </c>
      <c r="DQ6" s="93">
        <v>369.98</v>
      </c>
      <c r="DR6" s="93">
        <v>369</v>
      </c>
      <c r="DS6" s="93">
        <v>368.02</v>
      </c>
      <c r="DT6" s="93">
        <v>367.04</v>
      </c>
      <c r="DU6" s="93">
        <v>366.07</v>
      </c>
      <c r="DV6" s="93">
        <v>365.09</v>
      </c>
      <c r="DW6" s="93">
        <v>364.12</v>
      </c>
      <c r="DX6" s="93">
        <v>363.14</v>
      </c>
      <c r="DY6" s="93">
        <v>362.17</v>
      </c>
      <c r="DZ6" s="93">
        <v>361.19</v>
      </c>
      <c r="EA6" s="93">
        <v>360.22</v>
      </c>
      <c r="EB6" s="93">
        <v>359.25</v>
      </c>
      <c r="EC6" s="93">
        <v>358.28</v>
      </c>
      <c r="ED6" s="93">
        <v>357.3</v>
      </c>
      <c r="EE6" s="93">
        <v>356.33</v>
      </c>
      <c r="EF6" s="93">
        <v>355.37</v>
      </c>
      <c r="EG6" s="93">
        <v>354.4</v>
      </c>
      <c r="EH6" s="93">
        <v>353.44</v>
      </c>
      <c r="EI6" s="93">
        <v>352.47</v>
      </c>
      <c r="EJ6" s="93">
        <v>351.51</v>
      </c>
      <c r="EK6" s="93">
        <v>350.54</v>
      </c>
      <c r="EL6" s="93">
        <v>349.58</v>
      </c>
      <c r="EM6" s="93">
        <v>348.62</v>
      </c>
      <c r="EN6" s="93">
        <v>347.65</v>
      </c>
      <c r="EO6" s="93">
        <v>346.69</v>
      </c>
      <c r="EP6" s="93">
        <v>345.73</v>
      </c>
      <c r="EQ6" s="93">
        <v>344.77</v>
      </c>
      <c r="ER6" s="93">
        <v>343.81</v>
      </c>
      <c r="ES6" s="93">
        <v>342.86</v>
      </c>
      <c r="ET6" s="93">
        <v>341.9</v>
      </c>
      <c r="EU6" s="93">
        <v>340.94</v>
      </c>
      <c r="EV6" s="93">
        <v>339.99</v>
      </c>
      <c r="EW6" s="93">
        <v>339.03</v>
      </c>
      <c r="EX6" s="93">
        <v>338.08</v>
      </c>
      <c r="EY6" s="93">
        <v>337.13</v>
      </c>
      <c r="EZ6" s="93">
        <v>336.17</v>
      </c>
      <c r="FA6" s="93">
        <v>335.22</v>
      </c>
      <c r="FB6" s="93">
        <v>334.27</v>
      </c>
      <c r="FC6" s="93">
        <v>333.32</v>
      </c>
      <c r="FD6" s="93">
        <v>332.37</v>
      </c>
      <c r="FE6" s="93">
        <v>331.42</v>
      </c>
      <c r="FF6" s="93">
        <v>330.47</v>
      </c>
      <c r="FG6" s="93">
        <v>329.52</v>
      </c>
      <c r="FH6" s="93">
        <v>328.58</v>
      </c>
      <c r="FI6" s="93">
        <v>327.63</v>
      </c>
      <c r="FJ6" s="93">
        <v>326.68</v>
      </c>
      <c r="FK6" s="93">
        <v>325.74</v>
      </c>
      <c r="FL6" s="93">
        <v>324.79000000000002</v>
      </c>
      <c r="FM6" s="93">
        <v>323.85000000000002</v>
      </c>
      <c r="FN6" s="93">
        <v>322.91000000000003</v>
      </c>
      <c r="FO6" s="93">
        <v>321.97000000000003</v>
      </c>
      <c r="FP6" s="93">
        <v>321.02999999999997</v>
      </c>
      <c r="FQ6" s="93">
        <v>320.08999999999997</v>
      </c>
      <c r="FR6" s="93">
        <v>319.14999999999998</v>
      </c>
      <c r="FS6" s="93">
        <v>318.20999999999998</v>
      </c>
      <c r="FT6" s="93">
        <v>317.26</v>
      </c>
      <c r="FU6" s="93">
        <v>316.32</v>
      </c>
      <c r="FV6" s="93">
        <v>315.39999999999998</v>
      </c>
      <c r="FW6" s="93">
        <v>314.45999999999998</v>
      </c>
      <c r="FX6" s="93">
        <v>313.52999999999997</v>
      </c>
      <c r="FY6" s="93">
        <v>312.58999999999997</v>
      </c>
      <c r="FZ6" s="93">
        <v>311.66000000000003</v>
      </c>
      <c r="GA6" s="93">
        <v>310.73</v>
      </c>
      <c r="GB6" s="93">
        <v>309.79000000000002</v>
      </c>
      <c r="GC6" s="93">
        <v>308.87</v>
      </c>
      <c r="GD6" s="93">
        <v>307.94</v>
      </c>
      <c r="GE6" s="93">
        <v>307.01</v>
      </c>
      <c r="GF6" s="93">
        <v>306.07</v>
      </c>
      <c r="GG6" s="93">
        <v>305.16000000000003</v>
      </c>
      <c r="GH6" s="93">
        <v>304.23</v>
      </c>
      <c r="GI6" s="93">
        <v>303.31</v>
      </c>
      <c r="GJ6" s="93">
        <v>302.38</v>
      </c>
      <c r="GK6" s="93">
        <v>301.45999999999998</v>
      </c>
      <c r="GL6" s="93">
        <v>300.54000000000002</v>
      </c>
      <c r="GM6" s="93">
        <v>299.62</v>
      </c>
      <c r="GN6" s="93">
        <v>298.7</v>
      </c>
      <c r="GO6" s="93">
        <v>297.79000000000002</v>
      </c>
      <c r="GP6" s="93">
        <v>296.87</v>
      </c>
      <c r="GQ6" s="93">
        <v>295.95</v>
      </c>
      <c r="GR6" s="93">
        <v>295.04000000000002</v>
      </c>
      <c r="GS6" s="93">
        <v>294.13</v>
      </c>
      <c r="GT6" s="93">
        <v>293.22000000000003</v>
      </c>
      <c r="GU6" s="93">
        <v>292.31</v>
      </c>
      <c r="GV6" s="93">
        <v>291.39999999999998</v>
      </c>
      <c r="GW6" s="93">
        <v>290.49</v>
      </c>
      <c r="GX6" s="93">
        <v>289.57</v>
      </c>
      <c r="GY6" s="93">
        <v>288.67</v>
      </c>
      <c r="GZ6" s="93">
        <v>287.76</v>
      </c>
      <c r="HA6" s="93">
        <v>286.87</v>
      </c>
      <c r="HB6" s="93">
        <v>285.95999999999998</v>
      </c>
      <c r="HC6" s="93">
        <v>285.06</v>
      </c>
      <c r="HD6" s="93">
        <v>284.16000000000003</v>
      </c>
      <c r="HE6" s="93">
        <v>283.26</v>
      </c>
      <c r="HF6" s="93">
        <v>282.35000000000002</v>
      </c>
      <c r="HG6" s="93">
        <v>281.47000000000003</v>
      </c>
      <c r="HH6" s="93">
        <v>280.57</v>
      </c>
      <c r="HI6" s="93">
        <v>279.68</v>
      </c>
      <c r="HJ6" s="93">
        <v>278.79000000000002</v>
      </c>
      <c r="HK6" s="93">
        <v>277.89999999999998</v>
      </c>
      <c r="HL6" s="93">
        <v>277.01</v>
      </c>
      <c r="HM6" s="93">
        <v>276.12</v>
      </c>
      <c r="HN6" s="93">
        <v>275.23</v>
      </c>
      <c r="HO6" s="93">
        <v>274.35000000000002</v>
      </c>
      <c r="HP6" s="93">
        <v>273.45999999999998</v>
      </c>
      <c r="HQ6" s="93">
        <v>272.57</v>
      </c>
      <c r="HR6" s="93">
        <v>271.7</v>
      </c>
      <c r="HS6" s="93">
        <v>270.82</v>
      </c>
      <c r="HT6" s="93">
        <v>269.94</v>
      </c>
      <c r="HU6" s="93">
        <v>269.06</v>
      </c>
      <c r="HV6" s="93">
        <v>268.18</v>
      </c>
      <c r="HW6" s="93">
        <v>267.31</v>
      </c>
      <c r="HX6" s="93">
        <v>266.43</v>
      </c>
      <c r="HY6" s="93">
        <v>265.56</v>
      </c>
      <c r="HZ6" s="93">
        <v>264.69</v>
      </c>
      <c r="IA6" s="93">
        <v>263.82</v>
      </c>
      <c r="IB6" s="93">
        <v>262.95</v>
      </c>
      <c r="IC6" s="93">
        <v>262.07</v>
      </c>
      <c r="ID6" s="93">
        <v>261.20999999999998</v>
      </c>
      <c r="IE6" s="93">
        <v>260.33999999999997</v>
      </c>
      <c r="IF6" s="93">
        <v>259.48</v>
      </c>
      <c r="IG6" s="93">
        <v>258.60000000000002</v>
      </c>
      <c r="IH6" s="93">
        <v>257.75</v>
      </c>
      <c r="II6" s="93">
        <v>256.89</v>
      </c>
      <c r="IJ6" s="93">
        <v>256.02999999999997</v>
      </c>
      <c r="IK6" s="93">
        <v>255.17</v>
      </c>
      <c r="IL6" s="93">
        <v>254.31</v>
      </c>
      <c r="IM6" s="93">
        <v>253.45</v>
      </c>
      <c r="IN6" s="93">
        <v>252.6</v>
      </c>
      <c r="IO6" s="93">
        <v>251.74</v>
      </c>
      <c r="IP6" s="93">
        <v>250.89</v>
      </c>
      <c r="IQ6" s="93">
        <v>250.04</v>
      </c>
      <c r="IR6" s="93">
        <v>249.19</v>
      </c>
      <c r="IS6" s="93">
        <v>248.34</v>
      </c>
      <c r="IT6" s="93">
        <v>247.49</v>
      </c>
      <c r="IU6" s="93">
        <v>246.64</v>
      </c>
      <c r="IV6" s="93">
        <v>245.8</v>
      </c>
      <c r="IW6" s="93">
        <v>244.96</v>
      </c>
      <c r="IX6" s="93">
        <v>244.12</v>
      </c>
      <c r="IY6" s="93">
        <v>243.28</v>
      </c>
      <c r="IZ6" s="93">
        <v>242.44</v>
      </c>
      <c r="JA6" s="93">
        <v>241.6</v>
      </c>
      <c r="JB6" s="93">
        <v>240.76</v>
      </c>
      <c r="JC6" s="93">
        <v>239.93</v>
      </c>
      <c r="JD6" s="93">
        <v>239.09</v>
      </c>
      <c r="JE6" s="93">
        <v>238.26</v>
      </c>
      <c r="JF6" s="93">
        <v>237.43</v>
      </c>
      <c r="JG6" s="93">
        <v>236.6</v>
      </c>
      <c r="JH6" s="93">
        <v>235.77</v>
      </c>
      <c r="JI6" s="93">
        <v>234.94</v>
      </c>
      <c r="JJ6" s="93">
        <v>234.12</v>
      </c>
      <c r="JK6" s="93">
        <v>233.29</v>
      </c>
      <c r="JL6" s="93">
        <v>232.46</v>
      </c>
      <c r="JM6" s="93">
        <v>231.64</v>
      </c>
      <c r="JN6" s="93">
        <v>230.82</v>
      </c>
      <c r="JO6" s="93">
        <v>230</v>
      </c>
      <c r="JP6" s="93">
        <v>229.18</v>
      </c>
      <c r="JQ6" s="93">
        <v>228.36</v>
      </c>
      <c r="JR6" s="93">
        <v>227.54</v>
      </c>
      <c r="JS6" s="93">
        <v>226.72</v>
      </c>
      <c r="JT6" s="93">
        <v>225.91</v>
      </c>
      <c r="JU6" s="93">
        <v>225.09</v>
      </c>
      <c r="JV6" s="93">
        <v>224.28</v>
      </c>
      <c r="JW6" s="93">
        <v>223.47</v>
      </c>
      <c r="JX6" s="93">
        <v>222.65</v>
      </c>
      <c r="JY6" s="93">
        <v>221.84</v>
      </c>
      <c r="JZ6" s="93">
        <v>221.04</v>
      </c>
      <c r="KA6" s="93">
        <v>220.23</v>
      </c>
      <c r="KB6" s="93">
        <v>219.42</v>
      </c>
      <c r="KC6" s="93">
        <v>218.61</v>
      </c>
      <c r="KD6" s="93">
        <v>217.81</v>
      </c>
      <c r="KE6" s="93">
        <v>217</v>
      </c>
      <c r="KF6" s="93">
        <v>216.2</v>
      </c>
      <c r="KG6" s="93">
        <v>215.4</v>
      </c>
      <c r="KH6" s="93">
        <v>214.6</v>
      </c>
      <c r="KI6" s="93">
        <v>213.8</v>
      </c>
      <c r="KJ6" s="93">
        <v>213</v>
      </c>
      <c r="KK6" s="93">
        <v>212.21</v>
      </c>
      <c r="KL6" s="93">
        <v>211.41</v>
      </c>
      <c r="KM6" s="93">
        <v>210.62</v>
      </c>
      <c r="KN6" s="93">
        <v>209.82</v>
      </c>
      <c r="KO6" s="93">
        <v>209.03</v>
      </c>
      <c r="KP6" s="93">
        <v>208.24</v>
      </c>
      <c r="KQ6" s="93">
        <v>207.46</v>
      </c>
      <c r="KR6" s="93">
        <v>206.63000000000002</v>
      </c>
      <c r="KS6" s="93">
        <v>205.88000000000002</v>
      </c>
      <c r="KT6" s="93">
        <v>205.13000000000002</v>
      </c>
      <c r="KU6" s="93">
        <v>204.38000000000002</v>
      </c>
      <c r="KV6" s="93">
        <v>203.63000000000002</v>
      </c>
      <c r="KW6" s="93">
        <v>202.88000000000002</v>
      </c>
      <c r="KX6" s="93">
        <v>202.13000000000002</v>
      </c>
      <c r="KY6" s="93">
        <v>201.38000000000002</v>
      </c>
      <c r="KZ6" s="93">
        <v>200.63000000000002</v>
      </c>
      <c r="LA6" s="93">
        <v>199.88000000000002</v>
      </c>
      <c r="LB6" s="93">
        <v>199.13000000000002</v>
      </c>
      <c r="LC6" s="93">
        <v>198.38000000000002</v>
      </c>
      <c r="LD6" s="93">
        <v>197.63000000000002</v>
      </c>
      <c r="LE6" s="93">
        <v>196.88000000000002</v>
      </c>
      <c r="LF6" s="93">
        <v>196.13000000000002</v>
      </c>
      <c r="LG6" s="93">
        <v>195.38000000000002</v>
      </c>
      <c r="LH6" s="93">
        <v>194.63000000000002</v>
      </c>
      <c r="LI6" s="93">
        <v>193.88000000000002</v>
      </c>
      <c r="LJ6" s="93">
        <v>193.13000000000002</v>
      </c>
      <c r="LK6" s="93">
        <v>192.38000000000002</v>
      </c>
      <c r="LL6" s="93">
        <v>191.63000000000002</v>
      </c>
      <c r="LM6" s="93">
        <v>190.88000000000002</v>
      </c>
      <c r="LN6" s="93">
        <v>190.13000000000002</v>
      </c>
      <c r="LO6" s="93">
        <v>189.38000000000002</v>
      </c>
      <c r="LP6" s="93">
        <v>188.63000000000002</v>
      </c>
      <c r="LQ6" s="93">
        <v>187.88000000000002</v>
      </c>
      <c r="LR6" s="93">
        <v>187.13000000000002</v>
      </c>
      <c r="LS6" s="93">
        <v>186.38000000000002</v>
      </c>
      <c r="LT6" s="93">
        <v>185.63000000000002</v>
      </c>
      <c r="LU6" s="93">
        <v>184.88000000000002</v>
      </c>
      <c r="LV6" s="93">
        <v>184.13000000000002</v>
      </c>
      <c r="LW6" s="93">
        <v>183.38000000000002</v>
      </c>
      <c r="LX6" s="93">
        <v>182.63000000000002</v>
      </c>
      <c r="LY6" s="93">
        <v>181.88000000000002</v>
      </c>
      <c r="LZ6" s="93">
        <v>181.13000000000002</v>
      </c>
      <c r="MA6" s="93">
        <v>180.38000000000002</v>
      </c>
      <c r="MB6" s="93">
        <v>179.63000000000002</v>
      </c>
      <c r="MC6" s="93">
        <v>178.88000000000002</v>
      </c>
      <c r="MD6" s="93">
        <v>178.13000000000002</v>
      </c>
      <c r="ME6" s="93">
        <v>177.38000000000002</v>
      </c>
      <c r="MF6" s="93">
        <v>176.63000000000002</v>
      </c>
      <c r="MG6" s="93">
        <v>175.88000000000002</v>
      </c>
      <c r="MH6" s="93">
        <v>175.13000000000002</v>
      </c>
      <c r="MI6" s="93">
        <v>174.38000000000002</v>
      </c>
      <c r="MJ6" s="93">
        <v>173.63000000000002</v>
      </c>
      <c r="MK6" s="93">
        <v>172.88000000000002</v>
      </c>
      <c r="ML6" s="93">
        <v>172.13000000000002</v>
      </c>
      <c r="MM6" s="93">
        <v>171.38000000000002</v>
      </c>
      <c r="MN6" s="93">
        <v>170.63000000000002</v>
      </c>
      <c r="MO6" s="93">
        <v>169.88000000000002</v>
      </c>
      <c r="MP6" s="93">
        <v>169.13000000000002</v>
      </c>
      <c r="MQ6" s="93">
        <v>168.38000000000002</v>
      </c>
      <c r="MR6" s="93">
        <v>167.63000000000002</v>
      </c>
      <c r="MS6" s="93">
        <v>166.88000000000002</v>
      </c>
      <c r="MT6" s="93">
        <v>166.13000000000002</v>
      </c>
      <c r="MU6" s="93">
        <v>165.38000000000002</v>
      </c>
      <c r="MV6" s="93">
        <v>164.63000000000002</v>
      </c>
      <c r="MW6" s="93">
        <v>163.88000000000002</v>
      </c>
      <c r="MX6" s="93">
        <v>163.13000000000002</v>
      </c>
      <c r="MY6" s="93">
        <v>162.38000000000002</v>
      </c>
    </row>
    <row r="7" spans="1:376" ht="15.75" x14ac:dyDescent="0.25">
      <c r="A7" s="90" t="s">
        <v>7</v>
      </c>
      <c r="B7" s="95">
        <v>2017</v>
      </c>
      <c r="C7" s="93">
        <v>488.95</v>
      </c>
      <c r="D7" s="93">
        <v>487.93</v>
      </c>
      <c r="E7" s="93">
        <v>486.91</v>
      </c>
      <c r="F7" s="93">
        <v>485.9</v>
      </c>
      <c r="G7" s="93">
        <v>484.88</v>
      </c>
      <c r="H7" s="93">
        <v>483.86</v>
      </c>
      <c r="I7" s="93">
        <v>482.85</v>
      </c>
      <c r="J7" s="93">
        <v>481.83</v>
      </c>
      <c r="K7" s="93">
        <v>480.81</v>
      </c>
      <c r="L7" s="93">
        <v>479.8</v>
      </c>
      <c r="M7" s="93">
        <v>478.78</v>
      </c>
      <c r="N7" s="93">
        <v>477.76</v>
      </c>
      <c r="O7" s="93">
        <v>476.75</v>
      </c>
      <c r="P7" s="93">
        <v>475.73</v>
      </c>
      <c r="Q7" s="93">
        <v>474.72</v>
      </c>
      <c r="R7" s="93">
        <v>473.7</v>
      </c>
      <c r="S7" s="93">
        <v>472.69</v>
      </c>
      <c r="T7" s="93">
        <v>471.67</v>
      </c>
      <c r="U7" s="93">
        <v>470.66</v>
      </c>
      <c r="V7" s="93">
        <v>469.64</v>
      </c>
      <c r="W7" s="93">
        <v>468.63</v>
      </c>
      <c r="X7" s="93">
        <v>467.62</v>
      </c>
      <c r="Y7" s="93">
        <v>466.6</v>
      </c>
      <c r="Z7" s="93">
        <v>465.59</v>
      </c>
      <c r="AA7" s="93">
        <v>464.57</v>
      </c>
      <c r="AB7" s="93">
        <v>463.56</v>
      </c>
      <c r="AC7" s="93">
        <v>462.55</v>
      </c>
      <c r="AD7" s="93">
        <v>461.53</v>
      </c>
      <c r="AE7" s="93">
        <v>460.52</v>
      </c>
      <c r="AF7" s="93">
        <v>459.51</v>
      </c>
      <c r="AG7" s="93">
        <v>458.5</v>
      </c>
      <c r="AH7" s="93">
        <v>457.48</v>
      </c>
      <c r="AI7" s="93">
        <v>456.47</v>
      </c>
      <c r="AJ7" s="93">
        <v>455.46</v>
      </c>
      <c r="AK7" s="93">
        <v>454.45</v>
      </c>
      <c r="AL7" s="93">
        <v>453.43</v>
      </c>
      <c r="AM7" s="93">
        <v>452.42</v>
      </c>
      <c r="AN7" s="93">
        <v>451.41</v>
      </c>
      <c r="AO7" s="93">
        <v>450.4</v>
      </c>
      <c r="AP7" s="93">
        <v>449.39</v>
      </c>
      <c r="AQ7" s="93">
        <v>448.38</v>
      </c>
      <c r="AR7" s="93">
        <v>447.37</v>
      </c>
      <c r="AS7" s="93">
        <v>446.36</v>
      </c>
      <c r="AT7" s="93">
        <v>445.35</v>
      </c>
      <c r="AU7" s="93">
        <v>444.34</v>
      </c>
      <c r="AV7" s="93">
        <v>443.33</v>
      </c>
      <c r="AW7" s="93">
        <v>442.32</v>
      </c>
      <c r="AX7" s="93">
        <v>441.31</v>
      </c>
      <c r="AY7" s="93">
        <v>440.3</v>
      </c>
      <c r="AZ7" s="93">
        <v>439.29</v>
      </c>
      <c r="BA7" s="93">
        <v>438.28</v>
      </c>
      <c r="BB7" s="93">
        <v>437.27</v>
      </c>
      <c r="BC7" s="93">
        <v>436.26</v>
      </c>
      <c r="BD7" s="93">
        <v>435.26</v>
      </c>
      <c r="BE7" s="93">
        <v>434.25</v>
      </c>
      <c r="BF7" s="93">
        <v>433.24</v>
      </c>
      <c r="BG7" s="93">
        <v>432.23</v>
      </c>
      <c r="BH7" s="93">
        <v>431.23</v>
      </c>
      <c r="BI7" s="93">
        <v>430.22</v>
      </c>
      <c r="BJ7" s="93">
        <v>429.21</v>
      </c>
      <c r="BK7" s="93">
        <v>428.21</v>
      </c>
      <c r="BL7" s="93">
        <v>427.2</v>
      </c>
      <c r="BM7" s="93">
        <v>426.2</v>
      </c>
      <c r="BN7" s="93">
        <v>425.19</v>
      </c>
      <c r="BO7" s="93">
        <v>424.19</v>
      </c>
      <c r="BP7" s="93">
        <v>423.18</v>
      </c>
      <c r="BQ7" s="93">
        <v>422.18</v>
      </c>
      <c r="BR7" s="93">
        <v>421.17</v>
      </c>
      <c r="BS7" s="93">
        <v>420.17</v>
      </c>
      <c r="BT7" s="93">
        <v>419.16</v>
      </c>
      <c r="BU7" s="93">
        <v>418.16</v>
      </c>
      <c r="BV7" s="93">
        <v>417.16</v>
      </c>
      <c r="BW7" s="93">
        <v>416.15</v>
      </c>
      <c r="BX7" s="93">
        <v>415.15</v>
      </c>
      <c r="BY7" s="93">
        <v>414.15</v>
      </c>
      <c r="BZ7" s="93">
        <v>413.15</v>
      </c>
      <c r="CA7" s="93">
        <v>412.15</v>
      </c>
      <c r="CB7" s="93">
        <v>411.15</v>
      </c>
      <c r="CC7" s="93">
        <v>410.15</v>
      </c>
      <c r="CD7" s="93">
        <v>409.15</v>
      </c>
      <c r="CE7" s="93">
        <v>408.15</v>
      </c>
      <c r="CF7" s="93">
        <v>407.16</v>
      </c>
      <c r="CG7" s="93">
        <v>406.16</v>
      </c>
      <c r="CH7" s="93">
        <v>405.16</v>
      </c>
      <c r="CI7" s="93">
        <v>404.16</v>
      </c>
      <c r="CJ7" s="93">
        <v>403.16</v>
      </c>
      <c r="CK7" s="93">
        <v>402.17</v>
      </c>
      <c r="CL7" s="93">
        <v>401.17</v>
      </c>
      <c r="CM7" s="93">
        <v>400.18</v>
      </c>
      <c r="CN7" s="93">
        <v>399.18</v>
      </c>
      <c r="CO7" s="93">
        <v>398.19</v>
      </c>
      <c r="CP7" s="93">
        <v>397.2</v>
      </c>
      <c r="CQ7" s="93">
        <v>396.2</v>
      </c>
      <c r="CR7" s="93">
        <v>395.21</v>
      </c>
      <c r="CS7" s="93">
        <v>394.21</v>
      </c>
      <c r="CT7" s="93">
        <v>393.22</v>
      </c>
      <c r="CU7" s="93">
        <v>392.23</v>
      </c>
      <c r="CV7" s="93">
        <v>391.24</v>
      </c>
      <c r="CW7" s="93">
        <v>390.25</v>
      </c>
      <c r="CX7" s="93">
        <v>389.26</v>
      </c>
      <c r="CY7" s="93">
        <v>388.27</v>
      </c>
      <c r="CZ7" s="93">
        <v>387.28</v>
      </c>
      <c r="DA7" s="93">
        <v>386.29</v>
      </c>
      <c r="DB7" s="93">
        <v>385.3</v>
      </c>
      <c r="DC7" s="93">
        <v>384.31</v>
      </c>
      <c r="DD7" s="93">
        <v>383.32</v>
      </c>
      <c r="DE7" s="93">
        <v>382.34</v>
      </c>
      <c r="DF7" s="93">
        <v>381.35</v>
      </c>
      <c r="DG7" s="93">
        <v>380.36</v>
      </c>
      <c r="DH7" s="93">
        <v>379.38</v>
      </c>
      <c r="DI7" s="93">
        <v>378.39</v>
      </c>
      <c r="DJ7" s="93">
        <v>377.41</v>
      </c>
      <c r="DK7" s="93">
        <v>376.43</v>
      </c>
      <c r="DL7" s="93">
        <v>375.44</v>
      </c>
      <c r="DM7" s="93">
        <v>374.46</v>
      </c>
      <c r="DN7" s="93">
        <v>373.48</v>
      </c>
      <c r="DO7" s="93">
        <v>372.5</v>
      </c>
      <c r="DP7" s="93">
        <v>371.52</v>
      </c>
      <c r="DQ7" s="93">
        <v>370.54</v>
      </c>
      <c r="DR7" s="93">
        <v>369.55</v>
      </c>
      <c r="DS7" s="93">
        <v>368.57</v>
      </c>
      <c r="DT7" s="93">
        <v>367.6</v>
      </c>
      <c r="DU7" s="93">
        <v>366.62</v>
      </c>
      <c r="DV7" s="93">
        <v>365.64</v>
      </c>
      <c r="DW7" s="93">
        <v>364.67</v>
      </c>
      <c r="DX7" s="93">
        <v>363.69</v>
      </c>
      <c r="DY7" s="93">
        <v>362.72</v>
      </c>
      <c r="DZ7" s="93">
        <v>361.75</v>
      </c>
      <c r="EA7" s="93">
        <v>360.77</v>
      </c>
      <c r="EB7" s="93">
        <v>359.8</v>
      </c>
      <c r="EC7" s="93">
        <v>358.83</v>
      </c>
      <c r="ED7" s="93">
        <v>357.86</v>
      </c>
      <c r="EE7" s="93">
        <v>356.89</v>
      </c>
      <c r="EF7" s="93">
        <v>355.92</v>
      </c>
      <c r="EG7" s="93">
        <v>354.95</v>
      </c>
      <c r="EH7" s="93">
        <v>353.99</v>
      </c>
      <c r="EI7" s="93">
        <v>353.02</v>
      </c>
      <c r="EJ7" s="93">
        <v>352.06</v>
      </c>
      <c r="EK7" s="93">
        <v>351.09</v>
      </c>
      <c r="EL7" s="93">
        <v>350.13</v>
      </c>
      <c r="EM7" s="93">
        <v>349.17</v>
      </c>
      <c r="EN7" s="93">
        <v>348.2</v>
      </c>
      <c r="EO7" s="93">
        <v>347.24</v>
      </c>
      <c r="EP7" s="93">
        <v>346.28</v>
      </c>
      <c r="EQ7" s="93">
        <v>345.32</v>
      </c>
      <c r="ER7" s="93">
        <v>344.36</v>
      </c>
      <c r="ES7" s="93">
        <v>343.4</v>
      </c>
      <c r="ET7" s="93">
        <v>342.45</v>
      </c>
      <c r="EU7" s="93">
        <v>341.49</v>
      </c>
      <c r="EV7" s="93">
        <v>340.54</v>
      </c>
      <c r="EW7" s="93">
        <v>339.58</v>
      </c>
      <c r="EX7" s="93">
        <v>338.63</v>
      </c>
      <c r="EY7" s="93">
        <v>337.67</v>
      </c>
      <c r="EZ7" s="93">
        <v>336.72</v>
      </c>
      <c r="FA7" s="93">
        <v>335.77</v>
      </c>
      <c r="FB7" s="93">
        <v>334.81</v>
      </c>
      <c r="FC7" s="93">
        <v>333.86</v>
      </c>
      <c r="FD7" s="93">
        <v>332.91</v>
      </c>
      <c r="FE7" s="93">
        <v>331.96</v>
      </c>
      <c r="FF7" s="93">
        <v>331.01</v>
      </c>
      <c r="FG7" s="93">
        <v>330.07</v>
      </c>
      <c r="FH7" s="93">
        <v>329.12</v>
      </c>
      <c r="FI7" s="93">
        <v>328.17</v>
      </c>
      <c r="FJ7" s="93">
        <v>327.23</v>
      </c>
      <c r="FK7" s="93">
        <v>326.27999999999997</v>
      </c>
      <c r="FL7" s="93">
        <v>325.33999999999997</v>
      </c>
      <c r="FM7" s="93">
        <v>324.39</v>
      </c>
      <c r="FN7" s="93">
        <v>323.45</v>
      </c>
      <c r="FO7" s="93">
        <v>322.51</v>
      </c>
      <c r="FP7" s="93">
        <v>321.57</v>
      </c>
      <c r="FQ7" s="93">
        <v>320.63</v>
      </c>
      <c r="FR7" s="93">
        <v>319.69</v>
      </c>
      <c r="FS7" s="93">
        <v>318.75</v>
      </c>
      <c r="FT7" s="93">
        <v>317.81</v>
      </c>
      <c r="FU7" s="93">
        <v>316.87</v>
      </c>
      <c r="FV7" s="93">
        <v>315.94</v>
      </c>
      <c r="FW7" s="93">
        <v>315</v>
      </c>
      <c r="FX7" s="93">
        <v>314.07</v>
      </c>
      <c r="FY7" s="93">
        <v>313.13</v>
      </c>
      <c r="FZ7" s="93">
        <v>312.2</v>
      </c>
      <c r="GA7" s="93">
        <v>311.26</v>
      </c>
      <c r="GB7" s="93">
        <v>310.32</v>
      </c>
      <c r="GC7" s="93">
        <v>309.39999999999998</v>
      </c>
      <c r="GD7" s="93">
        <v>308.48</v>
      </c>
      <c r="GE7" s="93">
        <v>307.54000000000002</v>
      </c>
      <c r="GF7" s="93">
        <v>306.62</v>
      </c>
      <c r="GG7" s="93">
        <v>305.69</v>
      </c>
      <c r="GH7" s="93">
        <v>304.76</v>
      </c>
      <c r="GI7" s="93">
        <v>303.83999999999997</v>
      </c>
      <c r="GJ7" s="93">
        <v>302.92</v>
      </c>
      <c r="GK7" s="93">
        <v>302</v>
      </c>
      <c r="GL7" s="93">
        <v>301.07</v>
      </c>
      <c r="GM7" s="93">
        <v>300.16000000000003</v>
      </c>
      <c r="GN7" s="93">
        <v>299.24</v>
      </c>
      <c r="GO7" s="93">
        <v>298.32</v>
      </c>
      <c r="GP7" s="93">
        <v>297.39999999999998</v>
      </c>
      <c r="GQ7" s="93">
        <v>296.49</v>
      </c>
      <c r="GR7" s="93">
        <v>295.57</v>
      </c>
      <c r="GS7" s="93">
        <v>294.66000000000003</v>
      </c>
      <c r="GT7" s="93">
        <v>293.75</v>
      </c>
      <c r="GU7" s="93">
        <v>292.83999999999997</v>
      </c>
      <c r="GV7" s="93">
        <v>291.93</v>
      </c>
      <c r="GW7" s="93">
        <v>291.01</v>
      </c>
      <c r="GX7" s="93">
        <v>290.10000000000002</v>
      </c>
      <c r="GY7" s="93">
        <v>289.2</v>
      </c>
      <c r="GZ7" s="93">
        <v>288.29000000000002</v>
      </c>
      <c r="HA7" s="93">
        <v>287.39999999999998</v>
      </c>
      <c r="HB7" s="93">
        <v>286.49</v>
      </c>
      <c r="HC7" s="93">
        <v>285.58999999999997</v>
      </c>
      <c r="HD7" s="93">
        <v>284.69</v>
      </c>
      <c r="HE7" s="93">
        <v>283.79000000000002</v>
      </c>
      <c r="HF7" s="93">
        <v>282.89</v>
      </c>
      <c r="HG7" s="93">
        <v>282</v>
      </c>
      <c r="HH7" s="93">
        <v>281.10000000000002</v>
      </c>
      <c r="HI7" s="93">
        <v>280.20999999999998</v>
      </c>
      <c r="HJ7" s="93">
        <v>279.31</v>
      </c>
      <c r="HK7" s="93">
        <v>278.42</v>
      </c>
      <c r="HL7" s="93">
        <v>277.52999999999997</v>
      </c>
      <c r="HM7" s="93">
        <v>276.64</v>
      </c>
      <c r="HN7" s="93">
        <v>275.76</v>
      </c>
      <c r="HO7" s="93">
        <v>274.87</v>
      </c>
      <c r="HP7" s="93">
        <v>273.99</v>
      </c>
      <c r="HQ7" s="93">
        <v>273.10000000000002</v>
      </c>
      <c r="HR7" s="93">
        <v>272.22000000000003</v>
      </c>
      <c r="HS7" s="93">
        <v>271.33999999999997</v>
      </c>
      <c r="HT7" s="93">
        <v>270.45999999999998</v>
      </c>
      <c r="HU7" s="93">
        <v>269.57</v>
      </c>
      <c r="HV7" s="93">
        <v>268.7</v>
      </c>
      <c r="HW7" s="93">
        <v>267.82</v>
      </c>
      <c r="HX7" s="93">
        <v>266.95</v>
      </c>
      <c r="HY7" s="93">
        <v>266.07</v>
      </c>
      <c r="HZ7" s="93">
        <v>265.20999999999998</v>
      </c>
      <c r="IA7" s="93">
        <v>264.32</v>
      </c>
      <c r="IB7" s="93">
        <v>263.45999999999998</v>
      </c>
      <c r="IC7" s="93">
        <v>262.60000000000002</v>
      </c>
      <c r="ID7" s="93">
        <v>261.73</v>
      </c>
      <c r="IE7" s="93">
        <v>260.85000000000002</v>
      </c>
      <c r="IF7" s="93">
        <v>259.99</v>
      </c>
      <c r="IG7" s="93">
        <v>259.13</v>
      </c>
      <c r="IH7" s="93">
        <v>258.26</v>
      </c>
      <c r="II7" s="93">
        <v>257.39999999999998</v>
      </c>
      <c r="IJ7" s="93">
        <v>256.54000000000002</v>
      </c>
      <c r="IK7" s="93">
        <v>255.68</v>
      </c>
      <c r="IL7" s="93">
        <v>254.82</v>
      </c>
      <c r="IM7" s="93">
        <v>253.97</v>
      </c>
      <c r="IN7" s="93">
        <v>253.11</v>
      </c>
      <c r="IO7" s="93">
        <v>252.25</v>
      </c>
      <c r="IP7" s="93">
        <v>251.4</v>
      </c>
      <c r="IQ7" s="93">
        <v>250.55</v>
      </c>
      <c r="IR7" s="93">
        <v>249.7</v>
      </c>
      <c r="IS7" s="93">
        <v>248.85</v>
      </c>
      <c r="IT7" s="93">
        <v>248</v>
      </c>
      <c r="IU7" s="93">
        <v>247.15</v>
      </c>
      <c r="IV7" s="93">
        <v>246.31</v>
      </c>
      <c r="IW7" s="93">
        <v>245.47</v>
      </c>
      <c r="IX7" s="93">
        <v>244.62</v>
      </c>
      <c r="IY7" s="93">
        <v>243.78</v>
      </c>
      <c r="IZ7" s="93">
        <v>242.94</v>
      </c>
      <c r="JA7" s="93">
        <v>242.11</v>
      </c>
      <c r="JB7" s="93">
        <v>241.27</v>
      </c>
      <c r="JC7" s="93">
        <v>240.43</v>
      </c>
      <c r="JD7" s="93">
        <v>239.6</v>
      </c>
      <c r="JE7" s="93">
        <v>238.77</v>
      </c>
      <c r="JF7" s="93">
        <v>237.93</v>
      </c>
      <c r="JG7" s="93">
        <v>237.1</v>
      </c>
      <c r="JH7" s="93">
        <v>236.27</v>
      </c>
      <c r="JI7" s="93">
        <v>235.44</v>
      </c>
      <c r="JJ7" s="93">
        <v>234.62</v>
      </c>
      <c r="JK7" s="93">
        <v>233.79</v>
      </c>
      <c r="JL7" s="93">
        <v>232.96</v>
      </c>
      <c r="JM7" s="93">
        <v>232.14</v>
      </c>
      <c r="JN7" s="93">
        <v>231.32</v>
      </c>
      <c r="JO7" s="93">
        <v>230.5</v>
      </c>
      <c r="JP7" s="93">
        <v>229.67</v>
      </c>
      <c r="JQ7" s="93">
        <v>228.85</v>
      </c>
      <c r="JR7" s="93">
        <v>228.03</v>
      </c>
      <c r="JS7" s="93">
        <v>227.22</v>
      </c>
      <c r="JT7" s="93">
        <v>226.4</v>
      </c>
      <c r="JU7" s="93">
        <v>225.59</v>
      </c>
      <c r="JV7" s="93">
        <v>224.77</v>
      </c>
      <c r="JW7" s="93">
        <v>223.96</v>
      </c>
      <c r="JX7" s="93">
        <v>223.15</v>
      </c>
      <c r="JY7" s="93">
        <v>222.34</v>
      </c>
      <c r="JZ7" s="93">
        <v>221.53</v>
      </c>
      <c r="KA7" s="93">
        <v>220.72</v>
      </c>
      <c r="KB7" s="93">
        <v>219.91</v>
      </c>
      <c r="KC7" s="93">
        <v>219.1</v>
      </c>
      <c r="KD7" s="93">
        <v>218.3</v>
      </c>
      <c r="KE7" s="93">
        <v>217.49</v>
      </c>
      <c r="KF7" s="93">
        <v>216.69</v>
      </c>
      <c r="KG7" s="93">
        <v>215.89</v>
      </c>
      <c r="KH7" s="93">
        <v>215.09</v>
      </c>
      <c r="KI7" s="93">
        <v>214.29</v>
      </c>
      <c r="KJ7" s="93">
        <v>213.49</v>
      </c>
      <c r="KK7" s="93">
        <v>212.69</v>
      </c>
      <c r="KL7" s="93">
        <v>211.9</v>
      </c>
      <c r="KM7" s="93">
        <v>211.1</v>
      </c>
      <c r="KN7" s="93">
        <v>210.31</v>
      </c>
      <c r="KO7" s="93">
        <v>209.52</v>
      </c>
      <c r="KP7" s="93">
        <v>208.73</v>
      </c>
      <c r="KQ7" s="93">
        <v>207.94</v>
      </c>
      <c r="KR7" s="93">
        <v>207.09000000000003</v>
      </c>
      <c r="KS7" s="93">
        <v>206.34000000000003</v>
      </c>
      <c r="KT7" s="93">
        <v>205.59000000000003</v>
      </c>
      <c r="KU7" s="93">
        <v>204.84000000000003</v>
      </c>
      <c r="KV7" s="93">
        <v>204.09000000000003</v>
      </c>
      <c r="KW7" s="93">
        <v>203.34000000000003</v>
      </c>
      <c r="KX7" s="93">
        <v>202.59000000000003</v>
      </c>
      <c r="KY7" s="93">
        <v>201.84000000000003</v>
      </c>
      <c r="KZ7" s="93">
        <v>201.09000000000003</v>
      </c>
      <c r="LA7" s="93">
        <v>200.34000000000003</v>
      </c>
      <c r="LB7" s="93">
        <v>199.59000000000003</v>
      </c>
      <c r="LC7" s="93">
        <v>198.84000000000003</v>
      </c>
      <c r="LD7" s="93">
        <v>198.09000000000003</v>
      </c>
      <c r="LE7" s="93">
        <v>197.34000000000003</v>
      </c>
      <c r="LF7" s="93">
        <v>196.59000000000003</v>
      </c>
      <c r="LG7" s="93">
        <v>195.84000000000003</v>
      </c>
      <c r="LH7" s="93">
        <v>195.09000000000003</v>
      </c>
      <c r="LI7" s="93">
        <v>194.34000000000003</v>
      </c>
      <c r="LJ7" s="93">
        <v>193.59000000000003</v>
      </c>
      <c r="LK7" s="93">
        <v>192.84000000000003</v>
      </c>
      <c r="LL7" s="93">
        <v>192.09000000000003</v>
      </c>
      <c r="LM7" s="93">
        <v>191.34000000000003</v>
      </c>
      <c r="LN7" s="93">
        <v>190.59000000000003</v>
      </c>
      <c r="LO7" s="93">
        <v>189.84000000000003</v>
      </c>
      <c r="LP7" s="93">
        <v>189.09000000000003</v>
      </c>
      <c r="LQ7" s="93">
        <v>188.34000000000003</v>
      </c>
      <c r="LR7" s="93">
        <v>187.59000000000003</v>
      </c>
      <c r="LS7" s="93">
        <v>186.84000000000003</v>
      </c>
      <c r="LT7" s="93">
        <v>186.09000000000003</v>
      </c>
      <c r="LU7" s="93">
        <v>185.34000000000003</v>
      </c>
      <c r="LV7" s="93">
        <v>184.59000000000003</v>
      </c>
      <c r="LW7" s="93">
        <v>183.84000000000003</v>
      </c>
      <c r="LX7" s="93">
        <v>183.09000000000003</v>
      </c>
      <c r="LY7" s="93">
        <v>182.34000000000003</v>
      </c>
      <c r="LZ7" s="93">
        <v>181.59000000000003</v>
      </c>
      <c r="MA7" s="93">
        <v>180.84000000000003</v>
      </c>
      <c r="MB7" s="93">
        <v>180.09000000000003</v>
      </c>
      <c r="MC7" s="93">
        <v>179.34000000000003</v>
      </c>
      <c r="MD7" s="93">
        <v>178.59000000000003</v>
      </c>
      <c r="ME7" s="93">
        <v>177.84000000000003</v>
      </c>
      <c r="MF7" s="93">
        <v>177.09000000000003</v>
      </c>
      <c r="MG7" s="93">
        <v>176.34000000000003</v>
      </c>
      <c r="MH7" s="93">
        <v>175.59000000000003</v>
      </c>
      <c r="MI7" s="93">
        <v>174.84000000000003</v>
      </c>
      <c r="MJ7" s="93">
        <v>174.09000000000003</v>
      </c>
      <c r="MK7" s="93">
        <v>173.34000000000003</v>
      </c>
      <c r="ML7" s="93">
        <v>172.59000000000003</v>
      </c>
      <c r="MM7" s="93">
        <v>171.84000000000003</v>
      </c>
      <c r="MN7" s="93">
        <v>171.09000000000003</v>
      </c>
      <c r="MO7" s="93">
        <v>170.34000000000003</v>
      </c>
      <c r="MP7" s="93">
        <v>169.59000000000003</v>
      </c>
      <c r="MQ7" s="93">
        <v>168.84000000000003</v>
      </c>
      <c r="MR7" s="93">
        <v>168.09000000000003</v>
      </c>
      <c r="MS7" s="93">
        <v>167.34000000000003</v>
      </c>
      <c r="MT7" s="93">
        <v>166.59000000000003</v>
      </c>
      <c r="MU7" s="93">
        <v>165.84000000000003</v>
      </c>
      <c r="MV7" s="93">
        <v>165.09000000000003</v>
      </c>
      <c r="MW7" s="93">
        <v>164.34000000000003</v>
      </c>
      <c r="MX7" s="93">
        <v>163.59000000000003</v>
      </c>
      <c r="MY7" s="93">
        <v>162.84000000000003</v>
      </c>
    </row>
    <row r="8" spans="1:376" ht="15.75" x14ac:dyDescent="0.25">
      <c r="A8" s="90" t="s">
        <v>7</v>
      </c>
      <c r="B8" s="95">
        <v>2018</v>
      </c>
      <c r="C8" s="93">
        <v>489.56</v>
      </c>
      <c r="D8" s="93">
        <v>488.54</v>
      </c>
      <c r="E8" s="93">
        <v>487.53</v>
      </c>
      <c r="F8" s="93">
        <v>486.51</v>
      </c>
      <c r="G8" s="93">
        <v>485.49</v>
      </c>
      <c r="H8" s="93">
        <v>484.48</v>
      </c>
      <c r="I8" s="93">
        <v>483.46</v>
      </c>
      <c r="J8" s="93">
        <v>482.44</v>
      </c>
      <c r="K8" s="93">
        <v>481.42</v>
      </c>
      <c r="L8" s="93">
        <v>480.41</v>
      </c>
      <c r="M8" s="93">
        <v>479.39</v>
      </c>
      <c r="N8" s="93">
        <v>478.38</v>
      </c>
      <c r="O8" s="93">
        <v>477.36</v>
      </c>
      <c r="P8" s="93">
        <v>476.34</v>
      </c>
      <c r="Q8" s="93">
        <v>475.33</v>
      </c>
      <c r="R8" s="93">
        <v>474.31</v>
      </c>
      <c r="S8" s="93">
        <v>473.3</v>
      </c>
      <c r="T8" s="93">
        <v>472.28</v>
      </c>
      <c r="U8" s="93">
        <v>471.27</v>
      </c>
      <c r="V8" s="93">
        <v>470.25</v>
      </c>
      <c r="W8" s="93">
        <v>469.24</v>
      </c>
      <c r="X8" s="93">
        <v>468.22</v>
      </c>
      <c r="Y8" s="93">
        <v>467.21</v>
      </c>
      <c r="Z8" s="93">
        <v>466.19</v>
      </c>
      <c r="AA8" s="93">
        <v>465.18</v>
      </c>
      <c r="AB8" s="93">
        <v>464.17</v>
      </c>
      <c r="AC8" s="93">
        <v>463.15</v>
      </c>
      <c r="AD8" s="93">
        <v>462.14</v>
      </c>
      <c r="AE8" s="93">
        <v>461.12</v>
      </c>
      <c r="AF8" s="93">
        <v>460.11</v>
      </c>
      <c r="AG8" s="93">
        <v>459.1</v>
      </c>
      <c r="AH8" s="93">
        <v>458.09</v>
      </c>
      <c r="AI8" s="93">
        <v>457.07</v>
      </c>
      <c r="AJ8" s="93">
        <v>456.06</v>
      </c>
      <c r="AK8" s="93">
        <v>455.05</v>
      </c>
      <c r="AL8" s="93">
        <v>454.03</v>
      </c>
      <c r="AM8" s="93">
        <v>453.02</v>
      </c>
      <c r="AN8" s="93">
        <v>452.01</v>
      </c>
      <c r="AO8" s="93">
        <v>451</v>
      </c>
      <c r="AP8" s="93">
        <v>449.99</v>
      </c>
      <c r="AQ8" s="93">
        <v>448.98</v>
      </c>
      <c r="AR8" s="93">
        <v>447.96</v>
      </c>
      <c r="AS8" s="93">
        <v>446.95</v>
      </c>
      <c r="AT8" s="93">
        <v>445.94</v>
      </c>
      <c r="AU8" s="93">
        <v>444.93</v>
      </c>
      <c r="AV8" s="93">
        <v>443.92</v>
      </c>
      <c r="AW8" s="93">
        <v>442.91</v>
      </c>
      <c r="AX8" s="93">
        <v>441.9</v>
      </c>
      <c r="AY8" s="93">
        <v>440.89</v>
      </c>
      <c r="AZ8" s="93">
        <v>439.88</v>
      </c>
      <c r="BA8" s="93">
        <v>438.87</v>
      </c>
      <c r="BB8" s="93">
        <v>437.87</v>
      </c>
      <c r="BC8" s="93">
        <v>436.86</v>
      </c>
      <c r="BD8" s="93">
        <v>435.85</v>
      </c>
      <c r="BE8" s="93">
        <v>434.84</v>
      </c>
      <c r="BF8" s="93">
        <v>433.83</v>
      </c>
      <c r="BG8" s="93">
        <v>432.82</v>
      </c>
      <c r="BH8" s="93">
        <v>431.82</v>
      </c>
      <c r="BI8" s="93">
        <v>430.81</v>
      </c>
      <c r="BJ8" s="93">
        <v>429.8</v>
      </c>
      <c r="BK8" s="93">
        <v>428.79</v>
      </c>
      <c r="BL8" s="93">
        <v>427.79</v>
      </c>
      <c r="BM8" s="93">
        <v>426.78</v>
      </c>
      <c r="BN8" s="93">
        <v>425.78</v>
      </c>
      <c r="BO8" s="93">
        <v>424.77</v>
      </c>
      <c r="BP8" s="93">
        <v>423.77</v>
      </c>
      <c r="BQ8" s="93">
        <v>422.76</v>
      </c>
      <c r="BR8" s="93">
        <v>421.76</v>
      </c>
      <c r="BS8" s="93">
        <v>420.75</v>
      </c>
      <c r="BT8" s="93">
        <v>419.75</v>
      </c>
      <c r="BU8" s="93">
        <v>418.74</v>
      </c>
      <c r="BV8" s="93">
        <v>417.74</v>
      </c>
      <c r="BW8" s="93">
        <v>416.73</v>
      </c>
      <c r="BX8" s="93">
        <v>415.73</v>
      </c>
      <c r="BY8" s="93">
        <v>414.73</v>
      </c>
      <c r="BZ8" s="93">
        <v>413.73</v>
      </c>
      <c r="CA8" s="93">
        <v>412.73</v>
      </c>
      <c r="CB8" s="93">
        <v>411.73</v>
      </c>
      <c r="CC8" s="93">
        <v>410.73</v>
      </c>
      <c r="CD8" s="93">
        <v>409.73</v>
      </c>
      <c r="CE8" s="93">
        <v>408.73</v>
      </c>
      <c r="CF8" s="93">
        <v>407.73</v>
      </c>
      <c r="CG8" s="93">
        <v>406.73</v>
      </c>
      <c r="CH8" s="93">
        <v>405.73</v>
      </c>
      <c r="CI8" s="93">
        <v>404.73</v>
      </c>
      <c r="CJ8" s="93">
        <v>403.74</v>
      </c>
      <c r="CK8" s="93">
        <v>402.74</v>
      </c>
      <c r="CL8" s="93">
        <v>401.74</v>
      </c>
      <c r="CM8" s="93">
        <v>400.75</v>
      </c>
      <c r="CN8" s="93">
        <v>399.75</v>
      </c>
      <c r="CO8" s="93">
        <v>398.76</v>
      </c>
      <c r="CP8" s="93">
        <v>397.76</v>
      </c>
      <c r="CQ8" s="93">
        <v>396.77</v>
      </c>
      <c r="CR8" s="93">
        <v>395.78</v>
      </c>
      <c r="CS8" s="93">
        <v>394.78</v>
      </c>
      <c r="CT8" s="93">
        <v>393.79</v>
      </c>
      <c r="CU8" s="93">
        <v>392.79</v>
      </c>
      <c r="CV8" s="93">
        <v>391.8</v>
      </c>
      <c r="CW8" s="93">
        <v>390.81</v>
      </c>
      <c r="CX8" s="93">
        <v>389.82</v>
      </c>
      <c r="CY8" s="93">
        <v>388.83</v>
      </c>
      <c r="CZ8" s="93">
        <v>387.84</v>
      </c>
      <c r="DA8" s="93">
        <v>386.85</v>
      </c>
      <c r="DB8" s="93">
        <v>385.86</v>
      </c>
      <c r="DC8" s="93">
        <v>384.88</v>
      </c>
      <c r="DD8" s="93">
        <v>383.89</v>
      </c>
      <c r="DE8" s="93">
        <v>382.9</v>
      </c>
      <c r="DF8" s="93">
        <v>381.91</v>
      </c>
      <c r="DG8" s="93">
        <v>380.92</v>
      </c>
      <c r="DH8" s="93">
        <v>379.94</v>
      </c>
      <c r="DI8" s="93">
        <v>378.95</v>
      </c>
      <c r="DJ8" s="93">
        <v>377.97</v>
      </c>
      <c r="DK8" s="93">
        <v>376.99</v>
      </c>
      <c r="DL8" s="93">
        <v>376</v>
      </c>
      <c r="DM8" s="93">
        <v>375.02</v>
      </c>
      <c r="DN8" s="93">
        <v>374.04</v>
      </c>
      <c r="DO8" s="93">
        <v>373.05</v>
      </c>
      <c r="DP8" s="93">
        <v>372.07</v>
      </c>
      <c r="DQ8" s="93">
        <v>371.09</v>
      </c>
      <c r="DR8" s="93">
        <v>370.11</v>
      </c>
      <c r="DS8" s="93">
        <v>369.13</v>
      </c>
      <c r="DT8" s="93">
        <v>368.15</v>
      </c>
      <c r="DU8" s="93">
        <v>367.17</v>
      </c>
      <c r="DV8" s="93">
        <v>366.2</v>
      </c>
      <c r="DW8" s="93">
        <v>365.22</v>
      </c>
      <c r="DX8" s="93">
        <v>364.25</v>
      </c>
      <c r="DY8" s="93">
        <v>363.27</v>
      </c>
      <c r="DZ8" s="93">
        <v>362.3</v>
      </c>
      <c r="EA8" s="93">
        <v>361.32</v>
      </c>
      <c r="EB8" s="93">
        <v>360.35</v>
      </c>
      <c r="EC8" s="93">
        <v>359.38</v>
      </c>
      <c r="ED8" s="93">
        <v>358.41</v>
      </c>
      <c r="EE8" s="93">
        <v>357.44</v>
      </c>
      <c r="EF8" s="93">
        <v>356.47</v>
      </c>
      <c r="EG8" s="93">
        <v>355.5</v>
      </c>
      <c r="EH8" s="93">
        <v>354.53</v>
      </c>
      <c r="EI8" s="93">
        <v>353.57</v>
      </c>
      <c r="EJ8" s="93">
        <v>352.6</v>
      </c>
      <c r="EK8" s="93">
        <v>351.64</v>
      </c>
      <c r="EL8" s="93">
        <v>350.68</v>
      </c>
      <c r="EM8" s="93">
        <v>349.71</v>
      </c>
      <c r="EN8" s="93">
        <v>348.75</v>
      </c>
      <c r="EO8" s="93">
        <v>347.79</v>
      </c>
      <c r="EP8" s="93">
        <v>346.83</v>
      </c>
      <c r="EQ8" s="93">
        <v>345.87</v>
      </c>
      <c r="ER8" s="93">
        <v>344.91</v>
      </c>
      <c r="ES8" s="93">
        <v>343.95</v>
      </c>
      <c r="ET8" s="93">
        <v>342.99</v>
      </c>
      <c r="EU8" s="93">
        <v>342.04</v>
      </c>
      <c r="EV8" s="93">
        <v>341.08</v>
      </c>
      <c r="EW8" s="93">
        <v>340.13</v>
      </c>
      <c r="EX8" s="93">
        <v>339.17</v>
      </c>
      <c r="EY8" s="93">
        <v>338.22</v>
      </c>
      <c r="EZ8" s="93">
        <v>337.26</v>
      </c>
      <c r="FA8" s="93">
        <v>336.31</v>
      </c>
      <c r="FB8" s="93">
        <v>335.36</v>
      </c>
      <c r="FC8" s="93">
        <v>334.41</v>
      </c>
      <c r="FD8" s="93">
        <v>333.46</v>
      </c>
      <c r="FE8" s="93">
        <v>332.51</v>
      </c>
      <c r="FF8" s="93">
        <v>331.56</v>
      </c>
      <c r="FG8" s="93">
        <v>330.61</v>
      </c>
      <c r="FH8" s="93">
        <v>329.66</v>
      </c>
      <c r="FI8" s="93">
        <v>328.72</v>
      </c>
      <c r="FJ8" s="93">
        <v>327.77</v>
      </c>
      <c r="FK8" s="93">
        <v>326.82</v>
      </c>
      <c r="FL8" s="93">
        <v>325.88</v>
      </c>
      <c r="FM8" s="93">
        <v>324.93</v>
      </c>
      <c r="FN8" s="93">
        <v>323.99</v>
      </c>
      <c r="FO8" s="93">
        <v>323.04000000000002</v>
      </c>
      <c r="FP8" s="93">
        <v>322.10000000000002</v>
      </c>
      <c r="FQ8" s="93">
        <v>321.17</v>
      </c>
      <c r="FR8" s="93">
        <v>320.23</v>
      </c>
      <c r="FS8" s="93">
        <v>319.29000000000002</v>
      </c>
      <c r="FT8" s="93">
        <v>318.35000000000002</v>
      </c>
      <c r="FU8" s="93">
        <v>317.41000000000003</v>
      </c>
      <c r="FV8" s="93">
        <v>316.48</v>
      </c>
      <c r="FW8" s="93">
        <v>315.54000000000002</v>
      </c>
      <c r="FX8" s="93">
        <v>314.60000000000002</v>
      </c>
      <c r="FY8" s="93">
        <v>313.67</v>
      </c>
      <c r="FZ8" s="93">
        <v>312.74</v>
      </c>
      <c r="GA8" s="93">
        <v>311.79000000000002</v>
      </c>
      <c r="GB8" s="93">
        <v>310.87</v>
      </c>
      <c r="GC8" s="93">
        <v>309.94</v>
      </c>
      <c r="GD8" s="93">
        <v>309.01</v>
      </c>
      <c r="GE8" s="93">
        <v>308.07</v>
      </c>
      <c r="GF8" s="93">
        <v>307.16000000000003</v>
      </c>
      <c r="GG8" s="93">
        <v>306.23</v>
      </c>
      <c r="GH8" s="93">
        <v>305.29000000000002</v>
      </c>
      <c r="GI8" s="93">
        <v>304.38</v>
      </c>
      <c r="GJ8" s="93">
        <v>303.45</v>
      </c>
      <c r="GK8" s="93">
        <v>302.52999999999997</v>
      </c>
      <c r="GL8" s="93">
        <v>301.60000000000002</v>
      </c>
      <c r="GM8" s="93">
        <v>300.69</v>
      </c>
      <c r="GN8" s="93">
        <v>299.76</v>
      </c>
      <c r="GO8" s="93">
        <v>298.85000000000002</v>
      </c>
      <c r="GP8" s="93">
        <v>297.94</v>
      </c>
      <c r="GQ8" s="93">
        <v>297.01</v>
      </c>
      <c r="GR8" s="93">
        <v>296.10000000000002</v>
      </c>
      <c r="GS8" s="93">
        <v>295.19</v>
      </c>
      <c r="GT8" s="93">
        <v>294.27999999999997</v>
      </c>
      <c r="GU8" s="93">
        <v>293.37</v>
      </c>
      <c r="GV8" s="93">
        <v>292.45999999999998</v>
      </c>
      <c r="GW8" s="93">
        <v>291.54000000000002</v>
      </c>
      <c r="GX8" s="93">
        <v>290.64</v>
      </c>
      <c r="GY8" s="93">
        <v>289.73</v>
      </c>
      <c r="GZ8" s="93">
        <v>288.82</v>
      </c>
      <c r="HA8" s="93">
        <v>287.92</v>
      </c>
      <c r="HB8" s="93">
        <v>287.01</v>
      </c>
      <c r="HC8" s="93">
        <v>286.12</v>
      </c>
      <c r="HD8" s="93">
        <v>285.22000000000003</v>
      </c>
      <c r="HE8" s="93">
        <v>284.32</v>
      </c>
      <c r="HF8" s="93">
        <v>283.42</v>
      </c>
      <c r="HG8" s="93">
        <v>282.51</v>
      </c>
      <c r="HH8" s="93">
        <v>281.63</v>
      </c>
      <c r="HI8" s="93">
        <v>280.73</v>
      </c>
      <c r="HJ8" s="93">
        <v>279.83999999999997</v>
      </c>
      <c r="HK8" s="93">
        <v>278.95</v>
      </c>
      <c r="HL8" s="93">
        <v>278.06</v>
      </c>
      <c r="HM8" s="93">
        <v>277.17</v>
      </c>
      <c r="HN8" s="93">
        <v>276.27999999999997</v>
      </c>
      <c r="HO8" s="93">
        <v>275.39</v>
      </c>
      <c r="HP8" s="93">
        <v>274.51</v>
      </c>
      <c r="HQ8" s="93">
        <v>273.63</v>
      </c>
      <c r="HR8" s="93">
        <v>272.74</v>
      </c>
      <c r="HS8" s="93">
        <v>271.85000000000002</v>
      </c>
      <c r="HT8" s="93">
        <v>270.98</v>
      </c>
      <c r="HU8" s="93">
        <v>270.10000000000002</v>
      </c>
      <c r="HV8" s="93">
        <v>269.22000000000003</v>
      </c>
      <c r="HW8" s="93">
        <v>268.35000000000002</v>
      </c>
      <c r="HX8" s="93">
        <v>267.47000000000003</v>
      </c>
      <c r="HY8" s="93">
        <v>266.60000000000002</v>
      </c>
      <c r="HZ8" s="93">
        <v>265.73</v>
      </c>
      <c r="IA8" s="93">
        <v>264.85000000000002</v>
      </c>
      <c r="IB8" s="93">
        <v>263.98</v>
      </c>
      <c r="IC8" s="93">
        <v>263.10000000000002</v>
      </c>
      <c r="ID8" s="93">
        <v>262.24</v>
      </c>
      <c r="IE8" s="93">
        <v>261.38</v>
      </c>
      <c r="IF8" s="93">
        <v>260.51</v>
      </c>
      <c r="IG8" s="93">
        <v>259.64</v>
      </c>
      <c r="IH8" s="93">
        <v>258.77999999999997</v>
      </c>
      <c r="II8" s="93">
        <v>257.92</v>
      </c>
      <c r="IJ8" s="93">
        <v>257.06</v>
      </c>
      <c r="IK8" s="93">
        <v>256.19</v>
      </c>
      <c r="IL8" s="93">
        <v>255.34</v>
      </c>
      <c r="IM8" s="93">
        <v>254.48</v>
      </c>
      <c r="IN8" s="93">
        <v>253.62</v>
      </c>
      <c r="IO8" s="93">
        <v>252.77</v>
      </c>
      <c r="IP8" s="93">
        <v>251.91</v>
      </c>
      <c r="IQ8" s="93">
        <v>251.06</v>
      </c>
      <c r="IR8" s="93">
        <v>250.21</v>
      </c>
      <c r="IS8" s="93">
        <v>249.36</v>
      </c>
      <c r="IT8" s="93">
        <v>248.51</v>
      </c>
      <c r="IU8" s="93">
        <v>247.66</v>
      </c>
      <c r="IV8" s="93">
        <v>246.82</v>
      </c>
      <c r="IW8" s="93">
        <v>245.97</v>
      </c>
      <c r="IX8" s="93">
        <v>245.13</v>
      </c>
      <c r="IY8" s="93">
        <v>244.29</v>
      </c>
      <c r="IZ8" s="93">
        <v>243.45</v>
      </c>
      <c r="JA8" s="93">
        <v>242.61</v>
      </c>
      <c r="JB8" s="93">
        <v>241.77</v>
      </c>
      <c r="JC8" s="93">
        <v>240.94</v>
      </c>
      <c r="JD8" s="93">
        <v>240.1</v>
      </c>
      <c r="JE8" s="93">
        <v>239.27</v>
      </c>
      <c r="JF8" s="93">
        <v>238.44</v>
      </c>
      <c r="JG8" s="93">
        <v>237.6</v>
      </c>
      <c r="JH8" s="93">
        <v>236.77</v>
      </c>
      <c r="JI8" s="93">
        <v>235.95</v>
      </c>
      <c r="JJ8" s="93">
        <v>235.12</v>
      </c>
      <c r="JK8" s="93">
        <v>234.29</v>
      </c>
      <c r="JL8" s="93">
        <v>233.46</v>
      </c>
      <c r="JM8" s="93">
        <v>232.64</v>
      </c>
      <c r="JN8" s="93">
        <v>231.82</v>
      </c>
      <c r="JO8" s="93">
        <v>230.99</v>
      </c>
      <c r="JP8" s="93">
        <v>230.17</v>
      </c>
      <c r="JQ8" s="93">
        <v>229.35</v>
      </c>
      <c r="JR8" s="93">
        <v>228.53</v>
      </c>
      <c r="JS8" s="93">
        <v>227.71</v>
      </c>
      <c r="JT8" s="93">
        <v>226.9</v>
      </c>
      <c r="JU8" s="93">
        <v>226.08</v>
      </c>
      <c r="JV8" s="93">
        <v>225.27</v>
      </c>
      <c r="JW8" s="93">
        <v>224.45</v>
      </c>
      <c r="JX8" s="93">
        <v>223.64</v>
      </c>
      <c r="JY8" s="93">
        <v>222.83</v>
      </c>
      <c r="JZ8" s="93">
        <v>222.02</v>
      </c>
      <c r="KA8" s="93">
        <v>221.21</v>
      </c>
      <c r="KB8" s="93">
        <v>220.4</v>
      </c>
      <c r="KC8" s="93">
        <v>219.59</v>
      </c>
      <c r="KD8" s="93">
        <v>218.79</v>
      </c>
      <c r="KE8" s="93">
        <v>217.98</v>
      </c>
      <c r="KF8" s="93">
        <v>217.18</v>
      </c>
      <c r="KG8" s="93">
        <v>216.38</v>
      </c>
      <c r="KH8" s="93">
        <v>215.57</v>
      </c>
      <c r="KI8" s="93">
        <v>214.77</v>
      </c>
      <c r="KJ8" s="93">
        <v>213.97</v>
      </c>
      <c r="KK8" s="93">
        <v>213.18</v>
      </c>
      <c r="KL8" s="93">
        <v>212.38</v>
      </c>
      <c r="KM8" s="93">
        <v>211.59</v>
      </c>
      <c r="KN8" s="93">
        <v>210.79</v>
      </c>
      <c r="KO8" s="93">
        <v>210</v>
      </c>
      <c r="KP8" s="93">
        <v>209.21</v>
      </c>
      <c r="KQ8" s="93">
        <v>208.42</v>
      </c>
      <c r="KR8" s="93">
        <v>207.55000000000004</v>
      </c>
      <c r="KS8" s="93">
        <v>206.80000000000004</v>
      </c>
      <c r="KT8" s="93">
        <v>206.05000000000004</v>
      </c>
      <c r="KU8" s="93">
        <v>205.30000000000004</v>
      </c>
      <c r="KV8" s="93">
        <v>204.55000000000004</v>
      </c>
      <c r="KW8" s="93">
        <v>203.80000000000004</v>
      </c>
      <c r="KX8" s="93">
        <v>203.05000000000004</v>
      </c>
      <c r="KY8" s="93">
        <v>202.30000000000004</v>
      </c>
      <c r="KZ8" s="93">
        <v>201.55000000000004</v>
      </c>
      <c r="LA8" s="93">
        <v>200.80000000000004</v>
      </c>
      <c r="LB8" s="93">
        <v>200.05000000000004</v>
      </c>
      <c r="LC8" s="93">
        <v>199.30000000000004</v>
      </c>
      <c r="LD8" s="93">
        <v>198.55000000000004</v>
      </c>
      <c r="LE8" s="93">
        <v>197.80000000000004</v>
      </c>
      <c r="LF8" s="93">
        <v>197.05000000000004</v>
      </c>
      <c r="LG8" s="93">
        <v>196.30000000000004</v>
      </c>
      <c r="LH8" s="93">
        <v>195.55000000000004</v>
      </c>
      <c r="LI8" s="93">
        <v>194.80000000000004</v>
      </c>
      <c r="LJ8" s="93">
        <v>194.05000000000004</v>
      </c>
      <c r="LK8" s="93">
        <v>193.30000000000004</v>
      </c>
      <c r="LL8" s="93">
        <v>192.55000000000004</v>
      </c>
      <c r="LM8" s="93">
        <v>191.80000000000004</v>
      </c>
      <c r="LN8" s="93">
        <v>191.05000000000004</v>
      </c>
      <c r="LO8" s="93">
        <v>190.30000000000004</v>
      </c>
      <c r="LP8" s="93">
        <v>189.55000000000004</v>
      </c>
      <c r="LQ8" s="93">
        <v>188.80000000000004</v>
      </c>
      <c r="LR8" s="93">
        <v>188.05000000000004</v>
      </c>
      <c r="LS8" s="93">
        <v>187.30000000000004</v>
      </c>
      <c r="LT8" s="93">
        <v>186.55000000000004</v>
      </c>
      <c r="LU8" s="93">
        <v>185.80000000000004</v>
      </c>
      <c r="LV8" s="93">
        <v>185.05000000000004</v>
      </c>
      <c r="LW8" s="93">
        <v>184.30000000000004</v>
      </c>
      <c r="LX8" s="93">
        <v>183.55000000000004</v>
      </c>
      <c r="LY8" s="93">
        <v>182.80000000000004</v>
      </c>
      <c r="LZ8" s="93">
        <v>182.05000000000004</v>
      </c>
      <c r="MA8" s="93">
        <v>181.30000000000004</v>
      </c>
      <c r="MB8" s="93">
        <v>180.55000000000004</v>
      </c>
      <c r="MC8" s="93">
        <v>179.80000000000004</v>
      </c>
      <c r="MD8" s="93">
        <v>179.05000000000004</v>
      </c>
      <c r="ME8" s="93">
        <v>178.30000000000004</v>
      </c>
      <c r="MF8" s="93">
        <v>177.55000000000004</v>
      </c>
      <c r="MG8" s="93">
        <v>176.80000000000004</v>
      </c>
      <c r="MH8" s="93">
        <v>176.05000000000004</v>
      </c>
      <c r="MI8" s="93">
        <v>175.30000000000004</v>
      </c>
      <c r="MJ8" s="93">
        <v>174.55000000000004</v>
      </c>
      <c r="MK8" s="93">
        <v>173.80000000000004</v>
      </c>
      <c r="ML8" s="93">
        <v>173.05000000000004</v>
      </c>
      <c r="MM8" s="93">
        <v>172.30000000000004</v>
      </c>
      <c r="MN8" s="93">
        <v>171.55000000000004</v>
      </c>
      <c r="MO8" s="93">
        <v>170.80000000000004</v>
      </c>
      <c r="MP8" s="93">
        <v>170.05000000000004</v>
      </c>
      <c r="MQ8" s="93">
        <v>169.30000000000004</v>
      </c>
      <c r="MR8" s="93">
        <v>168.55000000000004</v>
      </c>
      <c r="MS8" s="93">
        <v>167.80000000000004</v>
      </c>
      <c r="MT8" s="93">
        <v>167.05000000000004</v>
      </c>
      <c r="MU8" s="93">
        <v>166.30000000000004</v>
      </c>
      <c r="MV8" s="93">
        <v>165.55000000000004</v>
      </c>
      <c r="MW8" s="93">
        <v>164.80000000000004</v>
      </c>
      <c r="MX8" s="93">
        <v>164.05000000000004</v>
      </c>
      <c r="MY8" s="93">
        <v>163.30000000000004</v>
      </c>
    </row>
    <row r="9" spans="1:376" ht="15.75" x14ac:dyDescent="0.25">
      <c r="A9" s="90" t="s">
        <v>7</v>
      </c>
      <c r="B9" s="95">
        <v>2019</v>
      </c>
      <c r="C9" s="93">
        <v>490.17</v>
      </c>
      <c r="D9" s="93">
        <v>489.16</v>
      </c>
      <c r="E9" s="93">
        <v>488.14</v>
      </c>
      <c r="F9" s="93">
        <v>487.12</v>
      </c>
      <c r="G9" s="93">
        <v>486.1</v>
      </c>
      <c r="H9" s="93">
        <v>485.09</v>
      </c>
      <c r="I9" s="93">
        <v>484.07</v>
      </c>
      <c r="J9" s="93">
        <v>483.05</v>
      </c>
      <c r="K9" s="93">
        <v>482.03</v>
      </c>
      <c r="L9" s="93">
        <v>481.02</v>
      </c>
      <c r="M9" s="93">
        <v>480</v>
      </c>
      <c r="N9" s="93">
        <v>478.98</v>
      </c>
      <c r="O9" s="93">
        <v>477.97</v>
      </c>
      <c r="P9" s="93">
        <v>476.95</v>
      </c>
      <c r="Q9" s="93">
        <v>475.94</v>
      </c>
      <c r="R9" s="93">
        <v>474.92</v>
      </c>
      <c r="S9" s="93">
        <v>473.9</v>
      </c>
      <c r="T9" s="93">
        <v>472.89</v>
      </c>
      <c r="U9" s="93">
        <v>471.87</v>
      </c>
      <c r="V9" s="93">
        <v>470.86</v>
      </c>
      <c r="W9" s="93">
        <v>469.84</v>
      </c>
      <c r="X9" s="93">
        <v>468.83</v>
      </c>
      <c r="Y9" s="93">
        <v>467.81</v>
      </c>
      <c r="Z9" s="93">
        <v>466.8</v>
      </c>
      <c r="AA9" s="93">
        <v>465.78</v>
      </c>
      <c r="AB9" s="93">
        <v>464.77</v>
      </c>
      <c r="AC9" s="93">
        <v>463.75</v>
      </c>
      <c r="AD9" s="93">
        <v>462.74</v>
      </c>
      <c r="AE9" s="93">
        <v>461.73</v>
      </c>
      <c r="AF9" s="93">
        <v>460.71</v>
      </c>
      <c r="AG9" s="93">
        <v>459.7</v>
      </c>
      <c r="AH9" s="93">
        <v>458.69</v>
      </c>
      <c r="AI9" s="93">
        <v>457.67</v>
      </c>
      <c r="AJ9" s="93">
        <v>456.66</v>
      </c>
      <c r="AK9" s="93">
        <v>455.65</v>
      </c>
      <c r="AL9" s="93">
        <v>454.63</v>
      </c>
      <c r="AM9" s="93">
        <v>453.62</v>
      </c>
      <c r="AN9" s="93">
        <v>452.61</v>
      </c>
      <c r="AO9" s="93">
        <v>451.6</v>
      </c>
      <c r="AP9" s="93">
        <v>450.58</v>
      </c>
      <c r="AQ9" s="93">
        <v>449.57</v>
      </c>
      <c r="AR9" s="93">
        <v>448.56</v>
      </c>
      <c r="AS9" s="93">
        <v>447.55</v>
      </c>
      <c r="AT9" s="93">
        <v>446.54</v>
      </c>
      <c r="AU9" s="93">
        <v>445.53</v>
      </c>
      <c r="AV9" s="93">
        <v>444.52</v>
      </c>
      <c r="AW9" s="93">
        <v>443.5</v>
      </c>
      <c r="AX9" s="93">
        <v>442.49</v>
      </c>
      <c r="AY9" s="93">
        <v>441.48</v>
      </c>
      <c r="AZ9" s="93">
        <v>440.47</v>
      </c>
      <c r="BA9" s="93">
        <v>439.46</v>
      </c>
      <c r="BB9" s="93">
        <v>438.46</v>
      </c>
      <c r="BC9" s="93">
        <v>437.45</v>
      </c>
      <c r="BD9" s="93">
        <v>436.44</v>
      </c>
      <c r="BE9" s="93">
        <v>435.43</v>
      </c>
      <c r="BF9" s="93">
        <v>434.42</v>
      </c>
      <c r="BG9" s="93">
        <v>433.41</v>
      </c>
      <c r="BH9" s="93">
        <v>432.4</v>
      </c>
      <c r="BI9" s="93">
        <v>431.39</v>
      </c>
      <c r="BJ9" s="93">
        <v>430.39</v>
      </c>
      <c r="BK9" s="93">
        <v>429.38</v>
      </c>
      <c r="BL9" s="93">
        <v>428.37</v>
      </c>
      <c r="BM9" s="93">
        <v>427.37</v>
      </c>
      <c r="BN9" s="93">
        <v>426.36</v>
      </c>
      <c r="BO9" s="93">
        <v>425.35</v>
      </c>
      <c r="BP9" s="93">
        <v>424.35</v>
      </c>
      <c r="BQ9" s="93">
        <v>423.34</v>
      </c>
      <c r="BR9" s="93">
        <v>422.34</v>
      </c>
      <c r="BS9" s="93">
        <v>421.33</v>
      </c>
      <c r="BT9" s="93">
        <v>420.33</v>
      </c>
      <c r="BU9" s="93">
        <v>419.32</v>
      </c>
      <c r="BV9" s="93">
        <v>418.32</v>
      </c>
      <c r="BW9" s="93">
        <v>417.31</v>
      </c>
      <c r="BX9" s="93">
        <v>416.31</v>
      </c>
      <c r="BY9" s="93">
        <v>415.31</v>
      </c>
      <c r="BZ9" s="93">
        <v>414.31</v>
      </c>
      <c r="CA9" s="93">
        <v>413.31</v>
      </c>
      <c r="CB9" s="93">
        <v>412.31</v>
      </c>
      <c r="CC9" s="93">
        <v>411.31</v>
      </c>
      <c r="CD9" s="93">
        <v>410.3</v>
      </c>
      <c r="CE9" s="93">
        <v>409.3</v>
      </c>
      <c r="CF9" s="93">
        <v>408.3</v>
      </c>
      <c r="CG9" s="93">
        <v>407.3</v>
      </c>
      <c r="CH9" s="93">
        <v>406.3</v>
      </c>
      <c r="CI9" s="93">
        <v>405.3</v>
      </c>
      <c r="CJ9" s="93">
        <v>404.31</v>
      </c>
      <c r="CK9" s="93">
        <v>403.31</v>
      </c>
      <c r="CL9" s="93">
        <v>402.32</v>
      </c>
      <c r="CM9" s="93">
        <v>401.32</v>
      </c>
      <c r="CN9" s="93">
        <v>400.32</v>
      </c>
      <c r="CO9" s="93">
        <v>399.33</v>
      </c>
      <c r="CP9" s="93">
        <v>398.33</v>
      </c>
      <c r="CQ9" s="93">
        <v>397.34</v>
      </c>
      <c r="CR9" s="93">
        <v>396.34</v>
      </c>
      <c r="CS9" s="93">
        <v>395.35</v>
      </c>
      <c r="CT9" s="93">
        <v>394.35</v>
      </c>
      <c r="CU9" s="93">
        <v>393.36</v>
      </c>
      <c r="CV9" s="93">
        <v>392.37</v>
      </c>
      <c r="CW9" s="93">
        <v>391.38</v>
      </c>
      <c r="CX9" s="93">
        <v>390.39</v>
      </c>
      <c r="CY9" s="93">
        <v>389.4</v>
      </c>
      <c r="CZ9" s="93">
        <v>388.41</v>
      </c>
      <c r="DA9" s="93">
        <v>387.42</v>
      </c>
      <c r="DB9" s="93">
        <v>386.43</v>
      </c>
      <c r="DC9" s="93">
        <v>385.44</v>
      </c>
      <c r="DD9" s="93">
        <v>384.45</v>
      </c>
      <c r="DE9" s="93">
        <v>383.46</v>
      </c>
      <c r="DF9" s="93">
        <v>382.47</v>
      </c>
      <c r="DG9" s="93">
        <v>381.48</v>
      </c>
      <c r="DH9" s="93">
        <v>380.5</v>
      </c>
      <c r="DI9" s="93">
        <v>379.51</v>
      </c>
      <c r="DJ9" s="93">
        <v>378.53</v>
      </c>
      <c r="DK9" s="93">
        <v>377.54</v>
      </c>
      <c r="DL9" s="93">
        <v>376.56</v>
      </c>
      <c r="DM9" s="93">
        <v>375.58</v>
      </c>
      <c r="DN9" s="93">
        <v>374.59</v>
      </c>
      <c r="DO9" s="93">
        <v>373.61</v>
      </c>
      <c r="DP9" s="93">
        <v>372.63</v>
      </c>
      <c r="DQ9" s="93">
        <v>371.64</v>
      </c>
      <c r="DR9" s="93">
        <v>370.66</v>
      </c>
      <c r="DS9" s="93">
        <v>369.68</v>
      </c>
      <c r="DT9" s="93">
        <v>368.7</v>
      </c>
      <c r="DU9" s="93">
        <v>367.73</v>
      </c>
      <c r="DV9" s="93">
        <v>366.75</v>
      </c>
      <c r="DW9" s="93">
        <v>365.77</v>
      </c>
      <c r="DX9" s="93">
        <v>364.8</v>
      </c>
      <c r="DY9" s="93">
        <v>363.82</v>
      </c>
      <c r="DZ9" s="93">
        <v>362.85</v>
      </c>
      <c r="EA9" s="93">
        <v>361.87</v>
      </c>
      <c r="EB9" s="93">
        <v>360.9</v>
      </c>
      <c r="EC9" s="93">
        <v>359.93</v>
      </c>
      <c r="ED9" s="93">
        <v>358.96</v>
      </c>
      <c r="EE9" s="93">
        <v>357.98</v>
      </c>
      <c r="EF9" s="93">
        <v>357.02</v>
      </c>
      <c r="EG9" s="93">
        <v>356.05</v>
      </c>
      <c r="EH9" s="93">
        <v>355.08</v>
      </c>
      <c r="EI9" s="93">
        <v>354.12</v>
      </c>
      <c r="EJ9" s="93">
        <v>353.15</v>
      </c>
      <c r="EK9" s="93">
        <v>352.19</v>
      </c>
      <c r="EL9" s="93">
        <v>351.22</v>
      </c>
      <c r="EM9" s="93">
        <v>350.26</v>
      </c>
      <c r="EN9" s="93">
        <v>349.3</v>
      </c>
      <c r="EO9" s="93">
        <v>348.33</v>
      </c>
      <c r="EP9" s="93">
        <v>347.37</v>
      </c>
      <c r="EQ9" s="93">
        <v>346.41</v>
      </c>
      <c r="ER9" s="93">
        <v>345.45</v>
      </c>
      <c r="ES9" s="93">
        <v>344.5</v>
      </c>
      <c r="ET9" s="93">
        <v>343.54</v>
      </c>
      <c r="EU9" s="93">
        <v>342.58</v>
      </c>
      <c r="EV9" s="93">
        <v>341.63</v>
      </c>
      <c r="EW9" s="93">
        <v>340.67</v>
      </c>
      <c r="EX9" s="93">
        <v>339.72</v>
      </c>
      <c r="EY9" s="93">
        <v>338.76</v>
      </c>
      <c r="EZ9" s="93">
        <v>337.81</v>
      </c>
      <c r="FA9" s="93">
        <v>336.85</v>
      </c>
      <c r="FB9" s="93">
        <v>335.9</v>
      </c>
      <c r="FC9" s="93">
        <v>334.95</v>
      </c>
      <c r="FD9" s="93">
        <v>334</v>
      </c>
      <c r="FE9" s="93">
        <v>333.05</v>
      </c>
      <c r="FF9" s="93">
        <v>332.1</v>
      </c>
      <c r="FG9" s="93">
        <v>331.15</v>
      </c>
      <c r="FH9" s="93">
        <v>330.2</v>
      </c>
      <c r="FI9" s="93">
        <v>329.26</v>
      </c>
      <c r="FJ9" s="93">
        <v>328.31</v>
      </c>
      <c r="FK9" s="93">
        <v>327.35000000000002</v>
      </c>
      <c r="FL9" s="93">
        <v>326.42</v>
      </c>
      <c r="FM9" s="93">
        <v>325.47000000000003</v>
      </c>
      <c r="FN9" s="93">
        <v>324.52999999999997</v>
      </c>
      <c r="FO9" s="93">
        <v>323.58999999999997</v>
      </c>
      <c r="FP9" s="93">
        <v>322.64999999999998</v>
      </c>
      <c r="FQ9" s="93">
        <v>321.70999999999998</v>
      </c>
      <c r="FR9" s="93">
        <v>320.76</v>
      </c>
      <c r="FS9" s="93">
        <v>319.82</v>
      </c>
      <c r="FT9" s="93">
        <v>318.89</v>
      </c>
      <c r="FU9" s="93">
        <v>317.95</v>
      </c>
      <c r="FV9" s="93">
        <v>317.01</v>
      </c>
      <c r="FW9" s="93">
        <v>316.07</v>
      </c>
      <c r="FX9" s="93">
        <v>315.14</v>
      </c>
      <c r="FY9" s="93">
        <v>314.20999999999998</v>
      </c>
      <c r="FZ9" s="93">
        <v>313.26</v>
      </c>
      <c r="GA9" s="93">
        <v>312.33999999999997</v>
      </c>
      <c r="GB9" s="93">
        <v>311.41000000000003</v>
      </c>
      <c r="GC9" s="93">
        <v>310.48</v>
      </c>
      <c r="GD9" s="93">
        <v>309.54000000000002</v>
      </c>
      <c r="GE9" s="93">
        <v>308.62</v>
      </c>
      <c r="GF9" s="93">
        <v>307.69</v>
      </c>
      <c r="GG9" s="93">
        <v>306.76</v>
      </c>
      <c r="GH9" s="93">
        <v>305.83999999999997</v>
      </c>
      <c r="GI9" s="93">
        <v>304.91000000000003</v>
      </c>
      <c r="GJ9" s="93">
        <v>303.99</v>
      </c>
      <c r="GK9" s="93">
        <v>303.06</v>
      </c>
      <c r="GL9" s="93">
        <v>302.14</v>
      </c>
      <c r="GM9" s="93">
        <v>301.22000000000003</v>
      </c>
      <c r="GN9" s="93">
        <v>300.29000000000002</v>
      </c>
      <c r="GO9" s="93">
        <v>299.38</v>
      </c>
      <c r="GP9" s="93">
        <v>298.47000000000003</v>
      </c>
      <c r="GQ9" s="93">
        <v>297.54000000000002</v>
      </c>
      <c r="GR9" s="93">
        <v>296.64</v>
      </c>
      <c r="GS9" s="93">
        <v>295.72000000000003</v>
      </c>
      <c r="GT9" s="93">
        <v>294.81</v>
      </c>
      <c r="GU9" s="93">
        <v>293.89999999999998</v>
      </c>
      <c r="GV9" s="93">
        <v>292.99</v>
      </c>
      <c r="GW9" s="93">
        <v>292.07</v>
      </c>
      <c r="GX9" s="93">
        <v>291.17</v>
      </c>
      <c r="GY9" s="93">
        <v>290.26</v>
      </c>
      <c r="GZ9" s="93">
        <v>289.35000000000002</v>
      </c>
      <c r="HA9" s="93">
        <v>288.45</v>
      </c>
      <c r="HB9" s="93">
        <v>287.54000000000002</v>
      </c>
      <c r="HC9" s="93">
        <v>286.64999999999998</v>
      </c>
      <c r="HD9" s="93">
        <v>285.75</v>
      </c>
      <c r="HE9" s="93">
        <v>284.83999999999997</v>
      </c>
      <c r="HF9" s="93">
        <v>283.95</v>
      </c>
      <c r="HG9" s="93">
        <v>283.04000000000002</v>
      </c>
      <c r="HH9" s="93">
        <v>282.14999999999998</v>
      </c>
      <c r="HI9" s="93">
        <v>281.26</v>
      </c>
      <c r="HJ9" s="93">
        <v>280.35000000000002</v>
      </c>
      <c r="HK9" s="93">
        <v>279.47000000000003</v>
      </c>
      <c r="HL9" s="93">
        <v>278.57</v>
      </c>
      <c r="HM9" s="93">
        <v>277.69</v>
      </c>
      <c r="HN9" s="93">
        <v>276.79000000000002</v>
      </c>
      <c r="HO9" s="93">
        <v>275.92</v>
      </c>
      <c r="HP9" s="93">
        <v>275.02999999999997</v>
      </c>
      <c r="HQ9" s="93">
        <v>274.14999999999998</v>
      </c>
      <c r="HR9" s="93">
        <v>273.26</v>
      </c>
      <c r="HS9" s="93">
        <v>272.38</v>
      </c>
      <c r="HT9" s="93">
        <v>271.5</v>
      </c>
      <c r="HU9" s="93">
        <v>270.62</v>
      </c>
      <c r="HV9" s="93">
        <v>269.74</v>
      </c>
      <c r="HW9" s="93">
        <v>268.87</v>
      </c>
      <c r="HX9" s="93">
        <v>267.99</v>
      </c>
      <c r="HY9" s="93">
        <v>267.12</v>
      </c>
      <c r="HZ9" s="93">
        <v>266.24</v>
      </c>
      <c r="IA9" s="93">
        <v>265.37</v>
      </c>
      <c r="IB9" s="93">
        <v>264.5</v>
      </c>
      <c r="IC9" s="93">
        <v>263.63</v>
      </c>
      <c r="ID9" s="93">
        <v>262.76</v>
      </c>
      <c r="IE9" s="93">
        <v>261.89</v>
      </c>
      <c r="IF9" s="93">
        <v>261.01</v>
      </c>
      <c r="IG9" s="93">
        <v>260.16000000000003</v>
      </c>
      <c r="IH9" s="93">
        <v>259.29000000000002</v>
      </c>
      <c r="II9" s="93">
        <v>258.43</v>
      </c>
      <c r="IJ9" s="93">
        <v>257.57</v>
      </c>
      <c r="IK9" s="93">
        <v>256.70999999999998</v>
      </c>
      <c r="IL9" s="93">
        <v>255.85</v>
      </c>
      <c r="IM9" s="93">
        <v>254.99</v>
      </c>
      <c r="IN9" s="93">
        <v>254.13</v>
      </c>
      <c r="IO9" s="93">
        <v>253.28</v>
      </c>
      <c r="IP9" s="93">
        <v>252.42</v>
      </c>
      <c r="IQ9" s="93">
        <v>251.57</v>
      </c>
      <c r="IR9" s="93">
        <v>250.72</v>
      </c>
      <c r="IS9" s="93">
        <v>249.87</v>
      </c>
      <c r="IT9" s="93">
        <v>249.02</v>
      </c>
      <c r="IU9" s="93">
        <v>248.17</v>
      </c>
      <c r="IV9" s="93">
        <v>247.32</v>
      </c>
      <c r="IW9" s="93">
        <v>246.48</v>
      </c>
      <c r="IX9" s="93">
        <v>245.64</v>
      </c>
      <c r="IY9" s="93">
        <v>244.8</v>
      </c>
      <c r="IZ9" s="93">
        <v>243.96</v>
      </c>
      <c r="JA9" s="93">
        <v>243.12</v>
      </c>
      <c r="JB9" s="93">
        <v>242.28</v>
      </c>
      <c r="JC9" s="93">
        <v>241.44</v>
      </c>
      <c r="JD9" s="93">
        <v>240.61</v>
      </c>
      <c r="JE9" s="93">
        <v>239.77</v>
      </c>
      <c r="JF9" s="93">
        <v>238.94</v>
      </c>
      <c r="JG9" s="93">
        <v>238.11</v>
      </c>
      <c r="JH9" s="93">
        <v>237.28</v>
      </c>
      <c r="JI9" s="93">
        <v>236.45</v>
      </c>
      <c r="JJ9" s="93">
        <v>235.62</v>
      </c>
      <c r="JK9" s="93">
        <v>234.79</v>
      </c>
      <c r="JL9" s="93">
        <v>233.96</v>
      </c>
      <c r="JM9" s="93">
        <v>233.14</v>
      </c>
      <c r="JN9" s="93">
        <v>232.31</v>
      </c>
      <c r="JO9" s="93">
        <v>231.49</v>
      </c>
      <c r="JP9" s="93">
        <v>230.67</v>
      </c>
      <c r="JQ9" s="93">
        <v>229.85</v>
      </c>
      <c r="JR9" s="93">
        <v>229.03</v>
      </c>
      <c r="JS9" s="93">
        <v>228.21</v>
      </c>
      <c r="JT9" s="93">
        <v>227.39</v>
      </c>
      <c r="JU9" s="93">
        <v>226.57</v>
      </c>
      <c r="JV9" s="93">
        <v>225.76</v>
      </c>
      <c r="JW9" s="93">
        <v>224.95</v>
      </c>
      <c r="JX9" s="93">
        <v>224.13</v>
      </c>
      <c r="JY9" s="93">
        <v>223.32</v>
      </c>
      <c r="JZ9" s="93">
        <v>222.51</v>
      </c>
      <c r="KA9" s="93">
        <v>221.7</v>
      </c>
      <c r="KB9" s="93">
        <v>220.89</v>
      </c>
      <c r="KC9" s="93">
        <v>220.08</v>
      </c>
      <c r="KD9" s="93">
        <v>219.28</v>
      </c>
      <c r="KE9" s="93">
        <v>218.47</v>
      </c>
      <c r="KF9" s="93">
        <v>217.67</v>
      </c>
      <c r="KG9" s="93">
        <v>216.86</v>
      </c>
      <c r="KH9" s="93">
        <v>216.06</v>
      </c>
      <c r="KI9" s="93">
        <v>215.26</v>
      </c>
      <c r="KJ9" s="93">
        <v>214.46</v>
      </c>
      <c r="KK9" s="93">
        <v>213.66</v>
      </c>
      <c r="KL9" s="93">
        <v>212.86</v>
      </c>
      <c r="KM9" s="93">
        <v>212.07</v>
      </c>
      <c r="KN9" s="93">
        <v>211.27</v>
      </c>
      <c r="KO9" s="93">
        <v>210.48</v>
      </c>
      <c r="KP9" s="93">
        <v>209.69</v>
      </c>
      <c r="KQ9" s="93">
        <v>208.9</v>
      </c>
      <c r="KR9" s="93">
        <v>208.01000000000005</v>
      </c>
      <c r="KS9" s="93">
        <v>207.26000000000005</v>
      </c>
      <c r="KT9" s="93">
        <v>206.51000000000005</v>
      </c>
      <c r="KU9" s="93">
        <v>205.76000000000005</v>
      </c>
      <c r="KV9" s="93">
        <v>205.01000000000005</v>
      </c>
      <c r="KW9" s="93">
        <v>204.26000000000005</v>
      </c>
      <c r="KX9" s="93">
        <v>203.51000000000005</v>
      </c>
      <c r="KY9" s="93">
        <v>202.76000000000005</v>
      </c>
      <c r="KZ9" s="93">
        <v>202.01000000000005</v>
      </c>
      <c r="LA9" s="93">
        <v>201.26000000000005</v>
      </c>
      <c r="LB9" s="93">
        <v>200.51000000000005</v>
      </c>
      <c r="LC9" s="93">
        <v>199.76000000000005</v>
      </c>
      <c r="LD9" s="93">
        <v>199.01000000000005</v>
      </c>
      <c r="LE9" s="93">
        <v>198.26000000000005</v>
      </c>
      <c r="LF9" s="93">
        <v>197.51000000000005</v>
      </c>
      <c r="LG9" s="93">
        <v>196.76000000000005</v>
      </c>
      <c r="LH9" s="93">
        <v>196.01000000000005</v>
      </c>
      <c r="LI9" s="93">
        <v>195.26000000000005</v>
      </c>
      <c r="LJ9" s="93">
        <v>194.51000000000005</v>
      </c>
      <c r="LK9" s="93">
        <v>193.76000000000005</v>
      </c>
      <c r="LL9" s="93">
        <v>193.01000000000005</v>
      </c>
      <c r="LM9" s="93">
        <v>192.26000000000005</v>
      </c>
      <c r="LN9" s="93">
        <v>191.51000000000005</v>
      </c>
      <c r="LO9" s="93">
        <v>190.76000000000005</v>
      </c>
      <c r="LP9" s="93">
        <v>190.01000000000005</v>
      </c>
      <c r="LQ9" s="93">
        <v>189.26000000000005</v>
      </c>
      <c r="LR9" s="93">
        <v>188.51000000000005</v>
      </c>
      <c r="LS9" s="93">
        <v>187.76000000000005</v>
      </c>
      <c r="LT9" s="93">
        <v>187.01000000000005</v>
      </c>
      <c r="LU9" s="93">
        <v>186.26000000000005</v>
      </c>
      <c r="LV9" s="93">
        <v>185.51000000000005</v>
      </c>
      <c r="LW9" s="93">
        <v>184.76000000000005</v>
      </c>
      <c r="LX9" s="93">
        <v>184.01000000000005</v>
      </c>
      <c r="LY9" s="93">
        <v>183.26000000000005</v>
      </c>
      <c r="LZ9" s="93">
        <v>182.51000000000005</v>
      </c>
      <c r="MA9" s="93">
        <v>181.76000000000005</v>
      </c>
      <c r="MB9" s="93">
        <v>181.01000000000005</v>
      </c>
      <c r="MC9" s="93">
        <v>180.26000000000005</v>
      </c>
      <c r="MD9" s="93">
        <v>179.51000000000005</v>
      </c>
      <c r="ME9" s="93">
        <v>178.76000000000005</v>
      </c>
      <c r="MF9" s="93">
        <v>178.01000000000005</v>
      </c>
      <c r="MG9" s="93">
        <v>177.26000000000005</v>
      </c>
      <c r="MH9" s="93">
        <v>176.51000000000005</v>
      </c>
      <c r="MI9" s="93">
        <v>175.76000000000005</v>
      </c>
      <c r="MJ9" s="93">
        <v>175.01000000000005</v>
      </c>
      <c r="MK9" s="93">
        <v>174.26000000000005</v>
      </c>
      <c r="ML9" s="93">
        <v>173.51000000000005</v>
      </c>
      <c r="MM9" s="93">
        <v>172.76000000000005</v>
      </c>
      <c r="MN9" s="93">
        <v>172.01000000000005</v>
      </c>
      <c r="MO9" s="93">
        <v>171.26000000000005</v>
      </c>
      <c r="MP9" s="93">
        <v>170.51000000000005</v>
      </c>
      <c r="MQ9" s="93">
        <v>169.76000000000005</v>
      </c>
      <c r="MR9" s="93">
        <v>169.01000000000005</v>
      </c>
      <c r="MS9" s="93">
        <v>168.26000000000005</v>
      </c>
      <c r="MT9" s="93">
        <v>167.51000000000005</v>
      </c>
      <c r="MU9" s="93">
        <v>166.76000000000005</v>
      </c>
      <c r="MV9" s="93">
        <v>166.01000000000005</v>
      </c>
      <c r="MW9" s="93">
        <v>165.26000000000005</v>
      </c>
      <c r="MX9" s="93">
        <v>164.51000000000005</v>
      </c>
      <c r="MY9" s="93">
        <v>163.76000000000005</v>
      </c>
    </row>
    <row r="10" spans="1:376" ht="15.75" x14ac:dyDescent="0.25">
      <c r="A10" s="90" t="s">
        <v>7</v>
      </c>
      <c r="B10" s="95">
        <v>2020</v>
      </c>
      <c r="C10" s="93">
        <v>490.78</v>
      </c>
      <c r="D10" s="93">
        <v>489.77</v>
      </c>
      <c r="E10" s="93">
        <v>488.75</v>
      </c>
      <c r="F10" s="93">
        <v>487.73</v>
      </c>
      <c r="G10" s="93">
        <v>486.71</v>
      </c>
      <c r="H10" s="93">
        <v>485.7</v>
      </c>
      <c r="I10" s="93">
        <v>484.68</v>
      </c>
      <c r="J10" s="93">
        <v>483.66</v>
      </c>
      <c r="K10" s="93">
        <v>482.64</v>
      </c>
      <c r="L10" s="93">
        <v>481.63</v>
      </c>
      <c r="M10" s="93">
        <v>480.61</v>
      </c>
      <c r="N10" s="93">
        <v>479.59</v>
      </c>
      <c r="O10" s="93">
        <v>478.57</v>
      </c>
      <c r="P10" s="93">
        <v>477.56</v>
      </c>
      <c r="Q10" s="93">
        <v>476.54</v>
      </c>
      <c r="R10" s="93">
        <v>475.53</v>
      </c>
      <c r="S10" s="93">
        <v>474.51</v>
      </c>
      <c r="T10" s="93">
        <v>473.49</v>
      </c>
      <c r="U10" s="93">
        <v>472.48</v>
      </c>
      <c r="V10" s="93">
        <v>471.46</v>
      </c>
      <c r="W10" s="93">
        <v>470.45</v>
      </c>
      <c r="X10" s="93">
        <v>469.43</v>
      </c>
      <c r="Y10" s="93">
        <v>468.42</v>
      </c>
      <c r="Z10" s="93">
        <v>467.4</v>
      </c>
      <c r="AA10" s="93">
        <v>466.39</v>
      </c>
      <c r="AB10" s="93">
        <v>465.37</v>
      </c>
      <c r="AC10" s="93">
        <v>464.36</v>
      </c>
      <c r="AD10" s="93">
        <v>463.34</v>
      </c>
      <c r="AE10" s="93">
        <v>462.33</v>
      </c>
      <c r="AF10" s="93">
        <v>461.31</v>
      </c>
      <c r="AG10" s="93">
        <v>460.3</v>
      </c>
      <c r="AH10" s="93">
        <v>459.28</v>
      </c>
      <c r="AI10" s="93">
        <v>458.27</v>
      </c>
      <c r="AJ10" s="93">
        <v>457.26</v>
      </c>
      <c r="AK10" s="93">
        <v>456.24</v>
      </c>
      <c r="AL10" s="93">
        <v>455.23</v>
      </c>
      <c r="AM10" s="93">
        <v>454.22</v>
      </c>
      <c r="AN10" s="93">
        <v>453.2</v>
      </c>
      <c r="AO10" s="93">
        <v>452.19</v>
      </c>
      <c r="AP10" s="93">
        <v>451.18</v>
      </c>
      <c r="AQ10" s="93">
        <v>450.17</v>
      </c>
      <c r="AR10" s="93">
        <v>449.15</v>
      </c>
      <c r="AS10" s="93">
        <v>448.14</v>
      </c>
      <c r="AT10" s="93">
        <v>447.13</v>
      </c>
      <c r="AU10" s="93">
        <v>446.12</v>
      </c>
      <c r="AV10" s="93">
        <v>445.11</v>
      </c>
      <c r="AW10" s="93">
        <v>444.1</v>
      </c>
      <c r="AX10" s="93">
        <v>443.09</v>
      </c>
      <c r="AY10" s="93">
        <v>442.07</v>
      </c>
      <c r="AZ10" s="93">
        <v>441.06</v>
      </c>
      <c r="BA10" s="93">
        <v>440.05</v>
      </c>
      <c r="BB10" s="93">
        <v>439.04</v>
      </c>
      <c r="BC10" s="93">
        <v>438.04</v>
      </c>
      <c r="BD10" s="93">
        <v>437.03</v>
      </c>
      <c r="BE10" s="93">
        <v>436.02</v>
      </c>
      <c r="BF10" s="93">
        <v>435.01</v>
      </c>
      <c r="BG10" s="93">
        <v>434</v>
      </c>
      <c r="BH10" s="93">
        <v>432.99</v>
      </c>
      <c r="BI10" s="93">
        <v>431.98</v>
      </c>
      <c r="BJ10" s="93">
        <v>430.97</v>
      </c>
      <c r="BK10" s="93">
        <v>429.96</v>
      </c>
      <c r="BL10" s="93">
        <v>428.96</v>
      </c>
      <c r="BM10" s="93">
        <v>427.95</v>
      </c>
      <c r="BN10" s="93">
        <v>426.94</v>
      </c>
      <c r="BO10" s="93">
        <v>425.94</v>
      </c>
      <c r="BP10" s="93">
        <v>424.93</v>
      </c>
      <c r="BQ10" s="93">
        <v>423.92</v>
      </c>
      <c r="BR10" s="93">
        <v>422.92</v>
      </c>
      <c r="BS10" s="93">
        <v>421.91</v>
      </c>
      <c r="BT10" s="93">
        <v>420.91</v>
      </c>
      <c r="BU10" s="93">
        <v>419.9</v>
      </c>
      <c r="BV10" s="93">
        <v>418.9</v>
      </c>
      <c r="BW10" s="93">
        <v>417.89</v>
      </c>
      <c r="BX10" s="93">
        <v>416.89</v>
      </c>
      <c r="BY10" s="93">
        <v>415.89</v>
      </c>
      <c r="BZ10" s="93">
        <v>414.88</v>
      </c>
      <c r="CA10" s="93">
        <v>413.88</v>
      </c>
      <c r="CB10" s="93">
        <v>412.88</v>
      </c>
      <c r="CC10" s="93">
        <v>411.88</v>
      </c>
      <c r="CD10" s="93">
        <v>410.88</v>
      </c>
      <c r="CE10" s="93">
        <v>409.88</v>
      </c>
      <c r="CF10" s="93">
        <v>408.88</v>
      </c>
      <c r="CG10" s="93">
        <v>407.88</v>
      </c>
      <c r="CH10" s="93">
        <v>406.87</v>
      </c>
      <c r="CI10" s="93">
        <v>405.87</v>
      </c>
      <c r="CJ10" s="93">
        <v>404.88</v>
      </c>
      <c r="CK10" s="93">
        <v>403.88</v>
      </c>
      <c r="CL10" s="93">
        <v>402.88</v>
      </c>
      <c r="CM10" s="93">
        <v>401.89</v>
      </c>
      <c r="CN10" s="93">
        <v>400.89</v>
      </c>
      <c r="CO10" s="93">
        <v>399.89</v>
      </c>
      <c r="CP10" s="93">
        <v>398.9</v>
      </c>
      <c r="CQ10" s="93">
        <v>397.9</v>
      </c>
      <c r="CR10" s="93">
        <v>396.91</v>
      </c>
      <c r="CS10" s="93">
        <v>395.91</v>
      </c>
      <c r="CT10" s="93">
        <v>394.92</v>
      </c>
      <c r="CU10" s="93">
        <v>393.92</v>
      </c>
      <c r="CV10" s="93">
        <v>392.93</v>
      </c>
      <c r="CW10" s="93">
        <v>391.94</v>
      </c>
      <c r="CX10" s="93">
        <v>390.95</v>
      </c>
      <c r="CY10" s="93">
        <v>389.96</v>
      </c>
      <c r="CZ10" s="93">
        <v>388.97</v>
      </c>
      <c r="DA10" s="93">
        <v>387.98</v>
      </c>
      <c r="DB10" s="93">
        <v>386.99</v>
      </c>
      <c r="DC10" s="93">
        <v>386</v>
      </c>
      <c r="DD10" s="93">
        <v>385.01</v>
      </c>
      <c r="DE10" s="93">
        <v>384.02</v>
      </c>
      <c r="DF10" s="93">
        <v>383.03</v>
      </c>
      <c r="DG10" s="93">
        <v>382.04</v>
      </c>
      <c r="DH10" s="93">
        <v>381.05</v>
      </c>
      <c r="DI10" s="93">
        <v>380.07</v>
      </c>
      <c r="DJ10" s="93">
        <v>379.08</v>
      </c>
      <c r="DK10" s="93">
        <v>378.1</v>
      </c>
      <c r="DL10" s="93">
        <v>377.11</v>
      </c>
      <c r="DM10" s="93">
        <v>376.13</v>
      </c>
      <c r="DN10" s="93">
        <v>375.15</v>
      </c>
      <c r="DO10" s="93">
        <v>374.16</v>
      </c>
      <c r="DP10" s="93">
        <v>373.18</v>
      </c>
      <c r="DQ10" s="93">
        <v>372.2</v>
      </c>
      <c r="DR10" s="93">
        <v>371.22</v>
      </c>
      <c r="DS10" s="93">
        <v>370.23</v>
      </c>
      <c r="DT10" s="93">
        <v>369.26</v>
      </c>
      <c r="DU10" s="93">
        <v>368.28</v>
      </c>
      <c r="DV10" s="93">
        <v>367.3</v>
      </c>
      <c r="DW10" s="93">
        <v>366.33</v>
      </c>
      <c r="DX10" s="93">
        <v>365.35</v>
      </c>
      <c r="DY10" s="93">
        <v>364.37</v>
      </c>
      <c r="DZ10" s="93">
        <v>363.4</v>
      </c>
      <c r="EA10" s="93">
        <v>362.42</v>
      </c>
      <c r="EB10" s="93">
        <v>361.45</v>
      </c>
      <c r="EC10" s="93">
        <v>360.48</v>
      </c>
      <c r="ED10" s="93">
        <v>359.5</v>
      </c>
      <c r="EE10" s="93">
        <v>358.53</v>
      </c>
      <c r="EF10" s="93">
        <v>357.56</v>
      </c>
      <c r="EG10" s="93">
        <v>356.6</v>
      </c>
      <c r="EH10" s="93">
        <v>355.63</v>
      </c>
      <c r="EI10" s="93">
        <v>354.66</v>
      </c>
      <c r="EJ10" s="93">
        <v>353.7</v>
      </c>
      <c r="EK10" s="93">
        <v>352.73</v>
      </c>
      <c r="EL10" s="93">
        <v>351.77</v>
      </c>
      <c r="EM10" s="93">
        <v>350.81</v>
      </c>
      <c r="EN10" s="93">
        <v>349.84</v>
      </c>
      <c r="EO10" s="93">
        <v>348.88</v>
      </c>
      <c r="EP10" s="93">
        <v>347.92</v>
      </c>
      <c r="EQ10" s="93">
        <v>346.96</v>
      </c>
      <c r="ER10" s="93">
        <v>346</v>
      </c>
      <c r="ES10" s="93">
        <v>345.04</v>
      </c>
      <c r="ET10" s="93">
        <v>344.08</v>
      </c>
      <c r="EU10" s="93">
        <v>343.13</v>
      </c>
      <c r="EV10" s="93">
        <v>342.17</v>
      </c>
      <c r="EW10" s="93">
        <v>341.21</v>
      </c>
      <c r="EX10" s="93">
        <v>340.26</v>
      </c>
      <c r="EY10" s="93">
        <v>339.3</v>
      </c>
      <c r="EZ10" s="93">
        <v>338.35</v>
      </c>
      <c r="FA10" s="93">
        <v>337.4</v>
      </c>
      <c r="FB10" s="93">
        <v>336.44</v>
      </c>
      <c r="FC10" s="93">
        <v>335.49</v>
      </c>
      <c r="FD10" s="93">
        <v>334.54</v>
      </c>
      <c r="FE10" s="93">
        <v>333.59</v>
      </c>
      <c r="FF10" s="93">
        <v>332.64</v>
      </c>
      <c r="FG10" s="93">
        <v>331.69</v>
      </c>
      <c r="FH10" s="93">
        <v>330.74</v>
      </c>
      <c r="FI10" s="93">
        <v>329.8</v>
      </c>
      <c r="FJ10" s="93">
        <v>328.85</v>
      </c>
      <c r="FK10" s="93">
        <v>327.9</v>
      </c>
      <c r="FL10" s="93">
        <v>326.95999999999998</v>
      </c>
      <c r="FM10" s="93">
        <v>326.01</v>
      </c>
      <c r="FN10" s="93">
        <v>325.07</v>
      </c>
      <c r="FO10" s="93">
        <v>324.13</v>
      </c>
      <c r="FP10" s="93">
        <v>323.19</v>
      </c>
      <c r="FQ10" s="93">
        <v>322.24</v>
      </c>
      <c r="FR10" s="93">
        <v>321.29000000000002</v>
      </c>
      <c r="FS10" s="93">
        <v>320.35000000000002</v>
      </c>
      <c r="FT10" s="93">
        <v>319.43</v>
      </c>
      <c r="FU10" s="93">
        <v>318.49</v>
      </c>
      <c r="FV10" s="93">
        <v>317.54000000000002</v>
      </c>
      <c r="FW10" s="93">
        <v>316.60000000000002</v>
      </c>
      <c r="FX10" s="93">
        <v>315.68</v>
      </c>
      <c r="FY10" s="93">
        <v>314.74</v>
      </c>
      <c r="FZ10" s="93">
        <v>313.81</v>
      </c>
      <c r="GA10" s="93">
        <v>312.88</v>
      </c>
      <c r="GB10" s="93">
        <v>311.94</v>
      </c>
      <c r="GC10" s="93">
        <v>311.01</v>
      </c>
      <c r="GD10" s="93">
        <v>310.07</v>
      </c>
      <c r="GE10" s="93">
        <v>309.14999999999998</v>
      </c>
      <c r="GF10" s="93">
        <v>308.22000000000003</v>
      </c>
      <c r="GG10" s="93">
        <v>307.29000000000002</v>
      </c>
      <c r="GH10" s="93">
        <v>306.37</v>
      </c>
      <c r="GI10" s="93">
        <v>305.45</v>
      </c>
      <c r="GJ10" s="93">
        <v>304.51</v>
      </c>
      <c r="GK10" s="93">
        <v>303.60000000000002</v>
      </c>
      <c r="GL10" s="93">
        <v>302.68</v>
      </c>
      <c r="GM10" s="93">
        <v>301.75</v>
      </c>
      <c r="GN10" s="93">
        <v>300.82</v>
      </c>
      <c r="GO10" s="93">
        <v>299.92</v>
      </c>
      <c r="GP10" s="93">
        <v>299</v>
      </c>
      <c r="GQ10" s="93">
        <v>298.07</v>
      </c>
      <c r="GR10" s="93">
        <v>297.17</v>
      </c>
      <c r="GS10" s="93">
        <v>296.25</v>
      </c>
      <c r="GT10" s="93">
        <v>295.33999999999997</v>
      </c>
      <c r="GU10" s="93">
        <v>294.43</v>
      </c>
      <c r="GV10" s="93">
        <v>293.51</v>
      </c>
      <c r="GW10" s="93">
        <v>292.60000000000002</v>
      </c>
      <c r="GX10" s="93">
        <v>291.7</v>
      </c>
      <c r="GY10" s="93">
        <v>290.79000000000002</v>
      </c>
      <c r="GZ10" s="93">
        <v>289.88</v>
      </c>
      <c r="HA10" s="93">
        <v>288.98</v>
      </c>
      <c r="HB10" s="93">
        <v>288.07</v>
      </c>
      <c r="HC10" s="93">
        <v>287.17</v>
      </c>
      <c r="HD10" s="93">
        <v>286.26</v>
      </c>
      <c r="HE10" s="93">
        <v>285.37</v>
      </c>
      <c r="HF10" s="93">
        <v>284.47000000000003</v>
      </c>
      <c r="HG10" s="93">
        <v>283.57</v>
      </c>
      <c r="HH10" s="93">
        <v>282.68</v>
      </c>
      <c r="HI10" s="93">
        <v>281.77999999999997</v>
      </c>
      <c r="HJ10" s="93">
        <v>280.89</v>
      </c>
      <c r="HK10" s="93">
        <v>279.99</v>
      </c>
      <c r="HL10" s="93">
        <v>279.10000000000002</v>
      </c>
      <c r="HM10" s="93">
        <v>278.20999999999998</v>
      </c>
      <c r="HN10" s="93">
        <v>277.32</v>
      </c>
      <c r="HO10" s="93">
        <v>276.44</v>
      </c>
      <c r="HP10" s="93">
        <v>275.54000000000002</v>
      </c>
      <c r="HQ10" s="93">
        <v>274.67</v>
      </c>
      <c r="HR10" s="93">
        <v>273.77999999999997</v>
      </c>
      <c r="HS10" s="93">
        <v>272.89999999999998</v>
      </c>
      <c r="HT10" s="93">
        <v>272.01</v>
      </c>
      <c r="HU10" s="93">
        <v>271.14</v>
      </c>
      <c r="HV10" s="93">
        <v>270.26</v>
      </c>
      <c r="HW10" s="93">
        <v>269.38</v>
      </c>
      <c r="HX10" s="93">
        <v>268.51</v>
      </c>
      <c r="HY10" s="93">
        <v>267.63</v>
      </c>
      <c r="HZ10" s="93">
        <v>266.76</v>
      </c>
      <c r="IA10" s="93">
        <v>265.89</v>
      </c>
      <c r="IB10" s="93">
        <v>265.01</v>
      </c>
      <c r="IC10" s="93">
        <v>264.14</v>
      </c>
      <c r="ID10" s="93">
        <v>263.26</v>
      </c>
      <c r="IE10" s="93">
        <v>262.41000000000003</v>
      </c>
      <c r="IF10" s="93">
        <v>261.54000000000002</v>
      </c>
      <c r="IG10" s="93">
        <v>260.67</v>
      </c>
      <c r="IH10" s="93">
        <v>259.81</v>
      </c>
      <c r="II10" s="93">
        <v>258.94</v>
      </c>
      <c r="IJ10" s="93">
        <v>258.07</v>
      </c>
      <c r="IK10" s="93">
        <v>257.22000000000003</v>
      </c>
      <c r="IL10" s="93">
        <v>256.35000000000002</v>
      </c>
      <c r="IM10" s="93">
        <v>255.5</v>
      </c>
      <c r="IN10" s="93">
        <v>254.64</v>
      </c>
      <c r="IO10" s="93">
        <v>253.79</v>
      </c>
      <c r="IP10" s="93">
        <v>252.93</v>
      </c>
      <c r="IQ10" s="93">
        <v>252.08</v>
      </c>
      <c r="IR10" s="93">
        <v>251.23</v>
      </c>
      <c r="IS10" s="93">
        <v>250.38</v>
      </c>
      <c r="IT10" s="93">
        <v>249.53</v>
      </c>
      <c r="IU10" s="93">
        <v>248.68</v>
      </c>
      <c r="IV10" s="93">
        <v>247.83</v>
      </c>
      <c r="IW10" s="93">
        <v>246.99</v>
      </c>
      <c r="IX10" s="93">
        <v>246.14</v>
      </c>
      <c r="IY10" s="93">
        <v>245.3</v>
      </c>
      <c r="IZ10" s="93">
        <v>244.46</v>
      </c>
      <c r="JA10" s="93">
        <v>243.62</v>
      </c>
      <c r="JB10" s="93">
        <v>242.78</v>
      </c>
      <c r="JC10" s="93">
        <v>241.94</v>
      </c>
      <c r="JD10" s="93">
        <v>241.11</v>
      </c>
      <c r="JE10" s="93">
        <v>240.27</v>
      </c>
      <c r="JF10" s="93">
        <v>239.44</v>
      </c>
      <c r="JG10" s="93">
        <v>238.61</v>
      </c>
      <c r="JH10" s="93">
        <v>237.78</v>
      </c>
      <c r="JI10" s="93">
        <v>236.95</v>
      </c>
      <c r="JJ10" s="93">
        <v>236.12</v>
      </c>
      <c r="JK10" s="93">
        <v>235.29</v>
      </c>
      <c r="JL10" s="93">
        <v>234.46</v>
      </c>
      <c r="JM10" s="93">
        <v>233.63</v>
      </c>
      <c r="JN10" s="93">
        <v>232.81</v>
      </c>
      <c r="JO10" s="93">
        <v>231.99</v>
      </c>
      <c r="JP10" s="93">
        <v>231.16</v>
      </c>
      <c r="JQ10" s="93">
        <v>230.34</v>
      </c>
      <c r="JR10" s="93">
        <v>229.52</v>
      </c>
      <c r="JS10" s="93">
        <v>228.7</v>
      </c>
      <c r="JT10" s="93">
        <v>227.88</v>
      </c>
      <c r="JU10" s="93">
        <v>227.07</v>
      </c>
      <c r="JV10" s="93">
        <v>226.25</v>
      </c>
      <c r="JW10" s="93">
        <v>225.44</v>
      </c>
      <c r="JX10" s="93">
        <v>224.62</v>
      </c>
      <c r="JY10" s="93">
        <v>223.81</v>
      </c>
      <c r="JZ10" s="93">
        <v>223</v>
      </c>
      <c r="KA10" s="93">
        <v>222.19</v>
      </c>
      <c r="KB10" s="93">
        <v>221.38</v>
      </c>
      <c r="KC10" s="93">
        <v>220.57</v>
      </c>
      <c r="KD10" s="93">
        <v>219.76</v>
      </c>
      <c r="KE10" s="93">
        <v>218.96</v>
      </c>
      <c r="KF10" s="93">
        <v>218.15</v>
      </c>
      <c r="KG10" s="93">
        <v>217.35</v>
      </c>
      <c r="KH10" s="93">
        <v>216.55</v>
      </c>
      <c r="KI10" s="93">
        <v>215.74</v>
      </c>
      <c r="KJ10" s="93">
        <v>214.94</v>
      </c>
      <c r="KK10" s="93">
        <v>214.14</v>
      </c>
      <c r="KL10" s="93">
        <v>213.35</v>
      </c>
      <c r="KM10" s="93">
        <v>212.55</v>
      </c>
      <c r="KN10" s="93">
        <v>211.76</v>
      </c>
      <c r="KO10" s="93">
        <v>210.96</v>
      </c>
      <c r="KP10" s="93">
        <v>210.17</v>
      </c>
      <c r="KQ10" s="93">
        <v>209.38</v>
      </c>
      <c r="KR10" s="93">
        <v>208.47000000000006</v>
      </c>
      <c r="KS10" s="93">
        <v>207.72000000000006</v>
      </c>
      <c r="KT10" s="93">
        <v>206.97000000000006</v>
      </c>
      <c r="KU10" s="93">
        <v>206.22000000000006</v>
      </c>
      <c r="KV10" s="93">
        <v>205.47000000000006</v>
      </c>
      <c r="KW10" s="93">
        <v>204.72000000000006</v>
      </c>
      <c r="KX10" s="93">
        <v>203.97000000000006</v>
      </c>
      <c r="KY10" s="93">
        <v>203.22000000000006</v>
      </c>
      <c r="KZ10" s="93">
        <v>202.47000000000006</v>
      </c>
      <c r="LA10" s="93">
        <v>201.72000000000006</v>
      </c>
      <c r="LB10" s="93">
        <v>200.97000000000006</v>
      </c>
      <c r="LC10" s="93">
        <v>200.22000000000006</v>
      </c>
      <c r="LD10" s="93">
        <v>199.47000000000006</v>
      </c>
      <c r="LE10" s="93">
        <v>198.72000000000006</v>
      </c>
      <c r="LF10" s="93">
        <v>197.97000000000006</v>
      </c>
      <c r="LG10" s="93">
        <v>197.22000000000006</v>
      </c>
      <c r="LH10" s="93">
        <v>196.47000000000006</v>
      </c>
      <c r="LI10" s="93">
        <v>195.72000000000006</v>
      </c>
      <c r="LJ10" s="93">
        <v>194.97000000000006</v>
      </c>
      <c r="LK10" s="93">
        <v>194.22000000000006</v>
      </c>
      <c r="LL10" s="93">
        <v>193.47000000000006</v>
      </c>
      <c r="LM10" s="93">
        <v>192.72000000000006</v>
      </c>
      <c r="LN10" s="93">
        <v>191.97000000000006</v>
      </c>
      <c r="LO10" s="93">
        <v>191.22000000000006</v>
      </c>
      <c r="LP10" s="93">
        <v>190.47000000000006</v>
      </c>
      <c r="LQ10" s="93">
        <v>189.72000000000006</v>
      </c>
      <c r="LR10" s="93">
        <v>188.97000000000006</v>
      </c>
      <c r="LS10" s="93">
        <v>188.22000000000006</v>
      </c>
      <c r="LT10" s="93">
        <v>187.47000000000006</v>
      </c>
      <c r="LU10" s="93">
        <v>186.72000000000006</v>
      </c>
      <c r="LV10" s="93">
        <v>185.97000000000006</v>
      </c>
      <c r="LW10" s="93">
        <v>185.22000000000006</v>
      </c>
      <c r="LX10" s="93">
        <v>184.47000000000006</v>
      </c>
      <c r="LY10" s="93">
        <v>183.72000000000006</v>
      </c>
      <c r="LZ10" s="93">
        <v>182.97000000000006</v>
      </c>
      <c r="MA10" s="93">
        <v>182.22000000000006</v>
      </c>
      <c r="MB10" s="93">
        <v>181.47000000000006</v>
      </c>
      <c r="MC10" s="93">
        <v>180.72000000000006</v>
      </c>
      <c r="MD10" s="93">
        <v>179.97000000000006</v>
      </c>
      <c r="ME10" s="93">
        <v>179.22000000000006</v>
      </c>
      <c r="MF10" s="93">
        <v>178.47000000000006</v>
      </c>
      <c r="MG10" s="93">
        <v>177.72000000000006</v>
      </c>
      <c r="MH10" s="93">
        <v>176.97000000000006</v>
      </c>
      <c r="MI10" s="93">
        <v>176.22000000000006</v>
      </c>
      <c r="MJ10" s="93">
        <v>175.47000000000006</v>
      </c>
      <c r="MK10" s="93">
        <v>174.72000000000006</v>
      </c>
      <c r="ML10" s="93">
        <v>173.97000000000006</v>
      </c>
      <c r="MM10" s="93">
        <v>173.22000000000006</v>
      </c>
      <c r="MN10" s="93">
        <v>172.47000000000006</v>
      </c>
      <c r="MO10" s="93">
        <v>171.72000000000006</v>
      </c>
      <c r="MP10" s="93">
        <v>170.97000000000006</v>
      </c>
      <c r="MQ10" s="93">
        <v>170.22000000000006</v>
      </c>
      <c r="MR10" s="93">
        <v>169.47000000000006</v>
      </c>
      <c r="MS10" s="93">
        <v>168.72000000000006</v>
      </c>
      <c r="MT10" s="93">
        <v>167.97000000000006</v>
      </c>
      <c r="MU10" s="93">
        <v>167.22000000000006</v>
      </c>
      <c r="MV10" s="93">
        <v>166.47000000000006</v>
      </c>
      <c r="MW10" s="93">
        <v>165.72000000000006</v>
      </c>
      <c r="MX10" s="93">
        <v>164.97000000000006</v>
      </c>
      <c r="MY10" s="93">
        <v>164.22000000000006</v>
      </c>
    </row>
    <row r="11" spans="1:376" ht="15.75" x14ac:dyDescent="0.25">
      <c r="A11" s="90" t="s">
        <v>7</v>
      </c>
      <c r="B11" s="95">
        <v>2021</v>
      </c>
      <c r="C11" s="93">
        <v>491.39</v>
      </c>
      <c r="D11" s="93">
        <v>490.37</v>
      </c>
      <c r="E11" s="93">
        <v>489.36</v>
      </c>
      <c r="F11" s="93">
        <v>488.34</v>
      </c>
      <c r="G11" s="93">
        <v>487.32</v>
      </c>
      <c r="H11" s="93">
        <v>486.3</v>
      </c>
      <c r="I11" s="93">
        <v>485.28</v>
      </c>
      <c r="J11" s="93">
        <v>484.27</v>
      </c>
      <c r="K11" s="93">
        <v>483.25</v>
      </c>
      <c r="L11" s="93">
        <v>482.23</v>
      </c>
      <c r="M11" s="93">
        <v>481.21</v>
      </c>
      <c r="N11" s="93">
        <v>480.2</v>
      </c>
      <c r="O11" s="93">
        <v>479.18</v>
      </c>
      <c r="P11" s="93">
        <v>478.16</v>
      </c>
      <c r="Q11" s="93">
        <v>477.15</v>
      </c>
      <c r="R11" s="93">
        <v>476.13</v>
      </c>
      <c r="S11" s="93">
        <v>475.11</v>
      </c>
      <c r="T11" s="93">
        <v>474.1</v>
      </c>
      <c r="U11" s="93">
        <v>473.08</v>
      </c>
      <c r="V11" s="93">
        <v>472.06</v>
      </c>
      <c r="W11" s="93">
        <v>471.05</v>
      </c>
      <c r="X11" s="93">
        <v>470.03</v>
      </c>
      <c r="Y11" s="93">
        <v>469.02</v>
      </c>
      <c r="Z11" s="93">
        <v>468</v>
      </c>
      <c r="AA11" s="93">
        <v>466.99</v>
      </c>
      <c r="AB11" s="93">
        <v>465.97</v>
      </c>
      <c r="AC11" s="93">
        <v>464.96</v>
      </c>
      <c r="AD11" s="93">
        <v>463.94</v>
      </c>
      <c r="AE11" s="93">
        <v>462.93</v>
      </c>
      <c r="AF11" s="93">
        <v>461.91</v>
      </c>
      <c r="AG11" s="93">
        <v>460.9</v>
      </c>
      <c r="AH11" s="93">
        <v>459.88</v>
      </c>
      <c r="AI11" s="93">
        <v>458.87</v>
      </c>
      <c r="AJ11" s="93">
        <v>457.85</v>
      </c>
      <c r="AK11" s="93">
        <v>456.84</v>
      </c>
      <c r="AL11" s="93">
        <v>455.82</v>
      </c>
      <c r="AM11" s="93">
        <v>454.81</v>
      </c>
      <c r="AN11" s="93">
        <v>453.8</v>
      </c>
      <c r="AO11" s="93">
        <v>452.78</v>
      </c>
      <c r="AP11" s="93">
        <v>451.77</v>
      </c>
      <c r="AQ11" s="93">
        <v>450.76</v>
      </c>
      <c r="AR11" s="93">
        <v>449.75</v>
      </c>
      <c r="AS11" s="93">
        <v>448.73</v>
      </c>
      <c r="AT11" s="93">
        <v>447.72</v>
      </c>
      <c r="AU11" s="93">
        <v>446.71</v>
      </c>
      <c r="AV11" s="93">
        <v>445.7</v>
      </c>
      <c r="AW11" s="93">
        <v>444.69</v>
      </c>
      <c r="AX11" s="93">
        <v>443.67</v>
      </c>
      <c r="AY11" s="93">
        <v>442.66</v>
      </c>
      <c r="AZ11" s="93">
        <v>441.65</v>
      </c>
      <c r="BA11" s="93">
        <v>440.64</v>
      </c>
      <c r="BB11" s="93">
        <v>439.63</v>
      </c>
      <c r="BC11" s="93">
        <v>438.62</v>
      </c>
      <c r="BD11" s="93">
        <v>437.61</v>
      </c>
      <c r="BE11" s="93">
        <v>436.6</v>
      </c>
      <c r="BF11" s="93">
        <v>435.59</v>
      </c>
      <c r="BG11" s="93">
        <v>434.58</v>
      </c>
      <c r="BH11" s="93">
        <v>433.57</v>
      </c>
      <c r="BI11" s="93">
        <v>432.56</v>
      </c>
      <c r="BJ11" s="93">
        <v>431.55</v>
      </c>
      <c r="BK11" s="93">
        <v>430.54</v>
      </c>
      <c r="BL11" s="93">
        <v>429.54</v>
      </c>
      <c r="BM11" s="93">
        <v>428.53</v>
      </c>
      <c r="BN11" s="93">
        <v>427.52</v>
      </c>
      <c r="BO11" s="93">
        <v>426.52</v>
      </c>
      <c r="BP11" s="93">
        <v>425.51</v>
      </c>
      <c r="BQ11" s="93">
        <v>424.5</v>
      </c>
      <c r="BR11" s="93">
        <v>423.5</v>
      </c>
      <c r="BS11" s="93">
        <v>422.49</v>
      </c>
      <c r="BT11" s="93">
        <v>421.48</v>
      </c>
      <c r="BU11" s="93">
        <v>420.48</v>
      </c>
      <c r="BV11" s="93">
        <v>419.47</v>
      </c>
      <c r="BW11" s="93">
        <v>418.47</v>
      </c>
      <c r="BX11" s="93">
        <v>417.46</v>
      </c>
      <c r="BY11" s="93">
        <v>416.46</v>
      </c>
      <c r="BZ11" s="93">
        <v>415.46</v>
      </c>
      <c r="CA11" s="93">
        <v>414.46</v>
      </c>
      <c r="CB11" s="93">
        <v>413.45</v>
      </c>
      <c r="CC11" s="93">
        <v>412.45</v>
      </c>
      <c r="CD11" s="93">
        <v>411.45</v>
      </c>
      <c r="CE11" s="93">
        <v>410.45</v>
      </c>
      <c r="CF11" s="93">
        <v>409.45</v>
      </c>
      <c r="CG11" s="93">
        <v>408.45</v>
      </c>
      <c r="CH11" s="93">
        <v>407.44</v>
      </c>
      <c r="CI11" s="93">
        <v>406.44</v>
      </c>
      <c r="CJ11" s="93">
        <v>405.45</v>
      </c>
      <c r="CK11" s="93">
        <v>404.45</v>
      </c>
      <c r="CL11" s="93">
        <v>403.45</v>
      </c>
      <c r="CM11" s="93">
        <v>402.45</v>
      </c>
      <c r="CN11" s="93">
        <v>401.46</v>
      </c>
      <c r="CO11" s="93">
        <v>400.46</v>
      </c>
      <c r="CP11" s="93">
        <v>399.46</v>
      </c>
      <c r="CQ11" s="93">
        <v>398.47</v>
      </c>
      <c r="CR11" s="93">
        <v>397.47</v>
      </c>
      <c r="CS11" s="93">
        <v>396.48</v>
      </c>
      <c r="CT11" s="93">
        <v>395.48</v>
      </c>
      <c r="CU11" s="93">
        <v>394.48</v>
      </c>
      <c r="CV11" s="93">
        <v>393.49</v>
      </c>
      <c r="CW11" s="93">
        <v>392.5</v>
      </c>
      <c r="CX11" s="93">
        <v>391.51</v>
      </c>
      <c r="CY11" s="93">
        <v>390.52</v>
      </c>
      <c r="CZ11" s="93">
        <v>389.53</v>
      </c>
      <c r="DA11" s="93">
        <v>388.54</v>
      </c>
      <c r="DB11" s="93">
        <v>387.55</v>
      </c>
      <c r="DC11" s="93">
        <v>386.55</v>
      </c>
      <c r="DD11" s="93">
        <v>385.56</v>
      </c>
      <c r="DE11" s="93">
        <v>384.57</v>
      </c>
      <c r="DF11" s="93">
        <v>383.58</v>
      </c>
      <c r="DG11" s="93">
        <v>382.6</v>
      </c>
      <c r="DH11" s="93">
        <v>381.61</v>
      </c>
      <c r="DI11" s="93">
        <v>380.62</v>
      </c>
      <c r="DJ11" s="93">
        <v>379.64</v>
      </c>
      <c r="DK11" s="93">
        <v>378.65</v>
      </c>
      <c r="DL11" s="93">
        <v>377.67</v>
      </c>
      <c r="DM11" s="93">
        <v>376.68</v>
      </c>
      <c r="DN11" s="93">
        <v>375.7</v>
      </c>
      <c r="DO11" s="93">
        <v>374.72</v>
      </c>
      <c r="DP11" s="93">
        <v>373.73</v>
      </c>
      <c r="DQ11" s="93">
        <v>372.75</v>
      </c>
      <c r="DR11" s="93">
        <v>371.77</v>
      </c>
      <c r="DS11" s="93">
        <v>370.79</v>
      </c>
      <c r="DT11" s="93">
        <v>369.81</v>
      </c>
      <c r="DU11" s="93">
        <v>368.83</v>
      </c>
      <c r="DV11" s="93">
        <v>367.85</v>
      </c>
      <c r="DW11" s="93">
        <v>366.88</v>
      </c>
      <c r="DX11" s="93">
        <v>365.9</v>
      </c>
      <c r="DY11" s="93">
        <v>364.92</v>
      </c>
      <c r="DZ11" s="93">
        <v>363.95</v>
      </c>
      <c r="EA11" s="93">
        <v>362.97</v>
      </c>
      <c r="EB11" s="93">
        <v>362</v>
      </c>
      <c r="EC11" s="93">
        <v>361.02</v>
      </c>
      <c r="ED11" s="93">
        <v>360.05</v>
      </c>
      <c r="EE11" s="93">
        <v>359.08</v>
      </c>
      <c r="EF11" s="93">
        <v>358.11</v>
      </c>
      <c r="EG11" s="93">
        <v>357.14</v>
      </c>
      <c r="EH11" s="93">
        <v>356.18</v>
      </c>
      <c r="EI11" s="93">
        <v>355.21</v>
      </c>
      <c r="EJ11" s="93">
        <v>354.24</v>
      </c>
      <c r="EK11" s="93">
        <v>353.28</v>
      </c>
      <c r="EL11" s="93">
        <v>352.31</v>
      </c>
      <c r="EM11" s="93">
        <v>351.35</v>
      </c>
      <c r="EN11" s="93">
        <v>350.39</v>
      </c>
      <c r="EO11" s="93">
        <v>349.42</v>
      </c>
      <c r="EP11" s="93">
        <v>348.46</v>
      </c>
      <c r="EQ11" s="93">
        <v>347.5</v>
      </c>
      <c r="ER11" s="93">
        <v>346.54</v>
      </c>
      <c r="ES11" s="93">
        <v>345.58</v>
      </c>
      <c r="ET11" s="93">
        <v>344.63</v>
      </c>
      <c r="EU11" s="93">
        <v>343.67</v>
      </c>
      <c r="EV11" s="93">
        <v>342.71</v>
      </c>
      <c r="EW11" s="93">
        <v>341.76</v>
      </c>
      <c r="EX11" s="93">
        <v>340.8</v>
      </c>
      <c r="EY11" s="93">
        <v>339.85</v>
      </c>
      <c r="EZ11" s="93">
        <v>338.89</v>
      </c>
      <c r="FA11" s="93">
        <v>337.94</v>
      </c>
      <c r="FB11" s="93">
        <v>336.98</v>
      </c>
      <c r="FC11" s="93">
        <v>336.03</v>
      </c>
      <c r="FD11" s="93">
        <v>335.08</v>
      </c>
      <c r="FE11" s="93">
        <v>334.13</v>
      </c>
      <c r="FF11" s="93">
        <v>333.18</v>
      </c>
      <c r="FG11" s="93">
        <v>332.23</v>
      </c>
      <c r="FH11" s="93">
        <v>331.28</v>
      </c>
      <c r="FI11" s="93">
        <v>330.34</v>
      </c>
      <c r="FJ11" s="93">
        <v>329.39</v>
      </c>
      <c r="FK11" s="93">
        <v>328.44</v>
      </c>
      <c r="FL11" s="93">
        <v>327.5</v>
      </c>
      <c r="FM11" s="93">
        <v>326.54000000000002</v>
      </c>
      <c r="FN11" s="93">
        <v>325.60000000000002</v>
      </c>
      <c r="FO11" s="93">
        <v>324.66000000000003</v>
      </c>
      <c r="FP11" s="93">
        <v>323.72000000000003</v>
      </c>
      <c r="FQ11" s="93">
        <v>322.77999999999997</v>
      </c>
      <c r="FR11" s="93">
        <v>321.83999999999997</v>
      </c>
      <c r="FS11" s="93">
        <v>320.89999999999998</v>
      </c>
      <c r="FT11" s="93">
        <v>319.95999999999998</v>
      </c>
      <c r="FU11" s="93">
        <v>319.01</v>
      </c>
      <c r="FV11" s="93">
        <v>318.08999999999997</v>
      </c>
      <c r="FW11" s="93">
        <v>317.14999999999998</v>
      </c>
      <c r="FX11" s="93">
        <v>316.20999999999998</v>
      </c>
      <c r="FY11" s="93">
        <v>315.27999999999997</v>
      </c>
      <c r="FZ11" s="93">
        <v>314.33999999999997</v>
      </c>
      <c r="GA11" s="93">
        <v>313.41000000000003</v>
      </c>
      <c r="GB11" s="93">
        <v>312.48</v>
      </c>
      <c r="GC11" s="93">
        <v>311.54000000000002</v>
      </c>
      <c r="GD11" s="93">
        <v>310.62</v>
      </c>
      <c r="GE11" s="93">
        <v>309.69</v>
      </c>
      <c r="GF11" s="93">
        <v>308.76</v>
      </c>
      <c r="GG11" s="93">
        <v>307.82</v>
      </c>
      <c r="GH11" s="93">
        <v>306.89999999999998</v>
      </c>
      <c r="GI11" s="93">
        <v>305.98</v>
      </c>
      <c r="GJ11" s="93">
        <v>305.04000000000002</v>
      </c>
      <c r="GK11" s="93">
        <v>304.13</v>
      </c>
      <c r="GL11" s="93">
        <v>303.20999999999998</v>
      </c>
      <c r="GM11" s="93">
        <v>302.27999999999997</v>
      </c>
      <c r="GN11" s="93">
        <v>301.35000000000002</v>
      </c>
      <c r="GO11" s="93">
        <v>300.45</v>
      </c>
      <c r="GP11" s="93">
        <v>299.52999999999997</v>
      </c>
      <c r="GQ11" s="93">
        <v>298.60000000000002</v>
      </c>
      <c r="GR11" s="93">
        <v>297.7</v>
      </c>
      <c r="GS11" s="93">
        <v>296.77999999999997</v>
      </c>
      <c r="GT11" s="93">
        <v>295.87</v>
      </c>
      <c r="GU11" s="93">
        <v>294.95999999999998</v>
      </c>
      <c r="GV11" s="93">
        <v>294.04000000000002</v>
      </c>
      <c r="GW11" s="93">
        <v>293.13</v>
      </c>
      <c r="GX11" s="93">
        <v>292.23</v>
      </c>
      <c r="GY11" s="93">
        <v>291.32</v>
      </c>
      <c r="GZ11" s="93">
        <v>290.41000000000003</v>
      </c>
      <c r="HA11" s="93">
        <v>289.51</v>
      </c>
      <c r="HB11" s="93">
        <v>288.60000000000002</v>
      </c>
      <c r="HC11" s="93">
        <v>287.7</v>
      </c>
      <c r="HD11" s="93">
        <v>286.79000000000002</v>
      </c>
      <c r="HE11" s="93">
        <v>285.89</v>
      </c>
      <c r="HF11" s="93">
        <v>285</v>
      </c>
      <c r="HG11" s="93">
        <v>284.10000000000002</v>
      </c>
      <c r="HH11" s="93">
        <v>283.2</v>
      </c>
      <c r="HI11" s="93">
        <v>282.29000000000002</v>
      </c>
      <c r="HJ11" s="93">
        <v>281.41000000000003</v>
      </c>
      <c r="HK11" s="93">
        <v>280.51</v>
      </c>
      <c r="HL11" s="93">
        <v>279.62</v>
      </c>
      <c r="HM11" s="93">
        <v>278.73</v>
      </c>
      <c r="HN11" s="93">
        <v>277.85000000000002</v>
      </c>
      <c r="HO11" s="93">
        <v>276.95999999999998</v>
      </c>
      <c r="HP11" s="93">
        <v>276.07</v>
      </c>
      <c r="HQ11" s="93">
        <v>275.19</v>
      </c>
      <c r="HR11" s="93">
        <v>274.29000000000002</v>
      </c>
      <c r="HS11" s="93">
        <v>273.42</v>
      </c>
      <c r="HT11" s="93">
        <v>272.54000000000002</v>
      </c>
      <c r="HU11" s="93">
        <v>271.66000000000003</v>
      </c>
      <c r="HV11" s="93">
        <v>270.77999999999997</v>
      </c>
      <c r="HW11" s="93">
        <v>269.89999999999998</v>
      </c>
      <c r="HX11" s="93">
        <v>269.02999999999997</v>
      </c>
      <c r="HY11" s="93">
        <v>268.14999999999998</v>
      </c>
      <c r="HZ11" s="93">
        <v>267.27999999999997</v>
      </c>
      <c r="IA11" s="93">
        <v>266.39999999999998</v>
      </c>
      <c r="IB11" s="93">
        <v>265.52999999999997</v>
      </c>
      <c r="IC11" s="93">
        <v>264.66000000000003</v>
      </c>
      <c r="ID11" s="93">
        <v>263.79000000000002</v>
      </c>
      <c r="IE11" s="93">
        <v>262.92</v>
      </c>
      <c r="IF11" s="93">
        <v>262.04000000000002</v>
      </c>
      <c r="IG11" s="93">
        <v>261.18</v>
      </c>
      <c r="IH11" s="93">
        <v>260.32</v>
      </c>
      <c r="II11" s="93">
        <v>259.45</v>
      </c>
      <c r="IJ11" s="93">
        <v>258.58999999999997</v>
      </c>
      <c r="IK11" s="93">
        <v>257.73</v>
      </c>
      <c r="IL11" s="93">
        <v>256.87</v>
      </c>
      <c r="IM11" s="93">
        <v>256.01</v>
      </c>
      <c r="IN11" s="93">
        <v>255.15</v>
      </c>
      <c r="IO11" s="93">
        <v>254.3</v>
      </c>
      <c r="IP11" s="93">
        <v>253.44</v>
      </c>
      <c r="IQ11" s="93">
        <v>252.59</v>
      </c>
      <c r="IR11" s="93">
        <v>251.73</v>
      </c>
      <c r="IS11" s="93">
        <v>250.88</v>
      </c>
      <c r="IT11" s="93">
        <v>250.03</v>
      </c>
      <c r="IU11" s="93">
        <v>249.18</v>
      </c>
      <c r="IV11" s="93">
        <v>248.34</v>
      </c>
      <c r="IW11" s="93">
        <v>247.49</v>
      </c>
      <c r="IX11" s="93">
        <v>246.65</v>
      </c>
      <c r="IY11" s="93">
        <v>245.8</v>
      </c>
      <c r="IZ11" s="93">
        <v>244.96</v>
      </c>
      <c r="JA11" s="93">
        <v>244.12</v>
      </c>
      <c r="JB11" s="93">
        <v>243.28</v>
      </c>
      <c r="JC11" s="93">
        <v>242.45</v>
      </c>
      <c r="JD11" s="93">
        <v>241.61</v>
      </c>
      <c r="JE11" s="93">
        <v>240.77</v>
      </c>
      <c r="JF11" s="93">
        <v>239.94</v>
      </c>
      <c r="JG11" s="93">
        <v>239.11</v>
      </c>
      <c r="JH11" s="93">
        <v>238.27</v>
      </c>
      <c r="JI11" s="93">
        <v>237.44</v>
      </c>
      <c r="JJ11" s="93">
        <v>236.61</v>
      </c>
      <c r="JK11" s="93">
        <v>235.79</v>
      </c>
      <c r="JL11" s="93">
        <v>234.96</v>
      </c>
      <c r="JM11" s="93">
        <v>234.13</v>
      </c>
      <c r="JN11" s="93">
        <v>233.31</v>
      </c>
      <c r="JO11" s="93">
        <v>232.48</v>
      </c>
      <c r="JP11" s="93">
        <v>231.66</v>
      </c>
      <c r="JQ11" s="93">
        <v>230.84</v>
      </c>
      <c r="JR11" s="93">
        <v>230.01</v>
      </c>
      <c r="JS11" s="93">
        <v>229.19</v>
      </c>
      <c r="JT11" s="93">
        <v>228.38</v>
      </c>
      <c r="JU11" s="93">
        <v>227.56</v>
      </c>
      <c r="JV11" s="93">
        <v>226.74</v>
      </c>
      <c r="JW11" s="93">
        <v>225.93</v>
      </c>
      <c r="JX11" s="93">
        <v>225.11</v>
      </c>
      <c r="JY11" s="93">
        <v>224.3</v>
      </c>
      <c r="JZ11" s="93">
        <v>223.49</v>
      </c>
      <c r="KA11" s="93">
        <v>222.68</v>
      </c>
      <c r="KB11" s="93">
        <v>221.87</v>
      </c>
      <c r="KC11" s="93">
        <v>221.06</v>
      </c>
      <c r="KD11" s="93">
        <v>220.25</v>
      </c>
      <c r="KE11" s="93">
        <v>219.44</v>
      </c>
      <c r="KF11" s="93">
        <v>218.64</v>
      </c>
      <c r="KG11" s="93">
        <v>217.83</v>
      </c>
      <c r="KH11" s="93">
        <v>217.03</v>
      </c>
      <c r="KI11" s="93">
        <v>216.23</v>
      </c>
      <c r="KJ11" s="93">
        <v>215.43</v>
      </c>
      <c r="KK11" s="93">
        <v>214.63</v>
      </c>
      <c r="KL11" s="93">
        <v>213.83</v>
      </c>
      <c r="KM11" s="93">
        <v>213.03</v>
      </c>
      <c r="KN11" s="93">
        <v>212.24</v>
      </c>
      <c r="KO11" s="93">
        <v>211.44</v>
      </c>
      <c r="KP11" s="93">
        <v>210.65</v>
      </c>
      <c r="KQ11" s="93">
        <v>209.86</v>
      </c>
      <c r="KR11" s="93">
        <v>208.93000000000006</v>
      </c>
      <c r="KS11" s="93">
        <v>208.18000000000006</v>
      </c>
      <c r="KT11" s="93">
        <v>207.43000000000006</v>
      </c>
      <c r="KU11" s="93">
        <v>206.68000000000006</v>
      </c>
      <c r="KV11" s="93">
        <v>205.93000000000006</v>
      </c>
      <c r="KW11" s="93">
        <v>205.18000000000006</v>
      </c>
      <c r="KX11" s="93">
        <v>204.43000000000006</v>
      </c>
      <c r="KY11" s="93">
        <v>203.68000000000006</v>
      </c>
      <c r="KZ11" s="93">
        <v>202.93000000000006</v>
      </c>
      <c r="LA11" s="93">
        <v>202.18000000000006</v>
      </c>
      <c r="LB11" s="93">
        <v>201.43000000000006</v>
      </c>
      <c r="LC11" s="93">
        <v>200.68000000000006</v>
      </c>
      <c r="LD11" s="93">
        <v>199.93000000000006</v>
      </c>
      <c r="LE11" s="93">
        <v>199.18000000000006</v>
      </c>
      <c r="LF11" s="93">
        <v>198.43000000000006</v>
      </c>
      <c r="LG11" s="93">
        <v>197.68000000000006</v>
      </c>
      <c r="LH11" s="93">
        <v>196.93000000000006</v>
      </c>
      <c r="LI11" s="93">
        <v>196.18000000000006</v>
      </c>
      <c r="LJ11" s="93">
        <v>195.43000000000006</v>
      </c>
      <c r="LK11" s="93">
        <v>194.68000000000006</v>
      </c>
      <c r="LL11" s="93">
        <v>193.93000000000006</v>
      </c>
      <c r="LM11" s="93">
        <v>193.18000000000006</v>
      </c>
      <c r="LN11" s="93">
        <v>192.43000000000006</v>
      </c>
      <c r="LO11" s="93">
        <v>191.68000000000006</v>
      </c>
      <c r="LP11" s="93">
        <v>190.93000000000006</v>
      </c>
      <c r="LQ11" s="93">
        <v>190.18000000000006</v>
      </c>
      <c r="LR11" s="93">
        <v>189.43000000000006</v>
      </c>
      <c r="LS11" s="93">
        <v>188.68000000000006</v>
      </c>
      <c r="LT11" s="93">
        <v>187.93000000000006</v>
      </c>
      <c r="LU11" s="93">
        <v>187.18000000000006</v>
      </c>
      <c r="LV11" s="93">
        <v>186.43000000000006</v>
      </c>
      <c r="LW11" s="93">
        <v>185.68000000000006</v>
      </c>
      <c r="LX11" s="93">
        <v>184.93000000000006</v>
      </c>
      <c r="LY11" s="93">
        <v>184.18000000000006</v>
      </c>
      <c r="LZ11" s="93">
        <v>183.43000000000006</v>
      </c>
      <c r="MA11" s="93">
        <v>182.68000000000006</v>
      </c>
      <c r="MB11" s="93">
        <v>181.93000000000006</v>
      </c>
      <c r="MC11" s="93">
        <v>181.18000000000006</v>
      </c>
      <c r="MD11" s="93">
        <v>180.43000000000006</v>
      </c>
      <c r="ME11" s="93">
        <v>179.68000000000006</v>
      </c>
      <c r="MF11" s="93">
        <v>178.93000000000006</v>
      </c>
      <c r="MG11" s="93">
        <v>178.18000000000006</v>
      </c>
      <c r="MH11" s="93">
        <v>177.43000000000006</v>
      </c>
      <c r="MI11" s="93">
        <v>176.68000000000006</v>
      </c>
      <c r="MJ11" s="93">
        <v>175.93000000000006</v>
      </c>
      <c r="MK11" s="93">
        <v>175.18000000000006</v>
      </c>
      <c r="ML11" s="93">
        <v>174.43000000000006</v>
      </c>
      <c r="MM11" s="93">
        <v>173.68000000000006</v>
      </c>
      <c r="MN11" s="93">
        <v>172.93000000000006</v>
      </c>
      <c r="MO11" s="93">
        <v>172.18000000000006</v>
      </c>
      <c r="MP11" s="93">
        <v>171.43000000000006</v>
      </c>
      <c r="MQ11" s="93">
        <v>170.68000000000006</v>
      </c>
      <c r="MR11" s="93">
        <v>169.93000000000006</v>
      </c>
      <c r="MS11" s="93">
        <v>169.18000000000006</v>
      </c>
      <c r="MT11" s="93">
        <v>168.43000000000006</v>
      </c>
      <c r="MU11" s="93">
        <v>167.68000000000006</v>
      </c>
      <c r="MV11" s="93">
        <v>166.93000000000006</v>
      </c>
      <c r="MW11" s="93">
        <v>166.18000000000006</v>
      </c>
      <c r="MX11" s="93">
        <v>165.43000000000006</v>
      </c>
      <c r="MY11" s="93">
        <v>164.68000000000006</v>
      </c>
    </row>
    <row r="12" spans="1:376" ht="15.75" x14ac:dyDescent="0.25">
      <c r="A12" s="90" t="s">
        <v>7</v>
      </c>
      <c r="B12" s="95">
        <v>2022</v>
      </c>
      <c r="C12" s="93">
        <v>492</v>
      </c>
      <c r="D12" s="93">
        <v>490.98</v>
      </c>
      <c r="E12" s="93">
        <v>489.96</v>
      </c>
      <c r="F12" s="93">
        <v>488.94</v>
      </c>
      <c r="G12" s="93">
        <v>487.93</v>
      </c>
      <c r="H12" s="93">
        <v>486.91</v>
      </c>
      <c r="I12" s="93">
        <v>485.89</v>
      </c>
      <c r="J12" s="93">
        <v>484.87</v>
      </c>
      <c r="K12" s="93">
        <v>483.85</v>
      </c>
      <c r="L12" s="93">
        <v>482.83</v>
      </c>
      <c r="M12" s="93">
        <v>481.82</v>
      </c>
      <c r="N12" s="93">
        <v>480.8</v>
      </c>
      <c r="O12" s="93">
        <v>479.78</v>
      </c>
      <c r="P12" s="93">
        <v>478.76</v>
      </c>
      <c r="Q12" s="93">
        <v>477.75</v>
      </c>
      <c r="R12" s="93">
        <v>476.73</v>
      </c>
      <c r="S12" s="93">
        <v>475.71</v>
      </c>
      <c r="T12" s="93">
        <v>474.7</v>
      </c>
      <c r="U12" s="93">
        <v>473.68</v>
      </c>
      <c r="V12" s="93">
        <v>472.66</v>
      </c>
      <c r="W12" s="93">
        <v>471.65</v>
      </c>
      <c r="X12" s="93">
        <v>470.63</v>
      </c>
      <c r="Y12" s="93">
        <v>469.62</v>
      </c>
      <c r="Z12" s="93">
        <v>468.6</v>
      </c>
      <c r="AA12" s="93">
        <v>467.58</v>
      </c>
      <c r="AB12" s="93">
        <v>466.57</v>
      </c>
      <c r="AC12" s="93">
        <v>465.55</v>
      </c>
      <c r="AD12" s="93">
        <v>464.54</v>
      </c>
      <c r="AE12" s="93">
        <v>463.52</v>
      </c>
      <c r="AF12" s="93">
        <v>462.51</v>
      </c>
      <c r="AG12" s="93">
        <v>461.49</v>
      </c>
      <c r="AH12" s="93">
        <v>460.48</v>
      </c>
      <c r="AI12" s="93">
        <v>459.46</v>
      </c>
      <c r="AJ12" s="93">
        <v>458.45</v>
      </c>
      <c r="AK12" s="93">
        <v>457.43</v>
      </c>
      <c r="AL12" s="93">
        <v>456.42</v>
      </c>
      <c r="AM12" s="93">
        <v>455.4</v>
      </c>
      <c r="AN12" s="93">
        <v>454.39</v>
      </c>
      <c r="AO12" s="93">
        <v>453.38</v>
      </c>
      <c r="AP12" s="93">
        <v>452.36</v>
      </c>
      <c r="AQ12" s="93">
        <v>451.35</v>
      </c>
      <c r="AR12" s="93">
        <v>450.34</v>
      </c>
      <c r="AS12" s="93">
        <v>449.32</v>
      </c>
      <c r="AT12" s="93">
        <v>448.31</v>
      </c>
      <c r="AU12" s="93">
        <v>447.3</v>
      </c>
      <c r="AV12" s="93">
        <v>446.29</v>
      </c>
      <c r="AW12" s="93">
        <v>445.27</v>
      </c>
      <c r="AX12" s="93">
        <v>444.26</v>
      </c>
      <c r="AY12" s="93">
        <v>443.25</v>
      </c>
      <c r="AZ12" s="93">
        <v>442.24</v>
      </c>
      <c r="BA12" s="93">
        <v>441.23</v>
      </c>
      <c r="BB12" s="93">
        <v>440.22</v>
      </c>
      <c r="BC12" s="93">
        <v>439.21</v>
      </c>
      <c r="BD12" s="93">
        <v>438.2</v>
      </c>
      <c r="BE12" s="93">
        <v>437.19</v>
      </c>
      <c r="BF12" s="93">
        <v>436.18</v>
      </c>
      <c r="BG12" s="93">
        <v>435.17</v>
      </c>
      <c r="BH12" s="93">
        <v>434.16</v>
      </c>
      <c r="BI12" s="93">
        <v>433.15</v>
      </c>
      <c r="BJ12" s="93">
        <v>432.14</v>
      </c>
      <c r="BK12" s="93">
        <v>431.13</v>
      </c>
      <c r="BL12" s="93">
        <v>430.12</v>
      </c>
      <c r="BM12" s="93">
        <v>429.11</v>
      </c>
      <c r="BN12" s="93">
        <v>428.1</v>
      </c>
      <c r="BO12" s="93">
        <v>427.1</v>
      </c>
      <c r="BP12" s="93">
        <v>426.09</v>
      </c>
      <c r="BQ12" s="93">
        <v>425.08</v>
      </c>
      <c r="BR12" s="93">
        <v>424.07</v>
      </c>
      <c r="BS12" s="93">
        <v>423.07</v>
      </c>
      <c r="BT12" s="93">
        <v>422.06</v>
      </c>
      <c r="BU12" s="93">
        <v>421.05</v>
      </c>
      <c r="BV12" s="93">
        <v>420.05</v>
      </c>
      <c r="BW12" s="93">
        <v>419.04</v>
      </c>
      <c r="BX12" s="93">
        <v>418.04</v>
      </c>
      <c r="BY12" s="93">
        <v>417.03</v>
      </c>
      <c r="BZ12" s="93">
        <v>416.03</v>
      </c>
      <c r="CA12" s="93">
        <v>415.03</v>
      </c>
      <c r="CB12" s="93">
        <v>414.03</v>
      </c>
      <c r="CC12" s="93">
        <v>413.02</v>
      </c>
      <c r="CD12" s="93">
        <v>412.02</v>
      </c>
      <c r="CE12" s="93">
        <v>411.02</v>
      </c>
      <c r="CF12" s="93">
        <v>410.02</v>
      </c>
      <c r="CG12" s="93">
        <v>409.01</v>
      </c>
      <c r="CH12" s="93">
        <v>408.01</v>
      </c>
      <c r="CI12" s="93">
        <v>407.01</v>
      </c>
      <c r="CJ12" s="93">
        <v>406.01</v>
      </c>
      <c r="CK12" s="93">
        <v>405.02</v>
      </c>
      <c r="CL12" s="93">
        <v>404.02</v>
      </c>
      <c r="CM12" s="93">
        <v>403.02</v>
      </c>
      <c r="CN12" s="93">
        <v>402.02</v>
      </c>
      <c r="CO12" s="93">
        <v>401.03</v>
      </c>
      <c r="CP12" s="93">
        <v>400.03</v>
      </c>
      <c r="CQ12" s="93">
        <v>399.03</v>
      </c>
      <c r="CR12" s="93">
        <v>398.03</v>
      </c>
      <c r="CS12" s="93">
        <v>397.04</v>
      </c>
      <c r="CT12" s="93">
        <v>396.04</v>
      </c>
      <c r="CU12" s="93">
        <v>395.05</v>
      </c>
      <c r="CV12" s="93">
        <v>394.05</v>
      </c>
      <c r="CW12" s="93">
        <v>393.06</v>
      </c>
      <c r="CX12" s="93">
        <v>392.07</v>
      </c>
      <c r="CY12" s="93">
        <v>391.08</v>
      </c>
      <c r="CZ12" s="93">
        <v>390.09</v>
      </c>
      <c r="DA12" s="93">
        <v>389.09</v>
      </c>
      <c r="DB12" s="93">
        <v>388.1</v>
      </c>
      <c r="DC12" s="93">
        <v>387.11</v>
      </c>
      <c r="DD12" s="93">
        <v>386.12</v>
      </c>
      <c r="DE12" s="93">
        <v>385.13</v>
      </c>
      <c r="DF12" s="93">
        <v>384.14</v>
      </c>
      <c r="DG12" s="93">
        <v>383.15</v>
      </c>
      <c r="DH12" s="93">
        <v>382.16</v>
      </c>
      <c r="DI12" s="93">
        <v>381.18</v>
      </c>
      <c r="DJ12" s="93">
        <v>380.19</v>
      </c>
      <c r="DK12" s="93">
        <v>379.21</v>
      </c>
      <c r="DL12" s="93">
        <v>378.22</v>
      </c>
      <c r="DM12" s="93">
        <v>377.24</v>
      </c>
      <c r="DN12" s="93">
        <v>376.25</v>
      </c>
      <c r="DO12" s="93">
        <v>375.27</v>
      </c>
      <c r="DP12" s="93">
        <v>374.29</v>
      </c>
      <c r="DQ12" s="93">
        <v>373.3</v>
      </c>
      <c r="DR12" s="93">
        <v>372.32</v>
      </c>
      <c r="DS12" s="93">
        <v>371.34</v>
      </c>
      <c r="DT12" s="93">
        <v>370.36</v>
      </c>
      <c r="DU12" s="93">
        <v>369.38</v>
      </c>
      <c r="DV12" s="93">
        <v>368.4</v>
      </c>
      <c r="DW12" s="93">
        <v>367.42</v>
      </c>
      <c r="DX12" s="93">
        <v>366.45</v>
      </c>
      <c r="DY12" s="93">
        <v>365.47</v>
      </c>
      <c r="DZ12" s="93">
        <v>364.5</v>
      </c>
      <c r="EA12" s="93">
        <v>363.52</v>
      </c>
      <c r="EB12" s="93">
        <v>362.55</v>
      </c>
      <c r="EC12" s="93">
        <v>361.57</v>
      </c>
      <c r="ED12" s="93">
        <v>360.6</v>
      </c>
      <c r="EE12" s="93">
        <v>359.62</v>
      </c>
      <c r="EF12" s="93">
        <v>358.66</v>
      </c>
      <c r="EG12" s="93">
        <v>357.69</v>
      </c>
      <c r="EH12" s="93">
        <v>356.72</v>
      </c>
      <c r="EI12" s="93">
        <v>355.75</v>
      </c>
      <c r="EJ12" s="93">
        <v>354.79</v>
      </c>
      <c r="EK12" s="93">
        <v>353.82</v>
      </c>
      <c r="EL12" s="93">
        <v>352.86</v>
      </c>
      <c r="EM12" s="93">
        <v>351.89</v>
      </c>
      <c r="EN12" s="93">
        <v>350.93</v>
      </c>
      <c r="EO12" s="93">
        <v>349.97</v>
      </c>
      <c r="EP12" s="93">
        <v>349</v>
      </c>
      <c r="EQ12" s="93">
        <v>348.04</v>
      </c>
      <c r="ER12" s="93">
        <v>347.08</v>
      </c>
      <c r="ES12" s="93">
        <v>346.13</v>
      </c>
      <c r="ET12" s="93">
        <v>345.17</v>
      </c>
      <c r="EU12" s="93">
        <v>344.21</v>
      </c>
      <c r="EV12" s="93">
        <v>343.25</v>
      </c>
      <c r="EW12" s="93">
        <v>342.3</v>
      </c>
      <c r="EX12" s="93">
        <v>341.34</v>
      </c>
      <c r="EY12" s="93">
        <v>340.39</v>
      </c>
      <c r="EZ12" s="93">
        <v>339.43</v>
      </c>
      <c r="FA12" s="93">
        <v>338.48</v>
      </c>
      <c r="FB12" s="93">
        <v>337.52</v>
      </c>
      <c r="FC12" s="93">
        <v>336.57</v>
      </c>
      <c r="FD12" s="93">
        <v>335.62</v>
      </c>
      <c r="FE12" s="93">
        <v>334.67</v>
      </c>
      <c r="FF12" s="93">
        <v>333.72</v>
      </c>
      <c r="FG12" s="93">
        <v>332.77</v>
      </c>
      <c r="FH12" s="93">
        <v>331.82</v>
      </c>
      <c r="FI12" s="93">
        <v>330.87</v>
      </c>
      <c r="FJ12" s="93">
        <v>329.93</v>
      </c>
      <c r="FK12" s="93">
        <v>328.98</v>
      </c>
      <c r="FL12" s="93">
        <v>328.04</v>
      </c>
      <c r="FM12" s="93">
        <v>327.08999999999997</v>
      </c>
      <c r="FN12" s="93">
        <v>326.14999999999998</v>
      </c>
      <c r="FO12" s="93">
        <v>325.2</v>
      </c>
      <c r="FP12" s="93">
        <v>324.26</v>
      </c>
      <c r="FQ12" s="93">
        <v>323.32</v>
      </c>
      <c r="FR12" s="93">
        <v>322.38</v>
      </c>
      <c r="FS12" s="93">
        <v>321.44</v>
      </c>
      <c r="FT12" s="93">
        <v>320.5</v>
      </c>
      <c r="FU12" s="93">
        <v>319.56</v>
      </c>
      <c r="FV12" s="93">
        <v>318.62</v>
      </c>
      <c r="FW12" s="93">
        <v>317.68</v>
      </c>
      <c r="FX12" s="93">
        <v>316.75</v>
      </c>
      <c r="FY12" s="93">
        <v>315.81</v>
      </c>
      <c r="FZ12" s="93">
        <v>314.88</v>
      </c>
      <c r="GA12" s="93">
        <v>313.94</v>
      </c>
      <c r="GB12" s="93">
        <v>313.01</v>
      </c>
      <c r="GC12" s="93">
        <v>312.07</v>
      </c>
      <c r="GD12" s="93">
        <v>311.14999999999998</v>
      </c>
      <c r="GE12" s="93">
        <v>310.22000000000003</v>
      </c>
      <c r="GF12" s="93">
        <v>309.29000000000002</v>
      </c>
      <c r="GG12" s="93">
        <v>308.35000000000002</v>
      </c>
      <c r="GH12" s="93">
        <v>307.43</v>
      </c>
      <c r="GI12" s="93">
        <v>306.51</v>
      </c>
      <c r="GJ12" s="93">
        <v>305.57</v>
      </c>
      <c r="GK12" s="93">
        <v>304.66000000000003</v>
      </c>
      <c r="GL12" s="93">
        <v>303.74</v>
      </c>
      <c r="GM12" s="93">
        <v>302.81</v>
      </c>
      <c r="GN12" s="93">
        <v>301.89</v>
      </c>
      <c r="GO12" s="93">
        <v>300.98</v>
      </c>
      <c r="GP12" s="93">
        <v>300.06</v>
      </c>
      <c r="GQ12" s="93">
        <v>299.14</v>
      </c>
      <c r="GR12" s="93">
        <v>298.22000000000003</v>
      </c>
      <c r="GS12" s="93">
        <v>297.31</v>
      </c>
      <c r="GT12" s="93">
        <v>296.39999999999998</v>
      </c>
      <c r="GU12" s="93">
        <v>295.48</v>
      </c>
      <c r="GV12" s="93">
        <v>294.57</v>
      </c>
      <c r="GW12" s="93">
        <v>293.66000000000003</v>
      </c>
      <c r="GX12" s="93">
        <v>292.75</v>
      </c>
      <c r="GY12" s="93">
        <v>291.83999999999997</v>
      </c>
      <c r="GZ12" s="93">
        <v>290.94</v>
      </c>
      <c r="HA12" s="93">
        <v>290.02999999999997</v>
      </c>
      <c r="HB12" s="93">
        <v>289.13</v>
      </c>
      <c r="HC12" s="93">
        <v>288.22000000000003</v>
      </c>
      <c r="HD12" s="93">
        <v>287.32</v>
      </c>
      <c r="HE12" s="93">
        <v>286.42</v>
      </c>
      <c r="HF12" s="93">
        <v>285.51</v>
      </c>
      <c r="HG12" s="93">
        <v>284.62</v>
      </c>
      <c r="HH12" s="93">
        <v>283.72000000000003</v>
      </c>
      <c r="HI12" s="93">
        <v>282.82</v>
      </c>
      <c r="HJ12" s="93">
        <v>281.93</v>
      </c>
      <c r="HK12" s="93">
        <v>281.04000000000002</v>
      </c>
      <c r="HL12" s="93">
        <v>280.14999999999998</v>
      </c>
      <c r="HM12" s="93">
        <v>279.25</v>
      </c>
      <c r="HN12" s="93">
        <v>278.37</v>
      </c>
      <c r="HO12" s="93">
        <v>277.48</v>
      </c>
      <c r="HP12" s="93">
        <v>276.58999999999997</v>
      </c>
      <c r="HQ12" s="93">
        <v>275.70999999999998</v>
      </c>
      <c r="HR12" s="93">
        <v>274.82</v>
      </c>
      <c r="HS12" s="93">
        <v>273.94</v>
      </c>
      <c r="HT12" s="93">
        <v>273.06</v>
      </c>
      <c r="HU12" s="93">
        <v>272.18</v>
      </c>
      <c r="HV12" s="93">
        <v>271.29000000000002</v>
      </c>
      <c r="HW12" s="93">
        <v>270.42</v>
      </c>
      <c r="HX12" s="93">
        <v>269.54000000000002</v>
      </c>
      <c r="HY12" s="93">
        <v>268.67</v>
      </c>
      <c r="HZ12" s="93">
        <v>267.79000000000002</v>
      </c>
      <c r="IA12" s="93">
        <v>266.92</v>
      </c>
      <c r="IB12" s="93">
        <v>266.04000000000002</v>
      </c>
      <c r="IC12" s="93">
        <v>265.17</v>
      </c>
      <c r="ID12" s="93">
        <v>264.29000000000002</v>
      </c>
      <c r="IE12" s="93">
        <v>263.43</v>
      </c>
      <c r="IF12" s="93">
        <v>262.56</v>
      </c>
      <c r="IG12" s="93">
        <v>261.7</v>
      </c>
      <c r="IH12" s="93">
        <v>260.82</v>
      </c>
      <c r="II12" s="93">
        <v>259.97000000000003</v>
      </c>
      <c r="IJ12" s="93">
        <v>259.10000000000002</v>
      </c>
      <c r="IK12" s="93">
        <v>258.24</v>
      </c>
      <c r="IL12" s="93">
        <v>257.38</v>
      </c>
      <c r="IM12" s="93">
        <v>256.51</v>
      </c>
      <c r="IN12" s="93">
        <v>255.66</v>
      </c>
      <c r="IO12" s="93">
        <v>254.8</v>
      </c>
      <c r="IP12" s="93">
        <v>253.95</v>
      </c>
      <c r="IQ12" s="93">
        <v>253.09</v>
      </c>
      <c r="IR12" s="93">
        <v>252.24</v>
      </c>
      <c r="IS12" s="93">
        <v>251.39</v>
      </c>
      <c r="IT12" s="93">
        <v>250.54</v>
      </c>
      <c r="IU12" s="93">
        <v>249.69</v>
      </c>
      <c r="IV12" s="93">
        <v>248.84</v>
      </c>
      <c r="IW12" s="93">
        <v>248</v>
      </c>
      <c r="IX12" s="93">
        <v>247.15</v>
      </c>
      <c r="IY12" s="93">
        <v>246.31</v>
      </c>
      <c r="IZ12" s="93">
        <v>245.47</v>
      </c>
      <c r="JA12" s="93">
        <v>244.62</v>
      </c>
      <c r="JB12" s="93">
        <v>243.79</v>
      </c>
      <c r="JC12" s="93">
        <v>242.95</v>
      </c>
      <c r="JD12" s="93">
        <v>242.11</v>
      </c>
      <c r="JE12" s="93">
        <v>241.27</v>
      </c>
      <c r="JF12" s="93">
        <v>240.44</v>
      </c>
      <c r="JG12" s="93">
        <v>239.6</v>
      </c>
      <c r="JH12" s="93">
        <v>238.77</v>
      </c>
      <c r="JI12" s="93">
        <v>237.94</v>
      </c>
      <c r="JJ12" s="93">
        <v>237.11</v>
      </c>
      <c r="JK12" s="93">
        <v>236.28</v>
      </c>
      <c r="JL12" s="93">
        <v>235.45</v>
      </c>
      <c r="JM12" s="93">
        <v>234.63</v>
      </c>
      <c r="JN12" s="93">
        <v>233.8</v>
      </c>
      <c r="JO12" s="93">
        <v>232.98</v>
      </c>
      <c r="JP12" s="93">
        <v>232.15</v>
      </c>
      <c r="JQ12" s="93">
        <v>231.33</v>
      </c>
      <c r="JR12" s="93">
        <v>230.51</v>
      </c>
      <c r="JS12" s="93">
        <v>229.69</v>
      </c>
      <c r="JT12" s="93">
        <v>228.87</v>
      </c>
      <c r="JU12" s="93">
        <v>228.05</v>
      </c>
      <c r="JV12" s="93">
        <v>227.23</v>
      </c>
      <c r="JW12" s="93">
        <v>226.42</v>
      </c>
      <c r="JX12" s="93">
        <v>225.6</v>
      </c>
      <c r="JY12" s="93">
        <v>224.79</v>
      </c>
      <c r="JZ12" s="93">
        <v>223.98</v>
      </c>
      <c r="KA12" s="93">
        <v>223.17</v>
      </c>
      <c r="KB12" s="93">
        <v>222.36</v>
      </c>
      <c r="KC12" s="93">
        <v>221.55</v>
      </c>
      <c r="KD12" s="93">
        <v>220.74</v>
      </c>
      <c r="KE12" s="93">
        <v>219.93</v>
      </c>
      <c r="KF12" s="93">
        <v>219.12</v>
      </c>
      <c r="KG12" s="93">
        <v>218.32</v>
      </c>
      <c r="KH12" s="93">
        <v>217.51</v>
      </c>
      <c r="KI12" s="93">
        <v>216.71</v>
      </c>
      <c r="KJ12" s="93">
        <v>215.91</v>
      </c>
      <c r="KK12" s="93">
        <v>215.11</v>
      </c>
      <c r="KL12" s="93">
        <v>214.31</v>
      </c>
      <c r="KM12" s="93">
        <v>213.51</v>
      </c>
      <c r="KN12" s="93">
        <v>212.72</v>
      </c>
      <c r="KO12" s="93">
        <v>211.92</v>
      </c>
      <c r="KP12" s="93">
        <v>211.13</v>
      </c>
      <c r="KQ12" s="93">
        <v>210.34</v>
      </c>
      <c r="KR12" s="93">
        <v>209.39000000000007</v>
      </c>
      <c r="KS12" s="93">
        <v>208.64000000000007</v>
      </c>
      <c r="KT12" s="93">
        <v>207.89000000000007</v>
      </c>
      <c r="KU12" s="93">
        <v>207.14000000000007</v>
      </c>
      <c r="KV12" s="93">
        <v>206.39000000000007</v>
      </c>
      <c r="KW12" s="93">
        <v>205.64000000000007</v>
      </c>
      <c r="KX12" s="93">
        <v>204.89000000000007</v>
      </c>
      <c r="KY12" s="93">
        <v>204.14000000000007</v>
      </c>
      <c r="KZ12" s="93">
        <v>203.39000000000007</v>
      </c>
      <c r="LA12" s="93">
        <v>202.64000000000007</v>
      </c>
      <c r="LB12" s="93">
        <v>201.89000000000007</v>
      </c>
      <c r="LC12" s="93">
        <v>201.14000000000007</v>
      </c>
      <c r="LD12" s="93">
        <v>200.39000000000007</v>
      </c>
      <c r="LE12" s="93">
        <v>199.64000000000007</v>
      </c>
      <c r="LF12" s="93">
        <v>198.89000000000007</v>
      </c>
      <c r="LG12" s="93">
        <v>198.14000000000007</v>
      </c>
      <c r="LH12" s="93">
        <v>197.39000000000007</v>
      </c>
      <c r="LI12" s="93">
        <v>196.64000000000007</v>
      </c>
      <c r="LJ12" s="93">
        <v>195.89000000000007</v>
      </c>
      <c r="LK12" s="93">
        <v>195.14000000000007</v>
      </c>
      <c r="LL12" s="93">
        <v>194.39000000000007</v>
      </c>
      <c r="LM12" s="93">
        <v>193.64000000000007</v>
      </c>
      <c r="LN12" s="93">
        <v>192.89000000000007</v>
      </c>
      <c r="LO12" s="93">
        <v>192.14000000000007</v>
      </c>
      <c r="LP12" s="93">
        <v>191.39000000000007</v>
      </c>
      <c r="LQ12" s="93">
        <v>190.64000000000007</v>
      </c>
      <c r="LR12" s="93">
        <v>189.89000000000007</v>
      </c>
      <c r="LS12" s="93">
        <v>189.14000000000007</v>
      </c>
      <c r="LT12" s="93">
        <v>188.39000000000007</v>
      </c>
      <c r="LU12" s="93">
        <v>187.64000000000007</v>
      </c>
      <c r="LV12" s="93">
        <v>186.89000000000007</v>
      </c>
      <c r="LW12" s="93">
        <v>186.14000000000007</v>
      </c>
      <c r="LX12" s="93">
        <v>185.39000000000007</v>
      </c>
      <c r="LY12" s="93">
        <v>184.64000000000007</v>
      </c>
      <c r="LZ12" s="93">
        <v>183.89000000000007</v>
      </c>
      <c r="MA12" s="93">
        <v>183.14000000000007</v>
      </c>
      <c r="MB12" s="93">
        <v>182.39000000000007</v>
      </c>
      <c r="MC12" s="93">
        <v>181.64000000000007</v>
      </c>
      <c r="MD12" s="93">
        <v>180.89000000000007</v>
      </c>
      <c r="ME12" s="93">
        <v>180.14000000000007</v>
      </c>
      <c r="MF12" s="93">
        <v>179.39000000000007</v>
      </c>
      <c r="MG12" s="93">
        <v>178.64000000000007</v>
      </c>
      <c r="MH12" s="93">
        <v>177.89000000000007</v>
      </c>
      <c r="MI12" s="93">
        <v>177.14000000000007</v>
      </c>
      <c r="MJ12" s="93">
        <v>176.39000000000007</v>
      </c>
      <c r="MK12" s="93">
        <v>175.64000000000007</v>
      </c>
      <c r="ML12" s="93">
        <v>174.89000000000007</v>
      </c>
      <c r="MM12" s="93">
        <v>174.14000000000007</v>
      </c>
      <c r="MN12" s="93">
        <v>173.39000000000007</v>
      </c>
      <c r="MO12" s="93">
        <v>172.64000000000007</v>
      </c>
      <c r="MP12" s="93">
        <v>171.89000000000007</v>
      </c>
      <c r="MQ12" s="93">
        <v>171.14000000000007</v>
      </c>
      <c r="MR12" s="93">
        <v>170.39000000000007</v>
      </c>
      <c r="MS12" s="93">
        <v>169.64000000000007</v>
      </c>
      <c r="MT12" s="93">
        <v>168.89000000000007</v>
      </c>
      <c r="MU12" s="93">
        <v>168.14000000000007</v>
      </c>
      <c r="MV12" s="93">
        <v>167.39000000000007</v>
      </c>
      <c r="MW12" s="93">
        <v>166.64000000000007</v>
      </c>
      <c r="MX12" s="93">
        <v>165.89000000000007</v>
      </c>
      <c r="MY12" s="93">
        <v>165.14000000000007</v>
      </c>
    </row>
    <row r="13" spans="1:376" ht="15.75" x14ac:dyDescent="0.25">
      <c r="A13" s="90" t="s">
        <v>7</v>
      </c>
      <c r="B13" s="95">
        <v>2023</v>
      </c>
      <c r="C13" s="93">
        <v>492.6</v>
      </c>
      <c r="D13" s="93">
        <v>491.58</v>
      </c>
      <c r="E13" s="93">
        <v>490.57</v>
      </c>
      <c r="F13" s="93">
        <v>489.55</v>
      </c>
      <c r="G13" s="93">
        <v>488.53</v>
      </c>
      <c r="H13" s="93">
        <v>487.51</v>
      </c>
      <c r="I13" s="93">
        <v>486.49</v>
      </c>
      <c r="J13" s="93">
        <v>485.47</v>
      </c>
      <c r="K13" s="93">
        <v>484.45</v>
      </c>
      <c r="L13" s="93">
        <v>483.44</v>
      </c>
      <c r="M13" s="93">
        <v>482.42</v>
      </c>
      <c r="N13" s="93">
        <v>481.4</v>
      </c>
      <c r="O13" s="93">
        <v>480.38</v>
      </c>
      <c r="P13" s="93">
        <v>479.36</v>
      </c>
      <c r="Q13" s="93">
        <v>478.35</v>
      </c>
      <c r="R13" s="93">
        <v>477.33</v>
      </c>
      <c r="S13" s="93">
        <v>476.31</v>
      </c>
      <c r="T13" s="93">
        <v>475.3</v>
      </c>
      <c r="U13" s="93">
        <v>474.28</v>
      </c>
      <c r="V13" s="93">
        <v>473.26</v>
      </c>
      <c r="W13" s="93">
        <v>472.25</v>
      </c>
      <c r="X13" s="93">
        <v>471.23</v>
      </c>
      <c r="Y13" s="93">
        <v>470.21</v>
      </c>
      <c r="Z13" s="93">
        <v>469.2</v>
      </c>
      <c r="AA13" s="93">
        <v>468.18</v>
      </c>
      <c r="AB13" s="93">
        <v>467.16</v>
      </c>
      <c r="AC13" s="93">
        <v>466.15</v>
      </c>
      <c r="AD13" s="93">
        <v>465.13</v>
      </c>
      <c r="AE13" s="93">
        <v>464.12</v>
      </c>
      <c r="AF13" s="93">
        <v>463.1</v>
      </c>
      <c r="AG13" s="93">
        <v>462.09</v>
      </c>
      <c r="AH13" s="93">
        <v>461.07</v>
      </c>
      <c r="AI13" s="93">
        <v>460.05</v>
      </c>
      <c r="AJ13" s="93">
        <v>459.04</v>
      </c>
      <c r="AK13" s="93">
        <v>458.02</v>
      </c>
      <c r="AL13" s="93">
        <v>457.01</v>
      </c>
      <c r="AM13" s="93">
        <v>455.99</v>
      </c>
      <c r="AN13" s="93">
        <v>454.98</v>
      </c>
      <c r="AO13" s="93">
        <v>453.97</v>
      </c>
      <c r="AP13" s="93">
        <v>452.95</v>
      </c>
      <c r="AQ13" s="93">
        <v>451.94</v>
      </c>
      <c r="AR13" s="93">
        <v>450.93</v>
      </c>
      <c r="AS13" s="93">
        <v>449.91</v>
      </c>
      <c r="AT13" s="93">
        <v>448.9</v>
      </c>
      <c r="AU13" s="93">
        <v>447.89</v>
      </c>
      <c r="AV13" s="93">
        <v>446.87</v>
      </c>
      <c r="AW13" s="93">
        <v>445.86</v>
      </c>
      <c r="AX13" s="93">
        <v>444.85</v>
      </c>
      <c r="AY13" s="93">
        <v>443.84</v>
      </c>
      <c r="AZ13" s="93">
        <v>442.82</v>
      </c>
      <c r="BA13" s="93">
        <v>441.81</v>
      </c>
      <c r="BB13" s="93">
        <v>440.8</v>
      </c>
      <c r="BC13" s="93">
        <v>439.79</v>
      </c>
      <c r="BD13" s="93">
        <v>438.78</v>
      </c>
      <c r="BE13" s="93">
        <v>437.77</v>
      </c>
      <c r="BF13" s="93">
        <v>436.76</v>
      </c>
      <c r="BG13" s="93">
        <v>435.75</v>
      </c>
      <c r="BH13" s="93">
        <v>434.74</v>
      </c>
      <c r="BI13" s="93">
        <v>433.73</v>
      </c>
      <c r="BJ13" s="93">
        <v>432.72</v>
      </c>
      <c r="BK13" s="93">
        <v>431.71</v>
      </c>
      <c r="BL13" s="93">
        <v>430.7</v>
      </c>
      <c r="BM13" s="93">
        <v>429.69</v>
      </c>
      <c r="BN13" s="93">
        <v>428.68</v>
      </c>
      <c r="BO13" s="93">
        <v>427.67</v>
      </c>
      <c r="BP13" s="93">
        <v>426.66</v>
      </c>
      <c r="BQ13" s="93">
        <v>425.66</v>
      </c>
      <c r="BR13" s="93">
        <v>424.65</v>
      </c>
      <c r="BS13" s="93">
        <v>423.64</v>
      </c>
      <c r="BT13" s="93">
        <v>422.63</v>
      </c>
      <c r="BU13" s="93">
        <v>421.63</v>
      </c>
      <c r="BV13" s="93">
        <v>420.62</v>
      </c>
      <c r="BW13" s="93">
        <v>419.61</v>
      </c>
      <c r="BX13" s="93">
        <v>418.61</v>
      </c>
      <c r="BY13" s="93">
        <v>417.61</v>
      </c>
      <c r="BZ13" s="93">
        <v>416.6</v>
      </c>
      <c r="CA13" s="93">
        <v>415.6</v>
      </c>
      <c r="CB13" s="93">
        <v>414.6</v>
      </c>
      <c r="CC13" s="93">
        <v>413.59</v>
      </c>
      <c r="CD13" s="93">
        <v>412.59</v>
      </c>
      <c r="CE13" s="93">
        <v>411.59</v>
      </c>
      <c r="CF13" s="93">
        <v>410.59</v>
      </c>
      <c r="CG13" s="93">
        <v>409.58</v>
      </c>
      <c r="CH13" s="93">
        <v>408.58</v>
      </c>
      <c r="CI13" s="93">
        <v>407.58</v>
      </c>
      <c r="CJ13" s="93">
        <v>406.58</v>
      </c>
      <c r="CK13" s="93">
        <v>405.58</v>
      </c>
      <c r="CL13" s="93">
        <v>404.58</v>
      </c>
      <c r="CM13" s="93">
        <v>403.58</v>
      </c>
      <c r="CN13" s="93">
        <v>402.59</v>
      </c>
      <c r="CO13" s="93">
        <v>401.59</v>
      </c>
      <c r="CP13" s="93">
        <v>400.59</v>
      </c>
      <c r="CQ13" s="93">
        <v>399.59</v>
      </c>
      <c r="CR13" s="93">
        <v>398.6</v>
      </c>
      <c r="CS13" s="93">
        <v>397.6</v>
      </c>
      <c r="CT13" s="93">
        <v>396.6</v>
      </c>
      <c r="CU13" s="93">
        <v>395.61</v>
      </c>
      <c r="CV13" s="93">
        <v>394.61</v>
      </c>
      <c r="CW13" s="93">
        <v>393.62</v>
      </c>
      <c r="CX13" s="93">
        <v>392.63</v>
      </c>
      <c r="CY13" s="93">
        <v>391.64</v>
      </c>
      <c r="CZ13" s="93">
        <v>390.64</v>
      </c>
      <c r="DA13" s="93">
        <v>389.65</v>
      </c>
      <c r="DB13" s="93">
        <v>388.66</v>
      </c>
      <c r="DC13" s="93">
        <v>387.67</v>
      </c>
      <c r="DD13" s="93">
        <v>386.68</v>
      </c>
      <c r="DE13" s="93">
        <v>385.69</v>
      </c>
      <c r="DF13" s="93">
        <v>384.7</v>
      </c>
      <c r="DG13" s="93">
        <v>383.71</v>
      </c>
      <c r="DH13" s="93">
        <v>382.72</v>
      </c>
      <c r="DI13" s="93">
        <v>381.73</v>
      </c>
      <c r="DJ13" s="93">
        <v>380.75</v>
      </c>
      <c r="DK13" s="93">
        <v>379.76</v>
      </c>
      <c r="DL13" s="93">
        <v>378.78</v>
      </c>
      <c r="DM13" s="93">
        <v>377.79</v>
      </c>
      <c r="DN13" s="93">
        <v>376.8</v>
      </c>
      <c r="DO13" s="93">
        <v>375.82</v>
      </c>
      <c r="DP13" s="93">
        <v>374.84</v>
      </c>
      <c r="DQ13" s="93">
        <v>373.85</v>
      </c>
      <c r="DR13" s="93">
        <v>372.87</v>
      </c>
      <c r="DS13" s="93">
        <v>371.89</v>
      </c>
      <c r="DT13" s="93">
        <v>370.91</v>
      </c>
      <c r="DU13" s="93">
        <v>369.93</v>
      </c>
      <c r="DV13" s="93">
        <v>368.95</v>
      </c>
      <c r="DW13" s="93">
        <v>367.97</v>
      </c>
      <c r="DX13" s="93">
        <v>367</v>
      </c>
      <c r="DY13" s="93">
        <v>366.02</v>
      </c>
      <c r="DZ13" s="93">
        <v>365.04</v>
      </c>
      <c r="EA13" s="93">
        <v>364.07</v>
      </c>
      <c r="EB13" s="93">
        <v>363.09</v>
      </c>
      <c r="EC13" s="93">
        <v>362.12</v>
      </c>
      <c r="ED13" s="93">
        <v>361.14</v>
      </c>
      <c r="EE13" s="93">
        <v>360.17</v>
      </c>
      <c r="EF13" s="93">
        <v>359.2</v>
      </c>
      <c r="EG13" s="93">
        <v>358.23</v>
      </c>
      <c r="EH13" s="93">
        <v>357.27</v>
      </c>
      <c r="EI13" s="93">
        <v>356.3</v>
      </c>
      <c r="EJ13" s="93">
        <v>355.33</v>
      </c>
      <c r="EK13" s="93">
        <v>354.37</v>
      </c>
      <c r="EL13" s="93">
        <v>353.4</v>
      </c>
      <c r="EM13" s="93">
        <v>352.44</v>
      </c>
      <c r="EN13" s="93">
        <v>351.47</v>
      </c>
      <c r="EO13" s="93">
        <v>350.51</v>
      </c>
      <c r="EP13" s="93">
        <v>349.55</v>
      </c>
      <c r="EQ13" s="93">
        <v>348.58</v>
      </c>
      <c r="ER13" s="93">
        <v>347.62</v>
      </c>
      <c r="ES13" s="93">
        <v>346.67</v>
      </c>
      <c r="ET13" s="93">
        <v>345.71</v>
      </c>
      <c r="EU13" s="93">
        <v>344.75</v>
      </c>
      <c r="EV13" s="93">
        <v>343.79</v>
      </c>
      <c r="EW13" s="93">
        <v>342.84</v>
      </c>
      <c r="EX13" s="93">
        <v>341.88</v>
      </c>
      <c r="EY13" s="93">
        <v>340.93</v>
      </c>
      <c r="EZ13" s="93">
        <v>339.97</v>
      </c>
      <c r="FA13" s="93">
        <v>339.02</v>
      </c>
      <c r="FB13" s="93">
        <v>338.06</v>
      </c>
      <c r="FC13" s="93">
        <v>337.11</v>
      </c>
      <c r="FD13" s="93">
        <v>336.16</v>
      </c>
      <c r="FE13" s="93">
        <v>335.21</v>
      </c>
      <c r="FF13" s="93">
        <v>334.26</v>
      </c>
      <c r="FG13" s="93">
        <v>333.31</v>
      </c>
      <c r="FH13" s="93">
        <v>332.36</v>
      </c>
      <c r="FI13" s="93">
        <v>331.41</v>
      </c>
      <c r="FJ13" s="93">
        <v>330.46</v>
      </c>
      <c r="FK13" s="93">
        <v>329.52</v>
      </c>
      <c r="FL13" s="93">
        <v>328.57</v>
      </c>
      <c r="FM13" s="93">
        <v>327.63</v>
      </c>
      <c r="FN13" s="93">
        <v>326.68</v>
      </c>
      <c r="FO13" s="93">
        <v>325.74</v>
      </c>
      <c r="FP13" s="93">
        <v>324.79000000000002</v>
      </c>
      <c r="FQ13" s="93">
        <v>323.85000000000002</v>
      </c>
      <c r="FR13" s="93">
        <v>322.91000000000003</v>
      </c>
      <c r="FS13" s="93">
        <v>321.97000000000003</v>
      </c>
      <c r="FT13" s="93">
        <v>321.02999999999997</v>
      </c>
      <c r="FU13" s="93">
        <v>320.08999999999997</v>
      </c>
      <c r="FV13" s="93">
        <v>319.16000000000003</v>
      </c>
      <c r="FW13" s="93">
        <v>318.22000000000003</v>
      </c>
      <c r="FX13" s="93">
        <v>317.27999999999997</v>
      </c>
      <c r="FY13" s="93">
        <v>316.35000000000002</v>
      </c>
      <c r="FZ13" s="93">
        <v>315.41000000000003</v>
      </c>
      <c r="GA13" s="93">
        <v>314.48</v>
      </c>
      <c r="GB13" s="93">
        <v>313.54000000000002</v>
      </c>
      <c r="GC13" s="93">
        <v>312.60000000000002</v>
      </c>
      <c r="GD13" s="93">
        <v>311.68</v>
      </c>
      <c r="GE13" s="93">
        <v>310.75</v>
      </c>
      <c r="GF13" s="93">
        <v>309.82</v>
      </c>
      <c r="GG13" s="93">
        <v>308.89</v>
      </c>
      <c r="GH13" s="93">
        <v>307.97000000000003</v>
      </c>
      <c r="GI13" s="93">
        <v>307.04000000000002</v>
      </c>
      <c r="GJ13" s="93">
        <v>306.10000000000002</v>
      </c>
      <c r="GK13" s="93">
        <v>305.19</v>
      </c>
      <c r="GL13" s="93">
        <v>304.26</v>
      </c>
      <c r="GM13" s="93">
        <v>303.33999999999997</v>
      </c>
      <c r="GN13" s="93">
        <v>302.42</v>
      </c>
      <c r="GO13" s="93">
        <v>301.5</v>
      </c>
      <c r="GP13" s="93">
        <v>300.58999999999997</v>
      </c>
      <c r="GQ13" s="93">
        <v>299.67</v>
      </c>
      <c r="GR13" s="93">
        <v>298.75</v>
      </c>
      <c r="GS13" s="93">
        <v>297.83999999999997</v>
      </c>
      <c r="GT13" s="93">
        <v>296.92</v>
      </c>
      <c r="GU13" s="93">
        <v>296.01</v>
      </c>
      <c r="GV13" s="93">
        <v>295.10000000000002</v>
      </c>
      <c r="GW13" s="93">
        <v>294.19</v>
      </c>
      <c r="GX13" s="93">
        <v>293.27999999999997</v>
      </c>
      <c r="GY13" s="93">
        <v>292.37</v>
      </c>
      <c r="GZ13" s="93">
        <v>291.45999999999998</v>
      </c>
      <c r="HA13" s="93">
        <v>290.54000000000002</v>
      </c>
      <c r="HB13" s="93">
        <v>289.64999999999998</v>
      </c>
      <c r="HC13" s="93">
        <v>288.75</v>
      </c>
      <c r="HD13" s="93">
        <v>287.83999999999997</v>
      </c>
      <c r="HE13" s="93">
        <v>286.94</v>
      </c>
      <c r="HF13" s="93">
        <v>286.04000000000002</v>
      </c>
      <c r="HG13" s="93">
        <v>285.14</v>
      </c>
      <c r="HH13" s="93">
        <v>284.24</v>
      </c>
      <c r="HI13" s="93">
        <v>283.35000000000002</v>
      </c>
      <c r="HJ13" s="93">
        <v>282.45</v>
      </c>
      <c r="HK13" s="93">
        <v>281.56</v>
      </c>
      <c r="HL13" s="93">
        <v>280.67</v>
      </c>
      <c r="HM13" s="93">
        <v>279.76</v>
      </c>
      <c r="HN13" s="93">
        <v>278.89</v>
      </c>
      <c r="HO13" s="93">
        <v>278</v>
      </c>
      <c r="HP13" s="93">
        <v>277.10000000000002</v>
      </c>
      <c r="HQ13" s="93">
        <v>276.22000000000003</v>
      </c>
      <c r="HR13" s="93">
        <v>275.33999999999997</v>
      </c>
      <c r="HS13" s="93">
        <v>274.45999999999998</v>
      </c>
      <c r="HT13" s="93">
        <v>273.57</v>
      </c>
      <c r="HU13" s="93">
        <v>272.69</v>
      </c>
      <c r="HV13" s="93">
        <v>271.81</v>
      </c>
      <c r="HW13" s="93">
        <v>270.93</v>
      </c>
      <c r="HX13" s="93">
        <v>270.06</v>
      </c>
      <c r="HY13" s="93">
        <v>269.18</v>
      </c>
      <c r="HZ13" s="93">
        <v>268.29000000000002</v>
      </c>
      <c r="IA13" s="93">
        <v>267.43</v>
      </c>
      <c r="IB13" s="93">
        <v>266.56</v>
      </c>
      <c r="IC13" s="93">
        <v>265.69</v>
      </c>
      <c r="ID13" s="93">
        <v>264.81</v>
      </c>
      <c r="IE13" s="93">
        <v>263.94</v>
      </c>
      <c r="IF13" s="93">
        <v>263.07</v>
      </c>
      <c r="IG13" s="93">
        <v>262.20999999999998</v>
      </c>
      <c r="IH13" s="93">
        <v>261.33999999999997</v>
      </c>
      <c r="II13" s="93">
        <v>260.48</v>
      </c>
      <c r="IJ13" s="93">
        <v>259.60000000000002</v>
      </c>
      <c r="IK13" s="93">
        <v>258.75</v>
      </c>
      <c r="IL13" s="93">
        <v>257.89</v>
      </c>
      <c r="IM13" s="93">
        <v>257.02999999999997</v>
      </c>
      <c r="IN13" s="93">
        <v>256.17</v>
      </c>
      <c r="IO13" s="93">
        <v>255.31</v>
      </c>
      <c r="IP13" s="93">
        <v>254.45</v>
      </c>
      <c r="IQ13" s="93">
        <v>253.6</v>
      </c>
      <c r="IR13" s="93">
        <v>252.75</v>
      </c>
      <c r="IS13" s="93">
        <v>251.89</v>
      </c>
      <c r="IT13" s="93">
        <v>251.04</v>
      </c>
      <c r="IU13" s="93">
        <v>250.19</v>
      </c>
      <c r="IV13" s="93">
        <v>249.34</v>
      </c>
      <c r="IW13" s="93">
        <v>248.5</v>
      </c>
      <c r="IX13" s="93">
        <v>247.65</v>
      </c>
      <c r="IY13" s="93">
        <v>246.81</v>
      </c>
      <c r="IZ13" s="93">
        <v>245.97</v>
      </c>
      <c r="JA13" s="93">
        <v>245.13</v>
      </c>
      <c r="JB13" s="93">
        <v>244.29</v>
      </c>
      <c r="JC13" s="93">
        <v>243.45</v>
      </c>
      <c r="JD13" s="93">
        <v>242.61</v>
      </c>
      <c r="JE13" s="93">
        <v>241.77</v>
      </c>
      <c r="JF13" s="93">
        <v>240.94</v>
      </c>
      <c r="JG13" s="93">
        <v>240.1</v>
      </c>
      <c r="JH13" s="93">
        <v>239.27</v>
      </c>
      <c r="JI13" s="93">
        <v>238.44</v>
      </c>
      <c r="JJ13" s="93">
        <v>237.61</v>
      </c>
      <c r="JK13" s="93">
        <v>236.78</v>
      </c>
      <c r="JL13" s="93">
        <v>235.95</v>
      </c>
      <c r="JM13" s="93">
        <v>235.12</v>
      </c>
      <c r="JN13" s="93">
        <v>234.29</v>
      </c>
      <c r="JO13" s="93">
        <v>233.47</v>
      </c>
      <c r="JP13" s="93">
        <v>232.64</v>
      </c>
      <c r="JQ13" s="93">
        <v>231.82</v>
      </c>
      <c r="JR13" s="93">
        <v>231</v>
      </c>
      <c r="JS13" s="93">
        <v>230.18</v>
      </c>
      <c r="JT13" s="93">
        <v>229.36</v>
      </c>
      <c r="JU13" s="93">
        <v>228.54</v>
      </c>
      <c r="JV13" s="93">
        <v>227.72</v>
      </c>
      <c r="JW13" s="93">
        <v>226.91</v>
      </c>
      <c r="JX13" s="93">
        <v>226.09</v>
      </c>
      <c r="JY13" s="93">
        <v>225.28</v>
      </c>
      <c r="JZ13" s="93">
        <v>224.46</v>
      </c>
      <c r="KA13" s="93">
        <v>223.65</v>
      </c>
      <c r="KB13" s="93">
        <v>222.84</v>
      </c>
      <c r="KC13" s="93">
        <v>222.03</v>
      </c>
      <c r="KD13" s="93">
        <v>221.22</v>
      </c>
      <c r="KE13" s="93">
        <v>220.41</v>
      </c>
      <c r="KF13" s="93">
        <v>219.61</v>
      </c>
      <c r="KG13" s="93">
        <v>218.8</v>
      </c>
      <c r="KH13" s="93">
        <v>218</v>
      </c>
      <c r="KI13" s="93">
        <v>217.19</v>
      </c>
      <c r="KJ13" s="93">
        <v>216.39</v>
      </c>
      <c r="KK13" s="93">
        <v>215.59</v>
      </c>
      <c r="KL13" s="93">
        <v>214.79</v>
      </c>
      <c r="KM13" s="93">
        <v>213.99</v>
      </c>
      <c r="KN13" s="93">
        <v>213.2</v>
      </c>
      <c r="KO13" s="93">
        <v>212.4</v>
      </c>
      <c r="KP13" s="93">
        <v>211.61</v>
      </c>
      <c r="KQ13" s="93">
        <v>210.82</v>
      </c>
      <c r="KR13" s="93">
        <v>209.85000000000008</v>
      </c>
      <c r="KS13" s="93">
        <v>209.10000000000008</v>
      </c>
      <c r="KT13" s="93">
        <v>208.35000000000008</v>
      </c>
      <c r="KU13" s="93">
        <v>207.60000000000008</v>
      </c>
      <c r="KV13" s="93">
        <v>206.85000000000008</v>
      </c>
      <c r="KW13" s="93">
        <v>206.10000000000008</v>
      </c>
      <c r="KX13" s="93">
        <v>205.35000000000008</v>
      </c>
      <c r="KY13" s="93">
        <v>204.60000000000008</v>
      </c>
      <c r="KZ13" s="93">
        <v>203.85000000000008</v>
      </c>
      <c r="LA13" s="93">
        <v>203.10000000000008</v>
      </c>
      <c r="LB13" s="93">
        <v>202.35000000000008</v>
      </c>
      <c r="LC13" s="93">
        <v>201.60000000000008</v>
      </c>
      <c r="LD13" s="93">
        <v>200.85000000000008</v>
      </c>
      <c r="LE13" s="93">
        <v>200.10000000000008</v>
      </c>
      <c r="LF13" s="93">
        <v>199.35000000000008</v>
      </c>
      <c r="LG13" s="93">
        <v>198.60000000000008</v>
      </c>
      <c r="LH13" s="93">
        <v>197.85000000000008</v>
      </c>
      <c r="LI13" s="93">
        <v>197.10000000000008</v>
      </c>
      <c r="LJ13" s="93">
        <v>196.35000000000008</v>
      </c>
      <c r="LK13" s="93">
        <v>195.60000000000008</v>
      </c>
      <c r="LL13" s="93">
        <v>194.85000000000008</v>
      </c>
      <c r="LM13" s="93">
        <v>194.10000000000008</v>
      </c>
      <c r="LN13" s="93">
        <v>193.35000000000008</v>
      </c>
      <c r="LO13" s="93">
        <v>192.60000000000008</v>
      </c>
      <c r="LP13" s="93">
        <v>191.85000000000008</v>
      </c>
      <c r="LQ13" s="93">
        <v>191.10000000000008</v>
      </c>
      <c r="LR13" s="93">
        <v>190.35000000000008</v>
      </c>
      <c r="LS13" s="93">
        <v>189.60000000000008</v>
      </c>
      <c r="LT13" s="93">
        <v>188.85000000000008</v>
      </c>
      <c r="LU13" s="93">
        <v>188.10000000000008</v>
      </c>
      <c r="LV13" s="93">
        <v>187.35000000000008</v>
      </c>
      <c r="LW13" s="93">
        <v>186.60000000000008</v>
      </c>
      <c r="LX13" s="93">
        <v>185.85000000000008</v>
      </c>
      <c r="LY13" s="93">
        <v>185.10000000000008</v>
      </c>
      <c r="LZ13" s="93">
        <v>184.35000000000008</v>
      </c>
      <c r="MA13" s="93">
        <v>183.60000000000008</v>
      </c>
      <c r="MB13" s="93">
        <v>182.85000000000008</v>
      </c>
      <c r="MC13" s="93">
        <v>182.10000000000008</v>
      </c>
      <c r="MD13" s="93">
        <v>181.35000000000008</v>
      </c>
      <c r="ME13" s="93">
        <v>180.60000000000008</v>
      </c>
      <c r="MF13" s="93">
        <v>179.85000000000008</v>
      </c>
      <c r="MG13" s="93">
        <v>179.10000000000008</v>
      </c>
      <c r="MH13" s="93">
        <v>178.35000000000008</v>
      </c>
      <c r="MI13" s="93">
        <v>177.60000000000008</v>
      </c>
      <c r="MJ13" s="93">
        <v>176.85000000000008</v>
      </c>
      <c r="MK13" s="93">
        <v>176.10000000000008</v>
      </c>
      <c r="ML13" s="93">
        <v>175.35000000000008</v>
      </c>
      <c r="MM13" s="93">
        <v>174.60000000000008</v>
      </c>
      <c r="MN13" s="93">
        <v>173.85000000000008</v>
      </c>
      <c r="MO13" s="93">
        <v>173.10000000000008</v>
      </c>
      <c r="MP13" s="93">
        <v>172.35000000000008</v>
      </c>
      <c r="MQ13" s="93">
        <v>171.60000000000008</v>
      </c>
      <c r="MR13" s="93">
        <v>170.85000000000008</v>
      </c>
      <c r="MS13" s="93">
        <v>170.10000000000008</v>
      </c>
      <c r="MT13" s="93">
        <v>169.35000000000008</v>
      </c>
      <c r="MU13" s="93">
        <v>168.60000000000008</v>
      </c>
      <c r="MV13" s="93">
        <v>167.85000000000008</v>
      </c>
      <c r="MW13" s="93">
        <v>167.10000000000008</v>
      </c>
      <c r="MX13" s="93">
        <v>166.35000000000008</v>
      </c>
      <c r="MY13" s="93">
        <v>165.60000000000008</v>
      </c>
    </row>
    <row r="14" spans="1:376" ht="15.75" x14ac:dyDescent="0.25">
      <c r="A14" s="90" t="s">
        <v>7</v>
      </c>
      <c r="B14" s="95">
        <v>2024</v>
      </c>
      <c r="C14" s="93">
        <v>493.21</v>
      </c>
      <c r="D14" s="93">
        <v>492.19</v>
      </c>
      <c r="E14" s="93">
        <v>491.17</v>
      </c>
      <c r="F14" s="93">
        <v>490.15</v>
      </c>
      <c r="G14" s="93">
        <v>489.13</v>
      </c>
      <c r="H14" s="93">
        <v>488.11</v>
      </c>
      <c r="I14" s="93">
        <v>487.09</v>
      </c>
      <c r="J14" s="93">
        <v>486.07</v>
      </c>
      <c r="K14" s="93">
        <v>485.05</v>
      </c>
      <c r="L14" s="93">
        <v>484.04</v>
      </c>
      <c r="M14" s="93">
        <v>483.02</v>
      </c>
      <c r="N14" s="93">
        <v>482</v>
      </c>
      <c r="O14" s="93">
        <v>480.98</v>
      </c>
      <c r="P14" s="93">
        <v>479.96</v>
      </c>
      <c r="Q14" s="93">
        <v>478.95</v>
      </c>
      <c r="R14" s="93">
        <v>477.93</v>
      </c>
      <c r="S14" s="93">
        <v>476.91</v>
      </c>
      <c r="T14" s="93">
        <v>475.89</v>
      </c>
      <c r="U14" s="93">
        <v>474.88</v>
      </c>
      <c r="V14" s="93">
        <v>473.86</v>
      </c>
      <c r="W14" s="93">
        <v>472.84</v>
      </c>
      <c r="X14" s="93">
        <v>471.82</v>
      </c>
      <c r="Y14" s="93">
        <v>470.81</v>
      </c>
      <c r="Z14" s="93">
        <v>469.79</v>
      </c>
      <c r="AA14" s="93">
        <v>468.77</v>
      </c>
      <c r="AB14" s="93">
        <v>467.76</v>
      </c>
      <c r="AC14" s="93">
        <v>466.74</v>
      </c>
      <c r="AD14" s="93">
        <v>465.73</v>
      </c>
      <c r="AE14" s="93">
        <v>464.71</v>
      </c>
      <c r="AF14" s="93">
        <v>463.69</v>
      </c>
      <c r="AG14" s="93">
        <v>462.68</v>
      </c>
      <c r="AH14" s="93">
        <v>461.66</v>
      </c>
      <c r="AI14" s="93">
        <v>460.65</v>
      </c>
      <c r="AJ14" s="93">
        <v>459.63</v>
      </c>
      <c r="AK14" s="93">
        <v>458.61</v>
      </c>
      <c r="AL14" s="93">
        <v>457.6</v>
      </c>
      <c r="AM14" s="93">
        <v>456.58</v>
      </c>
      <c r="AN14" s="93">
        <v>455.57</v>
      </c>
      <c r="AO14" s="93">
        <v>454.56</v>
      </c>
      <c r="AP14" s="93">
        <v>453.54</v>
      </c>
      <c r="AQ14" s="93">
        <v>452.53</v>
      </c>
      <c r="AR14" s="93">
        <v>451.51</v>
      </c>
      <c r="AS14" s="93">
        <v>450.5</v>
      </c>
      <c r="AT14" s="93">
        <v>449.49</v>
      </c>
      <c r="AU14" s="93">
        <v>448.47</v>
      </c>
      <c r="AV14" s="93">
        <v>447.46</v>
      </c>
      <c r="AW14" s="93">
        <v>446.45</v>
      </c>
      <c r="AX14" s="93">
        <v>445.43</v>
      </c>
      <c r="AY14" s="93">
        <v>444.42</v>
      </c>
      <c r="AZ14" s="93">
        <v>443.41</v>
      </c>
      <c r="BA14" s="93">
        <v>442.4</v>
      </c>
      <c r="BB14" s="93">
        <v>441.38</v>
      </c>
      <c r="BC14" s="93">
        <v>440.37</v>
      </c>
      <c r="BD14" s="93">
        <v>439.36</v>
      </c>
      <c r="BE14" s="93">
        <v>438.35</v>
      </c>
      <c r="BF14" s="93">
        <v>437.34</v>
      </c>
      <c r="BG14" s="93">
        <v>436.33</v>
      </c>
      <c r="BH14" s="93">
        <v>435.32</v>
      </c>
      <c r="BI14" s="93">
        <v>434.3</v>
      </c>
      <c r="BJ14" s="93">
        <v>433.29</v>
      </c>
      <c r="BK14" s="93">
        <v>432.28</v>
      </c>
      <c r="BL14" s="93">
        <v>431.27</v>
      </c>
      <c r="BM14" s="93">
        <v>430.27</v>
      </c>
      <c r="BN14" s="93">
        <v>429.26</v>
      </c>
      <c r="BO14" s="93">
        <v>428.25</v>
      </c>
      <c r="BP14" s="93">
        <v>427.24</v>
      </c>
      <c r="BQ14" s="93">
        <v>426.23</v>
      </c>
      <c r="BR14" s="93">
        <v>425.22</v>
      </c>
      <c r="BS14" s="93">
        <v>424.22</v>
      </c>
      <c r="BT14" s="93">
        <v>423.21</v>
      </c>
      <c r="BU14" s="93">
        <v>422.2</v>
      </c>
      <c r="BV14" s="93">
        <v>421.19</v>
      </c>
      <c r="BW14" s="93">
        <v>420.19</v>
      </c>
      <c r="BX14" s="93">
        <v>419.18</v>
      </c>
      <c r="BY14" s="93">
        <v>418.18</v>
      </c>
      <c r="BZ14" s="93">
        <v>417.17</v>
      </c>
      <c r="CA14" s="93">
        <v>416.17</v>
      </c>
      <c r="CB14" s="93">
        <v>415.17</v>
      </c>
      <c r="CC14" s="93">
        <v>414.16</v>
      </c>
      <c r="CD14" s="93">
        <v>413.16</v>
      </c>
      <c r="CE14" s="93">
        <v>412.16</v>
      </c>
      <c r="CF14" s="93">
        <v>411.15</v>
      </c>
      <c r="CG14" s="93">
        <v>410.15</v>
      </c>
      <c r="CH14" s="93">
        <v>409.15</v>
      </c>
      <c r="CI14" s="93">
        <v>408.14</v>
      </c>
      <c r="CJ14" s="93">
        <v>407.14</v>
      </c>
      <c r="CK14" s="93">
        <v>406.15</v>
      </c>
      <c r="CL14" s="93">
        <v>405.15</v>
      </c>
      <c r="CM14" s="93">
        <v>404.15</v>
      </c>
      <c r="CN14" s="93">
        <v>403.15</v>
      </c>
      <c r="CO14" s="93">
        <v>402.15</v>
      </c>
      <c r="CP14" s="93">
        <v>401.15</v>
      </c>
      <c r="CQ14" s="93">
        <v>400.16</v>
      </c>
      <c r="CR14" s="93">
        <v>399.16</v>
      </c>
      <c r="CS14" s="93">
        <v>398.16</v>
      </c>
      <c r="CT14" s="93">
        <v>397.16</v>
      </c>
      <c r="CU14" s="93">
        <v>396.17</v>
      </c>
      <c r="CV14" s="93">
        <v>395.17</v>
      </c>
      <c r="CW14" s="93">
        <v>394.18</v>
      </c>
      <c r="CX14" s="93">
        <v>393.19</v>
      </c>
      <c r="CY14" s="93">
        <v>392.19</v>
      </c>
      <c r="CZ14" s="93">
        <v>391.2</v>
      </c>
      <c r="DA14" s="93">
        <v>390.21</v>
      </c>
      <c r="DB14" s="93">
        <v>389.22</v>
      </c>
      <c r="DC14" s="93">
        <v>388.22</v>
      </c>
      <c r="DD14" s="93">
        <v>387.23</v>
      </c>
      <c r="DE14" s="93">
        <v>386.24</v>
      </c>
      <c r="DF14" s="93">
        <v>385.25</v>
      </c>
      <c r="DG14" s="93">
        <v>384.26</v>
      </c>
      <c r="DH14" s="93">
        <v>383.27</v>
      </c>
      <c r="DI14" s="93">
        <v>382.29</v>
      </c>
      <c r="DJ14" s="93">
        <v>381.3</v>
      </c>
      <c r="DK14" s="93">
        <v>380.31</v>
      </c>
      <c r="DL14" s="93">
        <v>379.33</v>
      </c>
      <c r="DM14" s="93">
        <v>378.34</v>
      </c>
      <c r="DN14" s="93">
        <v>377.36</v>
      </c>
      <c r="DO14" s="93">
        <v>376.37</v>
      </c>
      <c r="DP14" s="93">
        <v>375.39</v>
      </c>
      <c r="DQ14" s="93">
        <v>374.4</v>
      </c>
      <c r="DR14" s="93">
        <v>373.42</v>
      </c>
      <c r="DS14" s="93">
        <v>372.43</v>
      </c>
      <c r="DT14" s="93">
        <v>371.45</v>
      </c>
      <c r="DU14" s="93">
        <v>370.48</v>
      </c>
      <c r="DV14" s="93">
        <v>369.5</v>
      </c>
      <c r="DW14" s="93">
        <v>368.52</v>
      </c>
      <c r="DX14" s="93">
        <v>367.54</v>
      </c>
      <c r="DY14" s="93">
        <v>366.56</v>
      </c>
      <c r="DZ14" s="93">
        <v>365.59</v>
      </c>
      <c r="EA14" s="93">
        <v>364.61</v>
      </c>
      <c r="EB14" s="93">
        <v>363.64</v>
      </c>
      <c r="EC14" s="93">
        <v>362.66</v>
      </c>
      <c r="ED14" s="93">
        <v>361.69</v>
      </c>
      <c r="EE14" s="93">
        <v>360.71</v>
      </c>
      <c r="EF14" s="93">
        <v>359.74</v>
      </c>
      <c r="EG14" s="93">
        <v>358.78</v>
      </c>
      <c r="EH14" s="93">
        <v>357.81</v>
      </c>
      <c r="EI14" s="93">
        <v>356.84</v>
      </c>
      <c r="EJ14" s="93">
        <v>355.87</v>
      </c>
      <c r="EK14" s="93">
        <v>354.91</v>
      </c>
      <c r="EL14" s="93">
        <v>353.94</v>
      </c>
      <c r="EM14" s="93">
        <v>352.98</v>
      </c>
      <c r="EN14" s="93">
        <v>352.01</v>
      </c>
      <c r="EO14" s="93">
        <v>351.05</v>
      </c>
      <c r="EP14" s="93">
        <v>350.09</v>
      </c>
      <c r="EQ14" s="93">
        <v>349.12</v>
      </c>
      <c r="ER14" s="93">
        <v>348.17</v>
      </c>
      <c r="ES14" s="93">
        <v>347.21</v>
      </c>
      <c r="ET14" s="93">
        <v>346.25</v>
      </c>
      <c r="EU14" s="93">
        <v>345.29</v>
      </c>
      <c r="EV14" s="93">
        <v>344.33</v>
      </c>
      <c r="EW14" s="93">
        <v>343.38</v>
      </c>
      <c r="EX14" s="93">
        <v>342.42</v>
      </c>
      <c r="EY14" s="93">
        <v>341.46</v>
      </c>
      <c r="EZ14" s="93">
        <v>340.51</v>
      </c>
      <c r="FA14" s="93">
        <v>339.56</v>
      </c>
      <c r="FB14" s="93">
        <v>338.6</v>
      </c>
      <c r="FC14" s="93">
        <v>337.65</v>
      </c>
      <c r="FD14" s="93">
        <v>336.7</v>
      </c>
      <c r="FE14" s="93">
        <v>335.75</v>
      </c>
      <c r="FF14" s="93">
        <v>334.8</v>
      </c>
      <c r="FG14" s="93">
        <v>333.85</v>
      </c>
      <c r="FH14" s="93">
        <v>332.9</v>
      </c>
      <c r="FI14" s="93">
        <v>331.95</v>
      </c>
      <c r="FJ14" s="93">
        <v>331</v>
      </c>
      <c r="FK14" s="93">
        <v>330.05</v>
      </c>
      <c r="FL14" s="93">
        <v>329.11</v>
      </c>
      <c r="FM14" s="93">
        <v>328.16</v>
      </c>
      <c r="FN14" s="93">
        <v>327.22000000000003</v>
      </c>
      <c r="FO14" s="93">
        <v>326.26</v>
      </c>
      <c r="FP14" s="93">
        <v>325.32</v>
      </c>
      <c r="FQ14" s="93">
        <v>324.39</v>
      </c>
      <c r="FR14" s="93">
        <v>323.45</v>
      </c>
      <c r="FS14" s="93">
        <v>322.51</v>
      </c>
      <c r="FT14" s="93">
        <v>321.57</v>
      </c>
      <c r="FU14" s="93">
        <v>320.63</v>
      </c>
      <c r="FV14" s="93">
        <v>319.69</v>
      </c>
      <c r="FW14" s="93">
        <v>318.75</v>
      </c>
      <c r="FX14" s="93">
        <v>317.81</v>
      </c>
      <c r="FY14" s="93">
        <v>316.88</v>
      </c>
      <c r="FZ14" s="93">
        <v>315.94</v>
      </c>
      <c r="GA14" s="93">
        <v>315.01</v>
      </c>
      <c r="GB14" s="93">
        <v>314.07</v>
      </c>
      <c r="GC14" s="93">
        <v>313.14</v>
      </c>
      <c r="GD14" s="93">
        <v>312.20999999999998</v>
      </c>
      <c r="GE14" s="93">
        <v>311.27999999999997</v>
      </c>
      <c r="GF14" s="93">
        <v>310.35000000000002</v>
      </c>
      <c r="GG14" s="93">
        <v>309.42</v>
      </c>
      <c r="GH14" s="93">
        <v>308.5</v>
      </c>
      <c r="GI14" s="93">
        <v>307.57</v>
      </c>
      <c r="GJ14" s="93">
        <v>306.64</v>
      </c>
      <c r="GK14" s="93">
        <v>305.72000000000003</v>
      </c>
      <c r="GL14" s="93">
        <v>304.79000000000002</v>
      </c>
      <c r="GM14" s="93">
        <v>303.87</v>
      </c>
      <c r="GN14" s="93">
        <v>302.95</v>
      </c>
      <c r="GO14" s="93">
        <v>302.02999999999997</v>
      </c>
      <c r="GP14" s="93">
        <v>301.10000000000002</v>
      </c>
      <c r="GQ14" s="93">
        <v>300.19</v>
      </c>
      <c r="GR14" s="93">
        <v>299.27999999999997</v>
      </c>
      <c r="GS14" s="93">
        <v>298.35000000000002</v>
      </c>
      <c r="GT14" s="93">
        <v>297.45</v>
      </c>
      <c r="GU14" s="93">
        <v>296.54000000000002</v>
      </c>
      <c r="GV14" s="93">
        <v>295.62</v>
      </c>
      <c r="GW14" s="93">
        <v>294.70999999999998</v>
      </c>
      <c r="GX14" s="93">
        <v>293.79000000000002</v>
      </c>
      <c r="GY14" s="93">
        <v>292.89</v>
      </c>
      <c r="GZ14" s="93">
        <v>291.98</v>
      </c>
      <c r="HA14" s="93">
        <v>291.07</v>
      </c>
      <c r="HB14" s="93">
        <v>290.17</v>
      </c>
      <c r="HC14" s="93">
        <v>289.26</v>
      </c>
      <c r="HD14" s="93">
        <v>288.37</v>
      </c>
      <c r="HE14" s="93">
        <v>287.45999999999998</v>
      </c>
      <c r="HF14" s="93">
        <v>286.56</v>
      </c>
      <c r="HG14" s="93">
        <v>285.66000000000003</v>
      </c>
      <c r="HH14" s="93">
        <v>284.76</v>
      </c>
      <c r="HI14" s="93">
        <v>283.87</v>
      </c>
      <c r="HJ14" s="93">
        <v>282.97000000000003</v>
      </c>
      <c r="HK14" s="93">
        <v>282.07</v>
      </c>
      <c r="HL14" s="93">
        <v>281.18</v>
      </c>
      <c r="HM14" s="93">
        <v>280.29000000000002</v>
      </c>
      <c r="HN14" s="93">
        <v>279.39999999999998</v>
      </c>
      <c r="HO14" s="93">
        <v>278.51</v>
      </c>
      <c r="HP14" s="93">
        <v>277.63</v>
      </c>
      <c r="HQ14" s="93">
        <v>276.74</v>
      </c>
      <c r="HR14" s="93">
        <v>275.85000000000002</v>
      </c>
      <c r="HS14" s="93">
        <v>274.97000000000003</v>
      </c>
      <c r="HT14" s="93">
        <v>274.08999999999997</v>
      </c>
      <c r="HU14" s="93">
        <v>273.20999999999998</v>
      </c>
      <c r="HV14" s="93">
        <v>272.32</v>
      </c>
      <c r="HW14" s="93">
        <v>271.45</v>
      </c>
      <c r="HX14" s="93">
        <v>270.57</v>
      </c>
      <c r="HY14" s="93">
        <v>269.69</v>
      </c>
      <c r="HZ14" s="93">
        <v>268.82</v>
      </c>
      <c r="IA14" s="93">
        <v>267.94</v>
      </c>
      <c r="IB14" s="93">
        <v>267.07</v>
      </c>
      <c r="IC14" s="93">
        <v>266.2</v>
      </c>
      <c r="ID14" s="93">
        <v>265.32</v>
      </c>
      <c r="IE14" s="93">
        <v>264.45</v>
      </c>
      <c r="IF14" s="93">
        <v>263.58999999999997</v>
      </c>
      <c r="IG14" s="93">
        <v>262.72000000000003</v>
      </c>
      <c r="IH14" s="93">
        <v>261.85000000000002</v>
      </c>
      <c r="II14" s="93">
        <v>260.98</v>
      </c>
      <c r="IJ14" s="93">
        <v>260.12</v>
      </c>
      <c r="IK14" s="93">
        <v>259.26</v>
      </c>
      <c r="IL14" s="93">
        <v>258.39999999999998</v>
      </c>
      <c r="IM14" s="93">
        <v>257.52999999999997</v>
      </c>
      <c r="IN14" s="93">
        <v>256.68</v>
      </c>
      <c r="IO14" s="93">
        <v>255.82</v>
      </c>
      <c r="IP14" s="93">
        <v>254.96</v>
      </c>
      <c r="IQ14" s="93">
        <v>254.1</v>
      </c>
      <c r="IR14" s="93">
        <v>253.25</v>
      </c>
      <c r="IS14" s="93">
        <v>252.4</v>
      </c>
      <c r="IT14" s="93">
        <v>251.55</v>
      </c>
      <c r="IU14" s="93">
        <v>250.7</v>
      </c>
      <c r="IV14" s="93">
        <v>249.85</v>
      </c>
      <c r="IW14" s="93">
        <v>249</v>
      </c>
      <c r="IX14" s="93">
        <v>248.16</v>
      </c>
      <c r="IY14" s="93">
        <v>247.31</v>
      </c>
      <c r="IZ14" s="93">
        <v>246.47</v>
      </c>
      <c r="JA14" s="93">
        <v>245.63</v>
      </c>
      <c r="JB14" s="93">
        <v>244.79</v>
      </c>
      <c r="JC14" s="93">
        <v>243.95</v>
      </c>
      <c r="JD14" s="93">
        <v>243.11</v>
      </c>
      <c r="JE14" s="93">
        <v>242.27</v>
      </c>
      <c r="JF14" s="93">
        <v>241.43</v>
      </c>
      <c r="JG14" s="93">
        <v>240.6</v>
      </c>
      <c r="JH14" s="93">
        <v>239.77</v>
      </c>
      <c r="JI14" s="93">
        <v>238.93</v>
      </c>
      <c r="JJ14" s="93">
        <v>238.1</v>
      </c>
      <c r="JK14" s="93">
        <v>237.27</v>
      </c>
      <c r="JL14" s="93">
        <v>236.44</v>
      </c>
      <c r="JM14" s="93">
        <v>235.62</v>
      </c>
      <c r="JN14" s="93">
        <v>234.79</v>
      </c>
      <c r="JO14" s="93">
        <v>233.96</v>
      </c>
      <c r="JP14" s="93">
        <v>233.14</v>
      </c>
      <c r="JQ14" s="93">
        <v>232.31</v>
      </c>
      <c r="JR14" s="93">
        <v>231.49</v>
      </c>
      <c r="JS14" s="93">
        <v>230.67</v>
      </c>
      <c r="JT14" s="93">
        <v>229.85</v>
      </c>
      <c r="JU14" s="93">
        <v>229.03</v>
      </c>
      <c r="JV14" s="93">
        <v>228.21</v>
      </c>
      <c r="JW14" s="93">
        <v>227.4</v>
      </c>
      <c r="JX14" s="93">
        <v>226.58</v>
      </c>
      <c r="JY14" s="93">
        <v>225.76</v>
      </c>
      <c r="JZ14" s="93">
        <v>224.95</v>
      </c>
      <c r="KA14" s="93">
        <v>224.14</v>
      </c>
      <c r="KB14" s="93">
        <v>223.33</v>
      </c>
      <c r="KC14" s="93">
        <v>222.52</v>
      </c>
      <c r="KD14" s="93">
        <v>221.71</v>
      </c>
      <c r="KE14" s="93">
        <v>220.9</v>
      </c>
      <c r="KF14" s="93">
        <v>220.09</v>
      </c>
      <c r="KG14" s="93">
        <v>219.28</v>
      </c>
      <c r="KH14" s="93">
        <v>218.48</v>
      </c>
      <c r="KI14" s="93">
        <v>217.67</v>
      </c>
      <c r="KJ14" s="93">
        <v>216.87</v>
      </c>
      <c r="KK14" s="93">
        <v>216.07</v>
      </c>
      <c r="KL14" s="93">
        <v>215.27</v>
      </c>
      <c r="KM14" s="93">
        <v>214.47</v>
      </c>
      <c r="KN14" s="93">
        <v>213.67</v>
      </c>
      <c r="KO14" s="93">
        <v>212.88</v>
      </c>
      <c r="KP14" s="93">
        <v>212.08</v>
      </c>
      <c r="KQ14" s="93">
        <v>211.29</v>
      </c>
      <c r="KR14" s="93">
        <v>210.31000000000009</v>
      </c>
      <c r="KS14" s="93">
        <v>209.56000000000009</v>
      </c>
      <c r="KT14" s="93">
        <v>208.81000000000009</v>
      </c>
      <c r="KU14" s="93">
        <v>208.06000000000009</v>
      </c>
      <c r="KV14" s="93">
        <v>207.31000000000009</v>
      </c>
      <c r="KW14" s="93">
        <v>206.56000000000009</v>
      </c>
      <c r="KX14" s="93">
        <v>205.81000000000009</v>
      </c>
      <c r="KY14" s="93">
        <v>205.06000000000009</v>
      </c>
      <c r="KZ14" s="93">
        <v>204.31000000000009</v>
      </c>
      <c r="LA14" s="93">
        <v>203.56000000000009</v>
      </c>
      <c r="LB14" s="93">
        <v>202.81000000000009</v>
      </c>
      <c r="LC14" s="93">
        <v>202.06000000000009</v>
      </c>
      <c r="LD14" s="93">
        <v>201.31000000000009</v>
      </c>
      <c r="LE14" s="93">
        <v>200.56000000000009</v>
      </c>
      <c r="LF14" s="93">
        <v>199.81000000000009</v>
      </c>
      <c r="LG14" s="93">
        <v>199.06000000000009</v>
      </c>
      <c r="LH14" s="93">
        <v>198.31000000000009</v>
      </c>
      <c r="LI14" s="93">
        <v>197.56000000000009</v>
      </c>
      <c r="LJ14" s="93">
        <v>196.81000000000009</v>
      </c>
      <c r="LK14" s="93">
        <v>196.06000000000009</v>
      </c>
      <c r="LL14" s="93">
        <v>195.31000000000009</v>
      </c>
      <c r="LM14" s="93">
        <v>194.56000000000009</v>
      </c>
      <c r="LN14" s="93">
        <v>193.81000000000009</v>
      </c>
      <c r="LO14" s="93">
        <v>193.06000000000009</v>
      </c>
      <c r="LP14" s="93">
        <v>192.31000000000009</v>
      </c>
      <c r="LQ14" s="93">
        <v>191.56000000000009</v>
      </c>
      <c r="LR14" s="93">
        <v>190.81000000000009</v>
      </c>
      <c r="LS14" s="93">
        <v>190.06000000000009</v>
      </c>
      <c r="LT14" s="93">
        <v>189.31000000000009</v>
      </c>
      <c r="LU14" s="93">
        <v>188.56000000000009</v>
      </c>
      <c r="LV14" s="93">
        <v>187.81000000000009</v>
      </c>
      <c r="LW14" s="93">
        <v>187.06000000000009</v>
      </c>
      <c r="LX14" s="93">
        <v>186.31000000000009</v>
      </c>
      <c r="LY14" s="93">
        <v>185.56000000000009</v>
      </c>
      <c r="LZ14" s="93">
        <v>184.81000000000009</v>
      </c>
      <c r="MA14" s="93">
        <v>184.06000000000009</v>
      </c>
      <c r="MB14" s="93">
        <v>183.31000000000009</v>
      </c>
      <c r="MC14" s="93">
        <v>182.56000000000009</v>
      </c>
      <c r="MD14" s="93">
        <v>181.81000000000009</v>
      </c>
      <c r="ME14" s="93">
        <v>181.06000000000009</v>
      </c>
      <c r="MF14" s="93">
        <v>180.31000000000009</v>
      </c>
      <c r="MG14" s="93">
        <v>179.56000000000009</v>
      </c>
      <c r="MH14" s="93">
        <v>178.81000000000009</v>
      </c>
      <c r="MI14" s="93">
        <v>178.06000000000009</v>
      </c>
      <c r="MJ14" s="93">
        <v>177.31000000000009</v>
      </c>
      <c r="MK14" s="93">
        <v>176.56000000000009</v>
      </c>
      <c r="ML14" s="93">
        <v>175.81000000000009</v>
      </c>
      <c r="MM14" s="93">
        <v>175.06000000000009</v>
      </c>
      <c r="MN14" s="93">
        <v>174.31000000000009</v>
      </c>
      <c r="MO14" s="93">
        <v>173.56000000000009</v>
      </c>
      <c r="MP14" s="93">
        <v>172.81000000000009</v>
      </c>
      <c r="MQ14" s="93">
        <v>172.06000000000009</v>
      </c>
      <c r="MR14" s="93">
        <v>171.31000000000009</v>
      </c>
      <c r="MS14" s="93">
        <v>170.56000000000009</v>
      </c>
      <c r="MT14" s="93">
        <v>169.81000000000009</v>
      </c>
      <c r="MU14" s="93">
        <v>169.06000000000009</v>
      </c>
      <c r="MV14" s="93">
        <v>168.31000000000009</v>
      </c>
      <c r="MW14" s="93">
        <v>167.56000000000009</v>
      </c>
      <c r="MX14" s="93">
        <v>166.81000000000009</v>
      </c>
      <c r="MY14" s="93">
        <v>166.06000000000009</v>
      </c>
    </row>
    <row r="15" spans="1:376" ht="15.75" x14ac:dyDescent="0.25">
      <c r="A15" s="90" t="s">
        <v>7</v>
      </c>
      <c r="B15" s="95">
        <v>2025</v>
      </c>
      <c r="C15" s="93">
        <v>493.81</v>
      </c>
      <c r="D15" s="93">
        <v>492.79</v>
      </c>
      <c r="E15" s="93">
        <v>491.77</v>
      </c>
      <c r="F15" s="93">
        <v>490.75</v>
      </c>
      <c r="G15" s="93">
        <v>489.73</v>
      </c>
      <c r="H15" s="93">
        <v>488.71</v>
      </c>
      <c r="I15" s="93">
        <v>487.69</v>
      </c>
      <c r="J15" s="93">
        <v>486.67</v>
      </c>
      <c r="K15" s="93">
        <v>485.65</v>
      </c>
      <c r="L15" s="93">
        <v>484.63</v>
      </c>
      <c r="M15" s="93">
        <v>483.61</v>
      </c>
      <c r="N15" s="93">
        <v>482.6</v>
      </c>
      <c r="O15" s="93">
        <v>481.58</v>
      </c>
      <c r="P15" s="93">
        <v>480.56</v>
      </c>
      <c r="Q15" s="93">
        <v>479.54</v>
      </c>
      <c r="R15" s="93">
        <v>478.52</v>
      </c>
      <c r="S15" s="93">
        <v>477.51</v>
      </c>
      <c r="T15" s="93">
        <v>476.49</v>
      </c>
      <c r="U15" s="93">
        <v>475.47</v>
      </c>
      <c r="V15" s="93">
        <v>474.45</v>
      </c>
      <c r="W15" s="93">
        <v>473.44</v>
      </c>
      <c r="X15" s="93">
        <v>472.42</v>
      </c>
      <c r="Y15" s="93">
        <v>471.4</v>
      </c>
      <c r="Z15" s="93">
        <v>470.38</v>
      </c>
      <c r="AA15" s="93">
        <v>469.37</v>
      </c>
      <c r="AB15" s="93">
        <v>468.35</v>
      </c>
      <c r="AC15" s="93">
        <v>467.33</v>
      </c>
      <c r="AD15" s="93">
        <v>466.32</v>
      </c>
      <c r="AE15" s="93">
        <v>465.3</v>
      </c>
      <c r="AF15" s="93">
        <v>464.28</v>
      </c>
      <c r="AG15" s="93">
        <v>463.27</v>
      </c>
      <c r="AH15" s="93">
        <v>462.25</v>
      </c>
      <c r="AI15" s="93">
        <v>461.24</v>
      </c>
      <c r="AJ15" s="93">
        <v>460.22</v>
      </c>
      <c r="AK15" s="93">
        <v>459.2</v>
      </c>
      <c r="AL15" s="93">
        <v>458.19</v>
      </c>
      <c r="AM15" s="93">
        <v>457.17</v>
      </c>
      <c r="AN15" s="93">
        <v>456.16</v>
      </c>
      <c r="AO15" s="93">
        <v>455.14</v>
      </c>
      <c r="AP15" s="93">
        <v>454.13</v>
      </c>
      <c r="AQ15" s="93">
        <v>453.11</v>
      </c>
      <c r="AR15" s="93">
        <v>452.1</v>
      </c>
      <c r="AS15" s="93">
        <v>451.08</v>
      </c>
      <c r="AT15" s="93">
        <v>450.07</v>
      </c>
      <c r="AU15" s="93">
        <v>449.06</v>
      </c>
      <c r="AV15" s="93">
        <v>448.04</v>
      </c>
      <c r="AW15" s="93">
        <v>447.03</v>
      </c>
      <c r="AX15" s="93">
        <v>446.02</v>
      </c>
      <c r="AY15" s="93">
        <v>445</v>
      </c>
      <c r="AZ15" s="93">
        <v>443.99</v>
      </c>
      <c r="BA15" s="93">
        <v>442.98</v>
      </c>
      <c r="BB15" s="93">
        <v>441.96</v>
      </c>
      <c r="BC15" s="93">
        <v>440.95</v>
      </c>
      <c r="BD15" s="93">
        <v>439.94</v>
      </c>
      <c r="BE15" s="93">
        <v>438.93</v>
      </c>
      <c r="BF15" s="93">
        <v>437.92</v>
      </c>
      <c r="BG15" s="93">
        <v>436.91</v>
      </c>
      <c r="BH15" s="93">
        <v>435.89</v>
      </c>
      <c r="BI15" s="93">
        <v>434.88</v>
      </c>
      <c r="BJ15" s="93">
        <v>433.87</v>
      </c>
      <c r="BK15" s="93">
        <v>432.86</v>
      </c>
      <c r="BL15" s="93">
        <v>431.85</v>
      </c>
      <c r="BM15" s="93">
        <v>430.84</v>
      </c>
      <c r="BN15" s="93">
        <v>429.83</v>
      </c>
      <c r="BO15" s="93">
        <v>428.82</v>
      </c>
      <c r="BP15" s="93">
        <v>427.81</v>
      </c>
      <c r="BQ15" s="93">
        <v>426.81</v>
      </c>
      <c r="BR15" s="93">
        <v>425.8</v>
      </c>
      <c r="BS15" s="93">
        <v>424.79</v>
      </c>
      <c r="BT15" s="93">
        <v>423.78</v>
      </c>
      <c r="BU15" s="93">
        <v>422.77</v>
      </c>
      <c r="BV15" s="93">
        <v>421.76</v>
      </c>
      <c r="BW15" s="93">
        <v>420.76</v>
      </c>
      <c r="BX15" s="93">
        <v>419.75</v>
      </c>
      <c r="BY15" s="93">
        <v>418.75</v>
      </c>
      <c r="BZ15" s="93">
        <v>417.74</v>
      </c>
      <c r="CA15" s="93">
        <v>416.74</v>
      </c>
      <c r="CB15" s="93">
        <v>415.73</v>
      </c>
      <c r="CC15" s="93">
        <v>414.73</v>
      </c>
      <c r="CD15" s="93">
        <v>413.73</v>
      </c>
      <c r="CE15" s="93">
        <v>412.72</v>
      </c>
      <c r="CF15" s="93">
        <v>411.72</v>
      </c>
      <c r="CG15" s="93">
        <v>410.71</v>
      </c>
      <c r="CH15" s="93">
        <v>409.71</v>
      </c>
      <c r="CI15" s="93">
        <v>408.71</v>
      </c>
      <c r="CJ15" s="93">
        <v>407.71</v>
      </c>
      <c r="CK15" s="93">
        <v>406.71</v>
      </c>
      <c r="CL15" s="93">
        <v>405.71</v>
      </c>
      <c r="CM15" s="93">
        <v>404.71</v>
      </c>
      <c r="CN15" s="93">
        <v>403.71</v>
      </c>
      <c r="CO15" s="93">
        <v>402.71</v>
      </c>
      <c r="CP15" s="93">
        <v>401.71</v>
      </c>
      <c r="CQ15" s="93">
        <v>400.72</v>
      </c>
      <c r="CR15" s="93">
        <v>399.72</v>
      </c>
      <c r="CS15" s="93">
        <v>398.72</v>
      </c>
      <c r="CT15" s="93">
        <v>397.72</v>
      </c>
      <c r="CU15" s="93">
        <v>396.72</v>
      </c>
      <c r="CV15" s="93">
        <v>395.73</v>
      </c>
      <c r="CW15" s="93">
        <v>394.74</v>
      </c>
      <c r="CX15" s="93">
        <v>393.74</v>
      </c>
      <c r="CY15" s="93">
        <v>392.75</v>
      </c>
      <c r="CZ15" s="93">
        <v>391.76</v>
      </c>
      <c r="DA15" s="93">
        <v>390.76</v>
      </c>
      <c r="DB15" s="93">
        <v>389.77</v>
      </c>
      <c r="DC15" s="93">
        <v>388.78</v>
      </c>
      <c r="DD15" s="93">
        <v>387.79</v>
      </c>
      <c r="DE15" s="93">
        <v>386.79</v>
      </c>
      <c r="DF15" s="93">
        <v>385.8</v>
      </c>
      <c r="DG15" s="93">
        <v>384.81</v>
      </c>
      <c r="DH15" s="93">
        <v>383.82</v>
      </c>
      <c r="DI15" s="93">
        <v>382.84</v>
      </c>
      <c r="DJ15" s="93">
        <v>381.85</v>
      </c>
      <c r="DK15" s="93">
        <v>380.86</v>
      </c>
      <c r="DL15" s="93">
        <v>379.88</v>
      </c>
      <c r="DM15" s="93">
        <v>378.89</v>
      </c>
      <c r="DN15" s="93">
        <v>377.9</v>
      </c>
      <c r="DO15" s="93">
        <v>376.92</v>
      </c>
      <c r="DP15" s="93">
        <v>375.93</v>
      </c>
      <c r="DQ15" s="93">
        <v>374.95</v>
      </c>
      <c r="DR15" s="93">
        <v>373.96</v>
      </c>
      <c r="DS15" s="93">
        <v>372.98</v>
      </c>
      <c r="DT15" s="93">
        <v>372</v>
      </c>
      <c r="DU15" s="93">
        <v>371.02</v>
      </c>
      <c r="DV15" s="93">
        <v>370.04</v>
      </c>
      <c r="DW15" s="93">
        <v>369.06</v>
      </c>
      <c r="DX15" s="93">
        <v>368.09</v>
      </c>
      <c r="DY15" s="93">
        <v>367.11</v>
      </c>
      <c r="DZ15" s="93">
        <v>366.13</v>
      </c>
      <c r="EA15" s="93">
        <v>365.16</v>
      </c>
      <c r="EB15" s="93">
        <v>364.18</v>
      </c>
      <c r="EC15" s="93">
        <v>363.21</v>
      </c>
      <c r="ED15" s="93">
        <v>362.23</v>
      </c>
      <c r="EE15" s="93">
        <v>361.26</v>
      </c>
      <c r="EF15" s="93">
        <v>360.29</v>
      </c>
      <c r="EG15" s="93">
        <v>359.32</v>
      </c>
      <c r="EH15" s="93">
        <v>358.35</v>
      </c>
      <c r="EI15" s="93">
        <v>357.38</v>
      </c>
      <c r="EJ15" s="93">
        <v>356.42</v>
      </c>
      <c r="EK15" s="93">
        <v>355.45</v>
      </c>
      <c r="EL15" s="93">
        <v>354.48</v>
      </c>
      <c r="EM15" s="93">
        <v>353.52</v>
      </c>
      <c r="EN15" s="93">
        <v>352.55</v>
      </c>
      <c r="EO15" s="93">
        <v>351.59</v>
      </c>
      <c r="EP15" s="93">
        <v>350.63</v>
      </c>
      <c r="EQ15" s="93">
        <v>349.66</v>
      </c>
      <c r="ER15" s="93">
        <v>348.7</v>
      </c>
      <c r="ES15" s="93">
        <v>347.75</v>
      </c>
      <c r="ET15" s="93">
        <v>346.79</v>
      </c>
      <c r="EU15" s="93">
        <v>345.83</v>
      </c>
      <c r="EV15" s="93">
        <v>344.87</v>
      </c>
      <c r="EW15" s="93">
        <v>343.91</v>
      </c>
      <c r="EX15" s="93">
        <v>342.96</v>
      </c>
      <c r="EY15" s="93">
        <v>342</v>
      </c>
      <c r="EZ15" s="93">
        <v>341.05</v>
      </c>
      <c r="FA15" s="93">
        <v>340.09</v>
      </c>
      <c r="FB15" s="93">
        <v>339.14</v>
      </c>
      <c r="FC15" s="93">
        <v>338.19</v>
      </c>
      <c r="FD15" s="93">
        <v>337.23</v>
      </c>
      <c r="FE15" s="93">
        <v>336.28</v>
      </c>
      <c r="FF15" s="93">
        <v>335.33</v>
      </c>
      <c r="FG15" s="93">
        <v>334.38</v>
      </c>
      <c r="FH15" s="93">
        <v>333.43</v>
      </c>
      <c r="FI15" s="93">
        <v>332.48</v>
      </c>
      <c r="FJ15" s="93">
        <v>331.54</v>
      </c>
      <c r="FK15" s="93">
        <v>330.59</v>
      </c>
      <c r="FL15" s="93">
        <v>329.64</v>
      </c>
      <c r="FM15" s="93">
        <v>328.7</v>
      </c>
      <c r="FN15" s="93">
        <v>327.75</v>
      </c>
      <c r="FO15" s="93">
        <v>326.81</v>
      </c>
      <c r="FP15" s="93">
        <v>325.85000000000002</v>
      </c>
      <c r="FQ15" s="93">
        <v>324.92</v>
      </c>
      <c r="FR15" s="93">
        <v>323.98</v>
      </c>
      <c r="FS15" s="93">
        <v>323.04000000000002</v>
      </c>
      <c r="FT15" s="93">
        <v>322.10000000000002</v>
      </c>
      <c r="FU15" s="93">
        <v>321.16000000000003</v>
      </c>
      <c r="FV15" s="93">
        <v>320.22000000000003</v>
      </c>
      <c r="FW15" s="93">
        <v>319.27999999999997</v>
      </c>
      <c r="FX15" s="93">
        <v>318.35000000000002</v>
      </c>
      <c r="FY15" s="93">
        <v>317.41000000000003</v>
      </c>
      <c r="FZ15" s="93">
        <v>316.47000000000003</v>
      </c>
      <c r="GA15" s="93">
        <v>315.54000000000002</v>
      </c>
      <c r="GB15" s="93">
        <v>314.60000000000002</v>
      </c>
      <c r="GC15" s="93">
        <v>313.67</v>
      </c>
      <c r="GD15" s="93">
        <v>312.74</v>
      </c>
      <c r="GE15" s="93">
        <v>311.81</v>
      </c>
      <c r="GF15" s="93">
        <v>310.88</v>
      </c>
      <c r="GG15" s="93">
        <v>309.95</v>
      </c>
      <c r="GH15" s="93">
        <v>309.01</v>
      </c>
      <c r="GI15" s="93">
        <v>308.10000000000002</v>
      </c>
      <c r="GJ15" s="93">
        <v>307.17</v>
      </c>
      <c r="GK15" s="93">
        <v>306.25</v>
      </c>
      <c r="GL15" s="93">
        <v>305.32</v>
      </c>
      <c r="GM15" s="93">
        <v>304.39999999999998</v>
      </c>
      <c r="GN15" s="93">
        <v>303.48</v>
      </c>
      <c r="GO15" s="93">
        <v>302.56</v>
      </c>
      <c r="GP15" s="93">
        <v>301.64</v>
      </c>
      <c r="GQ15" s="93">
        <v>300.72000000000003</v>
      </c>
      <c r="GR15" s="93">
        <v>299.79000000000002</v>
      </c>
      <c r="GS15" s="93">
        <v>298.89</v>
      </c>
      <c r="GT15" s="93">
        <v>297.97000000000003</v>
      </c>
      <c r="GU15" s="93">
        <v>297.06</v>
      </c>
      <c r="GV15" s="93">
        <v>296.14999999999998</v>
      </c>
      <c r="GW15" s="93">
        <v>295.24</v>
      </c>
      <c r="GX15" s="93">
        <v>294.32</v>
      </c>
      <c r="GY15" s="93">
        <v>293.41000000000003</v>
      </c>
      <c r="GZ15" s="93">
        <v>292.51</v>
      </c>
      <c r="HA15" s="93">
        <v>291.60000000000002</v>
      </c>
      <c r="HB15" s="93">
        <v>290.69</v>
      </c>
      <c r="HC15" s="93">
        <v>289.79000000000002</v>
      </c>
      <c r="HD15" s="93">
        <v>288.89</v>
      </c>
      <c r="HE15" s="93">
        <v>287.98</v>
      </c>
      <c r="HF15" s="93">
        <v>287.07</v>
      </c>
      <c r="HG15" s="93">
        <v>286.18</v>
      </c>
      <c r="HH15" s="93">
        <v>285.27999999999997</v>
      </c>
      <c r="HI15" s="93">
        <v>284.39</v>
      </c>
      <c r="HJ15" s="93">
        <v>283.49</v>
      </c>
      <c r="HK15" s="93">
        <v>282.60000000000002</v>
      </c>
      <c r="HL15" s="93">
        <v>281.7</v>
      </c>
      <c r="HM15" s="93">
        <v>280.81</v>
      </c>
      <c r="HN15" s="93">
        <v>279.92</v>
      </c>
      <c r="HO15" s="93">
        <v>279.02999999999997</v>
      </c>
      <c r="HP15" s="93">
        <v>278.14</v>
      </c>
      <c r="HQ15" s="93">
        <v>277.26</v>
      </c>
      <c r="HR15" s="93">
        <v>276.37</v>
      </c>
      <c r="HS15" s="93">
        <v>275.49</v>
      </c>
      <c r="HT15" s="93">
        <v>274.60000000000002</v>
      </c>
      <c r="HU15" s="93">
        <v>273.72000000000003</v>
      </c>
      <c r="HV15" s="93">
        <v>272.83999999999997</v>
      </c>
      <c r="HW15" s="93">
        <v>271.95999999999998</v>
      </c>
      <c r="HX15" s="93">
        <v>271.07</v>
      </c>
      <c r="HY15" s="93">
        <v>270.20999999999998</v>
      </c>
      <c r="HZ15" s="93">
        <v>269.32</v>
      </c>
      <c r="IA15" s="93">
        <v>268.45</v>
      </c>
      <c r="IB15" s="93">
        <v>267.57</v>
      </c>
      <c r="IC15" s="93">
        <v>266.70999999999998</v>
      </c>
      <c r="ID15" s="93">
        <v>265.83999999999997</v>
      </c>
      <c r="IE15" s="93">
        <v>264.95999999999998</v>
      </c>
      <c r="IF15" s="93">
        <v>264.10000000000002</v>
      </c>
      <c r="IG15" s="93">
        <v>263.23</v>
      </c>
      <c r="IH15" s="93">
        <v>262.35000000000002</v>
      </c>
      <c r="II15" s="93">
        <v>261.49</v>
      </c>
      <c r="IJ15" s="93">
        <v>260.63</v>
      </c>
      <c r="IK15" s="93">
        <v>259.76</v>
      </c>
      <c r="IL15" s="93">
        <v>258.89999999999998</v>
      </c>
      <c r="IM15" s="93">
        <v>258.04000000000002</v>
      </c>
      <c r="IN15" s="93">
        <v>257.18</v>
      </c>
      <c r="IO15" s="93">
        <v>256.32</v>
      </c>
      <c r="IP15" s="93">
        <v>255.47</v>
      </c>
      <c r="IQ15" s="93">
        <v>254.61</v>
      </c>
      <c r="IR15" s="93">
        <v>253.75</v>
      </c>
      <c r="IS15" s="93">
        <v>252.9</v>
      </c>
      <c r="IT15" s="93">
        <v>252.05</v>
      </c>
      <c r="IU15" s="93">
        <v>251.2</v>
      </c>
      <c r="IV15" s="93">
        <v>250.35</v>
      </c>
      <c r="IW15" s="93">
        <v>249.5</v>
      </c>
      <c r="IX15" s="93">
        <v>248.66</v>
      </c>
      <c r="IY15" s="93">
        <v>247.81</v>
      </c>
      <c r="IZ15" s="93">
        <v>246.97</v>
      </c>
      <c r="JA15" s="93">
        <v>246.13</v>
      </c>
      <c r="JB15" s="93">
        <v>245.28</v>
      </c>
      <c r="JC15" s="93">
        <v>244.44</v>
      </c>
      <c r="JD15" s="93">
        <v>243.61</v>
      </c>
      <c r="JE15" s="93">
        <v>242.77</v>
      </c>
      <c r="JF15" s="93">
        <v>241.93</v>
      </c>
      <c r="JG15" s="93">
        <v>241.1</v>
      </c>
      <c r="JH15" s="93">
        <v>240.26</v>
      </c>
      <c r="JI15" s="93">
        <v>239.43</v>
      </c>
      <c r="JJ15" s="93">
        <v>238.6</v>
      </c>
      <c r="JK15" s="93">
        <v>237.77</v>
      </c>
      <c r="JL15" s="93">
        <v>236.94</v>
      </c>
      <c r="JM15" s="93">
        <v>236.11</v>
      </c>
      <c r="JN15" s="93">
        <v>235.28</v>
      </c>
      <c r="JO15" s="93">
        <v>234.45</v>
      </c>
      <c r="JP15" s="93">
        <v>233.63</v>
      </c>
      <c r="JQ15" s="93">
        <v>232.8</v>
      </c>
      <c r="JR15" s="93">
        <v>231.98</v>
      </c>
      <c r="JS15" s="93">
        <v>231.16</v>
      </c>
      <c r="JT15" s="93">
        <v>230.34</v>
      </c>
      <c r="JU15" s="93">
        <v>229.52</v>
      </c>
      <c r="JV15" s="93">
        <v>228.7</v>
      </c>
      <c r="JW15" s="93">
        <v>227.88</v>
      </c>
      <c r="JX15" s="93">
        <v>227.07</v>
      </c>
      <c r="JY15" s="93">
        <v>226.25</v>
      </c>
      <c r="JZ15" s="93">
        <v>225.44</v>
      </c>
      <c r="KA15" s="93">
        <v>224.62</v>
      </c>
      <c r="KB15" s="93">
        <v>223.81</v>
      </c>
      <c r="KC15" s="93">
        <v>223</v>
      </c>
      <c r="KD15" s="93">
        <v>222.19</v>
      </c>
      <c r="KE15" s="93">
        <v>221.38</v>
      </c>
      <c r="KF15" s="93">
        <v>220.57</v>
      </c>
      <c r="KG15" s="93">
        <v>219.77</v>
      </c>
      <c r="KH15" s="93">
        <v>218.96</v>
      </c>
      <c r="KI15" s="93">
        <v>218.15</v>
      </c>
      <c r="KJ15" s="93">
        <v>217.35</v>
      </c>
      <c r="KK15" s="93">
        <v>216.55</v>
      </c>
      <c r="KL15" s="93">
        <v>215.75</v>
      </c>
      <c r="KM15" s="93">
        <v>214.95</v>
      </c>
      <c r="KN15" s="93">
        <v>214.15</v>
      </c>
      <c r="KO15" s="93">
        <v>213.35</v>
      </c>
      <c r="KP15" s="93">
        <v>212.56</v>
      </c>
      <c r="KQ15" s="93">
        <v>211.77</v>
      </c>
      <c r="KR15" s="93">
        <v>210.7700000000001</v>
      </c>
      <c r="KS15" s="93">
        <v>210.0200000000001</v>
      </c>
      <c r="KT15" s="93">
        <v>209.2700000000001</v>
      </c>
      <c r="KU15" s="93">
        <v>208.5200000000001</v>
      </c>
      <c r="KV15" s="93">
        <v>207.7700000000001</v>
      </c>
      <c r="KW15" s="93">
        <v>207.0200000000001</v>
      </c>
      <c r="KX15" s="93">
        <v>206.2700000000001</v>
      </c>
      <c r="KY15" s="93">
        <v>205.5200000000001</v>
      </c>
      <c r="KZ15" s="93">
        <v>204.7700000000001</v>
      </c>
      <c r="LA15" s="93">
        <v>204.0200000000001</v>
      </c>
      <c r="LB15" s="93">
        <v>203.2700000000001</v>
      </c>
      <c r="LC15" s="93">
        <v>202.5200000000001</v>
      </c>
      <c r="LD15" s="93">
        <v>201.7700000000001</v>
      </c>
      <c r="LE15" s="93">
        <v>201.0200000000001</v>
      </c>
      <c r="LF15" s="93">
        <v>200.2700000000001</v>
      </c>
      <c r="LG15" s="93">
        <v>199.5200000000001</v>
      </c>
      <c r="LH15" s="93">
        <v>198.7700000000001</v>
      </c>
      <c r="LI15" s="93">
        <v>198.0200000000001</v>
      </c>
      <c r="LJ15" s="93">
        <v>197.2700000000001</v>
      </c>
      <c r="LK15" s="93">
        <v>196.5200000000001</v>
      </c>
      <c r="LL15" s="93">
        <v>195.7700000000001</v>
      </c>
      <c r="LM15" s="93">
        <v>195.0200000000001</v>
      </c>
      <c r="LN15" s="93">
        <v>194.2700000000001</v>
      </c>
      <c r="LO15" s="93">
        <v>193.5200000000001</v>
      </c>
      <c r="LP15" s="93">
        <v>192.7700000000001</v>
      </c>
      <c r="LQ15" s="93">
        <v>192.0200000000001</v>
      </c>
      <c r="LR15" s="93">
        <v>191.2700000000001</v>
      </c>
      <c r="LS15" s="93">
        <v>190.5200000000001</v>
      </c>
      <c r="LT15" s="93">
        <v>189.7700000000001</v>
      </c>
      <c r="LU15" s="93">
        <v>189.0200000000001</v>
      </c>
      <c r="LV15" s="93">
        <v>188.2700000000001</v>
      </c>
      <c r="LW15" s="93">
        <v>187.5200000000001</v>
      </c>
      <c r="LX15" s="93">
        <v>186.7700000000001</v>
      </c>
      <c r="LY15" s="93">
        <v>186.0200000000001</v>
      </c>
      <c r="LZ15" s="93">
        <v>185.2700000000001</v>
      </c>
      <c r="MA15" s="93">
        <v>184.5200000000001</v>
      </c>
      <c r="MB15" s="93">
        <v>183.7700000000001</v>
      </c>
      <c r="MC15" s="93">
        <v>183.0200000000001</v>
      </c>
      <c r="MD15" s="93">
        <v>182.2700000000001</v>
      </c>
      <c r="ME15" s="93">
        <v>181.5200000000001</v>
      </c>
      <c r="MF15" s="93">
        <v>180.7700000000001</v>
      </c>
      <c r="MG15" s="93">
        <v>180.0200000000001</v>
      </c>
      <c r="MH15" s="93">
        <v>179.2700000000001</v>
      </c>
      <c r="MI15" s="93">
        <v>178.5200000000001</v>
      </c>
      <c r="MJ15" s="93">
        <v>177.7700000000001</v>
      </c>
      <c r="MK15" s="93">
        <v>177.0200000000001</v>
      </c>
      <c r="ML15" s="93">
        <v>176.2700000000001</v>
      </c>
      <c r="MM15" s="93">
        <v>175.5200000000001</v>
      </c>
      <c r="MN15" s="93">
        <v>174.7700000000001</v>
      </c>
      <c r="MO15" s="93">
        <v>174.0200000000001</v>
      </c>
      <c r="MP15" s="93">
        <v>173.2700000000001</v>
      </c>
      <c r="MQ15" s="93">
        <v>172.5200000000001</v>
      </c>
      <c r="MR15" s="93">
        <v>171.7700000000001</v>
      </c>
      <c r="MS15" s="93">
        <v>171.0200000000001</v>
      </c>
      <c r="MT15" s="93">
        <v>170.2700000000001</v>
      </c>
      <c r="MU15" s="93">
        <v>169.5200000000001</v>
      </c>
      <c r="MV15" s="93">
        <v>168.7700000000001</v>
      </c>
      <c r="MW15" s="93">
        <v>168.0200000000001</v>
      </c>
      <c r="MX15" s="93">
        <v>167.2700000000001</v>
      </c>
      <c r="MY15" s="93">
        <v>166.5200000000001</v>
      </c>
    </row>
    <row r="16" spans="1:376" ht="15.75" x14ac:dyDescent="0.25">
      <c r="A16" s="90" t="s">
        <v>7</v>
      </c>
      <c r="B16" s="95">
        <v>2026</v>
      </c>
      <c r="C16" s="93">
        <v>494.4</v>
      </c>
      <c r="D16" s="93">
        <v>493.38</v>
      </c>
      <c r="E16" s="93">
        <v>492.36</v>
      </c>
      <c r="F16" s="93">
        <v>491.35</v>
      </c>
      <c r="G16" s="93">
        <v>490.33</v>
      </c>
      <c r="H16" s="93">
        <v>489.31</v>
      </c>
      <c r="I16" s="93">
        <v>488.29</v>
      </c>
      <c r="J16" s="93">
        <v>487.27</v>
      </c>
      <c r="K16" s="93">
        <v>486.25</v>
      </c>
      <c r="L16" s="93">
        <v>485.23</v>
      </c>
      <c r="M16" s="93">
        <v>484.21</v>
      </c>
      <c r="N16" s="93">
        <v>483.19</v>
      </c>
      <c r="O16" s="93">
        <v>482.17</v>
      </c>
      <c r="P16" s="93">
        <v>481.15</v>
      </c>
      <c r="Q16" s="93">
        <v>480.14</v>
      </c>
      <c r="R16" s="93">
        <v>479.12</v>
      </c>
      <c r="S16" s="93">
        <v>478.1</v>
      </c>
      <c r="T16" s="93">
        <v>477.08</v>
      </c>
      <c r="U16" s="93">
        <v>476.06</v>
      </c>
      <c r="V16" s="93">
        <v>475.05</v>
      </c>
      <c r="W16" s="93">
        <v>474.03</v>
      </c>
      <c r="X16" s="93">
        <v>473.01</v>
      </c>
      <c r="Y16" s="93">
        <v>471.99</v>
      </c>
      <c r="Z16" s="93">
        <v>470.97</v>
      </c>
      <c r="AA16" s="93">
        <v>469.96</v>
      </c>
      <c r="AB16" s="93">
        <v>468.94</v>
      </c>
      <c r="AC16" s="93">
        <v>467.92</v>
      </c>
      <c r="AD16" s="93">
        <v>466.91</v>
      </c>
      <c r="AE16" s="93">
        <v>465.89</v>
      </c>
      <c r="AF16" s="93">
        <v>464.87</v>
      </c>
      <c r="AG16" s="93">
        <v>463.86</v>
      </c>
      <c r="AH16" s="93">
        <v>462.84</v>
      </c>
      <c r="AI16" s="93">
        <v>461.82</v>
      </c>
      <c r="AJ16" s="93">
        <v>460.81</v>
      </c>
      <c r="AK16" s="93">
        <v>459.79</v>
      </c>
      <c r="AL16" s="93">
        <v>458.77</v>
      </c>
      <c r="AM16" s="93">
        <v>457.76</v>
      </c>
      <c r="AN16" s="93">
        <v>456.74</v>
      </c>
      <c r="AO16" s="93">
        <v>455.73</v>
      </c>
      <c r="AP16" s="93">
        <v>454.71</v>
      </c>
      <c r="AQ16" s="93">
        <v>453.7</v>
      </c>
      <c r="AR16" s="93">
        <v>452.68</v>
      </c>
      <c r="AS16" s="93">
        <v>451.67</v>
      </c>
      <c r="AT16" s="93">
        <v>450.65</v>
      </c>
      <c r="AU16" s="93">
        <v>449.64</v>
      </c>
      <c r="AV16" s="93">
        <v>448.62</v>
      </c>
      <c r="AW16" s="93">
        <v>447.61</v>
      </c>
      <c r="AX16" s="93">
        <v>446.6</v>
      </c>
      <c r="AY16" s="93">
        <v>445.58</v>
      </c>
      <c r="AZ16" s="93">
        <v>444.57</v>
      </c>
      <c r="BA16" s="93">
        <v>443.56</v>
      </c>
      <c r="BB16" s="93">
        <v>442.54</v>
      </c>
      <c r="BC16" s="93">
        <v>441.53</v>
      </c>
      <c r="BD16" s="93">
        <v>440.52</v>
      </c>
      <c r="BE16" s="93">
        <v>439.51</v>
      </c>
      <c r="BF16" s="93">
        <v>438.49</v>
      </c>
      <c r="BG16" s="93">
        <v>437.48</v>
      </c>
      <c r="BH16" s="93">
        <v>436.47</v>
      </c>
      <c r="BI16" s="93">
        <v>435.46</v>
      </c>
      <c r="BJ16" s="93">
        <v>434.45</v>
      </c>
      <c r="BK16" s="93">
        <v>433.43</v>
      </c>
      <c r="BL16" s="93">
        <v>432.42</v>
      </c>
      <c r="BM16" s="93">
        <v>431.42</v>
      </c>
      <c r="BN16" s="93">
        <v>430.41</v>
      </c>
      <c r="BO16" s="93">
        <v>429.4</v>
      </c>
      <c r="BP16" s="93">
        <v>428.39</v>
      </c>
      <c r="BQ16" s="93">
        <v>427.38</v>
      </c>
      <c r="BR16" s="93">
        <v>426.37</v>
      </c>
      <c r="BS16" s="93">
        <v>425.36</v>
      </c>
      <c r="BT16" s="93">
        <v>424.35</v>
      </c>
      <c r="BU16" s="93">
        <v>423.34</v>
      </c>
      <c r="BV16" s="93">
        <v>422.33</v>
      </c>
      <c r="BW16" s="93">
        <v>421.33</v>
      </c>
      <c r="BX16" s="93">
        <v>420.32</v>
      </c>
      <c r="BY16" s="93">
        <v>419.31</v>
      </c>
      <c r="BZ16" s="93">
        <v>418.31</v>
      </c>
      <c r="CA16" s="93">
        <v>417.3</v>
      </c>
      <c r="CB16" s="93">
        <v>416.3</v>
      </c>
      <c r="CC16" s="93">
        <v>415.3</v>
      </c>
      <c r="CD16" s="93">
        <v>414.29</v>
      </c>
      <c r="CE16" s="93">
        <v>413.29</v>
      </c>
      <c r="CF16" s="93">
        <v>412.28</v>
      </c>
      <c r="CG16" s="93">
        <v>411.28</v>
      </c>
      <c r="CH16" s="93">
        <v>410.27</v>
      </c>
      <c r="CI16" s="93">
        <v>409.27</v>
      </c>
      <c r="CJ16" s="93">
        <v>408.27</v>
      </c>
      <c r="CK16" s="93">
        <v>407.27</v>
      </c>
      <c r="CL16" s="93">
        <v>406.27</v>
      </c>
      <c r="CM16" s="93">
        <v>405.27</v>
      </c>
      <c r="CN16" s="93">
        <v>404.27</v>
      </c>
      <c r="CO16" s="93">
        <v>403.27</v>
      </c>
      <c r="CP16" s="93">
        <v>402.27</v>
      </c>
      <c r="CQ16" s="93">
        <v>401.27</v>
      </c>
      <c r="CR16" s="93">
        <v>400.28</v>
      </c>
      <c r="CS16" s="93">
        <v>399.28</v>
      </c>
      <c r="CT16" s="93">
        <v>398.28</v>
      </c>
      <c r="CU16" s="93">
        <v>397.28</v>
      </c>
      <c r="CV16" s="93">
        <v>396.29</v>
      </c>
      <c r="CW16" s="93">
        <v>395.29</v>
      </c>
      <c r="CX16" s="93">
        <v>394.3</v>
      </c>
      <c r="CY16" s="93">
        <v>393.3</v>
      </c>
      <c r="CZ16" s="93">
        <v>392.31</v>
      </c>
      <c r="DA16" s="93">
        <v>391.32</v>
      </c>
      <c r="DB16" s="93">
        <v>390.32</v>
      </c>
      <c r="DC16" s="93">
        <v>389.33</v>
      </c>
      <c r="DD16" s="93">
        <v>388.34</v>
      </c>
      <c r="DE16" s="93">
        <v>387.35</v>
      </c>
      <c r="DF16" s="93">
        <v>386.35</v>
      </c>
      <c r="DG16" s="93">
        <v>385.36</v>
      </c>
      <c r="DH16" s="93">
        <v>384.37</v>
      </c>
      <c r="DI16" s="93">
        <v>383.39</v>
      </c>
      <c r="DJ16" s="93">
        <v>382.4</v>
      </c>
      <c r="DK16" s="93">
        <v>381.41</v>
      </c>
      <c r="DL16" s="93">
        <v>380.43</v>
      </c>
      <c r="DM16" s="93">
        <v>379.44</v>
      </c>
      <c r="DN16" s="93">
        <v>378.45</v>
      </c>
      <c r="DO16" s="93">
        <v>377.47</v>
      </c>
      <c r="DP16" s="93">
        <v>376.48</v>
      </c>
      <c r="DQ16" s="93">
        <v>375.5</v>
      </c>
      <c r="DR16" s="93">
        <v>374.51</v>
      </c>
      <c r="DS16" s="93">
        <v>373.53</v>
      </c>
      <c r="DT16" s="93">
        <v>372.55</v>
      </c>
      <c r="DU16" s="93">
        <v>371.57</v>
      </c>
      <c r="DV16" s="93">
        <v>370.59</v>
      </c>
      <c r="DW16" s="93">
        <v>369.61</v>
      </c>
      <c r="DX16" s="93">
        <v>368.63</v>
      </c>
      <c r="DY16" s="93">
        <v>367.65</v>
      </c>
      <c r="DZ16" s="93">
        <v>366.68</v>
      </c>
      <c r="EA16" s="93">
        <v>365.7</v>
      </c>
      <c r="EB16" s="93">
        <v>364.72</v>
      </c>
      <c r="EC16" s="93">
        <v>363.75</v>
      </c>
      <c r="ED16" s="93">
        <v>362.77</v>
      </c>
      <c r="EE16" s="93">
        <v>361.8</v>
      </c>
      <c r="EF16" s="93">
        <v>360.83</v>
      </c>
      <c r="EG16" s="93">
        <v>359.86</v>
      </c>
      <c r="EH16" s="93">
        <v>358.89</v>
      </c>
      <c r="EI16" s="93">
        <v>357.92</v>
      </c>
      <c r="EJ16" s="93">
        <v>356.96</v>
      </c>
      <c r="EK16" s="93">
        <v>355.99</v>
      </c>
      <c r="EL16" s="93">
        <v>355.02</v>
      </c>
      <c r="EM16" s="93">
        <v>354.06</v>
      </c>
      <c r="EN16" s="93">
        <v>353.09</v>
      </c>
      <c r="EO16" s="93">
        <v>352.13</v>
      </c>
      <c r="EP16" s="93">
        <v>351.17</v>
      </c>
      <c r="EQ16" s="93">
        <v>350.2</v>
      </c>
      <c r="ER16" s="93">
        <v>349.24</v>
      </c>
      <c r="ES16" s="93">
        <v>348.28</v>
      </c>
      <c r="ET16" s="93">
        <v>347.32</v>
      </c>
      <c r="EU16" s="93">
        <v>346.37</v>
      </c>
      <c r="EV16" s="93">
        <v>345.41</v>
      </c>
      <c r="EW16" s="93">
        <v>344.45</v>
      </c>
      <c r="EX16" s="93">
        <v>343.5</v>
      </c>
      <c r="EY16" s="93">
        <v>342.54</v>
      </c>
      <c r="EZ16" s="93">
        <v>341.58</v>
      </c>
      <c r="FA16" s="93">
        <v>340.63</v>
      </c>
      <c r="FB16" s="93">
        <v>339.68</v>
      </c>
      <c r="FC16" s="93">
        <v>338.72</v>
      </c>
      <c r="FD16" s="93">
        <v>337.77</v>
      </c>
      <c r="FE16" s="93">
        <v>336.82</v>
      </c>
      <c r="FF16" s="93">
        <v>335.87</v>
      </c>
      <c r="FG16" s="93">
        <v>334.92</v>
      </c>
      <c r="FH16" s="93">
        <v>333.97</v>
      </c>
      <c r="FI16" s="93">
        <v>333.02</v>
      </c>
      <c r="FJ16" s="93">
        <v>332.07</v>
      </c>
      <c r="FK16" s="93">
        <v>331.12</v>
      </c>
      <c r="FL16" s="93">
        <v>330.18</v>
      </c>
      <c r="FM16" s="93">
        <v>329.23</v>
      </c>
      <c r="FN16" s="93">
        <v>328.28</v>
      </c>
      <c r="FO16" s="93">
        <v>327.33999999999997</v>
      </c>
      <c r="FP16" s="93">
        <v>326.39999999999998</v>
      </c>
      <c r="FQ16" s="93">
        <v>325.45</v>
      </c>
      <c r="FR16" s="93">
        <v>324.51</v>
      </c>
      <c r="FS16" s="93">
        <v>323.57</v>
      </c>
      <c r="FT16" s="93">
        <v>322.63</v>
      </c>
      <c r="FU16" s="93">
        <v>321.69</v>
      </c>
      <c r="FV16" s="93">
        <v>320.75</v>
      </c>
      <c r="FW16" s="93">
        <v>319.81</v>
      </c>
      <c r="FX16" s="93">
        <v>318.88</v>
      </c>
      <c r="FY16" s="93">
        <v>317.94</v>
      </c>
      <c r="FZ16" s="93">
        <v>317</v>
      </c>
      <c r="GA16" s="93">
        <v>316.07</v>
      </c>
      <c r="GB16" s="93">
        <v>315.13</v>
      </c>
      <c r="GC16" s="93">
        <v>314.2</v>
      </c>
      <c r="GD16" s="93">
        <v>313.26</v>
      </c>
      <c r="GE16" s="93">
        <v>312.33999999999997</v>
      </c>
      <c r="GF16" s="93">
        <v>311.41000000000003</v>
      </c>
      <c r="GG16" s="93">
        <v>310.48</v>
      </c>
      <c r="GH16" s="93">
        <v>309.54000000000002</v>
      </c>
      <c r="GI16" s="93">
        <v>308.62</v>
      </c>
      <c r="GJ16" s="93">
        <v>307.7</v>
      </c>
      <c r="GK16" s="93">
        <v>306.76</v>
      </c>
      <c r="GL16" s="93">
        <v>305.85000000000002</v>
      </c>
      <c r="GM16" s="93">
        <v>304.92</v>
      </c>
      <c r="GN16" s="93">
        <v>304</v>
      </c>
      <c r="GO16" s="93">
        <v>303.07</v>
      </c>
      <c r="GP16" s="93">
        <v>302.16000000000003</v>
      </c>
      <c r="GQ16" s="93">
        <v>301.25</v>
      </c>
      <c r="GR16" s="93">
        <v>300.32</v>
      </c>
      <c r="GS16" s="93">
        <v>299.41000000000003</v>
      </c>
      <c r="GT16" s="93">
        <v>298.5</v>
      </c>
      <c r="GU16" s="93">
        <v>297.57</v>
      </c>
      <c r="GV16" s="93">
        <v>296.67</v>
      </c>
      <c r="GW16" s="93">
        <v>295.76</v>
      </c>
      <c r="GX16" s="93">
        <v>294.85000000000002</v>
      </c>
      <c r="GY16" s="93">
        <v>293.94</v>
      </c>
      <c r="GZ16" s="93">
        <v>293.02999999999997</v>
      </c>
      <c r="HA16" s="93">
        <v>292.12</v>
      </c>
      <c r="HB16" s="93">
        <v>291.22000000000003</v>
      </c>
      <c r="HC16" s="93">
        <v>290.31</v>
      </c>
      <c r="HD16" s="93">
        <v>289.41000000000003</v>
      </c>
      <c r="HE16" s="93">
        <v>288.5</v>
      </c>
      <c r="HF16" s="93">
        <v>287.60000000000002</v>
      </c>
      <c r="HG16" s="93">
        <v>286.7</v>
      </c>
      <c r="HH16" s="93">
        <v>285.79000000000002</v>
      </c>
      <c r="HI16" s="93">
        <v>284.89999999999998</v>
      </c>
      <c r="HJ16" s="93">
        <v>284.01</v>
      </c>
      <c r="HK16" s="93">
        <v>283.10000000000002</v>
      </c>
      <c r="HL16" s="93">
        <v>282.22000000000003</v>
      </c>
      <c r="HM16" s="93">
        <v>281.32</v>
      </c>
      <c r="HN16" s="93">
        <v>280.44</v>
      </c>
      <c r="HO16" s="93">
        <v>279.54000000000002</v>
      </c>
      <c r="HP16" s="93">
        <v>278.66000000000003</v>
      </c>
      <c r="HQ16" s="93">
        <v>277.76</v>
      </c>
      <c r="HR16" s="93">
        <v>276.89</v>
      </c>
      <c r="HS16" s="93">
        <v>276</v>
      </c>
      <c r="HT16" s="93">
        <v>275.12</v>
      </c>
      <c r="HU16" s="93">
        <v>274.24</v>
      </c>
      <c r="HV16" s="93">
        <v>273.35000000000002</v>
      </c>
      <c r="HW16" s="93">
        <v>272.47000000000003</v>
      </c>
      <c r="HX16" s="93">
        <v>271.60000000000002</v>
      </c>
      <c r="HY16" s="93">
        <v>270.72000000000003</v>
      </c>
      <c r="HZ16" s="93">
        <v>269.83999999999997</v>
      </c>
      <c r="IA16" s="93">
        <v>268.97000000000003</v>
      </c>
      <c r="IB16" s="93">
        <v>268.08999999999997</v>
      </c>
      <c r="IC16" s="93">
        <v>267.22000000000003</v>
      </c>
      <c r="ID16" s="93">
        <v>266.35000000000002</v>
      </c>
      <c r="IE16" s="93">
        <v>265.47000000000003</v>
      </c>
      <c r="IF16" s="93">
        <v>264.60000000000002</v>
      </c>
      <c r="IG16" s="93">
        <v>263.73</v>
      </c>
      <c r="IH16" s="93">
        <v>262.87</v>
      </c>
      <c r="II16" s="93">
        <v>262</v>
      </c>
      <c r="IJ16" s="93">
        <v>261.13</v>
      </c>
      <c r="IK16" s="93">
        <v>260.26</v>
      </c>
      <c r="IL16" s="93">
        <v>259.41000000000003</v>
      </c>
      <c r="IM16" s="93">
        <v>258.54000000000002</v>
      </c>
      <c r="IN16" s="93">
        <v>257.69</v>
      </c>
      <c r="IO16" s="93">
        <v>256.82</v>
      </c>
      <c r="IP16" s="93">
        <v>255.97</v>
      </c>
      <c r="IQ16" s="93">
        <v>255.11</v>
      </c>
      <c r="IR16" s="93">
        <v>254.26</v>
      </c>
      <c r="IS16" s="93">
        <v>253.4</v>
      </c>
      <c r="IT16" s="93">
        <v>252.55</v>
      </c>
      <c r="IU16" s="93">
        <v>251.7</v>
      </c>
      <c r="IV16" s="93">
        <v>250.85</v>
      </c>
      <c r="IW16" s="93">
        <v>250</v>
      </c>
      <c r="IX16" s="93">
        <v>249.16</v>
      </c>
      <c r="IY16" s="93">
        <v>248.31</v>
      </c>
      <c r="IZ16" s="93">
        <v>247.47</v>
      </c>
      <c r="JA16" s="93">
        <v>246.62</v>
      </c>
      <c r="JB16" s="93">
        <v>245.78</v>
      </c>
      <c r="JC16" s="93">
        <v>244.94</v>
      </c>
      <c r="JD16" s="93">
        <v>244.1</v>
      </c>
      <c r="JE16" s="93">
        <v>243.26</v>
      </c>
      <c r="JF16" s="93">
        <v>242.43</v>
      </c>
      <c r="JG16" s="93">
        <v>241.59</v>
      </c>
      <c r="JH16" s="93">
        <v>240.76</v>
      </c>
      <c r="JI16" s="93">
        <v>239.92</v>
      </c>
      <c r="JJ16" s="93">
        <v>239.09</v>
      </c>
      <c r="JK16" s="93">
        <v>238.26</v>
      </c>
      <c r="JL16" s="93">
        <v>237.43</v>
      </c>
      <c r="JM16" s="93">
        <v>236.6</v>
      </c>
      <c r="JN16" s="93">
        <v>235.77</v>
      </c>
      <c r="JO16" s="93">
        <v>234.94</v>
      </c>
      <c r="JP16" s="93">
        <v>234.12</v>
      </c>
      <c r="JQ16" s="93">
        <v>233.29</v>
      </c>
      <c r="JR16" s="93">
        <v>232.47</v>
      </c>
      <c r="JS16" s="93">
        <v>231.65</v>
      </c>
      <c r="JT16" s="93">
        <v>230.83</v>
      </c>
      <c r="JU16" s="93">
        <v>230.01</v>
      </c>
      <c r="JV16" s="93">
        <v>229.19</v>
      </c>
      <c r="JW16" s="93">
        <v>228.37</v>
      </c>
      <c r="JX16" s="93">
        <v>227.55</v>
      </c>
      <c r="JY16" s="93">
        <v>226.74</v>
      </c>
      <c r="JZ16" s="93">
        <v>225.92</v>
      </c>
      <c r="KA16" s="93">
        <v>225.11</v>
      </c>
      <c r="KB16" s="93">
        <v>224.29</v>
      </c>
      <c r="KC16" s="93">
        <v>223.48</v>
      </c>
      <c r="KD16" s="93">
        <v>222.67</v>
      </c>
      <c r="KE16" s="93">
        <v>221.86</v>
      </c>
      <c r="KF16" s="93">
        <v>221.05</v>
      </c>
      <c r="KG16" s="93">
        <v>220.25</v>
      </c>
      <c r="KH16" s="93">
        <v>219.44</v>
      </c>
      <c r="KI16" s="93">
        <v>218.63</v>
      </c>
      <c r="KJ16" s="93">
        <v>217.83</v>
      </c>
      <c r="KK16" s="93">
        <v>217.03</v>
      </c>
      <c r="KL16" s="93">
        <v>216.23</v>
      </c>
      <c r="KM16" s="93">
        <v>215.43</v>
      </c>
      <c r="KN16" s="93">
        <v>214.63</v>
      </c>
      <c r="KO16" s="93">
        <v>213.83</v>
      </c>
      <c r="KP16" s="93">
        <v>213.04</v>
      </c>
      <c r="KQ16" s="93">
        <v>212.24</v>
      </c>
      <c r="KR16" s="93">
        <v>211.2300000000001</v>
      </c>
      <c r="KS16" s="93">
        <v>210.4800000000001</v>
      </c>
      <c r="KT16" s="93">
        <v>209.7300000000001</v>
      </c>
      <c r="KU16" s="93">
        <v>208.9800000000001</v>
      </c>
      <c r="KV16" s="93">
        <v>208.2300000000001</v>
      </c>
      <c r="KW16" s="93">
        <v>207.4800000000001</v>
      </c>
      <c r="KX16" s="93">
        <v>206.7300000000001</v>
      </c>
      <c r="KY16" s="93">
        <v>205.9800000000001</v>
      </c>
      <c r="KZ16" s="93">
        <v>205.2300000000001</v>
      </c>
      <c r="LA16" s="93">
        <v>204.4800000000001</v>
      </c>
      <c r="LB16" s="93">
        <v>203.7300000000001</v>
      </c>
      <c r="LC16" s="93">
        <v>202.9800000000001</v>
      </c>
      <c r="LD16" s="93">
        <v>202.2300000000001</v>
      </c>
      <c r="LE16" s="93">
        <v>201.4800000000001</v>
      </c>
      <c r="LF16" s="93">
        <v>200.7300000000001</v>
      </c>
      <c r="LG16" s="93">
        <v>199.9800000000001</v>
      </c>
      <c r="LH16" s="93">
        <v>199.2300000000001</v>
      </c>
      <c r="LI16" s="93">
        <v>198.4800000000001</v>
      </c>
      <c r="LJ16" s="93">
        <v>197.7300000000001</v>
      </c>
      <c r="LK16" s="93">
        <v>196.9800000000001</v>
      </c>
      <c r="LL16" s="93">
        <v>196.2300000000001</v>
      </c>
      <c r="LM16" s="93">
        <v>195.4800000000001</v>
      </c>
      <c r="LN16" s="93">
        <v>194.7300000000001</v>
      </c>
      <c r="LO16" s="93">
        <v>193.9800000000001</v>
      </c>
      <c r="LP16" s="93">
        <v>193.2300000000001</v>
      </c>
      <c r="LQ16" s="93">
        <v>192.4800000000001</v>
      </c>
      <c r="LR16" s="93">
        <v>191.7300000000001</v>
      </c>
      <c r="LS16" s="93">
        <v>190.9800000000001</v>
      </c>
      <c r="LT16" s="93">
        <v>190.2300000000001</v>
      </c>
      <c r="LU16" s="93">
        <v>189.4800000000001</v>
      </c>
      <c r="LV16" s="93">
        <v>188.7300000000001</v>
      </c>
      <c r="LW16" s="93">
        <v>187.9800000000001</v>
      </c>
      <c r="LX16" s="93">
        <v>187.2300000000001</v>
      </c>
      <c r="LY16" s="93">
        <v>186.4800000000001</v>
      </c>
      <c r="LZ16" s="93">
        <v>185.7300000000001</v>
      </c>
      <c r="MA16" s="93">
        <v>184.9800000000001</v>
      </c>
      <c r="MB16" s="93">
        <v>184.2300000000001</v>
      </c>
      <c r="MC16" s="93">
        <v>183.4800000000001</v>
      </c>
      <c r="MD16" s="93">
        <v>182.7300000000001</v>
      </c>
      <c r="ME16" s="93">
        <v>181.9800000000001</v>
      </c>
      <c r="MF16" s="93">
        <v>181.2300000000001</v>
      </c>
      <c r="MG16" s="93">
        <v>180.4800000000001</v>
      </c>
      <c r="MH16" s="93">
        <v>179.7300000000001</v>
      </c>
      <c r="MI16" s="93">
        <v>178.9800000000001</v>
      </c>
      <c r="MJ16" s="93">
        <v>178.2300000000001</v>
      </c>
      <c r="MK16" s="93">
        <v>177.4800000000001</v>
      </c>
      <c r="ML16" s="93">
        <v>176.7300000000001</v>
      </c>
      <c r="MM16" s="93">
        <v>175.9800000000001</v>
      </c>
      <c r="MN16" s="93">
        <v>175.2300000000001</v>
      </c>
      <c r="MO16" s="93">
        <v>174.4800000000001</v>
      </c>
      <c r="MP16" s="93">
        <v>173.7300000000001</v>
      </c>
      <c r="MQ16" s="93">
        <v>172.9800000000001</v>
      </c>
      <c r="MR16" s="93">
        <v>172.2300000000001</v>
      </c>
      <c r="MS16" s="93">
        <v>171.4800000000001</v>
      </c>
      <c r="MT16" s="93">
        <v>170.7300000000001</v>
      </c>
      <c r="MU16" s="93">
        <v>169.9800000000001</v>
      </c>
      <c r="MV16" s="93">
        <v>169.2300000000001</v>
      </c>
      <c r="MW16" s="93">
        <v>168.4800000000001</v>
      </c>
      <c r="MX16" s="93">
        <v>167.7300000000001</v>
      </c>
      <c r="MY16" s="93">
        <v>166.9800000000001</v>
      </c>
    </row>
    <row r="17" spans="1:363" ht="15.75" x14ac:dyDescent="0.25">
      <c r="A17" s="90" t="s">
        <v>7</v>
      </c>
      <c r="B17" s="95">
        <v>2027</v>
      </c>
      <c r="C17" s="93">
        <v>495</v>
      </c>
      <c r="D17" s="93">
        <v>493.98</v>
      </c>
      <c r="E17" s="93">
        <v>492.96</v>
      </c>
      <c r="F17" s="93">
        <v>491.94</v>
      </c>
      <c r="G17" s="93">
        <v>490.92</v>
      </c>
      <c r="H17" s="93">
        <v>489.9</v>
      </c>
      <c r="I17" s="93">
        <v>488.88</v>
      </c>
      <c r="J17" s="93">
        <v>487.86</v>
      </c>
      <c r="K17" s="93">
        <v>486.84</v>
      </c>
      <c r="L17" s="93">
        <v>485.82</v>
      </c>
      <c r="M17" s="93">
        <v>484.8</v>
      </c>
      <c r="N17" s="93">
        <v>483.78</v>
      </c>
      <c r="O17" s="93">
        <v>482.77</v>
      </c>
      <c r="P17" s="93">
        <v>481.75</v>
      </c>
      <c r="Q17" s="93">
        <v>480.73</v>
      </c>
      <c r="R17" s="93">
        <v>479.71</v>
      </c>
      <c r="S17" s="93">
        <v>478.69</v>
      </c>
      <c r="T17" s="93">
        <v>477.67</v>
      </c>
      <c r="U17" s="93">
        <v>476.65</v>
      </c>
      <c r="V17" s="93">
        <v>475.64</v>
      </c>
      <c r="W17" s="93">
        <v>474.62</v>
      </c>
      <c r="X17" s="93">
        <v>473.6</v>
      </c>
      <c r="Y17" s="93">
        <v>472.58</v>
      </c>
      <c r="Z17" s="93">
        <v>471.56</v>
      </c>
      <c r="AA17" s="93">
        <v>470.55</v>
      </c>
      <c r="AB17" s="93">
        <v>469.53</v>
      </c>
      <c r="AC17" s="93">
        <v>468.51</v>
      </c>
      <c r="AD17" s="93">
        <v>467.49</v>
      </c>
      <c r="AE17" s="93">
        <v>466.48</v>
      </c>
      <c r="AF17" s="93">
        <v>465.46</v>
      </c>
      <c r="AG17" s="93">
        <v>464.44</v>
      </c>
      <c r="AH17" s="93">
        <v>463.43</v>
      </c>
      <c r="AI17" s="93">
        <v>462.41</v>
      </c>
      <c r="AJ17" s="93">
        <v>461.39</v>
      </c>
      <c r="AK17" s="93">
        <v>460.37</v>
      </c>
      <c r="AL17" s="93">
        <v>459.36</v>
      </c>
      <c r="AM17" s="93">
        <v>458.34</v>
      </c>
      <c r="AN17" s="93">
        <v>457.33</v>
      </c>
      <c r="AO17" s="93">
        <v>456.31</v>
      </c>
      <c r="AP17" s="93">
        <v>455.3</v>
      </c>
      <c r="AQ17" s="93">
        <v>454.28</v>
      </c>
      <c r="AR17" s="93">
        <v>453.26</v>
      </c>
      <c r="AS17" s="93">
        <v>452.25</v>
      </c>
      <c r="AT17" s="93">
        <v>451.23</v>
      </c>
      <c r="AU17" s="93">
        <v>450.22</v>
      </c>
      <c r="AV17" s="93">
        <v>449.21</v>
      </c>
      <c r="AW17" s="93">
        <v>448.19</v>
      </c>
      <c r="AX17" s="93">
        <v>447.18</v>
      </c>
      <c r="AY17" s="93">
        <v>446.16</v>
      </c>
      <c r="AZ17" s="93">
        <v>445.15</v>
      </c>
      <c r="BA17" s="93">
        <v>444.13</v>
      </c>
      <c r="BB17" s="93">
        <v>443.12</v>
      </c>
      <c r="BC17" s="93">
        <v>442.11</v>
      </c>
      <c r="BD17" s="93">
        <v>441.1</v>
      </c>
      <c r="BE17" s="93">
        <v>440.08</v>
      </c>
      <c r="BF17" s="93">
        <v>439.07</v>
      </c>
      <c r="BG17" s="93">
        <v>438.06</v>
      </c>
      <c r="BH17" s="93">
        <v>437.05</v>
      </c>
      <c r="BI17" s="93">
        <v>436.03</v>
      </c>
      <c r="BJ17" s="93">
        <v>435.02</v>
      </c>
      <c r="BK17" s="93">
        <v>434.01</v>
      </c>
      <c r="BL17" s="93">
        <v>433</v>
      </c>
      <c r="BM17" s="93">
        <v>431.99</v>
      </c>
      <c r="BN17" s="93">
        <v>430.98</v>
      </c>
      <c r="BO17" s="93">
        <v>429.97</v>
      </c>
      <c r="BP17" s="93">
        <v>428.96</v>
      </c>
      <c r="BQ17" s="93">
        <v>427.95</v>
      </c>
      <c r="BR17" s="93">
        <v>426.94</v>
      </c>
      <c r="BS17" s="93">
        <v>425.93</v>
      </c>
      <c r="BT17" s="93">
        <v>424.92</v>
      </c>
      <c r="BU17" s="93">
        <v>423.91</v>
      </c>
      <c r="BV17" s="93">
        <v>422.9</v>
      </c>
      <c r="BW17" s="93">
        <v>421.89</v>
      </c>
      <c r="BX17" s="93">
        <v>420.89</v>
      </c>
      <c r="BY17" s="93">
        <v>419.88</v>
      </c>
      <c r="BZ17" s="93">
        <v>418.88</v>
      </c>
      <c r="CA17" s="93">
        <v>417.87</v>
      </c>
      <c r="CB17" s="93">
        <v>416.86</v>
      </c>
      <c r="CC17" s="93">
        <v>415.86</v>
      </c>
      <c r="CD17" s="93">
        <v>414.85</v>
      </c>
      <c r="CE17" s="93">
        <v>413.85</v>
      </c>
      <c r="CF17" s="93">
        <v>412.85</v>
      </c>
      <c r="CG17" s="93">
        <v>411.84</v>
      </c>
      <c r="CH17" s="93">
        <v>410.84</v>
      </c>
      <c r="CI17" s="93">
        <v>409.83</v>
      </c>
      <c r="CJ17" s="93">
        <v>408.83</v>
      </c>
      <c r="CK17" s="93">
        <v>407.83</v>
      </c>
      <c r="CL17" s="93">
        <v>406.83</v>
      </c>
      <c r="CM17" s="93">
        <v>405.83</v>
      </c>
      <c r="CN17" s="93">
        <v>404.83</v>
      </c>
      <c r="CO17" s="93">
        <v>403.83</v>
      </c>
      <c r="CP17" s="93">
        <v>402.83</v>
      </c>
      <c r="CQ17" s="93">
        <v>401.83</v>
      </c>
      <c r="CR17" s="93">
        <v>400.83</v>
      </c>
      <c r="CS17" s="93">
        <v>399.83</v>
      </c>
      <c r="CT17" s="93">
        <v>398.83</v>
      </c>
      <c r="CU17" s="93">
        <v>397.84</v>
      </c>
      <c r="CV17" s="93">
        <v>396.84</v>
      </c>
      <c r="CW17" s="93">
        <v>395.85</v>
      </c>
      <c r="CX17" s="93">
        <v>394.85</v>
      </c>
      <c r="CY17" s="93">
        <v>393.86</v>
      </c>
      <c r="CZ17" s="93">
        <v>392.86</v>
      </c>
      <c r="DA17" s="93">
        <v>391.87</v>
      </c>
      <c r="DB17" s="93">
        <v>390.88</v>
      </c>
      <c r="DC17" s="93">
        <v>389.88</v>
      </c>
      <c r="DD17" s="93">
        <v>388.89</v>
      </c>
      <c r="DE17" s="93">
        <v>387.9</v>
      </c>
      <c r="DF17" s="93">
        <v>386.9</v>
      </c>
      <c r="DG17" s="93">
        <v>385.91</v>
      </c>
      <c r="DH17" s="93">
        <v>384.92</v>
      </c>
      <c r="DI17" s="93">
        <v>383.94</v>
      </c>
      <c r="DJ17" s="93">
        <v>382.95</v>
      </c>
      <c r="DK17" s="93">
        <v>381.96</v>
      </c>
      <c r="DL17" s="93">
        <v>380.97</v>
      </c>
      <c r="DM17" s="93">
        <v>379.99</v>
      </c>
      <c r="DN17" s="93">
        <v>379</v>
      </c>
      <c r="DO17" s="93">
        <v>378.01</v>
      </c>
      <c r="DP17" s="93">
        <v>377.03</v>
      </c>
      <c r="DQ17" s="93">
        <v>376.04</v>
      </c>
      <c r="DR17" s="93">
        <v>375.06</v>
      </c>
      <c r="DS17" s="93">
        <v>374.07</v>
      </c>
      <c r="DT17" s="93">
        <v>373.09</v>
      </c>
      <c r="DU17" s="93">
        <v>372.11</v>
      </c>
      <c r="DV17" s="93">
        <v>371.13</v>
      </c>
      <c r="DW17" s="93">
        <v>370.15</v>
      </c>
      <c r="DX17" s="93">
        <v>369.17</v>
      </c>
      <c r="DY17" s="93">
        <v>368.2</v>
      </c>
      <c r="DZ17" s="93">
        <v>367.22</v>
      </c>
      <c r="EA17" s="93">
        <v>366.24</v>
      </c>
      <c r="EB17" s="93">
        <v>365.27</v>
      </c>
      <c r="EC17" s="93">
        <v>364.29</v>
      </c>
      <c r="ED17" s="93">
        <v>363.31</v>
      </c>
      <c r="EE17" s="93">
        <v>362.34</v>
      </c>
      <c r="EF17" s="93">
        <v>361.37</v>
      </c>
      <c r="EG17" s="93">
        <v>360.4</v>
      </c>
      <c r="EH17" s="93">
        <v>359.43</v>
      </c>
      <c r="EI17" s="93">
        <v>358.46</v>
      </c>
      <c r="EJ17" s="93">
        <v>357.5</v>
      </c>
      <c r="EK17" s="93">
        <v>356.53</v>
      </c>
      <c r="EL17" s="93">
        <v>355.56</v>
      </c>
      <c r="EM17" s="93">
        <v>354.6</v>
      </c>
      <c r="EN17" s="93">
        <v>353.63</v>
      </c>
      <c r="EO17" s="93">
        <v>352.67</v>
      </c>
      <c r="EP17" s="93">
        <v>351.7</v>
      </c>
      <c r="EQ17" s="93">
        <v>350.74</v>
      </c>
      <c r="ER17" s="93">
        <v>349.78</v>
      </c>
      <c r="ES17" s="93">
        <v>348.82</v>
      </c>
      <c r="ET17" s="93">
        <v>347.86</v>
      </c>
      <c r="EU17" s="93">
        <v>346.9</v>
      </c>
      <c r="EV17" s="93">
        <v>345.95</v>
      </c>
      <c r="EW17" s="93">
        <v>344.99</v>
      </c>
      <c r="EX17" s="93">
        <v>344.03</v>
      </c>
      <c r="EY17" s="93">
        <v>343.08</v>
      </c>
      <c r="EZ17" s="93">
        <v>342.12</v>
      </c>
      <c r="FA17" s="93">
        <v>341.16</v>
      </c>
      <c r="FB17" s="93">
        <v>340.21</v>
      </c>
      <c r="FC17" s="93">
        <v>339.26</v>
      </c>
      <c r="FD17" s="93">
        <v>338.3</v>
      </c>
      <c r="FE17" s="93">
        <v>337.35</v>
      </c>
      <c r="FF17" s="93">
        <v>336.4</v>
      </c>
      <c r="FG17" s="93">
        <v>335.45</v>
      </c>
      <c r="FH17" s="93">
        <v>334.5</v>
      </c>
      <c r="FI17" s="93">
        <v>333.55</v>
      </c>
      <c r="FJ17" s="93">
        <v>332.6</v>
      </c>
      <c r="FK17" s="93">
        <v>331.66</v>
      </c>
      <c r="FL17" s="93">
        <v>330.71</v>
      </c>
      <c r="FM17" s="93">
        <v>329.76</v>
      </c>
      <c r="FN17" s="93">
        <v>328.82</v>
      </c>
      <c r="FO17" s="93">
        <v>327.87</v>
      </c>
      <c r="FP17" s="93">
        <v>326.93</v>
      </c>
      <c r="FQ17" s="93">
        <v>325.99</v>
      </c>
      <c r="FR17" s="93">
        <v>325.04000000000002</v>
      </c>
      <c r="FS17" s="93">
        <v>324.10000000000002</v>
      </c>
      <c r="FT17" s="93">
        <v>323.16000000000003</v>
      </c>
      <c r="FU17" s="93">
        <v>322.22000000000003</v>
      </c>
      <c r="FV17" s="93">
        <v>321.27999999999997</v>
      </c>
      <c r="FW17" s="93">
        <v>320.33999999999997</v>
      </c>
      <c r="FX17" s="93">
        <v>319.41000000000003</v>
      </c>
      <c r="FY17" s="93">
        <v>318.47000000000003</v>
      </c>
      <c r="FZ17" s="93">
        <v>317.52999999999997</v>
      </c>
      <c r="GA17" s="93">
        <v>316.60000000000002</v>
      </c>
      <c r="GB17" s="93">
        <v>315.66000000000003</v>
      </c>
      <c r="GC17" s="93">
        <v>314.73</v>
      </c>
      <c r="GD17" s="93">
        <v>313.79000000000002</v>
      </c>
      <c r="GE17" s="93">
        <v>312.87</v>
      </c>
      <c r="GF17" s="93">
        <v>311.94</v>
      </c>
      <c r="GG17" s="93">
        <v>311.01</v>
      </c>
      <c r="GH17" s="93">
        <v>310.07</v>
      </c>
      <c r="GI17" s="93">
        <v>309.14999999999998</v>
      </c>
      <c r="GJ17" s="93">
        <v>308.22000000000003</v>
      </c>
      <c r="GK17" s="93">
        <v>307.29000000000002</v>
      </c>
      <c r="GL17" s="93">
        <v>306.37</v>
      </c>
      <c r="GM17" s="93">
        <v>305.45</v>
      </c>
      <c r="GN17" s="93">
        <v>304.52999999999997</v>
      </c>
      <c r="GO17" s="93">
        <v>303.60000000000002</v>
      </c>
      <c r="GP17" s="93">
        <v>302.69</v>
      </c>
      <c r="GQ17" s="93">
        <v>301.76</v>
      </c>
      <c r="GR17" s="93">
        <v>300.85000000000002</v>
      </c>
      <c r="GS17" s="93">
        <v>299.94</v>
      </c>
      <c r="GT17" s="93">
        <v>299.01</v>
      </c>
      <c r="GU17" s="93">
        <v>298.10000000000002</v>
      </c>
      <c r="GV17" s="93">
        <v>297.19</v>
      </c>
      <c r="GW17" s="93">
        <v>296.27999999999997</v>
      </c>
      <c r="GX17" s="93">
        <v>295.37</v>
      </c>
      <c r="GY17" s="93">
        <v>294.45999999999998</v>
      </c>
      <c r="GZ17" s="93">
        <v>293.54000000000002</v>
      </c>
      <c r="HA17" s="93">
        <v>292.64</v>
      </c>
      <c r="HB17" s="93">
        <v>291.74</v>
      </c>
      <c r="HC17" s="93">
        <v>290.82</v>
      </c>
      <c r="HD17" s="93">
        <v>289.93</v>
      </c>
      <c r="HE17" s="93">
        <v>289.01</v>
      </c>
      <c r="HF17" s="93">
        <v>288.12</v>
      </c>
      <c r="HG17" s="93">
        <v>287.22000000000003</v>
      </c>
      <c r="HH17" s="93">
        <v>286.32</v>
      </c>
      <c r="HI17" s="93">
        <v>285.42</v>
      </c>
      <c r="HJ17" s="93">
        <v>284.52999999999997</v>
      </c>
      <c r="HK17" s="93">
        <v>283.63</v>
      </c>
      <c r="HL17" s="93">
        <v>282.74</v>
      </c>
      <c r="HM17" s="93">
        <v>281.83999999999997</v>
      </c>
      <c r="HN17" s="93">
        <v>280.95</v>
      </c>
      <c r="HO17" s="93">
        <v>280.06</v>
      </c>
      <c r="HP17" s="93">
        <v>279.17</v>
      </c>
      <c r="HQ17" s="93">
        <v>278.29000000000002</v>
      </c>
      <c r="HR17" s="93">
        <v>277.39999999999998</v>
      </c>
      <c r="HS17" s="93">
        <v>276.51</v>
      </c>
      <c r="HT17" s="93">
        <v>275.63</v>
      </c>
      <c r="HU17" s="93">
        <v>274.75</v>
      </c>
      <c r="HV17" s="93">
        <v>273.87</v>
      </c>
      <c r="HW17" s="93">
        <v>272.99</v>
      </c>
      <c r="HX17" s="93">
        <v>272.10000000000002</v>
      </c>
      <c r="HY17" s="93">
        <v>271.23</v>
      </c>
      <c r="HZ17" s="93">
        <v>270.35000000000002</v>
      </c>
      <c r="IA17" s="93">
        <v>269.48</v>
      </c>
      <c r="IB17" s="93">
        <v>268.60000000000002</v>
      </c>
      <c r="IC17" s="93">
        <v>267.73</v>
      </c>
      <c r="ID17" s="93">
        <v>266.85000000000002</v>
      </c>
      <c r="IE17" s="93">
        <v>265.98</v>
      </c>
      <c r="IF17" s="93">
        <v>265.10000000000002</v>
      </c>
      <c r="IG17" s="93">
        <v>264.24</v>
      </c>
      <c r="IH17" s="93">
        <v>263.37</v>
      </c>
      <c r="II17" s="93">
        <v>262.51</v>
      </c>
      <c r="IJ17" s="93">
        <v>261.64</v>
      </c>
      <c r="IK17" s="93">
        <v>260.77999999999997</v>
      </c>
      <c r="IL17" s="93">
        <v>259.91000000000003</v>
      </c>
      <c r="IM17" s="93">
        <v>259.04000000000002</v>
      </c>
      <c r="IN17" s="93">
        <v>258.19</v>
      </c>
      <c r="IO17" s="93">
        <v>257.32</v>
      </c>
      <c r="IP17" s="93">
        <v>256.47000000000003</v>
      </c>
      <c r="IQ17" s="93">
        <v>255.61</v>
      </c>
      <c r="IR17" s="93">
        <v>254.76</v>
      </c>
      <c r="IS17" s="93">
        <v>253.9</v>
      </c>
      <c r="IT17" s="93">
        <v>253.05</v>
      </c>
      <c r="IU17" s="93">
        <v>252.2</v>
      </c>
      <c r="IV17" s="93">
        <v>251.35</v>
      </c>
      <c r="IW17" s="93">
        <v>250.5</v>
      </c>
      <c r="IX17" s="93">
        <v>249.65</v>
      </c>
      <c r="IY17" s="93">
        <v>248.81</v>
      </c>
      <c r="IZ17" s="93">
        <v>247.96</v>
      </c>
      <c r="JA17" s="93">
        <v>247.12</v>
      </c>
      <c r="JB17" s="93">
        <v>246.28</v>
      </c>
      <c r="JC17" s="93">
        <v>245.44</v>
      </c>
      <c r="JD17" s="93">
        <v>244.6</v>
      </c>
      <c r="JE17" s="93">
        <v>243.76</v>
      </c>
      <c r="JF17" s="93">
        <v>242.92</v>
      </c>
      <c r="JG17" s="93">
        <v>242.09</v>
      </c>
      <c r="JH17" s="93">
        <v>241.25</v>
      </c>
      <c r="JI17" s="93">
        <v>240.42</v>
      </c>
      <c r="JJ17" s="93">
        <v>239.58</v>
      </c>
      <c r="JK17" s="93">
        <v>238.75</v>
      </c>
      <c r="JL17" s="93">
        <v>237.92</v>
      </c>
      <c r="JM17" s="93">
        <v>237.09</v>
      </c>
      <c r="JN17" s="93">
        <v>236.26</v>
      </c>
      <c r="JO17" s="93">
        <v>235.43</v>
      </c>
      <c r="JP17" s="93">
        <v>234.61</v>
      </c>
      <c r="JQ17" s="93">
        <v>233.78</v>
      </c>
      <c r="JR17" s="93">
        <v>232.96</v>
      </c>
      <c r="JS17" s="93">
        <v>232.13</v>
      </c>
      <c r="JT17" s="93">
        <v>231.31</v>
      </c>
      <c r="JU17" s="93">
        <v>230.49</v>
      </c>
      <c r="JV17" s="93">
        <v>229.67</v>
      </c>
      <c r="JW17" s="93">
        <v>228.85</v>
      </c>
      <c r="JX17" s="93">
        <v>228.04</v>
      </c>
      <c r="JY17" s="93">
        <v>227.22</v>
      </c>
      <c r="JZ17" s="93">
        <v>226.41</v>
      </c>
      <c r="KA17" s="93">
        <v>225.59</v>
      </c>
      <c r="KB17" s="93">
        <v>224.78</v>
      </c>
      <c r="KC17" s="93">
        <v>223.96</v>
      </c>
      <c r="KD17" s="93">
        <v>223.15</v>
      </c>
      <c r="KE17" s="93">
        <v>222.34</v>
      </c>
      <c r="KF17" s="93">
        <v>221.53</v>
      </c>
      <c r="KG17" s="93">
        <v>220.73</v>
      </c>
      <c r="KH17" s="93">
        <v>219.92</v>
      </c>
      <c r="KI17" s="93">
        <v>219.11</v>
      </c>
      <c r="KJ17" s="93">
        <v>218.31</v>
      </c>
      <c r="KK17" s="93">
        <v>217.5</v>
      </c>
      <c r="KL17" s="93">
        <v>216.7</v>
      </c>
      <c r="KM17" s="93">
        <v>215.9</v>
      </c>
      <c r="KN17" s="93">
        <v>215.1</v>
      </c>
      <c r="KO17" s="93">
        <v>214.31</v>
      </c>
      <c r="KP17" s="93">
        <v>213.51</v>
      </c>
      <c r="KQ17" s="93">
        <v>212.72</v>
      </c>
      <c r="KR17" s="93">
        <v>211.69000000000011</v>
      </c>
      <c r="KS17" s="93">
        <v>210.94000000000011</v>
      </c>
      <c r="KT17" s="93">
        <v>210.19000000000011</v>
      </c>
      <c r="KU17" s="93">
        <v>209.44000000000011</v>
      </c>
      <c r="KV17" s="93">
        <v>208.69000000000011</v>
      </c>
      <c r="KW17" s="93">
        <v>207.94000000000011</v>
      </c>
      <c r="KX17" s="93">
        <v>207.19000000000011</v>
      </c>
      <c r="KY17" s="93">
        <v>206.44000000000011</v>
      </c>
      <c r="KZ17" s="93">
        <v>205.69000000000011</v>
      </c>
      <c r="LA17" s="93">
        <v>204.94000000000011</v>
      </c>
      <c r="LB17" s="93">
        <v>204.19000000000011</v>
      </c>
      <c r="LC17" s="93">
        <v>203.44000000000011</v>
      </c>
      <c r="LD17" s="93">
        <v>202.69000000000011</v>
      </c>
      <c r="LE17" s="93">
        <v>201.94000000000011</v>
      </c>
      <c r="LF17" s="93">
        <v>201.19000000000011</v>
      </c>
      <c r="LG17" s="93">
        <v>200.44000000000011</v>
      </c>
      <c r="LH17" s="93">
        <v>199.69000000000011</v>
      </c>
      <c r="LI17" s="93">
        <v>198.94000000000011</v>
      </c>
      <c r="LJ17" s="93">
        <v>198.19000000000011</v>
      </c>
      <c r="LK17" s="93">
        <v>197.44000000000011</v>
      </c>
      <c r="LL17" s="93">
        <v>196.69000000000011</v>
      </c>
      <c r="LM17" s="93">
        <v>195.94000000000011</v>
      </c>
      <c r="LN17" s="93">
        <v>195.19000000000011</v>
      </c>
      <c r="LO17" s="93">
        <v>194.44000000000011</v>
      </c>
      <c r="LP17" s="93">
        <v>193.69000000000011</v>
      </c>
      <c r="LQ17" s="93">
        <v>192.94000000000011</v>
      </c>
      <c r="LR17" s="93">
        <v>192.19000000000011</v>
      </c>
      <c r="LS17" s="93">
        <v>191.44000000000011</v>
      </c>
      <c r="LT17" s="93">
        <v>190.69000000000011</v>
      </c>
      <c r="LU17" s="93">
        <v>189.94000000000011</v>
      </c>
      <c r="LV17" s="93">
        <v>189.19000000000011</v>
      </c>
      <c r="LW17" s="93">
        <v>188.44000000000011</v>
      </c>
      <c r="LX17" s="93">
        <v>187.69000000000011</v>
      </c>
      <c r="LY17" s="93">
        <v>186.94000000000011</v>
      </c>
      <c r="LZ17" s="93">
        <v>186.19000000000011</v>
      </c>
      <c r="MA17" s="93">
        <v>185.44000000000011</v>
      </c>
      <c r="MB17" s="93">
        <v>184.69000000000011</v>
      </c>
      <c r="MC17" s="93">
        <v>183.94000000000011</v>
      </c>
      <c r="MD17" s="93">
        <v>183.19000000000011</v>
      </c>
      <c r="ME17" s="93">
        <v>182.44000000000011</v>
      </c>
      <c r="MF17" s="93">
        <v>181.69000000000011</v>
      </c>
      <c r="MG17" s="93">
        <v>180.94000000000011</v>
      </c>
      <c r="MH17" s="93">
        <v>180.19000000000011</v>
      </c>
      <c r="MI17" s="93">
        <v>179.44000000000011</v>
      </c>
      <c r="MJ17" s="93">
        <v>178.69000000000011</v>
      </c>
      <c r="MK17" s="93">
        <v>177.94000000000011</v>
      </c>
      <c r="ML17" s="93">
        <v>177.19000000000011</v>
      </c>
      <c r="MM17" s="93">
        <v>176.44000000000011</v>
      </c>
      <c r="MN17" s="93">
        <v>175.69000000000011</v>
      </c>
      <c r="MO17" s="93">
        <v>174.94000000000011</v>
      </c>
      <c r="MP17" s="93">
        <v>174.19000000000011</v>
      </c>
      <c r="MQ17" s="93">
        <v>173.44000000000011</v>
      </c>
      <c r="MR17" s="93">
        <v>172.69000000000011</v>
      </c>
      <c r="MS17" s="93">
        <v>171.94000000000011</v>
      </c>
      <c r="MT17" s="93">
        <v>171.19000000000011</v>
      </c>
      <c r="MU17" s="93">
        <v>170.44000000000011</v>
      </c>
      <c r="MV17" s="93">
        <v>169.69000000000011</v>
      </c>
      <c r="MW17" s="93">
        <v>168.94000000000011</v>
      </c>
      <c r="MX17" s="93">
        <v>168.19000000000011</v>
      </c>
      <c r="MY17" s="93">
        <v>167.44000000000011</v>
      </c>
    </row>
    <row r="18" spans="1:363" ht="15.75" x14ac:dyDescent="0.25">
      <c r="A18" s="90" t="s">
        <v>7</v>
      </c>
      <c r="B18" s="95">
        <v>2028</v>
      </c>
      <c r="C18" s="93">
        <v>495.59</v>
      </c>
      <c r="D18" s="93">
        <v>494.57</v>
      </c>
      <c r="E18" s="93">
        <v>493.55</v>
      </c>
      <c r="F18" s="93">
        <v>492.53</v>
      </c>
      <c r="G18" s="93">
        <v>491.51</v>
      </c>
      <c r="H18" s="93">
        <v>490.49</v>
      </c>
      <c r="I18" s="93">
        <v>489.47</v>
      </c>
      <c r="J18" s="93">
        <v>488.45</v>
      </c>
      <c r="K18" s="93">
        <v>487.43</v>
      </c>
      <c r="L18" s="93">
        <v>486.41</v>
      </c>
      <c r="M18" s="93">
        <v>485.4</v>
      </c>
      <c r="N18" s="93">
        <v>484.38</v>
      </c>
      <c r="O18" s="93">
        <v>483.36</v>
      </c>
      <c r="P18" s="93">
        <v>482.34</v>
      </c>
      <c r="Q18" s="93">
        <v>481.32</v>
      </c>
      <c r="R18" s="93">
        <v>480.3</v>
      </c>
      <c r="S18" s="93">
        <v>479.28</v>
      </c>
      <c r="T18" s="93">
        <v>478.26</v>
      </c>
      <c r="U18" s="93">
        <v>477.24</v>
      </c>
      <c r="V18" s="93">
        <v>476.22</v>
      </c>
      <c r="W18" s="93">
        <v>475.21</v>
      </c>
      <c r="X18" s="93">
        <v>474.19</v>
      </c>
      <c r="Y18" s="93">
        <v>473.17</v>
      </c>
      <c r="Z18" s="93">
        <v>472.15</v>
      </c>
      <c r="AA18" s="93">
        <v>471.13</v>
      </c>
      <c r="AB18" s="93">
        <v>470.11</v>
      </c>
      <c r="AC18" s="93">
        <v>469.1</v>
      </c>
      <c r="AD18" s="93">
        <v>468.08</v>
      </c>
      <c r="AE18" s="93">
        <v>467.06</v>
      </c>
      <c r="AF18" s="93">
        <v>466.04</v>
      </c>
      <c r="AG18" s="93">
        <v>465.03</v>
      </c>
      <c r="AH18" s="93">
        <v>464.01</v>
      </c>
      <c r="AI18" s="93">
        <v>462.99</v>
      </c>
      <c r="AJ18" s="93">
        <v>461.97</v>
      </c>
      <c r="AK18" s="93">
        <v>460.96</v>
      </c>
      <c r="AL18" s="93">
        <v>459.94</v>
      </c>
      <c r="AM18" s="93">
        <v>458.92</v>
      </c>
      <c r="AN18" s="93">
        <v>457.91</v>
      </c>
      <c r="AO18" s="93">
        <v>456.89</v>
      </c>
      <c r="AP18" s="93">
        <v>455.88</v>
      </c>
      <c r="AQ18" s="93">
        <v>454.86</v>
      </c>
      <c r="AR18" s="93">
        <v>453.85</v>
      </c>
      <c r="AS18" s="93">
        <v>452.83</v>
      </c>
      <c r="AT18" s="93">
        <v>451.81</v>
      </c>
      <c r="AU18" s="93">
        <v>450.8</v>
      </c>
      <c r="AV18" s="93">
        <v>449.78</v>
      </c>
      <c r="AW18" s="93">
        <v>448.77</v>
      </c>
      <c r="AX18" s="93">
        <v>447.75</v>
      </c>
      <c r="AY18" s="93">
        <v>446.74</v>
      </c>
      <c r="AZ18" s="93">
        <v>445.72</v>
      </c>
      <c r="BA18" s="93">
        <v>444.71</v>
      </c>
      <c r="BB18" s="93">
        <v>443.7</v>
      </c>
      <c r="BC18" s="93">
        <v>442.68</v>
      </c>
      <c r="BD18" s="93">
        <v>441.67</v>
      </c>
      <c r="BE18" s="93">
        <v>440.66</v>
      </c>
      <c r="BF18" s="93">
        <v>439.64</v>
      </c>
      <c r="BG18" s="93">
        <v>438.63</v>
      </c>
      <c r="BH18" s="93">
        <v>437.62</v>
      </c>
      <c r="BI18" s="93">
        <v>436.61</v>
      </c>
      <c r="BJ18" s="93">
        <v>435.59</v>
      </c>
      <c r="BK18" s="93">
        <v>434.58</v>
      </c>
      <c r="BL18" s="93">
        <v>433.57</v>
      </c>
      <c r="BM18" s="93">
        <v>432.56</v>
      </c>
      <c r="BN18" s="93">
        <v>431.55</v>
      </c>
      <c r="BO18" s="93">
        <v>430.54</v>
      </c>
      <c r="BP18" s="93">
        <v>429.53</v>
      </c>
      <c r="BQ18" s="93">
        <v>428.52</v>
      </c>
      <c r="BR18" s="93">
        <v>427.51</v>
      </c>
      <c r="BS18" s="93">
        <v>426.5</v>
      </c>
      <c r="BT18" s="93">
        <v>425.49</v>
      </c>
      <c r="BU18" s="93">
        <v>424.48</v>
      </c>
      <c r="BV18" s="93">
        <v>423.47</v>
      </c>
      <c r="BW18" s="93">
        <v>422.46</v>
      </c>
      <c r="BX18" s="93">
        <v>421.45</v>
      </c>
      <c r="BY18" s="93">
        <v>420.45</v>
      </c>
      <c r="BZ18" s="93">
        <v>419.44</v>
      </c>
      <c r="CA18" s="93">
        <v>418.43</v>
      </c>
      <c r="CB18" s="93">
        <v>417.43</v>
      </c>
      <c r="CC18" s="93">
        <v>416.42</v>
      </c>
      <c r="CD18" s="93">
        <v>415.42</v>
      </c>
      <c r="CE18" s="93">
        <v>414.41</v>
      </c>
      <c r="CF18" s="93">
        <v>413.41</v>
      </c>
      <c r="CG18" s="93">
        <v>412.4</v>
      </c>
      <c r="CH18" s="93">
        <v>411.4</v>
      </c>
      <c r="CI18" s="93">
        <v>410.39</v>
      </c>
      <c r="CJ18" s="93">
        <v>409.39</v>
      </c>
      <c r="CK18" s="93">
        <v>408.39</v>
      </c>
      <c r="CL18" s="93">
        <v>407.39</v>
      </c>
      <c r="CM18" s="93">
        <v>406.39</v>
      </c>
      <c r="CN18" s="93">
        <v>405.39</v>
      </c>
      <c r="CO18" s="93">
        <v>404.39</v>
      </c>
      <c r="CP18" s="93">
        <v>403.39</v>
      </c>
      <c r="CQ18" s="93">
        <v>402.39</v>
      </c>
      <c r="CR18" s="93">
        <v>401.39</v>
      </c>
      <c r="CS18" s="93">
        <v>400.39</v>
      </c>
      <c r="CT18" s="93">
        <v>399.39</v>
      </c>
      <c r="CU18" s="93">
        <v>398.39</v>
      </c>
      <c r="CV18" s="93">
        <v>397.39</v>
      </c>
      <c r="CW18" s="93">
        <v>396.4</v>
      </c>
      <c r="CX18" s="93">
        <v>395.41</v>
      </c>
      <c r="CY18" s="93">
        <v>394.41</v>
      </c>
      <c r="CZ18" s="93">
        <v>393.42</v>
      </c>
      <c r="DA18" s="93">
        <v>392.42</v>
      </c>
      <c r="DB18" s="93">
        <v>391.43</v>
      </c>
      <c r="DC18" s="93">
        <v>390.43</v>
      </c>
      <c r="DD18" s="93">
        <v>389.44</v>
      </c>
      <c r="DE18" s="93">
        <v>388.45</v>
      </c>
      <c r="DF18" s="93">
        <v>387.45</v>
      </c>
      <c r="DG18" s="93">
        <v>386.46</v>
      </c>
      <c r="DH18" s="93">
        <v>385.47</v>
      </c>
      <c r="DI18" s="93">
        <v>384.48</v>
      </c>
      <c r="DJ18" s="93">
        <v>383.5</v>
      </c>
      <c r="DK18" s="93">
        <v>382.51</v>
      </c>
      <c r="DL18" s="93">
        <v>381.52</v>
      </c>
      <c r="DM18" s="93">
        <v>380.53</v>
      </c>
      <c r="DN18" s="93">
        <v>379.55</v>
      </c>
      <c r="DO18" s="93">
        <v>378.56</v>
      </c>
      <c r="DP18" s="93">
        <v>377.57</v>
      </c>
      <c r="DQ18" s="93">
        <v>376.59</v>
      </c>
      <c r="DR18" s="93">
        <v>375.6</v>
      </c>
      <c r="DS18" s="93">
        <v>374.62</v>
      </c>
      <c r="DT18" s="93">
        <v>373.63</v>
      </c>
      <c r="DU18" s="93">
        <v>372.65</v>
      </c>
      <c r="DV18" s="93">
        <v>371.67</v>
      </c>
      <c r="DW18" s="93">
        <v>370.7</v>
      </c>
      <c r="DX18" s="93">
        <v>369.72</v>
      </c>
      <c r="DY18" s="93">
        <v>368.74</v>
      </c>
      <c r="DZ18" s="93">
        <v>367.76</v>
      </c>
      <c r="EA18" s="93">
        <v>366.78</v>
      </c>
      <c r="EB18" s="93">
        <v>365.81</v>
      </c>
      <c r="EC18" s="93">
        <v>364.83</v>
      </c>
      <c r="ED18" s="93">
        <v>363.85</v>
      </c>
      <c r="EE18" s="93">
        <v>362.88</v>
      </c>
      <c r="EF18" s="93">
        <v>361.91</v>
      </c>
      <c r="EG18" s="93">
        <v>360.94</v>
      </c>
      <c r="EH18" s="93">
        <v>359.97</v>
      </c>
      <c r="EI18" s="93">
        <v>359</v>
      </c>
      <c r="EJ18" s="93">
        <v>358.03</v>
      </c>
      <c r="EK18" s="93">
        <v>357.07</v>
      </c>
      <c r="EL18" s="93">
        <v>356.1</v>
      </c>
      <c r="EM18" s="93">
        <v>355.14</v>
      </c>
      <c r="EN18" s="93">
        <v>354.17</v>
      </c>
      <c r="EO18" s="93">
        <v>353.2</v>
      </c>
      <c r="EP18" s="93">
        <v>352.24</v>
      </c>
      <c r="EQ18" s="93">
        <v>351.28</v>
      </c>
      <c r="ER18" s="93">
        <v>350.32</v>
      </c>
      <c r="ES18" s="93">
        <v>349.36</v>
      </c>
      <c r="ET18" s="93">
        <v>348.4</v>
      </c>
      <c r="EU18" s="93">
        <v>347.44</v>
      </c>
      <c r="EV18" s="93">
        <v>346.48</v>
      </c>
      <c r="EW18" s="93">
        <v>345.52</v>
      </c>
      <c r="EX18" s="93">
        <v>344.57</v>
      </c>
      <c r="EY18" s="93">
        <v>343.61</v>
      </c>
      <c r="EZ18" s="93">
        <v>342.65</v>
      </c>
      <c r="FA18" s="93">
        <v>341.7</v>
      </c>
      <c r="FB18" s="93">
        <v>340.74</v>
      </c>
      <c r="FC18" s="93">
        <v>339.79</v>
      </c>
      <c r="FD18" s="93">
        <v>338.84</v>
      </c>
      <c r="FE18" s="93">
        <v>337.89</v>
      </c>
      <c r="FF18" s="93">
        <v>336.93</v>
      </c>
      <c r="FG18" s="93">
        <v>335.98</v>
      </c>
      <c r="FH18" s="93">
        <v>335.03</v>
      </c>
      <c r="FI18" s="93">
        <v>334.08</v>
      </c>
      <c r="FJ18" s="93">
        <v>333.14</v>
      </c>
      <c r="FK18" s="93">
        <v>332.19</v>
      </c>
      <c r="FL18" s="93">
        <v>331.24</v>
      </c>
      <c r="FM18" s="93">
        <v>330.29</v>
      </c>
      <c r="FN18" s="93">
        <v>329.35</v>
      </c>
      <c r="FO18" s="93">
        <v>328.4</v>
      </c>
      <c r="FP18" s="93">
        <v>327.45999999999998</v>
      </c>
      <c r="FQ18" s="93">
        <v>326.51</v>
      </c>
      <c r="FR18" s="93">
        <v>325.57</v>
      </c>
      <c r="FS18" s="93">
        <v>324.63</v>
      </c>
      <c r="FT18" s="93">
        <v>323.69</v>
      </c>
      <c r="FU18" s="93">
        <v>322.75</v>
      </c>
      <c r="FV18" s="93">
        <v>321.81</v>
      </c>
      <c r="FW18" s="93">
        <v>320.87</v>
      </c>
      <c r="FX18" s="93">
        <v>319.93</v>
      </c>
      <c r="FY18" s="93">
        <v>319</v>
      </c>
      <c r="FZ18" s="93">
        <v>318.06</v>
      </c>
      <c r="GA18" s="93">
        <v>317.12</v>
      </c>
      <c r="GB18" s="93">
        <v>316.19</v>
      </c>
      <c r="GC18" s="93">
        <v>315.26</v>
      </c>
      <c r="GD18" s="93">
        <v>314.32</v>
      </c>
      <c r="GE18" s="93">
        <v>313.39</v>
      </c>
      <c r="GF18" s="93">
        <v>312.45999999999998</v>
      </c>
      <c r="GG18" s="93">
        <v>311.52999999999997</v>
      </c>
      <c r="GH18" s="93">
        <v>310.60000000000002</v>
      </c>
      <c r="GI18" s="93">
        <v>309.68</v>
      </c>
      <c r="GJ18" s="93">
        <v>308.75</v>
      </c>
      <c r="GK18" s="93">
        <v>307.82</v>
      </c>
      <c r="GL18" s="93">
        <v>306.89999999999998</v>
      </c>
      <c r="GM18" s="93">
        <v>305.97000000000003</v>
      </c>
      <c r="GN18" s="93">
        <v>305.04000000000002</v>
      </c>
      <c r="GO18" s="93">
        <v>304.13</v>
      </c>
      <c r="GP18" s="93">
        <v>303.20999999999998</v>
      </c>
      <c r="GQ18" s="93">
        <v>302.29000000000002</v>
      </c>
      <c r="GR18" s="93">
        <v>301.37</v>
      </c>
      <c r="GS18" s="93">
        <v>300.45999999999998</v>
      </c>
      <c r="GT18" s="93">
        <v>299.54000000000002</v>
      </c>
      <c r="GU18" s="93">
        <v>298.63</v>
      </c>
      <c r="GV18" s="93">
        <v>297.70999999999998</v>
      </c>
      <c r="GW18" s="93">
        <v>296.79000000000002</v>
      </c>
      <c r="GX18" s="93">
        <v>295.89</v>
      </c>
      <c r="GY18" s="93">
        <v>294.98</v>
      </c>
      <c r="GZ18" s="93">
        <v>294.07</v>
      </c>
      <c r="HA18" s="93">
        <v>293.16000000000003</v>
      </c>
      <c r="HB18" s="93">
        <v>292.25</v>
      </c>
      <c r="HC18" s="93">
        <v>291.35000000000002</v>
      </c>
      <c r="HD18" s="93">
        <v>290.44</v>
      </c>
      <c r="HE18" s="93">
        <v>289.54000000000002</v>
      </c>
      <c r="HF18" s="93">
        <v>288.64</v>
      </c>
      <c r="HG18" s="93">
        <v>287.74</v>
      </c>
      <c r="HH18" s="93">
        <v>286.83999999999997</v>
      </c>
      <c r="HI18" s="93">
        <v>285.94</v>
      </c>
      <c r="HJ18" s="93">
        <v>285.04000000000002</v>
      </c>
      <c r="HK18" s="93">
        <v>284.14999999999998</v>
      </c>
      <c r="HL18" s="93">
        <v>283.25</v>
      </c>
      <c r="HM18" s="93">
        <v>282.35000000000002</v>
      </c>
      <c r="HN18" s="93">
        <v>281.47000000000003</v>
      </c>
      <c r="HO18" s="93">
        <v>280.57</v>
      </c>
      <c r="HP18" s="93">
        <v>279.69</v>
      </c>
      <c r="HQ18" s="93">
        <v>278.79000000000002</v>
      </c>
      <c r="HR18" s="93">
        <v>277.91000000000003</v>
      </c>
      <c r="HS18" s="93">
        <v>277.02999999999997</v>
      </c>
      <c r="HT18" s="93">
        <v>276.14</v>
      </c>
      <c r="HU18" s="93">
        <v>275.26</v>
      </c>
      <c r="HV18" s="93">
        <v>274.38</v>
      </c>
      <c r="HW18" s="93">
        <v>273.5</v>
      </c>
      <c r="HX18" s="93">
        <v>272.62</v>
      </c>
      <c r="HY18" s="93">
        <v>271.74</v>
      </c>
      <c r="HZ18" s="93">
        <v>270.85000000000002</v>
      </c>
      <c r="IA18" s="93">
        <v>269.98</v>
      </c>
      <c r="IB18" s="93">
        <v>269.10000000000002</v>
      </c>
      <c r="IC18" s="93">
        <v>268.23</v>
      </c>
      <c r="ID18" s="93">
        <v>267.35000000000002</v>
      </c>
      <c r="IE18" s="93">
        <v>266.49</v>
      </c>
      <c r="IF18" s="93">
        <v>265.62</v>
      </c>
      <c r="IG18" s="93">
        <v>264.75</v>
      </c>
      <c r="IH18" s="93">
        <v>263.88</v>
      </c>
      <c r="II18" s="93">
        <v>263.01</v>
      </c>
      <c r="IJ18" s="93">
        <v>262.14999999999998</v>
      </c>
      <c r="IK18" s="93">
        <v>261.27999999999997</v>
      </c>
      <c r="IL18" s="93">
        <v>260.42</v>
      </c>
      <c r="IM18" s="93">
        <v>259.54000000000002</v>
      </c>
      <c r="IN18" s="93">
        <v>258.69</v>
      </c>
      <c r="IO18" s="93">
        <v>257.82</v>
      </c>
      <c r="IP18" s="93">
        <v>256.97000000000003</v>
      </c>
      <c r="IQ18" s="93">
        <v>256.12</v>
      </c>
      <c r="IR18" s="93">
        <v>255.26</v>
      </c>
      <c r="IS18" s="93">
        <v>254.41</v>
      </c>
      <c r="IT18" s="93">
        <v>253.55</v>
      </c>
      <c r="IU18" s="93">
        <v>252.7</v>
      </c>
      <c r="IV18" s="93">
        <v>251.85</v>
      </c>
      <c r="IW18" s="93">
        <v>251</v>
      </c>
      <c r="IX18" s="93">
        <v>250.15</v>
      </c>
      <c r="IY18" s="93">
        <v>249.31</v>
      </c>
      <c r="IZ18" s="93">
        <v>248.46</v>
      </c>
      <c r="JA18" s="93">
        <v>247.62</v>
      </c>
      <c r="JB18" s="93">
        <v>246.77</v>
      </c>
      <c r="JC18" s="93">
        <v>245.93</v>
      </c>
      <c r="JD18" s="93">
        <v>245.09</v>
      </c>
      <c r="JE18" s="93">
        <v>244.25</v>
      </c>
      <c r="JF18" s="93">
        <v>243.42</v>
      </c>
      <c r="JG18" s="93">
        <v>242.58</v>
      </c>
      <c r="JH18" s="93">
        <v>241.74</v>
      </c>
      <c r="JI18" s="93">
        <v>240.91</v>
      </c>
      <c r="JJ18" s="93">
        <v>240.08</v>
      </c>
      <c r="JK18" s="93">
        <v>239.24</v>
      </c>
      <c r="JL18" s="93">
        <v>238.41</v>
      </c>
      <c r="JM18" s="93">
        <v>237.58</v>
      </c>
      <c r="JN18" s="93">
        <v>236.75</v>
      </c>
      <c r="JO18" s="93">
        <v>235.92</v>
      </c>
      <c r="JP18" s="93">
        <v>235.1</v>
      </c>
      <c r="JQ18" s="93">
        <v>234.27</v>
      </c>
      <c r="JR18" s="93">
        <v>233.44</v>
      </c>
      <c r="JS18" s="93">
        <v>232.62</v>
      </c>
      <c r="JT18" s="93">
        <v>231.8</v>
      </c>
      <c r="JU18" s="93">
        <v>230.98</v>
      </c>
      <c r="JV18" s="93">
        <v>230.16</v>
      </c>
      <c r="JW18" s="93">
        <v>229.34</v>
      </c>
      <c r="JX18" s="93">
        <v>228.52</v>
      </c>
      <c r="JY18" s="93">
        <v>227.7</v>
      </c>
      <c r="JZ18" s="93">
        <v>226.89</v>
      </c>
      <c r="KA18" s="93">
        <v>226.07</v>
      </c>
      <c r="KB18" s="93">
        <v>225.26</v>
      </c>
      <c r="KC18" s="93">
        <v>224.45</v>
      </c>
      <c r="KD18" s="93">
        <v>223.63</v>
      </c>
      <c r="KE18" s="93">
        <v>222.82</v>
      </c>
      <c r="KF18" s="93">
        <v>222.01</v>
      </c>
      <c r="KG18" s="93">
        <v>221.2</v>
      </c>
      <c r="KH18" s="93">
        <v>220.4</v>
      </c>
      <c r="KI18" s="93">
        <v>219.59</v>
      </c>
      <c r="KJ18" s="93">
        <v>218.79</v>
      </c>
      <c r="KK18" s="93">
        <v>217.98</v>
      </c>
      <c r="KL18" s="93">
        <v>217.18</v>
      </c>
      <c r="KM18" s="93">
        <v>216.38</v>
      </c>
      <c r="KN18" s="93">
        <v>215.58</v>
      </c>
      <c r="KO18" s="93">
        <v>214.78</v>
      </c>
      <c r="KP18" s="93">
        <v>213.98</v>
      </c>
      <c r="KQ18" s="93">
        <v>213.19</v>
      </c>
      <c r="KR18" s="93">
        <v>212.15000000000012</v>
      </c>
      <c r="KS18" s="93">
        <v>211.40000000000012</v>
      </c>
      <c r="KT18" s="93">
        <v>210.65000000000012</v>
      </c>
      <c r="KU18" s="93">
        <v>209.90000000000012</v>
      </c>
      <c r="KV18" s="93">
        <v>209.15000000000012</v>
      </c>
      <c r="KW18" s="93">
        <v>208.40000000000012</v>
      </c>
      <c r="KX18" s="93">
        <v>207.65000000000012</v>
      </c>
      <c r="KY18" s="93">
        <v>206.90000000000012</v>
      </c>
      <c r="KZ18" s="93">
        <v>206.15000000000012</v>
      </c>
      <c r="LA18" s="93">
        <v>205.40000000000012</v>
      </c>
      <c r="LB18" s="93">
        <v>204.65000000000012</v>
      </c>
      <c r="LC18" s="93">
        <v>203.90000000000012</v>
      </c>
      <c r="LD18" s="93">
        <v>203.15000000000012</v>
      </c>
      <c r="LE18" s="93">
        <v>202.40000000000012</v>
      </c>
      <c r="LF18" s="93">
        <v>201.65000000000012</v>
      </c>
      <c r="LG18" s="93">
        <v>200.90000000000012</v>
      </c>
      <c r="LH18" s="93">
        <v>200.15000000000012</v>
      </c>
      <c r="LI18" s="93">
        <v>199.40000000000012</v>
      </c>
      <c r="LJ18" s="93">
        <v>198.65000000000012</v>
      </c>
      <c r="LK18" s="93">
        <v>197.90000000000012</v>
      </c>
      <c r="LL18" s="93">
        <v>197.15000000000012</v>
      </c>
      <c r="LM18" s="93">
        <v>196.40000000000012</v>
      </c>
      <c r="LN18" s="93">
        <v>195.65000000000012</v>
      </c>
      <c r="LO18" s="93">
        <v>194.90000000000012</v>
      </c>
      <c r="LP18" s="93">
        <v>194.15000000000012</v>
      </c>
      <c r="LQ18" s="93">
        <v>193.40000000000012</v>
      </c>
      <c r="LR18" s="93">
        <v>192.65000000000012</v>
      </c>
      <c r="LS18" s="93">
        <v>191.90000000000012</v>
      </c>
      <c r="LT18" s="93">
        <v>191.15000000000012</v>
      </c>
      <c r="LU18" s="93">
        <v>190.40000000000012</v>
      </c>
      <c r="LV18" s="93">
        <v>189.65000000000012</v>
      </c>
      <c r="LW18" s="93">
        <v>188.90000000000012</v>
      </c>
      <c r="LX18" s="93">
        <v>188.15000000000012</v>
      </c>
      <c r="LY18" s="93">
        <v>187.40000000000012</v>
      </c>
      <c r="LZ18" s="93">
        <v>186.65000000000012</v>
      </c>
      <c r="MA18" s="93">
        <v>185.90000000000012</v>
      </c>
      <c r="MB18" s="93">
        <v>185.15000000000012</v>
      </c>
      <c r="MC18" s="93">
        <v>184.40000000000012</v>
      </c>
      <c r="MD18" s="93">
        <v>183.65000000000012</v>
      </c>
      <c r="ME18" s="93">
        <v>182.90000000000012</v>
      </c>
      <c r="MF18" s="93">
        <v>182.15000000000012</v>
      </c>
      <c r="MG18" s="93">
        <v>181.40000000000012</v>
      </c>
      <c r="MH18" s="93">
        <v>180.65000000000012</v>
      </c>
      <c r="MI18" s="93">
        <v>179.90000000000012</v>
      </c>
      <c r="MJ18" s="93">
        <v>179.15000000000012</v>
      </c>
      <c r="MK18" s="93">
        <v>178.40000000000012</v>
      </c>
      <c r="ML18" s="93">
        <v>177.65000000000012</v>
      </c>
      <c r="MM18" s="93">
        <v>176.90000000000012</v>
      </c>
      <c r="MN18" s="93">
        <v>176.15000000000012</v>
      </c>
      <c r="MO18" s="93">
        <v>175.40000000000012</v>
      </c>
      <c r="MP18" s="93">
        <v>174.65000000000012</v>
      </c>
      <c r="MQ18" s="93">
        <v>173.90000000000012</v>
      </c>
      <c r="MR18" s="93">
        <v>173.15000000000012</v>
      </c>
      <c r="MS18" s="93">
        <v>172.40000000000012</v>
      </c>
      <c r="MT18" s="93">
        <v>171.65000000000012</v>
      </c>
      <c r="MU18" s="93">
        <v>170.90000000000012</v>
      </c>
      <c r="MV18" s="93">
        <v>170.15000000000012</v>
      </c>
      <c r="MW18" s="93">
        <v>169.40000000000012</v>
      </c>
      <c r="MX18" s="93">
        <v>168.65000000000012</v>
      </c>
      <c r="MY18" s="93">
        <v>167.90000000000012</v>
      </c>
    </row>
    <row r="19" spans="1:363" ht="15.75" x14ac:dyDescent="0.25">
      <c r="A19" s="90" t="s">
        <v>7</v>
      </c>
      <c r="B19" s="95">
        <v>2029</v>
      </c>
      <c r="C19" s="93">
        <v>496.19</v>
      </c>
      <c r="D19" s="93">
        <v>495.17</v>
      </c>
      <c r="E19" s="93">
        <v>494.15</v>
      </c>
      <c r="F19" s="93">
        <v>493.13</v>
      </c>
      <c r="G19" s="93">
        <v>492.11</v>
      </c>
      <c r="H19" s="93">
        <v>491.09</v>
      </c>
      <c r="I19" s="93">
        <v>490.06</v>
      </c>
      <c r="J19" s="93">
        <v>489.04</v>
      </c>
      <c r="K19" s="93">
        <v>488.02</v>
      </c>
      <c r="L19" s="93">
        <v>487</v>
      </c>
      <c r="M19" s="93">
        <v>485.98</v>
      </c>
      <c r="N19" s="93">
        <v>484.97</v>
      </c>
      <c r="O19" s="93">
        <v>483.95</v>
      </c>
      <c r="P19" s="93">
        <v>482.93</v>
      </c>
      <c r="Q19" s="93">
        <v>481.91</v>
      </c>
      <c r="R19" s="93">
        <v>480.89</v>
      </c>
      <c r="S19" s="93">
        <v>479.87</v>
      </c>
      <c r="T19" s="93">
        <v>478.85</v>
      </c>
      <c r="U19" s="93">
        <v>477.83</v>
      </c>
      <c r="V19" s="93">
        <v>476.81</v>
      </c>
      <c r="W19" s="93">
        <v>475.79</v>
      </c>
      <c r="X19" s="93">
        <v>474.77</v>
      </c>
      <c r="Y19" s="93">
        <v>473.76</v>
      </c>
      <c r="Z19" s="93">
        <v>472.74</v>
      </c>
      <c r="AA19" s="93">
        <v>471.72</v>
      </c>
      <c r="AB19" s="93">
        <v>470.7</v>
      </c>
      <c r="AC19" s="93">
        <v>469.68</v>
      </c>
      <c r="AD19" s="93">
        <v>468.66</v>
      </c>
      <c r="AE19" s="93">
        <v>467.65</v>
      </c>
      <c r="AF19" s="93">
        <v>466.63</v>
      </c>
      <c r="AG19" s="93">
        <v>465.61</v>
      </c>
      <c r="AH19" s="93">
        <v>464.59</v>
      </c>
      <c r="AI19" s="93">
        <v>463.57</v>
      </c>
      <c r="AJ19" s="93">
        <v>462.56</v>
      </c>
      <c r="AK19" s="93">
        <v>461.54</v>
      </c>
      <c r="AL19" s="93">
        <v>460.52</v>
      </c>
      <c r="AM19" s="93">
        <v>459.5</v>
      </c>
      <c r="AN19" s="93">
        <v>458.49</v>
      </c>
      <c r="AO19" s="93">
        <v>457.47</v>
      </c>
      <c r="AP19" s="93">
        <v>456.46</v>
      </c>
      <c r="AQ19" s="93">
        <v>455.44</v>
      </c>
      <c r="AR19" s="93">
        <v>454.42</v>
      </c>
      <c r="AS19" s="93">
        <v>453.41</v>
      </c>
      <c r="AT19" s="93">
        <v>452.39</v>
      </c>
      <c r="AU19" s="93">
        <v>451.38</v>
      </c>
      <c r="AV19" s="93">
        <v>450.36</v>
      </c>
      <c r="AW19" s="93">
        <v>449.35</v>
      </c>
      <c r="AX19" s="93">
        <v>448.33</v>
      </c>
      <c r="AY19" s="93">
        <v>447.31</v>
      </c>
      <c r="AZ19" s="93">
        <v>446.3</v>
      </c>
      <c r="BA19" s="93">
        <v>445.29</v>
      </c>
      <c r="BB19" s="93">
        <v>444.27</v>
      </c>
      <c r="BC19" s="93">
        <v>443.26</v>
      </c>
      <c r="BD19" s="93">
        <v>442.24</v>
      </c>
      <c r="BE19" s="93">
        <v>441.23</v>
      </c>
      <c r="BF19" s="93">
        <v>440.22</v>
      </c>
      <c r="BG19" s="93">
        <v>439.2</v>
      </c>
      <c r="BH19" s="93">
        <v>438.19</v>
      </c>
      <c r="BI19" s="93">
        <v>437.18</v>
      </c>
      <c r="BJ19" s="93">
        <v>436.16</v>
      </c>
      <c r="BK19" s="93">
        <v>435.15</v>
      </c>
      <c r="BL19" s="93">
        <v>434.14</v>
      </c>
      <c r="BM19" s="93">
        <v>433.13</v>
      </c>
      <c r="BN19" s="93">
        <v>432.12</v>
      </c>
      <c r="BO19" s="93">
        <v>431.11</v>
      </c>
      <c r="BP19" s="93">
        <v>430.1</v>
      </c>
      <c r="BQ19" s="93">
        <v>429.08</v>
      </c>
      <c r="BR19" s="93">
        <v>428.07</v>
      </c>
      <c r="BS19" s="93">
        <v>427.06</v>
      </c>
      <c r="BT19" s="93">
        <v>426.05</v>
      </c>
      <c r="BU19" s="93">
        <v>425.04</v>
      </c>
      <c r="BV19" s="93">
        <v>424.03</v>
      </c>
      <c r="BW19" s="93">
        <v>423.02</v>
      </c>
      <c r="BX19" s="93">
        <v>422.02</v>
      </c>
      <c r="BY19" s="93">
        <v>421.01</v>
      </c>
      <c r="BZ19" s="93">
        <v>420</v>
      </c>
      <c r="CA19" s="93">
        <v>419</v>
      </c>
      <c r="CB19" s="93">
        <v>417.99</v>
      </c>
      <c r="CC19" s="93">
        <v>416.98</v>
      </c>
      <c r="CD19" s="93">
        <v>415.98</v>
      </c>
      <c r="CE19" s="93">
        <v>414.97</v>
      </c>
      <c r="CF19" s="93">
        <v>413.97</v>
      </c>
      <c r="CG19" s="93">
        <v>412.96</v>
      </c>
      <c r="CH19" s="93">
        <v>411.96</v>
      </c>
      <c r="CI19" s="93">
        <v>410.95</v>
      </c>
      <c r="CJ19" s="93">
        <v>409.95</v>
      </c>
      <c r="CK19" s="93">
        <v>408.95</v>
      </c>
      <c r="CL19" s="93">
        <v>407.95</v>
      </c>
      <c r="CM19" s="93">
        <v>406.95</v>
      </c>
      <c r="CN19" s="93">
        <v>405.95</v>
      </c>
      <c r="CO19" s="93">
        <v>404.94</v>
      </c>
      <c r="CP19" s="93">
        <v>403.94</v>
      </c>
      <c r="CQ19" s="93">
        <v>402.94</v>
      </c>
      <c r="CR19" s="93">
        <v>401.94</v>
      </c>
      <c r="CS19" s="93">
        <v>400.94</v>
      </c>
      <c r="CT19" s="93">
        <v>399.94</v>
      </c>
      <c r="CU19" s="93">
        <v>398.94</v>
      </c>
      <c r="CV19" s="93">
        <v>397.95</v>
      </c>
      <c r="CW19" s="93">
        <v>396.95</v>
      </c>
      <c r="CX19" s="93">
        <v>395.96</v>
      </c>
      <c r="CY19" s="93">
        <v>394.96</v>
      </c>
      <c r="CZ19" s="93">
        <v>393.97</v>
      </c>
      <c r="DA19" s="93">
        <v>392.97</v>
      </c>
      <c r="DB19" s="93">
        <v>391.98</v>
      </c>
      <c r="DC19" s="93">
        <v>390.98</v>
      </c>
      <c r="DD19" s="93">
        <v>389.99</v>
      </c>
      <c r="DE19" s="93">
        <v>389</v>
      </c>
      <c r="DF19" s="93">
        <v>388</v>
      </c>
      <c r="DG19" s="93">
        <v>387.01</v>
      </c>
      <c r="DH19" s="93">
        <v>386.02</v>
      </c>
      <c r="DI19" s="93">
        <v>385.03</v>
      </c>
      <c r="DJ19" s="93">
        <v>384.04</v>
      </c>
      <c r="DK19" s="93">
        <v>383.05</v>
      </c>
      <c r="DL19" s="93">
        <v>382.07</v>
      </c>
      <c r="DM19" s="93">
        <v>381.08</v>
      </c>
      <c r="DN19" s="93">
        <v>380.09</v>
      </c>
      <c r="DO19" s="93">
        <v>379.1</v>
      </c>
      <c r="DP19" s="93">
        <v>378.12</v>
      </c>
      <c r="DQ19" s="93">
        <v>377.13</v>
      </c>
      <c r="DR19" s="93">
        <v>376.14</v>
      </c>
      <c r="DS19" s="93">
        <v>375.16</v>
      </c>
      <c r="DT19" s="93">
        <v>374.18</v>
      </c>
      <c r="DU19" s="93">
        <v>373.2</v>
      </c>
      <c r="DV19" s="93">
        <v>372.22</v>
      </c>
      <c r="DW19" s="93">
        <v>371.24</v>
      </c>
      <c r="DX19" s="93">
        <v>370.26</v>
      </c>
      <c r="DY19" s="93">
        <v>369.28</v>
      </c>
      <c r="DZ19" s="93">
        <v>368.3</v>
      </c>
      <c r="EA19" s="93">
        <v>367.32</v>
      </c>
      <c r="EB19" s="93">
        <v>366.35</v>
      </c>
      <c r="EC19" s="93">
        <v>365.37</v>
      </c>
      <c r="ED19" s="93">
        <v>364.39</v>
      </c>
      <c r="EE19" s="93">
        <v>363.42</v>
      </c>
      <c r="EF19" s="93">
        <v>362.45</v>
      </c>
      <c r="EG19" s="93">
        <v>361.48</v>
      </c>
      <c r="EH19" s="93">
        <v>360.51</v>
      </c>
      <c r="EI19" s="93">
        <v>359.54</v>
      </c>
      <c r="EJ19" s="93">
        <v>358.57</v>
      </c>
      <c r="EK19" s="93">
        <v>357.6</v>
      </c>
      <c r="EL19" s="93">
        <v>356.64</v>
      </c>
      <c r="EM19" s="93">
        <v>355.67</v>
      </c>
      <c r="EN19" s="93">
        <v>354.71</v>
      </c>
      <c r="EO19" s="93">
        <v>353.74</v>
      </c>
      <c r="EP19" s="93">
        <v>352.78</v>
      </c>
      <c r="EQ19" s="93">
        <v>351.81</v>
      </c>
      <c r="ER19" s="93">
        <v>350.85</v>
      </c>
      <c r="ES19" s="93">
        <v>349.89</v>
      </c>
      <c r="ET19" s="93">
        <v>348.93</v>
      </c>
      <c r="EU19" s="93">
        <v>347.97</v>
      </c>
      <c r="EV19" s="93">
        <v>347.02</v>
      </c>
      <c r="EW19" s="93">
        <v>346.06</v>
      </c>
      <c r="EX19" s="93">
        <v>345.1</v>
      </c>
      <c r="EY19" s="93">
        <v>344.14</v>
      </c>
      <c r="EZ19" s="93">
        <v>343.19</v>
      </c>
      <c r="FA19" s="93">
        <v>342.23</v>
      </c>
      <c r="FB19" s="93">
        <v>341.28</v>
      </c>
      <c r="FC19" s="93">
        <v>340.32</v>
      </c>
      <c r="FD19" s="93">
        <v>339.37</v>
      </c>
      <c r="FE19" s="93">
        <v>338.42</v>
      </c>
      <c r="FF19" s="93">
        <v>337.47</v>
      </c>
      <c r="FG19" s="93">
        <v>336.52</v>
      </c>
      <c r="FH19" s="93">
        <v>335.57</v>
      </c>
      <c r="FI19" s="93">
        <v>334.62</v>
      </c>
      <c r="FJ19" s="93">
        <v>333.67</v>
      </c>
      <c r="FK19" s="93">
        <v>332.72</v>
      </c>
      <c r="FL19" s="93">
        <v>331.77</v>
      </c>
      <c r="FM19" s="93">
        <v>330.82</v>
      </c>
      <c r="FN19" s="93">
        <v>329.88</v>
      </c>
      <c r="FO19" s="93">
        <v>328.93</v>
      </c>
      <c r="FP19" s="93">
        <v>327.99</v>
      </c>
      <c r="FQ19" s="93">
        <v>327.04000000000002</v>
      </c>
      <c r="FR19" s="93">
        <v>326.10000000000002</v>
      </c>
      <c r="FS19" s="93">
        <v>325.16000000000003</v>
      </c>
      <c r="FT19" s="93">
        <v>324.22000000000003</v>
      </c>
      <c r="FU19" s="93">
        <v>323.27999999999997</v>
      </c>
      <c r="FV19" s="93">
        <v>322.33999999999997</v>
      </c>
      <c r="FW19" s="93">
        <v>321.39999999999998</v>
      </c>
      <c r="FX19" s="93">
        <v>320.45999999999998</v>
      </c>
      <c r="FY19" s="93">
        <v>319.51</v>
      </c>
      <c r="FZ19" s="93">
        <v>318.58999999999997</v>
      </c>
      <c r="GA19" s="93">
        <v>317.64999999999998</v>
      </c>
      <c r="GB19" s="93">
        <v>316.72000000000003</v>
      </c>
      <c r="GC19" s="93">
        <v>315.77999999999997</v>
      </c>
      <c r="GD19" s="93">
        <v>314.85000000000002</v>
      </c>
      <c r="GE19" s="93">
        <v>313.92</v>
      </c>
      <c r="GF19" s="93">
        <v>312.99</v>
      </c>
      <c r="GG19" s="93">
        <v>312.06</v>
      </c>
      <c r="GH19" s="93">
        <v>311.13</v>
      </c>
      <c r="GI19" s="93">
        <v>310.2</v>
      </c>
      <c r="GJ19" s="93">
        <v>309.26</v>
      </c>
      <c r="GK19" s="93">
        <v>308.35000000000002</v>
      </c>
      <c r="GL19" s="93">
        <v>307.42</v>
      </c>
      <c r="GM19" s="93">
        <v>306.5</v>
      </c>
      <c r="GN19" s="93">
        <v>305.57</v>
      </c>
      <c r="GO19" s="93">
        <v>304.64999999999998</v>
      </c>
      <c r="GP19" s="93">
        <v>303.73</v>
      </c>
      <c r="GQ19" s="93">
        <v>302.81</v>
      </c>
      <c r="GR19" s="93">
        <v>301.89999999999998</v>
      </c>
      <c r="GS19" s="93">
        <v>300.98</v>
      </c>
      <c r="GT19" s="93">
        <v>300.06</v>
      </c>
      <c r="GU19" s="93">
        <v>299.14999999999998</v>
      </c>
      <c r="GV19" s="93">
        <v>298.23</v>
      </c>
      <c r="GW19" s="93">
        <v>297.32</v>
      </c>
      <c r="GX19" s="93">
        <v>296.41000000000003</v>
      </c>
      <c r="GY19" s="93">
        <v>295.5</v>
      </c>
      <c r="GZ19" s="93">
        <v>294.58999999999997</v>
      </c>
      <c r="HA19" s="93">
        <v>293.68</v>
      </c>
      <c r="HB19" s="93">
        <v>292.76</v>
      </c>
      <c r="HC19" s="93">
        <v>291.87</v>
      </c>
      <c r="HD19" s="93">
        <v>290.95999999999998</v>
      </c>
      <c r="HE19" s="93">
        <v>290.06</v>
      </c>
      <c r="HF19" s="93">
        <v>289.16000000000003</v>
      </c>
      <c r="HG19" s="93">
        <v>288.25</v>
      </c>
      <c r="HH19" s="93">
        <v>287.35000000000002</v>
      </c>
      <c r="HI19" s="93">
        <v>286.45</v>
      </c>
      <c r="HJ19" s="93">
        <v>285.56</v>
      </c>
      <c r="HK19" s="93">
        <v>284.66000000000003</v>
      </c>
      <c r="HL19" s="93">
        <v>283.76</v>
      </c>
      <c r="HM19" s="93">
        <v>282.87</v>
      </c>
      <c r="HN19" s="93">
        <v>281.98</v>
      </c>
      <c r="HO19" s="93">
        <v>281.08999999999997</v>
      </c>
      <c r="HP19" s="93">
        <v>280.2</v>
      </c>
      <c r="HQ19" s="93">
        <v>279.31</v>
      </c>
      <c r="HR19" s="93">
        <v>278.43</v>
      </c>
      <c r="HS19" s="93">
        <v>277.54000000000002</v>
      </c>
      <c r="HT19" s="93">
        <v>276.64999999999998</v>
      </c>
      <c r="HU19" s="93">
        <v>275.76</v>
      </c>
      <c r="HV19" s="93">
        <v>274.89</v>
      </c>
      <c r="HW19" s="93">
        <v>274.01</v>
      </c>
      <c r="HX19" s="93">
        <v>273.13</v>
      </c>
      <c r="HY19" s="93">
        <v>272.25</v>
      </c>
      <c r="HZ19" s="93">
        <v>271.37</v>
      </c>
      <c r="IA19" s="93">
        <v>270.49</v>
      </c>
      <c r="IB19" s="93">
        <v>269.62</v>
      </c>
      <c r="IC19" s="93">
        <v>268.74</v>
      </c>
      <c r="ID19" s="93">
        <v>267.87</v>
      </c>
      <c r="IE19" s="93">
        <v>267</v>
      </c>
      <c r="IF19" s="93">
        <v>266.12</v>
      </c>
      <c r="IG19" s="93">
        <v>265.25</v>
      </c>
      <c r="IH19" s="93">
        <v>264.38</v>
      </c>
      <c r="II19" s="93">
        <v>263.51</v>
      </c>
      <c r="IJ19" s="93">
        <v>262.64999999999998</v>
      </c>
      <c r="IK19" s="93">
        <v>261.77999999999997</v>
      </c>
      <c r="IL19" s="93">
        <v>260.92</v>
      </c>
      <c r="IM19" s="93">
        <v>260.06</v>
      </c>
      <c r="IN19" s="93">
        <v>259.19</v>
      </c>
      <c r="IO19" s="93">
        <v>258.32</v>
      </c>
      <c r="IP19" s="93">
        <v>257.47000000000003</v>
      </c>
      <c r="IQ19" s="93">
        <v>256.62</v>
      </c>
      <c r="IR19" s="93">
        <v>255.76</v>
      </c>
      <c r="IS19" s="93">
        <v>254.9</v>
      </c>
      <c r="IT19" s="93">
        <v>254.05</v>
      </c>
      <c r="IU19" s="93">
        <v>253.2</v>
      </c>
      <c r="IV19" s="93">
        <v>252.35</v>
      </c>
      <c r="IW19" s="93">
        <v>251.5</v>
      </c>
      <c r="IX19" s="93">
        <v>250.65</v>
      </c>
      <c r="IY19" s="93">
        <v>249.8</v>
      </c>
      <c r="IZ19" s="93">
        <v>248.96</v>
      </c>
      <c r="JA19" s="93">
        <v>248.11</v>
      </c>
      <c r="JB19" s="93">
        <v>247.27</v>
      </c>
      <c r="JC19" s="93">
        <v>246.43</v>
      </c>
      <c r="JD19" s="93">
        <v>245.59</v>
      </c>
      <c r="JE19" s="93">
        <v>244.75</v>
      </c>
      <c r="JF19" s="93">
        <v>243.91</v>
      </c>
      <c r="JG19" s="93">
        <v>243.07</v>
      </c>
      <c r="JH19" s="93">
        <v>242.23</v>
      </c>
      <c r="JI19" s="93">
        <v>241.4</v>
      </c>
      <c r="JJ19" s="93">
        <v>240.57</v>
      </c>
      <c r="JK19" s="93">
        <v>239.73</v>
      </c>
      <c r="JL19" s="93">
        <v>238.9</v>
      </c>
      <c r="JM19" s="93">
        <v>238.07</v>
      </c>
      <c r="JN19" s="93">
        <v>237.24</v>
      </c>
      <c r="JO19" s="93">
        <v>236.41</v>
      </c>
      <c r="JP19" s="93">
        <v>235.58</v>
      </c>
      <c r="JQ19" s="93">
        <v>234.76</v>
      </c>
      <c r="JR19" s="93">
        <v>233.93</v>
      </c>
      <c r="JS19" s="93">
        <v>233.11</v>
      </c>
      <c r="JT19" s="93">
        <v>232.28</v>
      </c>
      <c r="JU19" s="93">
        <v>231.46</v>
      </c>
      <c r="JV19" s="93">
        <v>230.64</v>
      </c>
      <c r="JW19" s="93">
        <v>229.82</v>
      </c>
      <c r="JX19" s="93">
        <v>229</v>
      </c>
      <c r="JY19" s="93">
        <v>228.19</v>
      </c>
      <c r="JZ19" s="93">
        <v>227.37</v>
      </c>
      <c r="KA19" s="93">
        <v>226.55</v>
      </c>
      <c r="KB19" s="93">
        <v>225.74</v>
      </c>
      <c r="KC19" s="93">
        <v>224.93</v>
      </c>
      <c r="KD19" s="93">
        <v>224.11</v>
      </c>
      <c r="KE19" s="93">
        <v>223.3</v>
      </c>
      <c r="KF19" s="93">
        <v>222.49</v>
      </c>
      <c r="KG19" s="93">
        <v>221.68</v>
      </c>
      <c r="KH19" s="93">
        <v>220.87</v>
      </c>
      <c r="KI19" s="93">
        <v>220.07</v>
      </c>
      <c r="KJ19" s="93">
        <v>219.26</v>
      </c>
      <c r="KK19" s="93">
        <v>218.46</v>
      </c>
      <c r="KL19" s="93">
        <v>217.65</v>
      </c>
      <c r="KM19" s="93">
        <v>216.85</v>
      </c>
      <c r="KN19" s="93">
        <v>216.05</v>
      </c>
      <c r="KO19" s="93">
        <v>215.25</v>
      </c>
      <c r="KP19" s="93">
        <v>214.46</v>
      </c>
      <c r="KQ19" s="93">
        <v>213.66</v>
      </c>
      <c r="KR19" s="93">
        <v>212.61000000000013</v>
      </c>
      <c r="KS19" s="93">
        <v>211.86000000000013</v>
      </c>
      <c r="KT19" s="93">
        <v>211.11000000000013</v>
      </c>
      <c r="KU19" s="93">
        <v>210.36000000000013</v>
      </c>
      <c r="KV19" s="93">
        <v>209.61000000000013</v>
      </c>
      <c r="KW19" s="93">
        <v>208.86000000000013</v>
      </c>
      <c r="KX19" s="93">
        <v>208.11000000000013</v>
      </c>
      <c r="KY19" s="93">
        <v>207.36000000000013</v>
      </c>
      <c r="KZ19" s="93">
        <v>206.61000000000013</v>
      </c>
      <c r="LA19" s="93">
        <v>205.86000000000013</v>
      </c>
      <c r="LB19" s="93">
        <v>205.11000000000013</v>
      </c>
      <c r="LC19" s="93">
        <v>204.36000000000013</v>
      </c>
      <c r="LD19" s="93">
        <v>203.61000000000013</v>
      </c>
      <c r="LE19" s="93">
        <v>202.86000000000013</v>
      </c>
      <c r="LF19" s="93">
        <v>202.11000000000013</v>
      </c>
      <c r="LG19" s="93">
        <v>201.36000000000013</v>
      </c>
      <c r="LH19" s="93">
        <v>200.61000000000013</v>
      </c>
      <c r="LI19" s="93">
        <v>199.86000000000013</v>
      </c>
      <c r="LJ19" s="93">
        <v>199.11000000000013</v>
      </c>
      <c r="LK19" s="93">
        <v>198.36000000000013</v>
      </c>
      <c r="LL19" s="93">
        <v>197.61000000000013</v>
      </c>
      <c r="LM19" s="93">
        <v>196.86000000000013</v>
      </c>
      <c r="LN19" s="93">
        <v>196.11000000000013</v>
      </c>
      <c r="LO19" s="93">
        <v>195.36000000000013</v>
      </c>
      <c r="LP19" s="93">
        <v>194.61000000000013</v>
      </c>
      <c r="LQ19" s="93">
        <v>193.86000000000013</v>
      </c>
      <c r="LR19" s="93">
        <v>193.11000000000013</v>
      </c>
      <c r="LS19" s="93">
        <v>192.36000000000013</v>
      </c>
      <c r="LT19" s="93">
        <v>191.61000000000013</v>
      </c>
      <c r="LU19" s="93">
        <v>190.86000000000013</v>
      </c>
      <c r="LV19" s="93">
        <v>190.11000000000013</v>
      </c>
      <c r="LW19" s="93">
        <v>189.36000000000013</v>
      </c>
      <c r="LX19" s="93">
        <v>188.61000000000013</v>
      </c>
      <c r="LY19" s="93">
        <v>187.86000000000013</v>
      </c>
      <c r="LZ19" s="93">
        <v>187.11000000000013</v>
      </c>
      <c r="MA19" s="93">
        <v>186.36000000000013</v>
      </c>
      <c r="MB19" s="93">
        <v>185.61000000000013</v>
      </c>
      <c r="MC19" s="93">
        <v>184.86000000000013</v>
      </c>
      <c r="MD19" s="93">
        <v>184.11000000000013</v>
      </c>
      <c r="ME19" s="93">
        <v>183.36000000000013</v>
      </c>
      <c r="MF19" s="93">
        <v>182.61000000000013</v>
      </c>
      <c r="MG19" s="93">
        <v>181.86000000000013</v>
      </c>
      <c r="MH19" s="93">
        <v>181.11000000000013</v>
      </c>
      <c r="MI19" s="93">
        <v>180.36000000000013</v>
      </c>
      <c r="MJ19" s="93">
        <v>179.61000000000013</v>
      </c>
      <c r="MK19" s="93">
        <v>178.86000000000013</v>
      </c>
      <c r="ML19" s="93">
        <v>178.11000000000013</v>
      </c>
      <c r="MM19" s="93">
        <v>177.36000000000013</v>
      </c>
      <c r="MN19" s="93">
        <v>176.61000000000013</v>
      </c>
      <c r="MO19" s="93">
        <v>175.86000000000013</v>
      </c>
      <c r="MP19" s="93">
        <v>175.11000000000013</v>
      </c>
      <c r="MQ19" s="93">
        <v>174.36000000000013</v>
      </c>
      <c r="MR19" s="93">
        <v>173.61000000000013</v>
      </c>
      <c r="MS19" s="93">
        <v>172.86000000000013</v>
      </c>
      <c r="MT19" s="93">
        <v>172.11000000000013</v>
      </c>
      <c r="MU19" s="93">
        <v>171.36000000000013</v>
      </c>
      <c r="MV19" s="93">
        <v>170.61000000000013</v>
      </c>
      <c r="MW19" s="93">
        <v>169.86000000000013</v>
      </c>
      <c r="MX19" s="93">
        <v>169.11000000000013</v>
      </c>
      <c r="MY19" s="93">
        <v>168.36000000000013</v>
      </c>
    </row>
    <row r="20" spans="1:363" ht="15.75" x14ac:dyDescent="0.25">
      <c r="A20" s="90" t="s">
        <v>7</v>
      </c>
      <c r="B20" s="95">
        <v>2030</v>
      </c>
      <c r="C20" s="93">
        <v>496.78</v>
      </c>
      <c r="D20" s="93">
        <v>495.76</v>
      </c>
      <c r="E20" s="93">
        <v>494.74</v>
      </c>
      <c r="F20" s="93">
        <v>493.72</v>
      </c>
      <c r="G20" s="93">
        <v>492.69</v>
      </c>
      <c r="H20" s="93">
        <v>491.67</v>
      </c>
      <c r="I20" s="93">
        <v>490.65</v>
      </c>
      <c r="J20" s="93">
        <v>489.63</v>
      </c>
      <c r="K20" s="93">
        <v>488.61</v>
      </c>
      <c r="L20" s="93">
        <v>487.59</v>
      </c>
      <c r="M20" s="93">
        <v>486.57</v>
      </c>
      <c r="N20" s="93">
        <v>485.55</v>
      </c>
      <c r="O20" s="93">
        <v>484.53</v>
      </c>
      <c r="P20" s="93">
        <v>483.51</v>
      </c>
      <c r="Q20" s="93">
        <v>482.49</v>
      </c>
      <c r="R20" s="93">
        <v>481.47</v>
      </c>
      <c r="S20" s="93">
        <v>480.45</v>
      </c>
      <c r="T20" s="93">
        <v>479.43</v>
      </c>
      <c r="U20" s="93">
        <v>478.42</v>
      </c>
      <c r="V20" s="93">
        <v>477.4</v>
      </c>
      <c r="W20" s="93">
        <v>476.38</v>
      </c>
      <c r="X20" s="93">
        <v>475.36</v>
      </c>
      <c r="Y20" s="93">
        <v>474.34</v>
      </c>
      <c r="Z20" s="93">
        <v>473.32</v>
      </c>
      <c r="AA20" s="93">
        <v>472.3</v>
      </c>
      <c r="AB20" s="93">
        <v>471.28</v>
      </c>
      <c r="AC20" s="93">
        <v>470.26</v>
      </c>
      <c r="AD20" s="93">
        <v>469.25</v>
      </c>
      <c r="AE20" s="93">
        <v>468.23</v>
      </c>
      <c r="AF20" s="93">
        <v>467.21</v>
      </c>
      <c r="AG20" s="93">
        <v>466.19</v>
      </c>
      <c r="AH20" s="93">
        <v>465.17</v>
      </c>
      <c r="AI20" s="93">
        <v>464.15</v>
      </c>
      <c r="AJ20" s="93">
        <v>463.14</v>
      </c>
      <c r="AK20" s="93">
        <v>462.12</v>
      </c>
      <c r="AL20" s="93">
        <v>461.1</v>
      </c>
      <c r="AM20" s="93">
        <v>460.08</v>
      </c>
      <c r="AN20" s="93">
        <v>459.07</v>
      </c>
      <c r="AO20" s="93">
        <v>458.05</v>
      </c>
      <c r="AP20" s="93">
        <v>457.03</v>
      </c>
      <c r="AQ20" s="93">
        <v>456.02</v>
      </c>
      <c r="AR20" s="93">
        <v>455</v>
      </c>
      <c r="AS20" s="93">
        <v>453.98</v>
      </c>
      <c r="AT20" s="93">
        <v>452.97</v>
      </c>
      <c r="AU20" s="93">
        <v>451.95</v>
      </c>
      <c r="AV20" s="93">
        <v>450.94</v>
      </c>
      <c r="AW20" s="93">
        <v>449.92</v>
      </c>
      <c r="AX20" s="93">
        <v>448.9</v>
      </c>
      <c r="AY20" s="93">
        <v>447.89</v>
      </c>
      <c r="AZ20" s="93">
        <v>446.87</v>
      </c>
      <c r="BA20" s="93">
        <v>445.86</v>
      </c>
      <c r="BB20" s="93">
        <v>444.85</v>
      </c>
      <c r="BC20" s="93">
        <v>443.83</v>
      </c>
      <c r="BD20" s="93">
        <v>442.82</v>
      </c>
      <c r="BE20" s="93">
        <v>441.8</v>
      </c>
      <c r="BF20" s="93">
        <v>440.79</v>
      </c>
      <c r="BG20" s="93">
        <v>439.77</v>
      </c>
      <c r="BH20" s="93">
        <v>438.76</v>
      </c>
      <c r="BI20" s="93">
        <v>437.75</v>
      </c>
      <c r="BJ20" s="93">
        <v>436.73</v>
      </c>
      <c r="BK20" s="93">
        <v>435.72</v>
      </c>
      <c r="BL20" s="93">
        <v>434.71</v>
      </c>
      <c r="BM20" s="93">
        <v>433.7</v>
      </c>
      <c r="BN20" s="93">
        <v>432.68</v>
      </c>
      <c r="BO20" s="93">
        <v>431.67</v>
      </c>
      <c r="BP20" s="93">
        <v>430.66</v>
      </c>
      <c r="BQ20" s="93">
        <v>429.65</v>
      </c>
      <c r="BR20" s="93">
        <v>428.64</v>
      </c>
      <c r="BS20" s="93">
        <v>427.63</v>
      </c>
      <c r="BT20" s="93">
        <v>426.62</v>
      </c>
      <c r="BU20" s="93">
        <v>425.61</v>
      </c>
      <c r="BV20" s="93">
        <v>424.6</v>
      </c>
      <c r="BW20" s="93">
        <v>423.59</v>
      </c>
      <c r="BX20" s="93">
        <v>422.58</v>
      </c>
      <c r="BY20" s="93">
        <v>421.57</v>
      </c>
      <c r="BZ20" s="93">
        <v>420.57</v>
      </c>
      <c r="CA20" s="93">
        <v>419.56</v>
      </c>
      <c r="CB20" s="93">
        <v>418.55</v>
      </c>
      <c r="CC20" s="93">
        <v>417.55</v>
      </c>
      <c r="CD20" s="93">
        <v>416.54</v>
      </c>
      <c r="CE20" s="93">
        <v>415.53</v>
      </c>
      <c r="CF20" s="93">
        <v>414.53</v>
      </c>
      <c r="CG20" s="93">
        <v>413.52</v>
      </c>
      <c r="CH20" s="93">
        <v>412.51</v>
      </c>
      <c r="CI20" s="93">
        <v>411.51</v>
      </c>
      <c r="CJ20" s="93">
        <v>410.51</v>
      </c>
      <c r="CK20" s="93">
        <v>409.5</v>
      </c>
      <c r="CL20" s="93">
        <v>408.5</v>
      </c>
      <c r="CM20" s="93">
        <v>407.5</v>
      </c>
      <c r="CN20" s="93">
        <v>406.5</v>
      </c>
      <c r="CO20" s="93">
        <v>405.5</v>
      </c>
      <c r="CP20" s="93">
        <v>404.5</v>
      </c>
      <c r="CQ20" s="93">
        <v>403.5</v>
      </c>
      <c r="CR20" s="93">
        <v>402.5</v>
      </c>
      <c r="CS20" s="93">
        <v>401.5</v>
      </c>
      <c r="CT20" s="93">
        <v>400.5</v>
      </c>
      <c r="CU20" s="93">
        <v>399.5</v>
      </c>
      <c r="CV20" s="93">
        <v>398.5</v>
      </c>
      <c r="CW20" s="93">
        <v>397.5</v>
      </c>
      <c r="CX20" s="93">
        <v>396.51</v>
      </c>
      <c r="CY20" s="93">
        <v>395.51</v>
      </c>
      <c r="CZ20" s="93">
        <v>394.52</v>
      </c>
      <c r="DA20" s="93">
        <v>393.52</v>
      </c>
      <c r="DB20" s="93">
        <v>392.53</v>
      </c>
      <c r="DC20" s="93">
        <v>391.53</v>
      </c>
      <c r="DD20" s="93">
        <v>390.54</v>
      </c>
      <c r="DE20" s="93">
        <v>389.54</v>
      </c>
      <c r="DF20" s="93">
        <v>388.55</v>
      </c>
      <c r="DG20" s="93">
        <v>387.56</v>
      </c>
      <c r="DH20" s="93">
        <v>386.57</v>
      </c>
      <c r="DI20" s="93">
        <v>385.58</v>
      </c>
      <c r="DJ20" s="93">
        <v>384.59</v>
      </c>
      <c r="DK20" s="93">
        <v>383.6</v>
      </c>
      <c r="DL20" s="93">
        <v>382.61</v>
      </c>
      <c r="DM20" s="93">
        <v>381.62</v>
      </c>
      <c r="DN20" s="93">
        <v>380.63</v>
      </c>
      <c r="DO20" s="93">
        <v>379.65</v>
      </c>
      <c r="DP20" s="93">
        <v>378.66</v>
      </c>
      <c r="DQ20" s="93">
        <v>377.67</v>
      </c>
      <c r="DR20" s="93">
        <v>376.69</v>
      </c>
      <c r="DS20" s="93">
        <v>375.7</v>
      </c>
      <c r="DT20" s="93">
        <v>374.72</v>
      </c>
      <c r="DU20" s="93">
        <v>373.74</v>
      </c>
      <c r="DV20" s="93">
        <v>372.76</v>
      </c>
      <c r="DW20" s="93">
        <v>371.78</v>
      </c>
      <c r="DX20" s="93">
        <v>370.8</v>
      </c>
      <c r="DY20" s="93">
        <v>369.82</v>
      </c>
      <c r="DZ20" s="93">
        <v>368.84</v>
      </c>
      <c r="EA20" s="93">
        <v>367.86</v>
      </c>
      <c r="EB20" s="93">
        <v>366.88</v>
      </c>
      <c r="EC20" s="93">
        <v>365.91</v>
      </c>
      <c r="ED20" s="93">
        <v>364.93</v>
      </c>
      <c r="EE20" s="93">
        <v>363.95</v>
      </c>
      <c r="EF20" s="93">
        <v>362.98</v>
      </c>
      <c r="EG20" s="93">
        <v>362.01</v>
      </c>
      <c r="EH20" s="93">
        <v>361.05</v>
      </c>
      <c r="EI20" s="93">
        <v>360.08</v>
      </c>
      <c r="EJ20" s="93">
        <v>359.11</v>
      </c>
      <c r="EK20" s="93">
        <v>358.14</v>
      </c>
      <c r="EL20" s="93">
        <v>357.17</v>
      </c>
      <c r="EM20" s="93">
        <v>356.21</v>
      </c>
      <c r="EN20" s="93">
        <v>355.24</v>
      </c>
      <c r="EO20" s="93">
        <v>354.28</v>
      </c>
      <c r="EP20" s="93">
        <v>353.31</v>
      </c>
      <c r="EQ20" s="93">
        <v>352.35</v>
      </c>
      <c r="ER20" s="93">
        <v>351.39</v>
      </c>
      <c r="ES20" s="93">
        <v>350.43</v>
      </c>
      <c r="ET20" s="93">
        <v>349.47</v>
      </c>
      <c r="EU20" s="93">
        <v>348.51</v>
      </c>
      <c r="EV20" s="93">
        <v>347.55</v>
      </c>
      <c r="EW20" s="93">
        <v>346.59</v>
      </c>
      <c r="EX20" s="93">
        <v>345.63</v>
      </c>
      <c r="EY20" s="93">
        <v>344.68</v>
      </c>
      <c r="EZ20" s="93">
        <v>343.72</v>
      </c>
      <c r="FA20" s="93">
        <v>342.76</v>
      </c>
      <c r="FB20" s="93">
        <v>341.81</v>
      </c>
      <c r="FC20" s="93">
        <v>340.86</v>
      </c>
      <c r="FD20" s="93">
        <v>339.9</v>
      </c>
      <c r="FE20" s="93">
        <v>338.95</v>
      </c>
      <c r="FF20" s="93">
        <v>338</v>
      </c>
      <c r="FG20" s="93">
        <v>337.05</v>
      </c>
      <c r="FH20" s="93">
        <v>336.1</v>
      </c>
      <c r="FI20" s="93">
        <v>335.15</v>
      </c>
      <c r="FJ20" s="93">
        <v>334.2</v>
      </c>
      <c r="FK20" s="93">
        <v>333.25</v>
      </c>
      <c r="FL20" s="93">
        <v>332.3</v>
      </c>
      <c r="FM20" s="93">
        <v>331.35</v>
      </c>
      <c r="FN20" s="93">
        <v>330.41</v>
      </c>
      <c r="FO20" s="93">
        <v>329.46</v>
      </c>
      <c r="FP20" s="93">
        <v>328.52</v>
      </c>
      <c r="FQ20" s="93">
        <v>327.57</v>
      </c>
      <c r="FR20" s="93">
        <v>326.63</v>
      </c>
      <c r="FS20" s="93">
        <v>325.69</v>
      </c>
      <c r="FT20" s="93">
        <v>324.75</v>
      </c>
      <c r="FU20" s="93">
        <v>323.81</v>
      </c>
      <c r="FV20" s="93">
        <v>322.87</v>
      </c>
      <c r="FW20" s="93">
        <v>321.93</v>
      </c>
      <c r="FX20" s="93">
        <v>320.99</v>
      </c>
      <c r="FY20" s="93">
        <v>320.04000000000002</v>
      </c>
      <c r="FZ20" s="93">
        <v>319.10000000000002</v>
      </c>
      <c r="GA20" s="93">
        <v>318.18</v>
      </c>
      <c r="GB20" s="93">
        <v>317.24</v>
      </c>
      <c r="GC20" s="93">
        <v>316.31</v>
      </c>
      <c r="GD20" s="93">
        <v>315.38</v>
      </c>
      <c r="GE20" s="93">
        <v>314.44</v>
      </c>
      <c r="GF20" s="93">
        <v>313.51</v>
      </c>
      <c r="GG20" s="93">
        <v>312.57</v>
      </c>
      <c r="GH20" s="93">
        <v>311.64999999999998</v>
      </c>
      <c r="GI20" s="93">
        <v>310.72000000000003</v>
      </c>
      <c r="GJ20" s="93">
        <v>309.79000000000002</v>
      </c>
      <c r="GK20" s="93">
        <v>308.87</v>
      </c>
      <c r="GL20" s="93">
        <v>307.94</v>
      </c>
      <c r="GM20" s="93">
        <v>307.01</v>
      </c>
      <c r="GN20" s="93">
        <v>306.10000000000002</v>
      </c>
      <c r="GO20" s="93">
        <v>305.18</v>
      </c>
      <c r="GP20" s="93">
        <v>304.25</v>
      </c>
      <c r="GQ20" s="93">
        <v>303.33999999999997</v>
      </c>
      <c r="GR20" s="93">
        <v>302.42</v>
      </c>
      <c r="GS20" s="93">
        <v>301.5</v>
      </c>
      <c r="GT20" s="93">
        <v>300.57</v>
      </c>
      <c r="GU20" s="93">
        <v>299.67</v>
      </c>
      <c r="GV20" s="93">
        <v>298.75</v>
      </c>
      <c r="GW20" s="93">
        <v>297.83999999999997</v>
      </c>
      <c r="GX20" s="93">
        <v>296.93</v>
      </c>
      <c r="GY20" s="93">
        <v>296.01</v>
      </c>
      <c r="GZ20" s="93">
        <v>295.10000000000002</v>
      </c>
      <c r="HA20" s="93">
        <v>294.2</v>
      </c>
      <c r="HB20" s="93">
        <v>293.29000000000002</v>
      </c>
      <c r="HC20" s="93">
        <v>292.38</v>
      </c>
      <c r="HD20" s="93">
        <v>291.48</v>
      </c>
      <c r="HE20" s="93">
        <v>290.57</v>
      </c>
      <c r="HF20" s="93">
        <v>289.67</v>
      </c>
      <c r="HG20" s="93">
        <v>288.76</v>
      </c>
      <c r="HH20" s="93">
        <v>287.87</v>
      </c>
      <c r="HI20" s="93">
        <v>286.97000000000003</v>
      </c>
      <c r="HJ20" s="93">
        <v>286.07</v>
      </c>
      <c r="HK20" s="93">
        <v>285.17</v>
      </c>
      <c r="HL20" s="93">
        <v>284.27999999999997</v>
      </c>
      <c r="HM20" s="93">
        <v>283.39</v>
      </c>
      <c r="HN20" s="93">
        <v>282.49</v>
      </c>
      <c r="HO20" s="93">
        <v>281.60000000000002</v>
      </c>
      <c r="HP20" s="93">
        <v>280.70999999999998</v>
      </c>
      <c r="HQ20" s="93">
        <v>279.82</v>
      </c>
      <c r="HR20" s="93">
        <v>278.94</v>
      </c>
      <c r="HS20" s="93">
        <v>278.04000000000002</v>
      </c>
      <c r="HT20" s="93">
        <v>277.16000000000003</v>
      </c>
      <c r="HU20" s="93">
        <v>276.27999999999997</v>
      </c>
      <c r="HV20" s="93">
        <v>275.39999999999998</v>
      </c>
      <c r="HW20" s="93">
        <v>274.51</v>
      </c>
      <c r="HX20" s="93">
        <v>273.63</v>
      </c>
      <c r="HY20" s="93">
        <v>272.76</v>
      </c>
      <c r="HZ20" s="93">
        <v>271.88</v>
      </c>
      <c r="IA20" s="93">
        <v>271</v>
      </c>
      <c r="IB20" s="93">
        <v>270.12</v>
      </c>
      <c r="IC20" s="93">
        <v>269.25</v>
      </c>
      <c r="ID20" s="93">
        <v>268.37</v>
      </c>
      <c r="IE20" s="93">
        <v>267.5</v>
      </c>
      <c r="IF20" s="93">
        <v>266.63</v>
      </c>
      <c r="IG20" s="93">
        <v>265.76</v>
      </c>
      <c r="IH20" s="93">
        <v>264.89</v>
      </c>
      <c r="II20" s="93">
        <v>264.01</v>
      </c>
      <c r="IJ20" s="93">
        <v>263.14999999999998</v>
      </c>
      <c r="IK20" s="93">
        <v>262.29000000000002</v>
      </c>
      <c r="IL20" s="93">
        <v>261.42</v>
      </c>
      <c r="IM20" s="93">
        <v>260.56</v>
      </c>
      <c r="IN20" s="93">
        <v>259.7</v>
      </c>
      <c r="IO20" s="93">
        <v>258.82</v>
      </c>
      <c r="IP20" s="93">
        <v>257.98</v>
      </c>
      <c r="IQ20" s="93">
        <v>257.12</v>
      </c>
      <c r="IR20" s="93">
        <v>256.26</v>
      </c>
      <c r="IS20" s="93">
        <v>255.4</v>
      </c>
      <c r="IT20" s="93">
        <v>254.55</v>
      </c>
      <c r="IU20" s="93">
        <v>253.7</v>
      </c>
      <c r="IV20" s="93">
        <v>252.84</v>
      </c>
      <c r="IW20" s="93">
        <v>251.99</v>
      </c>
      <c r="IX20" s="93">
        <v>251.15</v>
      </c>
      <c r="IY20" s="93">
        <v>250.3</v>
      </c>
      <c r="IZ20" s="93">
        <v>249.45</v>
      </c>
      <c r="JA20" s="93">
        <v>248.61</v>
      </c>
      <c r="JB20" s="93">
        <v>247.76</v>
      </c>
      <c r="JC20" s="93">
        <v>246.92</v>
      </c>
      <c r="JD20" s="93">
        <v>246.08</v>
      </c>
      <c r="JE20" s="93">
        <v>245.24</v>
      </c>
      <c r="JF20" s="93">
        <v>244.4</v>
      </c>
      <c r="JG20" s="93">
        <v>243.56</v>
      </c>
      <c r="JH20" s="93">
        <v>242.73</v>
      </c>
      <c r="JI20" s="93">
        <v>241.89</v>
      </c>
      <c r="JJ20" s="93">
        <v>241.06</v>
      </c>
      <c r="JK20" s="93">
        <v>240.22</v>
      </c>
      <c r="JL20" s="93">
        <v>239.39</v>
      </c>
      <c r="JM20" s="93">
        <v>238.56</v>
      </c>
      <c r="JN20" s="93">
        <v>237.73</v>
      </c>
      <c r="JO20" s="93">
        <v>236.9</v>
      </c>
      <c r="JP20" s="93">
        <v>236.07</v>
      </c>
      <c r="JQ20" s="93">
        <v>235.24</v>
      </c>
      <c r="JR20" s="93">
        <v>234.42</v>
      </c>
      <c r="JS20" s="93">
        <v>233.59</v>
      </c>
      <c r="JT20" s="93">
        <v>232.77</v>
      </c>
      <c r="JU20" s="93">
        <v>231.95</v>
      </c>
      <c r="JV20" s="93">
        <v>231.13</v>
      </c>
      <c r="JW20" s="93">
        <v>230.31</v>
      </c>
      <c r="JX20" s="93">
        <v>229.49</v>
      </c>
      <c r="JY20" s="93">
        <v>228.67</v>
      </c>
      <c r="JZ20" s="93">
        <v>227.85</v>
      </c>
      <c r="KA20" s="93">
        <v>227.03</v>
      </c>
      <c r="KB20" s="93">
        <v>226.22</v>
      </c>
      <c r="KC20" s="93">
        <v>225.41</v>
      </c>
      <c r="KD20" s="93">
        <v>224.59</v>
      </c>
      <c r="KE20" s="93">
        <v>223.78</v>
      </c>
      <c r="KF20" s="93">
        <v>222.97</v>
      </c>
      <c r="KG20" s="93">
        <v>222.16</v>
      </c>
      <c r="KH20" s="93">
        <v>221.35</v>
      </c>
      <c r="KI20" s="93">
        <v>220.54</v>
      </c>
      <c r="KJ20" s="93">
        <v>219.74</v>
      </c>
      <c r="KK20" s="93">
        <v>218.93</v>
      </c>
      <c r="KL20" s="93">
        <v>218.13</v>
      </c>
      <c r="KM20" s="93">
        <v>217.32</v>
      </c>
      <c r="KN20" s="93">
        <v>216.52</v>
      </c>
      <c r="KO20" s="93">
        <v>215.72</v>
      </c>
      <c r="KP20" s="93">
        <v>214.93</v>
      </c>
      <c r="KQ20" s="93">
        <v>214.13</v>
      </c>
      <c r="KR20" s="93">
        <v>213.07000000000014</v>
      </c>
      <c r="KS20" s="93">
        <v>212.32000000000014</v>
      </c>
      <c r="KT20" s="93">
        <v>211.57000000000014</v>
      </c>
      <c r="KU20" s="93">
        <v>210.82000000000014</v>
      </c>
      <c r="KV20" s="93">
        <v>210.07000000000014</v>
      </c>
      <c r="KW20" s="93">
        <v>209.32000000000014</v>
      </c>
      <c r="KX20" s="93">
        <v>208.57000000000014</v>
      </c>
      <c r="KY20" s="93">
        <v>207.82000000000014</v>
      </c>
      <c r="KZ20" s="93">
        <v>207.07000000000014</v>
      </c>
      <c r="LA20" s="93">
        <v>206.32000000000014</v>
      </c>
      <c r="LB20" s="93">
        <v>205.57000000000014</v>
      </c>
      <c r="LC20" s="93">
        <v>204.82000000000014</v>
      </c>
      <c r="LD20" s="93">
        <v>204.07000000000014</v>
      </c>
      <c r="LE20" s="93">
        <v>203.32000000000014</v>
      </c>
      <c r="LF20" s="93">
        <v>202.57000000000014</v>
      </c>
      <c r="LG20" s="93">
        <v>201.82000000000014</v>
      </c>
      <c r="LH20" s="93">
        <v>201.07000000000014</v>
      </c>
      <c r="LI20" s="93">
        <v>200.32000000000014</v>
      </c>
      <c r="LJ20" s="93">
        <v>199.57000000000014</v>
      </c>
      <c r="LK20" s="93">
        <v>198.82000000000014</v>
      </c>
      <c r="LL20" s="93">
        <v>198.07000000000014</v>
      </c>
      <c r="LM20" s="93">
        <v>197.32000000000014</v>
      </c>
      <c r="LN20" s="93">
        <v>196.57000000000014</v>
      </c>
      <c r="LO20" s="93">
        <v>195.82000000000014</v>
      </c>
      <c r="LP20" s="93">
        <v>195.07000000000014</v>
      </c>
      <c r="LQ20" s="93">
        <v>194.32000000000014</v>
      </c>
      <c r="LR20" s="93">
        <v>193.57000000000014</v>
      </c>
      <c r="LS20" s="93">
        <v>192.82000000000014</v>
      </c>
      <c r="LT20" s="93">
        <v>192.07000000000014</v>
      </c>
      <c r="LU20" s="93">
        <v>191.32000000000014</v>
      </c>
      <c r="LV20" s="93">
        <v>190.57000000000014</v>
      </c>
      <c r="LW20" s="93">
        <v>189.82000000000014</v>
      </c>
      <c r="LX20" s="93">
        <v>189.07000000000014</v>
      </c>
      <c r="LY20" s="93">
        <v>188.32000000000014</v>
      </c>
      <c r="LZ20" s="93">
        <v>187.57000000000014</v>
      </c>
      <c r="MA20" s="93">
        <v>186.82000000000014</v>
      </c>
      <c r="MB20" s="93">
        <v>186.07000000000014</v>
      </c>
      <c r="MC20" s="93">
        <v>185.32000000000014</v>
      </c>
      <c r="MD20" s="93">
        <v>184.57000000000014</v>
      </c>
      <c r="ME20" s="93">
        <v>183.82000000000014</v>
      </c>
      <c r="MF20" s="93">
        <v>183.07000000000014</v>
      </c>
      <c r="MG20" s="93">
        <v>182.32000000000014</v>
      </c>
      <c r="MH20" s="93">
        <v>181.57000000000014</v>
      </c>
      <c r="MI20" s="93">
        <v>180.82000000000014</v>
      </c>
      <c r="MJ20" s="93">
        <v>180.07000000000014</v>
      </c>
      <c r="MK20" s="93">
        <v>179.32000000000014</v>
      </c>
      <c r="ML20" s="93">
        <v>178.57000000000014</v>
      </c>
      <c r="MM20" s="93">
        <v>177.82000000000014</v>
      </c>
      <c r="MN20" s="93">
        <v>177.07000000000014</v>
      </c>
      <c r="MO20" s="93">
        <v>176.32000000000014</v>
      </c>
      <c r="MP20" s="93">
        <v>175.57000000000014</v>
      </c>
      <c r="MQ20" s="93">
        <v>174.82000000000014</v>
      </c>
      <c r="MR20" s="93">
        <v>174.07000000000014</v>
      </c>
      <c r="MS20" s="93">
        <v>173.32000000000014</v>
      </c>
      <c r="MT20" s="93">
        <v>172.57000000000014</v>
      </c>
      <c r="MU20" s="93">
        <v>171.82000000000014</v>
      </c>
      <c r="MV20" s="93">
        <v>171.07000000000014</v>
      </c>
      <c r="MW20" s="93">
        <v>170.32000000000014</v>
      </c>
      <c r="MX20" s="93">
        <v>169.57000000000014</v>
      </c>
      <c r="MY20" s="93">
        <v>168.82000000000014</v>
      </c>
    </row>
    <row r="21" spans="1:363" ht="15.75" x14ac:dyDescent="0.25">
      <c r="A21" s="90" t="s">
        <v>7</v>
      </c>
      <c r="B21" s="95">
        <v>2031</v>
      </c>
      <c r="C21" s="93">
        <v>497.37</v>
      </c>
      <c r="D21" s="93">
        <v>496.34</v>
      </c>
      <c r="E21" s="93">
        <v>495.32</v>
      </c>
      <c r="F21" s="93">
        <v>494.3</v>
      </c>
      <c r="G21" s="93">
        <v>493.28</v>
      </c>
      <c r="H21" s="93">
        <v>492.26</v>
      </c>
      <c r="I21" s="93">
        <v>491.24</v>
      </c>
      <c r="J21" s="93">
        <v>490.22</v>
      </c>
      <c r="K21" s="93">
        <v>489.2</v>
      </c>
      <c r="L21" s="93">
        <v>488.18</v>
      </c>
      <c r="M21" s="93">
        <v>487.16</v>
      </c>
      <c r="N21" s="93">
        <v>486.14</v>
      </c>
      <c r="O21" s="93">
        <v>485.12</v>
      </c>
      <c r="P21" s="93">
        <v>484.1</v>
      </c>
      <c r="Q21" s="93">
        <v>483.08</v>
      </c>
      <c r="R21" s="93">
        <v>482.06</v>
      </c>
      <c r="S21" s="93">
        <v>481.04</v>
      </c>
      <c r="T21" s="93">
        <v>480.02</v>
      </c>
      <c r="U21" s="93">
        <v>479</v>
      </c>
      <c r="V21" s="93">
        <v>477.98</v>
      </c>
      <c r="W21" s="93">
        <v>476.96</v>
      </c>
      <c r="X21" s="93">
        <v>475.94</v>
      </c>
      <c r="Y21" s="93">
        <v>474.92</v>
      </c>
      <c r="Z21" s="93">
        <v>473.9</v>
      </c>
      <c r="AA21" s="93">
        <v>472.88</v>
      </c>
      <c r="AB21" s="93">
        <v>471.86</v>
      </c>
      <c r="AC21" s="93">
        <v>470.85</v>
      </c>
      <c r="AD21" s="93">
        <v>469.83</v>
      </c>
      <c r="AE21" s="93">
        <v>468.81</v>
      </c>
      <c r="AF21" s="93">
        <v>467.79</v>
      </c>
      <c r="AG21" s="93">
        <v>466.77</v>
      </c>
      <c r="AH21" s="93">
        <v>465.75</v>
      </c>
      <c r="AI21" s="93">
        <v>464.73</v>
      </c>
      <c r="AJ21" s="93">
        <v>463.72</v>
      </c>
      <c r="AK21" s="93">
        <v>462.7</v>
      </c>
      <c r="AL21" s="93">
        <v>461.68</v>
      </c>
      <c r="AM21" s="93">
        <v>460.66</v>
      </c>
      <c r="AN21" s="93">
        <v>459.64</v>
      </c>
      <c r="AO21" s="93">
        <v>458.63</v>
      </c>
      <c r="AP21" s="93">
        <v>457.61</v>
      </c>
      <c r="AQ21" s="93">
        <v>456.59</v>
      </c>
      <c r="AR21" s="93">
        <v>455.58</v>
      </c>
      <c r="AS21" s="93">
        <v>454.56</v>
      </c>
      <c r="AT21" s="93">
        <v>453.54</v>
      </c>
      <c r="AU21" s="93">
        <v>452.53</v>
      </c>
      <c r="AV21" s="93">
        <v>451.51</v>
      </c>
      <c r="AW21" s="93">
        <v>450.49</v>
      </c>
      <c r="AX21" s="93">
        <v>449.48</v>
      </c>
      <c r="AY21" s="93">
        <v>448.46</v>
      </c>
      <c r="AZ21" s="93">
        <v>447.45</v>
      </c>
      <c r="BA21" s="93">
        <v>446.43</v>
      </c>
      <c r="BB21" s="93">
        <v>445.42</v>
      </c>
      <c r="BC21" s="93">
        <v>444.4</v>
      </c>
      <c r="BD21" s="93">
        <v>443.39</v>
      </c>
      <c r="BE21" s="93">
        <v>442.37</v>
      </c>
      <c r="BF21" s="93">
        <v>441.36</v>
      </c>
      <c r="BG21" s="93">
        <v>440.34</v>
      </c>
      <c r="BH21" s="93">
        <v>439.33</v>
      </c>
      <c r="BI21" s="93">
        <v>438.31</v>
      </c>
      <c r="BJ21" s="93">
        <v>437.3</v>
      </c>
      <c r="BK21" s="93">
        <v>436.29</v>
      </c>
      <c r="BL21" s="93">
        <v>435.27</v>
      </c>
      <c r="BM21" s="93">
        <v>434.26</v>
      </c>
      <c r="BN21" s="93">
        <v>433.25</v>
      </c>
      <c r="BO21" s="93">
        <v>432.24</v>
      </c>
      <c r="BP21" s="93">
        <v>431.23</v>
      </c>
      <c r="BQ21" s="93">
        <v>430.22</v>
      </c>
      <c r="BR21" s="93">
        <v>429.2</v>
      </c>
      <c r="BS21" s="93">
        <v>428.19</v>
      </c>
      <c r="BT21" s="93">
        <v>427.18</v>
      </c>
      <c r="BU21" s="93">
        <v>426.17</v>
      </c>
      <c r="BV21" s="93">
        <v>425.16</v>
      </c>
      <c r="BW21" s="93">
        <v>424.15</v>
      </c>
      <c r="BX21" s="93">
        <v>423.14</v>
      </c>
      <c r="BY21" s="93">
        <v>422.13</v>
      </c>
      <c r="BZ21" s="93">
        <v>421.13</v>
      </c>
      <c r="CA21" s="93">
        <v>420.12</v>
      </c>
      <c r="CB21" s="93">
        <v>419.11</v>
      </c>
      <c r="CC21" s="93">
        <v>418.1</v>
      </c>
      <c r="CD21" s="93">
        <v>417.1</v>
      </c>
      <c r="CE21" s="93">
        <v>416.09</v>
      </c>
      <c r="CF21" s="93">
        <v>415.08</v>
      </c>
      <c r="CG21" s="93">
        <v>414.08</v>
      </c>
      <c r="CH21" s="93">
        <v>413.07</v>
      </c>
      <c r="CI21" s="93">
        <v>412.06</v>
      </c>
      <c r="CJ21" s="93">
        <v>411.06</v>
      </c>
      <c r="CK21" s="93">
        <v>410.06</v>
      </c>
      <c r="CL21" s="93">
        <v>409.06</v>
      </c>
      <c r="CM21" s="93">
        <v>408.06</v>
      </c>
      <c r="CN21" s="93">
        <v>407.05</v>
      </c>
      <c r="CO21" s="93">
        <v>406.05</v>
      </c>
      <c r="CP21" s="93">
        <v>405.05</v>
      </c>
      <c r="CQ21" s="93">
        <v>404.05</v>
      </c>
      <c r="CR21" s="93">
        <v>403.05</v>
      </c>
      <c r="CS21" s="93">
        <v>402.05</v>
      </c>
      <c r="CT21" s="93">
        <v>401.05</v>
      </c>
      <c r="CU21" s="93">
        <v>400.05</v>
      </c>
      <c r="CV21" s="93">
        <v>399.05</v>
      </c>
      <c r="CW21" s="93">
        <v>398.05</v>
      </c>
      <c r="CX21" s="93">
        <v>397.06</v>
      </c>
      <c r="CY21" s="93">
        <v>396.06</v>
      </c>
      <c r="CZ21" s="93">
        <v>395.07</v>
      </c>
      <c r="DA21" s="93">
        <v>394.07</v>
      </c>
      <c r="DB21" s="93">
        <v>393.07</v>
      </c>
      <c r="DC21" s="93">
        <v>392.08</v>
      </c>
      <c r="DD21" s="93">
        <v>391.08</v>
      </c>
      <c r="DE21" s="93">
        <v>390.09</v>
      </c>
      <c r="DF21" s="93">
        <v>389.09</v>
      </c>
      <c r="DG21" s="93">
        <v>388.1</v>
      </c>
      <c r="DH21" s="93">
        <v>387.11</v>
      </c>
      <c r="DI21" s="93">
        <v>386.12</v>
      </c>
      <c r="DJ21" s="93">
        <v>385.13</v>
      </c>
      <c r="DK21" s="93">
        <v>384.14</v>
      </c>
      <c r="DL21" s="93">
        <v>383.15</v>
      </c>
      <c r="DM21" s="93">
        <v>382.17</v>
      </c>
      <c r="DN21" s="93">
        <v>381.18</v>
      </c>
      <c r="DO21" s="93">
        <v>380.19</v>
      </c>
      <c r="DP21" s="93">
        <v>379.2</v>
      </c>
      <c r="DQ21" s="93">
        <v>378.21</v>
      </c>
      <c r="DR21" s="93">
        <v>377.23</v>
      </c>
      <c r="DS21" s="93">
        <v>376.24</v>
      </c>
      <c r="DT21" s="93">
        <v>375.26</v>
      </c>
      <c r="DU21" s="93">
        <v>374.28</v>
      </c>
      <c r="DV21" s="93">
        <v>373.3</v>
      </c>
      <c r="DW21" s="93">
        <v>372.32</v>
      </c>
      <c r="DX21" s="93">
        <v>371.34</v>
      </c>
      <c r="DY21" s="93">
        <v>370.36</v>
      </c>
      <c r="DZ21" s="93">
        <v>369.38</v>
      </c>
      <c r="EA21" s="93">
        <v>368.4</v>
      </c>
      <c r="EB21" s="93">
        <v>367.42</v>
      </c>
      <c r="EC21" s="93">
        <v>366.44</v>
      </c>
      <c r="ED21" s="93">
        <v>365.47</v>
      </c>
      <c r="EE21" s="93">
        <v>364.49</v>
      </c>
      <c r="EF21" s="93">
        <v>363.52</v>
      </c>
      <c r="EG21" s="93">
        <v>362.55</v>
      </c>
      <c r="EH21" s="93">
        <v>361.58</v>
      </c>
      <c r="EI21" s="93">
        <v>360.61</v>
      </c>
      <c r="EJ21" s="93">
        <v>359.64</v>
      </c>
      <c r="EK21" s="93">
        <v>358.68</v>
      </c>
      <c r="EL21" s="93">
        <v>357.71</v>
      </c>
      <c r="EM21" s="93">
        <v>356.74</v>
      </c>
      <c r="EN21" s="93">
        <v>355.78</v>
      </c>
      <c r="EO21" s="93">
        <v>354.81</v>
      </c>
      <c r="EP21" s="93">
        <v>353.84</v>
      </c>
      <c r="EQ21" s="93">
        <v>352.88</v>
      </c>
      <c r="ER21" s="93">
        <v>351.92</v>
      </c>
      <c r="ES21" s="93">
        <v>350.96</v>
      </c>
      <c r="ET21" s="93">
        <v>350</v>
      </c>
      <c r="EU21" s="93">
        <v>349.04</v>
      </c>
      <c r="EV21" s="93">
        <v>348.08</v>
      </c>
      <c r="EW21" s="93">
        <v>347.12</v>
      </c>
      <c r="EX21" s="93">
        <v>346.17</v>
      </c>
      <c r="EY21" s="93">
        <v>345.21</v>
      </c>
      <c r="EZ21" s="93">
        <v>344.25</v>
      </c>
      <c r="FA21" s="93">
        <v>343.3</v>
      </c>
      <c r="FB21" s="93">
        <v>342.34</v>
      </c>
      <c r="FC21" s="93">
        <v>341.39</v>
      </c>
      <c r="FD21" s="93">
        <v>340.43</v>
      </c>
      <c r="FE21" s="93">
        <v>339.48</v>
      </c>
      <c r="FF21" s="93">
        <v>338.53</v>
      </c>
      <c r="FG21" s="93">
        <v>337.58</v>
      </c>
      <c r="FH21" s="93">
        <v>336.63</v>
      </c>
      <c r="FI21" s="93">
        <v>335.68</v>
      </c>
      <c r="FJ21" s="93">
        <v>334.73</v>
      </c>
      <c r="FK21" s="93">
        <v>333.78</v>
      </c>
      <c r="FL21" s="93">
        <v>332.83</v>
      </c>
      <c r="FM21" s="93">
        <v>331.88</v>
      </c>
      <c r="FN21" s="93">
        <v>330.94</v>
      </c>
      <c r="FO21" s="93">
        <v>329.99</v>
      </c>
      <c r="FP21" s="93">
        <v>329.04</v>
      </c>
      <c r="FQ21" s="93">
        <v>328.1</v>
      </c>
      <c r="FR21" s="93">
        <v>327.16000000000003</v>
      </c>
      <c r="FS21" s="93">
        <v>326.22000000000003</v>
      </c>
      <c r="FT21" s="93">
        <v>325.26</v>
      </c>
      <c r="FU21" s="93">
        <v>324.32</v>
      </c>
      <c r="FV21" s="93">
        <v>323.39</v>
      </c>
      <c r="FW21" s="93">
        <v>322.45</v>
      </c>
      <c r="FX21" s="93">
        <v>321.51</v>
      </c>
      <c r="FY21" s="93">
        <v>320.57</v>
      </c>
      <c r="FZ21" s="93">
        <v>319.64</v>
      </c>
      <c r="GA21" s="93">
        <v>318.7</v>
      </c>
      <c r="GB21" s="93">
        <v>317.76</v>
      </c>
      <c r="GC21" s="93">
        <v>316.82</v>
      </c>
      <c r="GD21" s="93">
        <v>315.89999999999998</v>
      </c>
      <c r="GE21" s="93">
        <v>314.97000000000003</v>
      </c>
      <c r="GF21" s="93">
        <v>314.04000000000002</v>
      </c>
      <c r="GG21" s="93">
        <v>313.10000000000002</v>
      </c>
      <c r="GH21" s="93">
        <v>312.17</v>
      </c>
      <c r="GI21" s="93">
        <v>311.25</v>
      </c>
      <c r="GJ21" s="93">
        <v>310.32</v>
      </c>
      <c r="GK21" s="93">
        <v>309.39</v>
      </c>
      <c r="GL21" s="93">
        <v>308.47000000000003</v>
      </c>
      <c r="GM21" s="93">
        <v>307.54000000000002</v>
      </c>
      <c r="GN21" s="93">
        <v>306.62</v>
      </c>
      <c r="GO21" s="93">
        <v>305.7</v>
      </c>
      <c r="GP21" s="93">
        <v>304.76</v>
      </c>
      <c r="GQ21" s="93">
        <v>303.85000000000002</v>
      </c>
      <c r="GR21" s="93">
        <v>302.94</v>
      </c>
      <c r="GS21" s="93">
        <v>302.01</v>
      </c>
      <c r="GT21" s="93">
        <v>301.10000000000002</v>
      </c>
      <c r="GU21" s="93">
        <v>300.19</v>
      </c>
      <c r="GV21" s="93">
        <v>299.26</v>
      </c>
      <c r="GW21" s="93">
        <v>298.35000000000002</v>
      </c>
      <c r="GX21" s="93">
        <v>297.44</v>
      </c>
      <c r="GY21" s="93">
        <v>296.52999999999997</v>
      </c>
      <c r="GZ21" s="93">
        <v>295.62</v>
      </c>
      <c r="HA21" s="93">
        <v>294.70999999999998</v>
      </c>
      <c r="HB21" s="93">
        <v>293.81</v>
      </c>
      <c r="HC21" s="93">
        <v>292.89999999999998</v>
      </c>
      <c r="HD21" s="93">
        <v>291.99</v>
      </c>
      <c r="HE21" s="93">
        <v>291.08999999999997</v>
      </c>
      <c r="HF21" s="93">
        <v>290.19</v>
      </c>
      <c r="HG21" s="93">
        <v>289.27999999999997</v>
      </c>
      <c r="HH21" s="93">
        <v>288.38</v>
      </c>
      <c r="HI21" s="93">
        <v>287.48</v>
      </c>
      <c r="HJ21" s="93">
        <v>286.57</v>
      </c>
      <c r="HK21" s="93">
        <v>285.69</v>
      </c>
      <c r="HL21" s="93">
        <v>284.79000000000002</v>
      </c>
      <c r="HM21" s="93">
        <v>283.89999999999998</v>
      </c>
      <c r="HN21" s="93">
        <v>283</v>
      </c>
      <c r="HO21" s="93">
        <v>282.10000000000002</v>
      </c>
      <c r="HP21" s="93">
        <v>281.22000000000003</v>
      </c>
      <c r="HQ21" s="93">
        <v>280.32</v>
      </c>
      <c r="HR21" s="93">
        <v>279.45</v>
      </c>
      <c r="HS21" s="93">
        <v>278.56</v>
      </c>
      <c r="HT21" s="93">
        <v>277.67</v>
      </c>
      <c r="HU21" s="93">
        <v>276.79000000000002</v>
      </c>
      <c r="HV21" s="93">
        <v>275.91000000000003</v>
      </c>
      <c r="HW21" s="93">
        <v>275.01</v>
      </c>
      <c r="HX21" s="93">
        <v>274.14</v>
      </c>
      <c r="HY21" s="93">
        <v>273.26</v>
      </c>
      <c r="HZ21" s="93">
        <v>272.38</v>
      </c>
      <c r="IA21" s="93">
        <v>271.51</v>
      </c>
      <c r="IB21" s="93">
        <v>270.63</v>
      </c>
      <c r="IC21" s="93">
        <v>269.75</v>
      </c>
      <c r="ID21" s="93">
        <v>268.88</v>
      </c>
      <c r="IE21" s="93">
        <v>268</v>
      </c>
      <c r="IF21" s="93">
        <v>267.13</v>
      </c>
      <c r="IG21" s="93">
        <v>266.26</v>
      </c>
      <c r="IH21" s="93">
        <v>265.39</v>
      </c>
      <c r="II21" s="93">
        <v>264.51</v>
      </c>
      <c r="IJ21" s="93">
        <v>263.64999999999998</v>
      </c>
      <c r="IK21" s="93">
        <v>262.79000000000002</v>
      </c>
      <c r="IL21" s="93">
        <v>261.92</v>
      </c>
      <c r="IM21" s="93">
        <v>261.06</v>
      </c>
      <c r="IN21" s="93">
        <v>260.2</v>
      </c>
      <c r="IO21" s="93">
        <v>259.32</v>
      </c>
      <c r="IP21" s="93">
        <v>258.47000000000003</v>
      </c>
      <c r="IQ21" s="93">
        <v>257.62</v>
      </c>
      <c r="IR21" s="93">
        <v>256.76</v>
      </c>
      <c r="IS21" s="93">
        <v>255.9</v>
      </c>
      <c r="IT21" s="93">
        <v>255.05</v>
      </c>
      <c r="IU21" s="93">
        <v>254.19</v>
      </c>
      <c r="IV21" s="93">
        <v>253.34</v>
      </c>
      <c r="IW21" s="93">
        <v>252.49</v>
      </c>
      <c r="IX21" s="93">
        <v>251.64</v>
      </c>
      <c r="IY21" s="93">
        <v>250.79</v>
      </c>
      <c r="IZ21" s="93">
        <v>249.95</v>
      </c>
      <c r="JA21" s="93">
        <v>249.1</v>
      </c>
      <c r="JB21" s="93">
        <v>248.26</v>
      </c>
      <c r="JC21" s="93">
        <v>247.41</v>
      </c>
      <c r="JD21" s="93">
        <v>246.57</v>
      </c>
      <c r="JE21" s="93">
        <v>245.73</v>
      </c>
      <c r="JF21" s="93">
        <v>244.89</v>
      </c>
      <c r="JG21" s="93">
        <v>244.05</v>
      </c>
      <c r="JH21" s="93">
        <v>243.22</v>
      </c>
      <c r="JI21" s="93">
        <v>242.38</v>
      </c>
      <c r="JJ21" s="93">
        <v>241.54</v>
      </c>
      <c r="JK21" s="93">
        <v>240.71</v>
      </c>
      <c r="JL21" s="93">
        <v>239.88</v>
      </c>
      <c r="JM21" s="93">
        <v>239.05</v>
      </c>
      <c r="JN21" s="93">
        <v>238.21</v>
      </c>
      <c r="JO21" s="93">
        <v>237.38</v>
      </c>
      <c r="JP21" s="93">
        <v>236.56</v>
      </c>
      <c r="JQ21" s="93">
        <v>235.73</v>
      </c>
      <c r="JR21" s="93">
        <v>234.9</v>
      </c>
      <c r="JS21" s="93">
        <v>234.08</v>
      </c>
      <c r="JT21" s="93">
        <v>233.25</v>
      </c>
      <c r="JU21" s="93">
        <v>232.43</v>
      </c>
      <c r="JV21" s="93">
        <v>231.61</v>
      </c>
      <c r="JW21" s="93">
        <v>230.79</v>
      </c>
      <c r="JX21" s="93">
        <v>229.97</v>
      </c>
      <c r="JY21" s="93">
        <v>229.15</v>
      </c>
      <c r="JZ21" s="93">
        <v>228.33</v>
      </c>
      <c r="KA21" s="93">
        <v>227.51</v>
      </c>
      <c r="KB21" s="93">
        <v>226.7</v>
      </c>
      <c r="KC21" s="93">
        <v>225.88</v>
      </c>
      <c r="KD21" s="93">
        <v>225.07</v>
      </c>
      <c r="KE21" s="93">
        <v>224.26</v>
      </c>
      <c r="KF21" s="93">
        <v>223.45</v>
      </c>
      <c r="KG21" s="93">
        <v>222.63</v>
      </c>
      <c r="KH21" s="93">
        <v>221.83</v>
      </c>
      <c r="KI21" s="93">
        <v>221.02</v>
      </c>
      <c r="KJ21" s="93">
        <v>220.21</v>
      </c>
      <c r="KK21" s="93">
        <v>219.4</v>
      </c>
      <c r="KL21" s="93">
        <v>218.6</v>
      </c>
      <c r="KM21" s="93">
        <v>217.8</v>
      </c>
      <c r="KN21" s="93">
        <v>217</v>
      </c>
      <c r="KO21" s="93">
        <v>216.2</v>
      </c>
      <c r="KP21" s="93">
        <v>215.4</v>
      </c>
      <c r="KQ21" s="93">
        <v>214.6</v>
      </c>
      <c r="KR21" s="93">
        <v>213.53000000000014</v>
      </c>
      <c r="KS21" s="93">
        <v>212.78000000000014</v>
      </c>
      <c r="KT21" s="93">
        <v>212.03000000000014</v>
      </c>
      <c r="KU21" s="93">
        <v>211.28000000000014</v>
      </c>
      <c r="KV21" s="93">
        <v>210.53000000000014</v>
      </c>
      <c r="KW21" s="93">
        <v>209.78000000000014</v>
      </c>
      <c r="KX21" s="93">
        <v>209.03000000000014</v>
      </c>
      <c r="KY21" s="93">
        <v>208.28000000000014</v>
      </c>
      <c r="KZ21" s="93">
        <v>207.53000000000014</v>
      </c>
      <c r="LA21" s="93">
        <v>206.78000000000014</v>
      </c>
      <c r="LB21" s="93">
        <v>206.03000000000014</v>
      </c>
      <c r="LC21" s="93">
        <v>205.28000000000014</v>
      </c>
      <c r="LD21" s="93">
        <v>204.53000000000014</v>
      </c>
      <c r="LE21" s="93">
        <v>203.78000000000014</v>
      </c>
      <c r="LF21" s="93">
        <v>203.03000000000014</v>
      </c>
      <c r="LG21" s="93">
        <v>202.28000000000014</v>
      </c>
      <c r="LH21" s="93">
        <v>201.53000000000014</v>
      </c>
      <c r="LI21" s="93">
        <v>200.78000000000014</v>
      </c>
      <c r="LJ21" s="93">
        <v>200.03000000000014</v>
      </c>
      <c r="LK21" s="93">
        <v>199.28000000000014</v>
      </c>
      <c r="LL21" s="93">
        <v>198.53000000000014</v>
      </c>
      <c r="LM21" s="93">
        <v>197.78000000000014</v>
      </c>
      <c r="LN21" s="93">
        <v>197.03000000000014</v>
      </c>
      <c r="LO21" s="93">
        <v>196.28000000000014</v>
      </c>
      <c r="LP21" s="93">
        <v>195.53000000000014</v>
      </c>
      <c r="LQ21" s="93">
        <v>194.78000000000014</v>
      </c>
      <c r="LR21" s="93">
        <v>194.03000000000014</v>
      </c>
      <c r="LS21" s="93">
        <v>193.28000000000014</v>
      </c>
      <c r="LT21" s="93">
        <v>192.53000000000014</v>
      </c>
      <c r="LU21" s="93">
        <v>191.78000000000014</v>
      </c>
      <c r="LV21" s="93">
        <v>191.03000000000014</v>
      </c>
      <c r="LW21" s="93">
        <v>190.28000000000014</v>
      </c>
      <c r="LX21" s="93">
        <v>189.53000000000014</v>
      </c>
      <c r="LY21" s="93">
        <v>188.78000000000014</v>
      </c>
      <c r="LZ21" s="93">
        <v>188.03000000000014</v>
      </c>
      <c r="MA21" s="93">
        <v>187.28000000000014</v>
      </c>
      <c r="MB21" s="93">
        <v>186.53000000000014</v>
      </c>
      <c r="MC21" s="93">
        <v>185.78000000000014</v>
      </c>
      <c r="MD21" s="93">
        <v>185.03000000000014</v>
      </c>
      <c r="ME21" s="93">
        <v>184.28000000000014</v>
      </c>
      <c r="MF21" s="93">
        <v>183.53000000000014</v>
      </c>
      <c r="MG21" s="93">
        <v>182.78000000000014</v>
      </c>
      <c r="MH21" s="93">
        <v>182.03000000000014</v>
      </c>
      <c r="MI21" s="93">
        <v>181.28000000000014</v>
      </c>
      <c r="MJ21" s="93">
        <v>180.53000000000014</v>
      </c>
      <c r="MK21" s="93">
        <v>179.78000000000014</v>
      </c>
      <c r="ML21" s="93">
        <v>179.03000000000014</v>
      </c>
      <c r="MM21" s="93">
        <v>178.28000000000014</v>
      </c>
      <c r="MN21" s="93">
        <v>177.53000000000014</v>
      </c>
      <c r="MO21" s="93">
        <v>176.78000000000014</v>
      </c>
      <c r="MP21" s="93">
        <v>176.03000000000014</v>
      </c>
      <c r="MQ21" s="93">
        <v>175.28000000000014</v>
      </c>
      <c r="MR21" s="93">
        <v>174.53000000000014</v>
      </c>
      <c r="MS21" s="93">
        <v>173.78000000000014</v>
      </c>
      <c r="MT21" s="93">
        <v>173.03000000000014</v>
      </c>
      <c r="MU21" s="93">
        <v>172.28000000000014</v>
      </c>
      <c r="MV21" s="93">
        <v>171.53000000000014</v>
      </c>
      <c r="MW21" s="93">
        <v>170.78000000000014</v>
      </c>
      <c r="MX21" s="93">
        <v>170.03000000000014</v>
      </c>
      <c r="MY21" s="93">
        <v>169.28000000000014</v>
      </c>
    </row>
    <row r="22" spans="1:363" ht="15.75" x14ac:dyDescent="0.25">
      <c r="A22" s="90" t="s">
        <v>7</v>
      </c>
      <c r="B22" s="95">
        <v>2032</v>
      </c>
      <c r="C22" s="93">
        <v>497.95</v>
      </c>
      <c r="D22" s="93">
        <v>496.93</v>
      </c>
      <c r="E22" s="93">
        <v>495.91</v>
      </c>
      <c r="F22" s="93">
        <v>494.89</v>
      </c>
      <c r="G22" s="93">
        <v>493.87</v>
      </c>
      <c r="H22" s="93">
        <v>492.85</v>
      </c>
      <c r="I22" s="93">
        <v>491.83</v>
      </c>
      <c r="J22" s="93">
        <v>490.8</v>
      </c>
      <c r="K22" s="93">
        <v>489.78</v>
      </c>
      <c r="L22" s="93">
        <v>488.76</v>
      </c>
      <c r="M22" s="93">
        <v>487.74</v>
      </c>
      <c r="N22" s="93">
        <v>486.72</v>
      </c>
      <c r="O22" s="93">
        <v>485.7</v>
      </c>
      <c r="P22" s="93">
        <v>484.68</v>
      </c>
      <c r="Q22" s="93">
        <v>483.66</v>
      </c>
      <c r="R22" s="93">
        <v>482.64</v>
      </c>
      <c r="S22" s="93">
        <v>481.62</v>
      </c>
      <c r="T22" s="93">
        <v>480.6</v>
      </c>
      <c r="U22" s="93">
        <v>479.58</v>
      </c>
      <c r="V22" s="93">
        <v>478.56</v>
      </c>
      <c r="W22" s="93">
        <v>477.54</v>
      </c>
      <c r="X22" s="93">
        <v>476.52</v>
      </c>
      <c r="Y22" s="93">
        <v>475.5</v>
      </c>
      <c r="Z22" s="93">
        <v>474.48</v>
      </c>
      <c r="AA22" s="93">
        <v>473.46</v>
      </c>
      <c r="AB22" s="93">
        <v>472.44</v>
      </c>
      <c r="AC22" s="93">
        <v>471.42</v>
      </c>
      <c r="AD22" s="93">
        <v>470.4</v>
      </c>
      <c r="AE22" s="93">
        <v>469.39</v>
      </c>
      <c r="AF22" s="93">
        <v>468.37</v>
      </c>
      <c r="AG22" s="93">
        <v>467.35</v>
      </c>
      <c r="AH22" s="93">
        <v>466.33</v>
      </c>
      <c r="AI22" s="93">
        <v>465.31</v>
      </c>
      <c r="AJ22" s="93">
        <v>464.29</v>
      </c>
      <c r="AK22" s="93">
        <v>463.27</v>
      </c>
      <c r="AL22" s="93">
        <v>462.25</v>
      </c>
      <c r="AM22" s="93">
        <v>461.24</v>
      </c>
      <c r="AN22" s="93">
        <v>460.22</v>
      </c>
      <c r="AO22" s="93">
        <v>459.2</v>
      </c>
      <c r="AP22" s="93">
        <v>458.18</v>
      </c>
      <c r="AQ22" s="93">
        <v>457.17</v>
      </c>
      <c r="AR22" s="93">
        <v>456.15</v>
      </c>
      <c r="AS22" s="93">
        <v>455.13</v>
      </c>
      <c r="AT22" s="93">
        <v>454.12</v>
      </c>
      <c r="AU22" s="93">
        <v>453.1</v>
      </c>
      <c r="AV22" s="93">
        <v>452.08</v>
      </c>
      <c r="AW22" s="93">
        <v>451.06</v>
      </c>
      <c r="AX22" s="93">
        <v>450.05</v>
      </c>
      <c r="AY22" s="93">
        <v>449.03</v>
      </c>
      <c r="AZ22" s="93">
        <v>448.02</v>
      </c>
      <c r="BA22" s="93">
        <v>447</v>
      </c>
      <c r="BB22" s="93">
        <v>445.99</v>
      </c>
      <c r="BC22" s="93">
        <v>444.97</v>
      </c>
      <c r="BD22" s="93">
        <v>443.96</v>
      </c>
      <c r="BE22" s="93">
        <v>442.94</v>
      </c>
      <c r="BF22" s="93">
        <v>441.93</v>
      </c>
      <c r="BG22" s="93">
        <v>440.91</v>
      </c>
      <c r="BH22" s="93">
        <v>439.9</v>
      </c>
      <c r="BI22" s="93">
        <v>438.88</v>
      </c>
      <c r="BJ22" s="93">
        <v>437.87</v>
      </c>
      <c r="BK22" s="93">
        <v>436.85</v>
      </c>
      <c r="BL22" s="93">
        <v>435.84</v>
      </c>
      <c r="BM22" s="93">
        <v>434.83</v>
      </c>
      <c r="BN22" s="93">
        <v>433.82</v>
      </c>
      <c r="BO22" s="93">
        <v>432.8</v>
      </c>
      <c r="BP22" s="93">
        <v>431.79</v>
      </c>
      <c r="BQ22" s="93">
        <v>430.78</v>
      </c>
      <c r="BR22" s="93">
        <v>429.77</v>
      </c>
      <c r="BS22" s="93">
        <v>428.76</v>
      </c>
      <c r="BT22" s="93">
        <v>427.74</v>
      </c>
      <c r="BU22" s="93">
        <v>426.73</v>
      </c>
      <c r="BV22" s="93">
        <v>425.72</v>
      </c>
      <c r="BW22" s="93">
        <v>424.71</v>
      </c>
      <c r="BX22" s="93">
        <v>423.7</v>
      </c>
      <c r="BY22" s="93">
        <v>422.69</v>
      </c>
      <c r="BZ22" s="93">
        <v>421.69</v>
      </c>
      <c r="CA22" s="93">
        <v>420.68</v>
      </c>
      <c r="CB22" s="93">
        <v>419.67</v>
      </c>
      <c r="CC22" s="93">
        <v>418.66</v>
      </c>
      <c r="CD22" s="93">
        <v>417.65</v>
      </c>
      <c r="CE22" s="93">
        <v>416.65</v>
      </c>
      <c r="CF22" s="93">
        <v>415.64</v>
      </c>
      <c r="CG22" s="93">
        <v>414.63</v>
      </c>
      <c r="CH22" s="93">
        <v>413.63</v>
      </c>
      <c r="CI22" s="93">
        <v>412.62</v>
      </c>
      <c r="CJ22" s="93">
        <v>411.62</v>
      </c>
      <c r="CK22" s="93">
        <v>410.61</v>
      </c>
      <c r="CL22" s="93">
        <v>409.61</v>
      </c>
      <c r="CM22" s="93">
        <v>408.61</v>
      </c>
      <c r="CN22" s="93">
        <v>407.61</v>
      </c>
      <c r="CO22" s="93">
        <v>406.6</v>
      </c>
      <c r="CP22" s="93">
        <v>405.6</v>
      </c>
      <c r="CQ22" s="93">
        <v>404.6</v>
      </c>
      <c r="CR22" s="93">
        <v>403.6</v>
      </c>
      <c r="CS22" s="93">
        <v>402.6</v>
      </c>
      <c r="CT22" s="93">
        <v>401.6</v>
      </c>
      <c r="CU22" s="93">
        <v>400.6</v>
      </c>
      <c r="CV22" s="93">
        <v>399.6</v>
      </c>
      <c r="CW22" s="93">
        <v>398.6</v>
      </c>
      <c r="CX22" s="93">
        <v>397.61</v>
      </c>
      <c r="CY22" s="93">
        <v>396.61</v>
      </c>
      <c r="CZ22" s="93">
        <v>395.61</v>
      </c>
      <c r="DA22" s="93">
        <v>394.62</v>
      </c>
      <c r="DB22" s="93">
        <v>393.62</v>
      </c>
      <c r="DC22" s="93">
        <v>392.63</v>
      </c>
      <c r="DD22" s="93">
        <v>391.63</v>
      </c>
      <c r="DE22" s="93">
        <v>390.63</v>
      </c>
      <c r="DF22" s="93">
        <v>389.64</v>
      </c>
      <c r="DG22" s="93">
        <v>388.64</v>
      </c>
      <c r="DH22" s="93">
        <v>387.65</v>
      </c>
      <c r="DI22" s="93">
        <v>386.66</v>
      </c>
      <c r="DJ22" s="93">
        <v>385.68</v>
      </c>
      <c r="DK22" s="93">
        <v>384.69</v>
      </c>
      <c r="DL22" s="93">
        <v>383.7</v>
      </c>
      <c r="DM22" s="93">
        <v>382.71</v>
      </c>
      <c r="DN22" s="93">
        <v>381.72</v>
      </c>
      <c r="DO22" s="93">
        <v>380.73</v>
      </c>
      <c r="DP22" s="93">
        <v>379.74</v>
      </c>
      <c r="DQ22" s="93">
        <v>378.75</v>
      </c>
      <c r="DR22" s="93">
        <v>377.77</v>
      </c>
      <c r="DS22" s="93">
        <v>376.78</v>
      </c>
      <c r="DT22" s="93">
        <v>375.8</v>
      </c>
      <c r="DU22" s="93">
        <v>374.82</v>
      </c>
      <c r="DV22" s="93">
        <v>373.84</v>
      </c>
      <c r="DW22" s="93">
        <v>372.85</v>
      </c>
      <c r="DX22" s="93">
        <v>371.87</v>
      </c>
      <c r="DY22" s="93">
        <v>370.89</v>
      </c>
      <c r="DZ22" s="93">
        <v>369.92</v>
      </c>
      <c r="EA22" s="93">
        <v>368.94</v>
      </c>
      <c r="EB22" s="93">
        <v>367.96</v>
      </c>
      <c r="EC22" s="93">
        <v>366.98</v>
      </c>
      <c r="ED22" s="93">
        <v>366</v>
      </c>
      <c r="EE22" s="93">
        <v>365.03</v>
      </c>
      <c r="EF22" s="93">
        <v>364.06</v>
      </c>
      <c r="EG22" s="93">
        <v>363.09</v>
      </c>
      <c r="EH22" s="93">
        <v>362.12</v>
      </c>
      <c r="EI22" s="93">
        <v>361.15</v>
      </c>
      <c r="EJ22" s="93">
        <v>360.18</v>
      </c>
      <c r="EK22" s="93">
        <v>359.21</v>
      </c>
      <c r="EL22" s="93">
        <v>358.24</v>
      </c>
      <c r="EM22" s="93">
        <v>357.28</v>
      </c>
      <c r="EN22" s="93">
        <v>356.31</v>
      </c>
      <c r="EO22" s="93">
        <v>355.34</v>
      </c>
      <c r="EP22" s="93">
        <v>354.38</v>
      </c>
      <c r="EQ22" s="93">
        <v>353.41</v>
      </c>
      <c r="ER22" s="93">
        <v>352.45</v>
      </c>
      <c r="ES22" s="93">
        <v>351.49</v>
      </c>
      <c r="ET22" s="93">
        <v>350.53</v>
      </c>
      <c r="EU22" s="93">
        <v>349.57</v>
      </c>
      <c r="EV22" s="93">
        <v>348.61</v>
      </c>
      <c r="EW22" s="93">
        <v>347.65</v>
      </c>
      <c r="EX22" s="93">
        <v>346.7</v>
      </c>
      <c r="EY22" s="93">
        <v>345.74</v>
      </c>
      <c r="EZ22" s="93">
        <v>344.78</v>
      </c>
      <c r="FA22" s="93">
        <v>343.83</v>
      </c>
      <c r="FB22" s="93">
        <v>342.87</v>
      </c>
      <c r="FC22" s="93">
        <v>341.92</v>
      </c>
      <c r="FD22" s="93">
        <v>340.96</v>
      </c>
      <c r="FE22" s="93">
        <v>340.01</v>
      </c>
      <c r="FF22" s="93">
        <v>339.06</v>
      </c>
      <c r="FG22" s="93">
        <v>338.11</v>
      </c>
      <c r="FH22" s="93">
        <v>337.15</v>
      </c>
      <c r="FI22" s="93">
        <v>336.2</v>
      </c>
      <c r="FJ22" s="93">
        <v>335.25</v>
      </c>
      <c r="FK22" s="93">
        <v>334.31</v>
      </c>
      <c r="FL22" s="93">
        <v>333.36</v>
      </c>
      <c r="FM22" s="93">
        <v>332.41</v>
      </c>
      <c r="FN22" s="93">
        <v>331.46</v>
      </c>
      <c r="FO22" s="93">
        <v>330.52</v>
      </c>
      <c r="FP22" s="93">
        <v>329.57</v>
      </c>
      <c r="FQ22" s="93">
        <v>328.63</v>
      </c>
      <c r="FR22" s="93">
        <v>327.68</v>
      </c>
      <c r="FS22" s="93">
        <v>326.74</v>
      </c>
      <c r="FT22" s="93">
        <v>325.79000000000002</v>
      </c>
      <c r="FU22" s="93">
        <v>324.85000000000002</v>
      </c>
      <c r="FV22" s="93">
        <v>323.92</v>
      </c>
      <c r="FW22" s="93">
        <v>322.98</v>
      </c>
      <c r="FX22" s="93">
        <v>322.04000000000002</v>
      </c>
      <c r="FY22" s="93">
        <v>321.10000000000002</v>
      </c>
      <c r="FZ22" s="93">
        <v>320.16000000000003</v>
      </c>
      <c r="GA22" s="93">
        <v>319.23</v>
      </c>
      <c r="GB22" s="93">
        <v>318.29000000000002</v>
      </c>
      <c r="GC22" s="93">
        <v>317.35000000000002</v>
      </c>
      <c r="GD22" s="93">
        <v>316.42</v>
      </c>
      <c r="GE22" s="93">
        <v>315.49</v>
      </c>
      <c r="GF22" s="93">
        <v>314.56</v>
      </c>
      <c r="GG22" s="93">
        <v>313.63</v>
      </c>
      <c r="GH22" s="93">
        <v>312.7</v>
      </c>
      <c r="GI22" s="93">
        <v>311.76</v>
      </c>
      <c r="GJ22" s="93">
        <v>310.83999999999997</v>
      </c>
      <c r="GK22" s="93">
        <v>309.91000000000003</v>
      </c>
      <c r="GL22" s="93">
        <v>308.99</v>
      </c>
      <c r="GM22" s="93">
        <v>308.06</v>
      </c>
      <c r="GN22" s="93">
        <v>307.14</v>
      </c>
      <c r="GO22" s="93">
        <v>306.22000000000003</v>
      </c>
      <c r="GP22" s="93">
        <v>305.29000000000002</v>
      </c>
      <c r="GQ22" s="93">
        <v>304.37</v>
      </c>
      <c r="GR22" s="93">
        <v>303.45</v>
      </c>
      <c r="GS22" s="93">
        <v>302.54000000000002</v>
      </c>
      <c r="GT22" s="93">
        <v>301.62</v>
      </c>
      <c r="GU22" s="93">
        <v>300.7</v>
      </c>
      <c r="GV22" s="93">
        <v>299.79000000000002</v>
      </c>
      <c r="GW22" s="93">
        <v>298.87</v>
      </c>
      <c r="GX22" s="93">
        <v>297.95999999999998</v>
      </c>
      <c r="GY22" s="93">
        <v>297.04000000000002</v>
      </c>
      <c r="GZ22" s="93">
        <v>296.14</v>
      </c>
      <c r="HA22" s="93">
        <v>295.23</v>
      </c>
      <c r="HB22" s="93">
        <v>294.32</v>
      </c>
      <c r="HC22" s="93">
        <v>293.41000000000003</v>
      </c>
      <c r="HD22" s="93">
        <v>292.51</v>
      </c>
      <c r="HE22" s="93">
        <v>291.60000000000002</v>
      </c>
      <c r="HF22" s="93">
        <v>290.7</v>
      </c>
      <c r="HG22" s="93">
        <v>289.79000000000002</v>
      </c>
      <c r="HH22" s="93">
        <v>288.89</v>
      </c>
      <c r="HI22" s="93">
        <v>287.99</v>
      </c>
      <c r="HJ22" s="93">
        <v>287.10000000000002</v>
      </c>
      <c r="HK22" s="93">
        <v>286.2</v>
      </c>
      <c r="HL22" s="93">
        <v>285.29000000000002</v>
      </c>
      <c r="HM22" s="93">
        <v>284.41000000000003</v>
      </c>
      <c r="HN22" s="93">
        <v>283.51</v>
      </c>
      <c r="HO22" s="93">
        <v>282.62</v>
      </c>
      <c r="HP22" s="93">
        <v>281.73</v>
      </c>
      <c r="HQ22" s="93">
        <v>280.83999999999997</v>
      </c>
      <c r="HR22" s="93">
        <v>279.95</v>
      </c>
      <c r="HS22" s="93">
        <v>279.07</v>
      </c>
      <c r="HT22" s="93">
        <v>278.18</v>
      </c>
      <c r="HU22" s="93">
        <v>277.29000000000002</v>
      </c>
      <c r="HV22" s="93">
        <v>276.41000000000003</v>
      </c>
      <c r="HW22" s="93">
        <v>275.52999999999997</v>
      </c>
      <c r="HX22" s="93">
        <v>274.64999999999998</v>
      </c>
      <c r="HY22" s="93">
        <v>273.76</v>
      </c>
      <c r="HZ22" s="93">
        <v>272.89</v>
      </c>
      <c r="IA22" s="93">
        <v>272.01</v>
      </c>
      <c r="IB22" s="93">
        <v>271.13</v>
      </c>
      <c r="IC22" s="93">
        <v>270.26</v>
      </c>
      <c r="ID22" s="93">
        <v>269.38</v>
      </c>
      <c r="IE22" s="93">
        <v>268.51</v>
      </c>
      <c r="IF22" s="93">
        <v>267.64</v>
      </c>
      <c r="IG22" s="93">
        <v>266.76</v>
      </c>
      <c r="IH22" s="93">
        <v>265.89</v>
      </c>
      <c r="II22" s="93">
        <v>265.01</v>
      </c>
      <c r="IJ22" s="93">
        <v>264.16000000000003</v>
      </c>
      <c r="IK22" s="93">
        <v>263.29000000000002</v>
      </c>
      <c r="IL22" s="93">
        <v>262.42</v>
      </c>
      <c r="IM22" s="93">
        <v>261.56</v>
      </c>
      <c r="IN22" s="93">
        <v>260.7</v>
      </c>
      <c r="IO22" s="93">
        <v>259.82</v>
      </c>
      <c r="IP22" s="93">
        <v>258.97000000000003</v>
      </c>
      <c r="IQ22" s="93">
        <v>258.10000000000002</v>
      </c>
      <c r="IR22" s="93">
        <v>257.25</v>
      </c>
      <c r="IS22" s="93">
        <v>256.39999999999998</v>
      </c>
      <c r="IT22" s="93">
        <v>255.54</v>
      </c>
      <c r="IU22" s="93">
        <v>254.69</v>
      </c>
      <c r="IV22" s="93">
        <v>253.84</v>
      </c>
      <c r="IW22" s="93">
        <v>252.98</v>
      </c>
      <c r="IX22" s="93">
        <v>252.14</v>
      </c>
      <c r="IY22" s="93">
        <v>251.29</v>
      </c>
      <c r="IZ22" s="93">
        <v>250.44</v>
      </c>
      <c r="JA22" s="93">
        <v>249.59</v>
      </c>
      <c r="JB22" s="93">
        <v>248.75</v>
      </c>
      <c r="JC22" s="93">
        <v>247.91</v>
      </c>
      <c r="JD22" s="93">
        <v>247.06</v>
      </c>
      <c r="JE22" s="93">
        <v>246.22</v>
      </c>
      <c r="JF22" s="93">
        <v>245.38</v>
      </c>
      <c r="JG22" s="93">
        <v>244.54</v>
      </c>
      <c r="JH22" s="93">
        <v>243.7</v>
      </c>
      <c r="JI22" s="93">
        <v>242.87</v>
      </c>
      <c r="JJ22" s="93">
        <v>242.03</v>
      </c>
      <c r="JK22" s="93">
        <v>241.2</v>
      </c>
      <c r="JL22" s="93">
        <v>240.36</v>
      </c>
      <c r="JM22" s="93">
        <v>239.53</v>
      </c>
      <c r="JN22" s="93">
        <v>238.7</v>
      </c>
      <c r="JO22" s="93">
        <v>237.87</v>
      </c>
      <c r="JP22" s="93">
        <v>237.04</v>
      </c>
      <c r="JQ22" s="93">
        <v>236.21</v>
      </c>
      <c r="JR22" s="93">
        <v>235.38</v>
      </c>
      <c r="JS22" s="93">
        <v>234.56</v>
      </c>
      <c r="JT22" s="93">
        <v>233.73</v>
      </c>
      <c r="JU22" s="93">
        <v>232.91</v>
      </c>
      <c r="JV22" s="93">
        <v>232.09</v>
      </c>
      <c r="JW22" s="93">
        <v>231.27</v>
      </c>
      <c r="JX22" s="93">
        <v>230.45</v>
      </c>
      <c r="JY22" s="93">
        <v>229.63</v>
      </c>
      <c r="JZ22" s="93">
        <v>228.81</v>
      </c>
      <c r="KA22" s="93">
        <v>227.99</v>
      </c>
      <c r="KB22" s="93">
        <v>227.18</v>
      </c>
      <c r="KC22" s="93">
        <v>226.36</v>
      </c>
      <c r="KD22" s="93">
        <v>225.55</v>
      </c>
      <c r="KE22" s="93">
        <v>224.73</v>
      </c>
      <c r="KF22" s="93">
        <v>223.92</v>
      </c>
      <c r="KG22" s="93">
        <v>223.11</v>
      </c>
      <c r="KH22" s="93">
        <v>222.3</v>
      </c>
      <c r="KI22" s="93">
        <v>221.49</v>
      </c>
      <c r="KJ22" s="93">
        <v>220.68</v>
      </c>
      <c r="KK22" s="93">
        <v>219.88</v>
      </c>
      <c r="KL22" s="93">
        <v>219.07</v>
      </c>
      <c r="KM22" s="93">
        <v>218.27</v>
      </c>
      <c r="KN22" s="93">
        <v>217.47</v>
      </c>
      <c r="KO22" s="93">
        <v>216.67</v>
      </c>
      <c r="KP22" s="93">
        <v>215.87</v>
      </c>
      <c r="KQ22" s="93">
        <v>215.07</v>
      </c>
      <c r="KR22" s="93">
        <v>213.99000000000015</v>
      </c>
      <c r="KS22" s="93">
        <v>213.24000000000015</v>
      </c>
      <c r="KT22" s="93">
        <v>212.49000000000015</v>
      </c>
      <c r="KU22" s="93">
        <v>211.74000000000015</v>
      </c>
      <c r="KV22" s="93">
        <v>210.99000000000015</v>
      </c>
      <c r="KW22" s="93">
        <v>210.24000000000015</v>
      </c>
      <c r="KX22" s="93">
        <v>209.49000000000015</v>
      </c>
      <c r="KY22" s="93">
        <v>208.74000000000015</v>
      </c>
      <c r="KZ22" s="93">
        <v>207.99000000000015</v>
      </c>
      <c r="LA22" s="93">
        <v>207.24000000000015</v>
      </c>
      <c r="LB22" s="93">
        <v>206.49000000000015</v>
      </c>
      <c r="LC22" s="93">
        <v>205.74000000000015</v>
      </c>
      <c r="LD22" s="93">
        <v>204.99000000000015</v>
      </c>
      <c r="LE22" s="93">
        <v>204.24000000000015</v>
      </c>
      <c r="LF22" s="93">
        <v>203.49000000000015</v>
      </c>
      <c r="LG22" s="93">
        <v>202.74000000000015</v>
      </c>
      <c r="LH22" s="93">
        <v>201.99000000000015</v>
      </c>
      <c r="LI22" s="93">
        <v>201.24000000000015</v>
      </c>
      <c r="LJ22" s="93">
        <v>200.49000000000015</v>
      </c>
      <c r="LK22" s="93">
        <v>199.74000000000015</v>
      </c>
      <c r="LL22" s="93">
        <v>198.99000000000015</v>
      </c>
      <c r="LM22" s="93">
        <v>198.24000000000015</v>
      </c>
      <c r="LN22" s="93">
        <v>197.49000000000015</v>
      </c>
      <c r="LO22" s="93">
        <v>196.74000000000015</v>
      </c>
      <c r="LP22" s="93">
        <v>195.99000000000015</v>
      </c>
      <c r="LQ22" s="93">
        <v>195.24000000000015</v>
      </c>
      <c r="LR22" s="93">
        <v>194.49000000000015</v>
      </c>
      <c r="LS22" s="93">
        <v>193.74000000000015</v>
      </c>
      <c r="LT22" s="93">
        <v>192.99000000000015</v>
      </c>
      <c r="LU22" s="93">
        <v>192.24000000000015</v>
      </c>
      <c r="LV22" s="93">
        <v>191.49000000000015</v>
      </c>
      <c r="LW22" s="93">
        <v>190.74000000000015</v>
      </c>
      <c r="LX22" s="93">
        <v>189.99000000000015</v>
      </c>
      <c r="LY22" s="93">
        <v>189.24000000000015</v>
      </c>
      <c r="LZ22" s="93">
        <v>188.49000000000015</v>
      </c>
      <c r="MA22" s="93">
        <v>187.74000000000015</v>
      </c>
      <c r="MB22" s="93">
        <v>186.99000000000015</v>
      </c>
      <c r="MC22" s="93">
        <v>186.24000000000015</v>
      </c>
      <c r="MD22" s="93">
        <v>185.49000000000015</v>
      </c>
      <c r="ME22" s="93">
        <v>184.74000000000015</v>
      </c>
      <c r="MF22" s="93">
        <v>183.99000000000015</v>
      </c>
      <c r="MG22" s="93">
        <v>183.24000000000015</v>
      </c>
      <c r="MH22" s="93">
        <v>182.49000000000015</v>
      </c>
      <c r="MI22" s="93">
        <v>181.74000000000015</v>
      </c>
      <c r="MJ22" s="93">
        <v>180.99000000000015</v>
      </c>
      <c r="MK22" s="93">
        <v>180.24000000000015</v>
      </c>
      <c r="ML22" s="93">
        <v>179.49000000000015</v>
      </c>
      <c r="MM22" s="93">
        <v>178.74000000000015</v>
      </c>
      <c r="MN22" s="93">
        <v>177.99000000000015</v>
      </c>
      <c r="MO22" s="93">
        <v>177.24000000000015</v>
      </c>
      <c r="MP22" s="93">
        <v>176.49000000000015</v>
      </c>
      <c r="MQ22" s="93">
        <v>175.74000000000015</v>
      </c>
      <c r="MR22" s="93">
        <v>174.99000000000015</v>
      </c>
      <c r="MS22" s="93">
        <v>174.24000000000015</v>
      </c>
      <c r="MT22" s="93">
        <v>173.49000000000015</v>
      </c>
      <c r="MU22" s="93">
        <v>172.74000000000015</v>
      </c>
      <c r="MV22" s="93">
        <v>171.99000000000015</v>
      </c>
      <c r="MW22" s="93">
        <v>171.24000000000015</v>
      </c>
      <c r="MX22" s="93">
        <v>170.49000000000015</v>
      </c>
      <c r="MY22" s="93">
        <v>169.74000000000015</v>
      </c>
    </row>
    <row r="23" spans="1:363" ht="15.75" x14ac:dyDescent="0.25">
      <c r="A23" s="90" t="s">
        <v>7</v>
      </c>
      <c r="B23" s="95">
        <v>2033</v>
      </c>
      <c r="C23" s="93">
        <v>498.54</v>
      </c>
      <c r="D23" s="93">
        <v>497.52</v>
      </c>
      <c r="E23" s="93">
        <v>496.49</v>
      </c>
      <c r="F23" s="93">
        <v>495.47</v>
      </c>
      <c r="G23" s="93">
        <v>494.45</v>
      </c>
      <c r="H23" s="93">
        <v>493.43</v>
      </c>
      <c r="I23" s="93">
        <v>492.41</v>
      </c>
      <c r="J23" s="93">
        <v>491.39</v>
      </c>
      <c r="K23" s="93">
        <v>490.37</v>
      </c>
      <c r="L23" s="93">
        <v>489.34</v>
      </c>
      <c r="M23" s="93">
        <v>488.32</v>
      </c>
      <c r="N23" s="93">
        <v>487.3</v>
      </c>
      <c r="O23" s="93">
        <v>486.28</v>
      </c>
      <c r="P23" s="93">
        <v>485.26</v>
      </c>
      <c r="Q23" s="93">
        <v>484.24</v>
      </c>
      <c r="R23" s="93">
        <v>483.22</v>
      </c>
      <c r="S23" s="93">
        <v>482.2</v>
      </c>
      <c r="T23" s="93">
        <v>481.18</v>
      </c>
      <c r="U23" s="93">
        <v>480.16</v>
      </c>
      <c r="V23" s="93">
        <v>479.14</v>
      </c>
      <c r="W23" s="93">
        <v>478.12</v>
      </c>
      <c r="X23" s="93">
        <v>477.1</v>
      </c>
      <c r="Y23" s="93">
        <v>476.08</v>
      </c>
      <c r="Z23" s="93">
        <v>475.06</v>
      </c>
      <c r="AA23" s="93">
        <v>474.04</v>
      </c>
      <c r="AB23" s="93">
        <v>473.02</v>
      </c>
      <c r="AC23" s="93">
        <v>472</v>
      </c>
      <c r="AD23" s="93">
        <v>470.98</v>
      </c>
      <c r="AE23" s="93">
        <v>469.96</v>
      </c>
      <c r="AF23" s="93">
        <v>468.94</v>
      </c>
      <c r="AG23" s="93">
        <v>467.92</v>
      </c>
      <c r="AH23" s="93">
        <v>466.9</v>
      </c>
      <c r="AI23" s="93">
        <v>465.89</v>
      </c>
      <c r="AJ23" s="93">
        <v>464.87</v>
      </c>
      <c r="AK23" s="93">
        <v>463.85</v>
      </c>
      <c r="AL23" s="93">
        <v>462.83</v>
      </c>
      <c r="AM23" s="93">
        <v>461.81</v>
      </c>
      <c r="AN23" s="93">
        <v>460.79</v>
      </c>
      <c r="AO23" s="93">
        <v>459.77</v>
      </c>
      <c r="AP23" s="93">
        <v>458.76</v>
      </c>
      <c r="AQ23" s="93">
        <v>457.74</v>
      </c>
      <c r="AR23" s="93">
        <v>456.72</v>
      </c>
      <c r="AS23" s="93">
        <v>455.7</v>
      </c>
      <c r="AT23" s="93">
        <v>454.69</v>
      </c>
      <c r="AU23" s="93">
        <v>453.67</v>
      </c>
      <c r="AV23" s="93">
        <v>452.65</v>
      </c>
      <c r="AW23" s="93">
        <v>451.63</v>
      </c>
      <c r="AX23" s="93">
        <v>450.62</v>
      </c>
      <c r="AY23" s="93">
        <v>449.6</v>
      </c>
      <c r="AZ23" s="93">
        <v>448.59</v>
      </c>
      <c r="BA23" s="93">
        <v>447.57</v>
      </c>
      <c r="BB23" s="93">
        <v>446.55</v>
      </c>
      <c r="BC23" s="93">
        <v>445.54</v>
      </c>
      <c r="BD23" s="93">
        <v>444.52</v>
      </c>
      <c r="BE23" s="93">
        <v>443.51</v>
      </c>
      <c r="BF23" s="93">
        <v>442.49</v>
      </c>
      <c r="BG23" s="93">
        <v>441.48</v>
      </c>
      <c r="BH23" s="93">
        <v>440.46</v>
      </c>
      <c r="BI23" s="93">
        <v>439.45</v>
      </c>
      <c r="BJ23" s="93">
        <v>438.43</v>
      </c>
      <c r="BK23" s="93">
        <v>437.42</v>
      </c>
      <c r="BL23" s="93">
        <v>436.4</v>
      </c>
      <c r="BM23" s="93">
        <v>435.39</v>
      </c>
      <c r="BN23" s="93">
        <v>434.38</v>
      </c>
      <c r="BO23" s="93">
        <v>433.37</v>
      </c>
      <c r="BP23" s="93">
        <v>432.35</v>
      </c>
      <c r="BQ23" s="93">
        <v>431.34</v>
      </c>
      <c r="BR23" s="93">
        <v>430.33</v>
      </c>
      <c r="BS23" s="93">
        <v>429.32</v>
      </c>
      <c r="BT23" s="93">
        <v>428.3</v>
      </c>
      <c r="BU23" s="93">
        <v>427.29</v>
      </c>
      <c r="BV23" s="93">
        <v>426.28</v>
      </c>
      <c r="BW23" s="93">
        <v>425.27</v>
      </c>
      <c r="BX23" s="93">
        <v>424.26</v>
      </c>
      <c r="BY23" s="93">
        <v>423.25</v>
      </c>
      <c r="BZ23" s="93">
        <v>422.24</v>
      </c>
      <c r="CA23" s="93">
        <v>421.23</v>
      </c>
      <c r="CB23" s="93">
        <v>420.23</v>
      </c>
      <c r="CC23" s="93">
        <v>419.22</v>
      </c>
      <c r="CD23" s="93">
        <v>418.21</v>
      </c>
      <c r="CE23" s="93">
        <v>417.2</v>
      </c>
      <c r="CF23" s="93">
        <v>416.2</v>
      </c>
      <c r="CG23" s="93">
        <v>415.19</v>
      </c>
      <c r="CH23" s="93">
        <v>414.18</v>
      </c>
      <c r="CI23" s="93">
        <v>413.17</v>
      </c>
      <c r="CJ23" s="93">
        <v>412.17</v>
      </c>
      <c r="CK23" s="93">
        <v>411.17</v>
      </c>
      <c r="CL23" s="93">
        <v>410.16</v>
      </c>
      <c r="CM23" s="93">
        <v>409.16</v>
      </c>
      <c r="CN23" s="93">
        <v>408.16</v>
      </c>
      <c r="CO23" s="93">
        <v>407.16</v>
      </c>
      <c r="CP23" s="93">
        <v>406.15</v>
      </c>
      <c r="CQ23" s="93">
        <v>405.15</v>
      </c>
      <c r="CR23" s="93">
        <v>404.15</v>
      </c>
      <c r="CS23" s="93">
        <v>403.15</v>
      </c>
      <c r="CT23" s="93">
        <v>402.15</v>
      </c>
      <c r="CU23" s="93">
        <v>401.14</v>
      </c>
      <c r="CV23" s="93">
        <v>400.15</v>
      </c>
      <c r="CW23" s="93">
        <v>399.15</v>
      </c>
      <c r="CX23" s="93">
        <v>398.15</v>
      </c>
      <c r="CY23" s="93">
        <v>397.16</v>
      </c>
      <c r="CZ23" s="93">
        <v>396.16</v>
      </c>
      <c r="DA23" s="93">
        <v>395.16</v>
      </c>
      <c r="DB23" s="93">
        <v>394.17</v>
      </c>
      <c r="DC23" s="93">
        <v>393.17</v>
      </c>
      <c r="DD23" s="93">
        <v>392.17</v>
      </c>
      <c r="DE23" s="93">
        <v>391.18</v>
      </c>
      <c r="DF23" s="93">
        <v>390.18</v>
      </c>
      <c r="DG23" s="93">
        <v>389.19</v>
      </c>
      <c r="DH23" s="93">
        <v>388.2</v>
      </c>
      <c r="DI23" s="93">
        <v>387.21</v>
      </c>
      <c r="DJ23" s="93">
        <v>386.22</v>
      </c>
      <c r="DK23" s="93">
        <v>385.23</v>
      </c>
      <c r="DL23" s="93">
        <v>384.24</v>
      </c>
      <c r="DM23" s="93">
        <v>383.25</v>
      </c>
      <c r="DN23" s="93">
        <v>382.26</v>
      </c>
      <c r="DO23" s="93">
        <v>381.27</v>
      </c>
      <c r="DP23" s="93">
        <v>380.28</v>
      </c>
      <c r="DQ23" s="93">
        <v>379.29</v>
      </c>
      <c r="DR23" s="93">
        <v>378.31</v>
      </c>
      <c r="DS23" s="93">
        <v>377.32</v>
      </c>
      <c r="DT23" s="93">
        <v>376.34</v>
      </c>
      <c r="DU23" s="93">
        <v>375.35</v>
      </c>
      <c r="DV23" s="93">
        <v>374.37</v>
      </c>
      <c r="DW23" s="93">
        <v>373.39</v>
      </c>
      <c r="DX23" s="93">
        <v>372.41</v>
      </c>
      <c r="DY23" s="93">
        <v>371.43</v>
      </c>
      <c r="DZ23" s="93">
        <v>370.45</v>
      </c>
      <c r="EA23" s="93">
        <v>369.47</v>
      </c>
      <c r="EB23" s="93">
        <v>368.49</v>
      </c>
      <c r="EC23" s="93">
        <v>367.52</v>
      </c>
      <c r="ED23" s="93">
        <v>366.54</v>
      </c>
      <c r="EE23" s="93">
        <v>365.56</v>
      </c>
      <c r="EF23" s="93">
        <v>364.59</v>
      </c>
      <c r="EG23" s="93">
        <v>363.62</v>
      </c>
      <c r="EH23" s="93">
        <v>362.65</v>
      </c>
      <c r="EI23" s="93">
        <v>361.68</v>
      </c>
      <c r="EJ23" s="93">
        <v>360.71</v>
      </c>
      <c r="EK23" s="93">
        <v>359.74</v>
      </c>
      <c r="EL23" s="93">
        <v>358.77</v>
      </c>
      <c r="EM23" s="93">
        <v>357.81</v>
      </c>
      <c r="EN23" s="93">
        <v>356.84</v>
      </c>
      <c r="EO23" s="93">
        <v>355.87</v>
      </c>
      <c r="EP23" s="93">
        <v>354.91</v>
      </c>
      <c r="EQ23" s="93">
        <v>353.94</v>
      </c>
      <c r="ER23" s="93">
        <v>352.98</v>
      </c>
      <c r="ES23" s="93">
        <v>352.02</v>
      </c>
      <c r="ET23" s="93">
        <v>351.06</v>
      </c>
      <c r="EU23" s="93">
        <v>350.1</v>
      </c>
      <c r="EV23" s="93">
        <v>349.14</v>
      </c>
      <c r="EW23" s="93">
        <v>348.18</v>
      </c>
      <c r="EX23" s="93">
        <v>347.23</v>
      </c>
      <c r="EY23" s="93">
        <v>346.27</v>
      </c>
      <c r="EZ23" s="93">
        <v>345.31</v>
      </c>
      <c r="FA23" s="93">
        <v>344.36</v>
      </c>
      <c r="FB23" s="93">
        <v>343.4</v>
      </c>
      <c r="FC23" s="93">
        <v>342.44</v>
      </c>
      <c r="FD23" s="93">
        <v>341.49</v>
      </c>
      <c r="FE23" s="93">
        <v>340.54</v>
      </c>
      <c r="FF23" s="93">
        <v>339.59</v>
      </c>
      <c r="FG23" s="93">
        <v>338.63</v>
      </c>
      <c r="FH23" s="93">
        <v>337.68</v>
      </c>
      <c r="FI23" s="93">
        <v>336.73</v>
      </c>
      <c r="FJ23" s="93">
        <v>335.78</v>
      </c>
      <c r="FK23" s="93">
        <v>334.83</v>
      </c>
      <c r="FL23" s="93">
        <v>333.88</v>
      </c>
      <c r="FM23" s="93">
        <v>332.94</v>
      </c>
      <c r="FN23" s="93">
        <v>331.99</v>
      </c>
      <c r="FO23" s="93">
        <v>331.04</v>
      </c>
      <c r="FP23" s="93">
        <v>330.1</v>
      </c>
      <c r="FQ23" s="93">
        <v>329.15</v>
      </c>
      <c r="FR23" s="93">
        <v>328.21</v>
      </c>
      <c r="FS23" s="93">
        <v>327.26</v>
      </c>
      <c r="FT23" s="93">
        <v>326.32</v>
      </c>
      <c r="FU23" s="93">
        <v>325.38</v>
      </c>
      <c r="FV23" s="93">
        <v>324.44</v>
      </c>
      <c r="FW23" s="93">
        <v>323.5</v>
      </c>
      <c r="FX23" s="93">
        <v>322.56</v>
      </c>
      <c r="FY23" s="93">
        <v>321.62</v>
      </c>
      <c r="FZ23" s="93">
        <v>320.69</v>
      </c>
      <c r="GA23" s="93">
        <v>319.75</v>
      </c>
      <c r="GB23" s="93">
        <v>318.81</v>
      </c>
      <c r="GC23" s="93">
        <v>317.88</v>
      </c>
      <c r="GD23" s="93">
        <v>316.94</v>
      </c>
      <c r="GE23" s="93">
        <v>316.01</v>
      </c>
      <c r="GF23" s="93">
        <v>315.07</v>
      </c>
      <c r="GG23" s="93">
        <v>314.14999999999998</v>
      </c>
      <c r="GH23" s="93">
        <v>313.22000000000003</v>
      </c>
      <c r="GI23" s="93">
        <v>312.29000000000002</v>
      </c>
      <c r="GJ23" s="93">
        <v>311.35000000000002</v>
      </c>
      <c r="GK23" s="93">
        <v>310.43</v>
      </c>
      <c r="GL23" s="93">
        <v>309.51</v>
      </c>
      <c r="GM23" s="93">
        <v>308.57</v>
      </c>
      <c r="GN23" s="93">
        <v>307.66000000000003</v>
      </c>
      <c r="GO23" s="93">
        <v>306.73</v>
      </c>
      <c r="GP23" s="93">
        <v>305.81</v>
      </c>
      <c r="GQ23" s="93">
        <v>304.89</v>
      </c>
      <c r="GR23" s="93">
        <v>303.97000000000003</v>
      </c>
      <c r="GS23" s="93">
        <v>303.04000000000002</v>
      </c>
      <c r="GT23" s="93">
        <v>302.14</v>
      </c>
      <c r="GU23" s="93">
        <v>301.22000000000003</v>
      </c>
      <c r="GV23" s="93">
        <v>300.29000000000002</v>
      </c>
      <c r="GW23" s="93">
        <v>299.39</v>
      </c>
      <c r="GX23" s="93">
        <v>298.48</v>
      </c>
      <c r="GY23" s="93">
        <v>297.56</v>
      </c>
      <c r="GZ23" s="93">
        <v>296.64999999999998</v>
      </c>
      <c r="HA23" s="93">
        <v>295.74</v>
      </c>
      <c r="HB23" s="93">
        <v>294.83999999999997</v>
      </c>
      <c r="HC23" s="93">
        <v>293.93</v>
      </c>
      <c r="HD23" s="93">
        <v>293.01</v>
      </c>
      <c r="HE23" s="93">
        <v>292.12</v>
      </c>
      <c r="HF23" s="93">
        <v>291.20999999999998</v>
      </c>
      <c r="HG23" s="93">
        <v>290.31</v>
      </c>
      <c r="HH23" s="93">
        <v>289.41000000000003</v>
      </c>
      <c r="HI23" s="93">
        <v>288.51</v>
      </c>
      <c r="HJ23" s="93">
        <v>287.60000000000002</v>
      </c>
      <c r="HK23" s="93">
        <v>286.70999999999998</v>
      </c>
      <c r="HL23" s="93">
        <v>285.81</v>
      </c>
      <c r="HM23" s="93">
        <v>284.92</v>
      </c>
      <c r="HN23" s="93">
        <v>284.01</v>
      </c>
      <c r="HO23" s="93">
        <v>283.13</v>
      </c>
      <c r="HP23" s="93">
        <v>282.24</v>
      </c>
      <c r="HQ23" s="93">
        <v>281.35000000000002</v>
      </c>
      <c r="HR23" s="93">
        <v>280.45999999999998</v>
      </c>
      <c r="HS23" s="93">
        <v>279.57</v>
      </c>
      <c r="HT23" s="93">
        <v>278.69</v>
      </c>
      <c r="HU23" s="93">
        <v>277.79000000000002</v>
      </c>
      <c r="HV23" s="93">
        <v>276.92</v>
      </c>
      <c r="HW23" s="93">
        <v>276.04000000000002</v>
      </c>
      <c r="HX23" s="93">
        <v>275.14999999999998</v>
      </c>
      <c r="HY23" s="93">
        <v>274.26</v>
      </c>
      <c r="HZ23" s="93">
        <v>273.39</v>
      </c>
      <c r="IA23" s="93">
        <v>272.51</v>
      </c>
      <c r="IB23" s="93">
        <v>271.64</v>
      </c>
      <c r="IC23" s="93">
        <v>270.76</v>
      </c>
      <c r="ID23" s="93">
        <v>269.89</v>
      </c>
      <c r="IE23" s="93">
        <v>269.01</v>
      </c>
      <c r="IF23" s="93">
        <v>268.14</v>
      </c>
      <c r="IG23" s="93">
        <v>267.26</v>
      </c>
      <c r="IH23" s="93">
        <v>266.39</v>
      </c>
      <c r="II23" s="93">
        <v>265.51</v>
      </c>
      <c r="IJ23" s="93">
        <v>264.66000000000003</v>
      </c>
      <c r="IK23" s="93">
        <v>263.79000000000002</v>
      </c>
      <c r="IL23" s="93">
        <v>262.92</v>
      </c>
      <c r="IM23" s="93">
        <v>262.06</v>
      </c>
      <c r="IN23" s="93">
        <v>261.19</v>
      </c>
      <c r="IO23" s="93">
        <v>260.32</v>
      </c>
      <c r="IP23" s="93">
        <v>259.47000000000003</v>
      </c>
      <c r="IQ23" s="93">
        <v>258.60000000000002</v>
      </c>
      <c r="IR23" s="93">
        <v>257.75</v>
      </c>
      <c r="IS23" s="93">
        <v>256.89</v>
      </c>
      <c r="IT23" s="93">
        <v>256.04000000000002</v>
      </c>
      <c r="IU23" s="93">
        <v>255.18</v>
      </c>
      <c r="IV23" s="93">
        <v>254.33</v>
      </c>
      <c r="IW23" s="93">
        <v>253.48</v>
      </c>
      <c r="IX23" s="93">
        <v>252.63</v>
      </c>
      <c r="IY23" s="93">
        <v>251.78</v>
      </c>
      <c r="IZ23" s="93">
        <v>250.93</v>
      </c>
      <c r="JA23" s="93">
        <v>250.09</v>
      </c>
      <c r="JB23" s="93">
        <v>249.24</v>
      </c>
      <c r="JC23" s="93">
        <v>248.4</v>
      </c>
      <c r="JD23" s="93">
        <v>247.55</v>
      </c>
      <c r="JE23" s="93">
        <v>246.71</v>
      </c>
      <c r="JF23" s="93">
        <v>245.87</v>
      </c>
      <c r="JG23" s="93">
        <v>245.03</v>
      </c>
      <c r="JH23" s="93">
        <v>244.19</v>
      </c>
      <c r="JI23" s="93">
        <v>243.36</v>
      </c>
      <c r="JJ23" s="93">
        <v>242.52</v>
      </c>
      <c r="JK23" s="93">
        <v>241.68</v>
      </c>
      <c r="JL23" s="93">
        <v>240.85</v>
      </c>
      <c r="JM23" s="93">
        <v>240.02</v>
      </c>
      <c r="JN23" s="93">
        <v>239.19</v>
      </c>
      <c r="JO23" s="93">
        <v>238.35</v>
      </c>
      <c r="JP23" s="93">
        <v>237.52</v>
      </c>
      <c r="JQ23" s="93">
        <v>236.7</v>
      </c>
      <c r="JR23" s="93">
        <v>235.87</v>
      </c>
      <c r="JS23" s="93">
        <v>235.04</v>
      </c>
      <c r="JT23" s="93">
        <v>234.22</v>
      </c>
      <c r="JU23" s="93">
        <v>233.39</v>
      </c>
      <c r="JV23" s="93">
        <v>232.57</v>
      </c>
      <c r="JW23" s="93">
        <v>231.75</v>
      </c>
      <c r="JX23" s="93">
        <v>230.93</v>
      </c>
      <c r="JY23" s="93">
        <v>230.11</v>
      </c>
      <c r="JZ23" s="93">
        <v>229.29</v>
      </c>
      <c r="KA23" s="93">
        <v>228.47</v>
      </c>
      <c r="KB23" s="93">
        <v>227.65</v>
      </c>
      <c r="KC23" s="93">
        <v>226.84</v>
      </c>
      <c r="KD23" s="93">
        <v>226.02</v>
      </c>
      <c r="KE23" s="93">
        <v>225.21</v>
      </c>
      <c r="KF23" s="93">
        <v>224.4</v>
      </c>
      <c r="KG23" s="93">
        <v>223.58</v>
      </c>
      <c r="KH23" s="93">
        <v>222.77</v>
      </c>
      <c r="KI23" s="93">
        <v>221.96</v>
      </c>
      <c r="KJ23" s="93">
        <v>221.16</v>
      </c>
      <c r="KK23" s="93">
        <v>220.35</v>
      </c>
      <c r="KL23" s="93">
        <v>219.54</v>
      </c>
      <c r="KM23" s="93">
        <v>218.74</v>
      </c>
      <c r="KN23" s="93">
        <v>217.94</v>
      </c>
      <c r="KO23" s="93">
        <v>217.14</v>
      </c>
      <c r="KP23" s="93">
        <v>216.34</v>
      </c>
      <c r="KQ23" s="93">
        <v>215.54</v>
      </c>
      <c r="KR23" s="93">
        <v>214.45000000000016</v>
      </c>
      <c r="KS23" s="93">
        <v>213.70000000000016</v>
      </c>
      <c r="KT23" s="93">
        <v>212.95000000000016</v>
      </c>
      <c r="KU23" s="93">
        <v>212.20000000000016</v>
      </c>
      <c r="KV23" s="93">
        <v>211.45000000000016</v>
      </c>
      <c r="KW23" s="93">
        <v>210.70000000000016</v>
      </c>
      <c r="KX23" s="93">
        <v>209.95000000000016</v>
      </c>
      <c r="KY23" s="93">
        <v>209.20000000000016</v>
      </c>
      <c r="KZ23" s="93">
        <v>208.45000000000016</v>
      </c>
      <c r="LA23" s="93">
        <v>207.70000000000016</v>
      </c>
      <c r="LB23" s="93">
        <v>206.95000000000016</v>
      </c>
      <c r="LC23" s="93">
        <v>206.20000000000016</v>
      </c>
      <c r="LD23" s="93">
        <v>205.45000000000016</v>
      </c>
      <c r="LE23" s="93">
        <v>204.70000000000016</v>
      </c>
      <c r="LF23" s="93">
        <v>203.95000000000016</v>
      </c>
      <c r="LG23" s="93">
        <v>203.20000000000016</v>
      </c>
      <c r="LH23" s="93">
        <v>202.45000000000016</v>
      </c>
      <c r="LI23" s="93">
        <v>201.70000000000016</v>
      </c>
      <c r="LJ23" s="93">
        <v>200.95000000000016</v>
      </c>
      <c r="LK23" s="93">
        <v>200.20000000000016</v>
      </c>
      <c r="LL23" s="93">
        <v>199.45000000000016</v>
      </c>
      <c r="LM23" s="93">
        <v>198.70000000000016</v>
      </c>
      <c r="LN23" s="93">
        <v>197.95000000000016</v>
      </c>
      <c r="LO23" s="93">
        <v>197.20000000000016</v>
      </c>
      <c r="LP23" s="93">
        <v>196.45000000000016</v>
      </c>
      <c r="LQ23" s="93">
        <v>195.70000000000016</v>
      </c>
      <c r="LR23" s="93">
        <v>194.95000000000016</v>
      </c>
      <c r="LS23" s="93">
        <v>194.20000000000016</v>
      </c>
      <c r="LT23" s="93">
        <v>193.45000000000016</v>
      </c>
      <c r="LU23" s="93">
        <v>192.70000000000016</v>
      </c>
      <c r="LV23" s="93">
        <v>191.95000000000016</v>
      </c>
      <c r="LW23" s="93">
        <v>191.20000000000016</v>
      </c>
      <c r="LX23" s="93">
        <v>190.45000000000016</v>
      </c>
      <c r="LY23" s="93">
        <v>189.70000000000016</v>
      </c>
      <c r="LZ23" s="93">
        <v>188.95000000000016</v>
      </c>
      <c r="MA23" s="93">
        <v>188.20000000000016</v>
      </c>
      <c r="MB23" s="93">
        <v>187.45000000000016</v>
      </c>
      <c r="MC23" s="93">
        <v>186.70000000000016</v>
      </c>
      <c r="MD23" s="93">
        <v>185.95000000000016</v>
      </c>
      <c r="ME23" s="93">
        <v>185.20000000000016</v>
      </c>
      <c r="MF23" s="93">
        <v>184.45000000000016</v>
      </c>
      <c r="MG23" s="93">
        <v>183.70000000000016</v>
      </c>
      <c r="MH23" s="93">
        <v>182.95000000000016</v>
      </c>
      <c r="MI23" s="93">
        <v>182.20000000000016</v>
      </c>
      <c r="MJ23" s="93">
        <v>181.45000000000016</v>
      </c>
      <c r="MK23" s="93">
        <v>180.70000000000016</v>
      </c>
      <c r="ML23" s="93">
        <v>179.95000000000016</v>
      </c>
      <c r="MM23" s="93">
        <v>179.20000000000016</v>
      </c>
      <c r="MN23" s="93">
        <v>178.45000000000016</v>
      </c>
      <c r="MO23" s="93">
        <v>177.70000000000016</v>
      </c>
      <c r="MP23" s="93">
        <v>176.95000000000016</v>
      </c>
      <c r="MQ23" s="93">
        <v>176.20000000000016</v>
      </c>
      <c r="MR23" s="93">
        <v>175.45000000000016</v>
      </c>
      <c r="MS23" s="93">
        <v>174.70000000000016</v>
      </c>
      <c r="MT23" s="93">
        <v>173.95000000000016</v>
      </c>
      <c r="MU23" s="93">
        <v>173.20000000000016</v>
      </c>
      <c r="MV23" s="93">
        <v>172.45000000000016</v>
      </c>
      <c r="MW23" s="93">
        <v>171.70000000000016</v>
      </c>
      <c r="MX23" s="93">
        <v>170.95000000000016</v>
      </c>
      <c r="MY23" s="93">
        <v>170.20000000000016</v>
      </c>
    </row>
    <row r="24" spans="1:363" ht="15.75" x14ac:dyDescent="0.25">
      <c r="A24" s="90" t="s">
        <v>7</v>
      </c>
      <c r="B24" s="95">
        <v>2034</v>
      </c>
      <c r="C24" s="93">
        <v>499.12</v>
      </c>
      <c r="D24" s="93">
        <v>498.1</v>
      </c>
      <c r="E24" s="93">
        <v>497.08</v>
      </c>
      <c r="F24" s="93">
        <v>496.05</v>
      </c>
      <c r="G24" s="93">
        <v>495.03</v>
      </c>
      <c r="H24" s="93">
        <v>494.01</v>
      </c>
      <c r="I24" s="93">
        <v>492.99</v>
      </c>
      <c r="J24" s="93">
        <v>491.97</v>
      </c>
      <c r="K24" s="93">
        <v>490.95</v>
      </c>
      <c r="L24" s="93">
        <v>489.93</v>
      </c>
      <c r="M24" s="93">
        <v>488.9</v>
      </c>
      <c r="N24" s="93">
        <v>487.88</v>
      </c>
      <c r="O24" s="93">
        <v>486.86</v>
      </c>
      <c r="P24" s="93">
        <v>485.84</v>
      </c>
      <c r="Q24" s="93">
        <v>484.82</v>
      </c>
      <c r="R24" s="93">
        <v>483.8</v>
      </c>
      <c r="S24" s="93">
        <v>482.78</v>
      </c>
      <c r="T24" s="93">
        <v>481.76</v>
      </c>
      <c r="U24" s="93">
        <v>480.74</v>
      </c>
      <c r="V24" s="93">
        <v>479.72</v>
      </c>
      <c r="W24" s="93">
        <v>478.7</v>
      </c>
      <c r="X24" s="93">
        <v>477.68</v>
      </c>
      <c r="Y24" s="93">
        <v>476.66</v>
      </c>
      <c r="Z24" s="93">
        <v>475.64</v>
      </c>
      <c r="AA24" s="93">
        <v>474.62</v>
      </c>
      <c r="AB24" s="93">
        <v>473.6</v>
      </c>
      <c r="AC24" s="93">
        <v>472.58</v>
      </c>
      <c r="AD24" s="93">
        <v>471.56</v>
      </c>
      <c r="AE24" s="93">
        <v>470.54</v>
      </c>
      <c r="AF24" s="93">
        <v>469.52</v>
      </c>
      <c r="AG24" s="93">
        <v>468.5</v>
      </c>
      <c r="AH24" s="93">
        <v>467.48</v>
      </c>
      <c r="AI24" s="93">
        <v>466.46</v>
      </c>
      <c r="AJ24" s="93">
        <v>465.44</v>
      </c>
      <c r="AK24" s="93">
        <v>464.42</v>
      </c>
      <c r="AL24" s="93">
        <v>463.4</v>
      </c>
      <c r="AM24" s="93">
        <v>462.38</v>
      </c>
      <c r="AN24" s="93">
        <v>461.36</v>
      </c>
      <c r="AO24" s="93">
        <v>460.35</v>
      </c>
      <c r="AP24" s="93">
        <v>459.33</v>
      </c>
      <c r="AQ24" s="93">
        <v>458.31</v>
      </c>
      <c r="AR24" s="93">
        <v>457.29</v>
      </c>
      <c r="AS24" s="93">
        <v>456.27</v>
      </c>
      <c r="AT24" s="93">
        <v>455.26</v>
      </c>
      <c r="AU24" s="93">
        <v>454.24</v>
      </c>
      <c r="AV24" s="93">
        <v>453.22</v>
      </c>
      <c r="AW24" s="93">
        <v>452.2</v>
      </c>
      <c r="AX24" s="93">
        <v>451.19</v>
      </c>
      <c r="AY24" s="93">
        <v>450.17</v>
      </c>
      <c r="AZ24" s="93">
        <v>449.15</v>
      </c>
      <c r="BA24" s="93">
        <v>448.14</v>
      </c>
      <c r="BB24" s="93">
        <v>447.12</v>
      </c>
      <c r="BC24" s="93">
        <v>446.1</v>
      </c>
      <c r="BD24" s="93">
        <v>445.09</v>
      </c>
      <c r="BE24" s="93">
        <v>444.07</v>
      </c>
      <c r="BF24" s="93">
        <v>443.06</v>
      </c>
      <c r="BG24" s="93">
        <v>442.04</v>
      </c>
      <c r="BH24" s="93">
        <v>441.03</v>
      </c>
      <c r="BI24" s="93">
        <v>440.01</v>
      </c>
      <c r="BJ24" s="93">
        <v>438.99</v>
      </c>
      <c r="BK24" s="93">
        <v>437.98</v>
      </c>
      <c r="BL24" s="93">
        <v>436.97</v>
      </c>
      <c r="BM24" s="93">
        <v>435.95</v>
      </c>
      <c r="BN24" s="93">
        <v>434.94</v>
      </c>
      <c r="BO24" s="93">
        <v>433.93</v>
      </c>
      <c r="BP24" s="93">
        <v>432.91</v>
      </c>
      <c r="BQ24" s="93">
        <v>431.9</v>
      </c>
      <c r="BR24" s="93">
        <v>430.89</v>
      </c>
      <c r="BS24" s="93">
        <v>429.88</v>
      </c>
      <c r="BT24" s="93">
        <v>428.86</v>
      </c>
      <c r="BU24" s="93">
        <v>427.85</v>
      </c>
      <c r="BV24" s="93">
        <v>426.84</v>
      </c>
      <c r="BW24" s="93">
        <v>425.83</v>
      </c>
      <c r="BX24" s="93">
        <v>424.82</v>
      </c>
      <c r="BY24" s="93">
        <v>423.81</v>
      </c>
      <c r="BZ24" s="93">
        <v>422.8</v>
      </c>
      <c r="CA24" s="93">
        <v>421.79</v>
      </c>
      <c r="CB24" s="93">
        <v>420.78</v>
      </c>
      <c r="CC24" s="93">
        <v>419.77</v>
      </c>
      <c r="CD24" s="93">
        <v>418.77</v>
      </c>
      <c r="CE24" s="93">
        <v>417.76</v>
      </c>
      <c r="CF24" s="93">
        <v>416.75</v>
      </c>
      <c r="CG24" s="93">
        <v>415.74</v>
      </c>
      <c r="CH24" s="93">
        <v>414.73</v>
      </c>
      <c r="CI24" s="93">
        <v>413.73</v>
      </c>
      <c r="CJ24" s="93">
        <v>412.72</v>
      </c>
      <c r="CK24" s="93">
        <v>411.72</v>
      </c>
      <c r="CL24" s="93">
        <v>410.72</v>
      </c>
      <c r="CM24" s="93">
        <v>409.71</v>
      </c>
      <c r="CN24" s="93">
        <v>408.71</v>
      </c>
      <c r="CO24" s="93">
        <v>407.71</v>
      </c>
      <c r="CP24" s="93">
        <v>406.7</v>
      </c>
      <c r="CQ24" s="93">
        <v>405.7</v>
      </c>
      <c r="CR24" s="93">
        <v>404.7</v>
      </c>
      <c r="CS24" s="93">
        <v>403.69</v>
      </c>
      <c r="CT24" s="93">
        <v>402.69</v>
      </c>
      <c r="CU24" s="93">
        <v>401.69</v>
      </c>
      <c r="CV24" s="93">
        <v>400.69</v>
      </c>
      <c r="CW24" s="93">
        <v>399.7</v>
      </c>
      <c r="CX24" s="93">
        <v>398.7</v>
      </c>
      <c r="CY24" s="93">
        <v>397.7</v>
      </c>
      <c r="CZ24" s="93">
        <v>396.7</v>
      </c>
      <c r="DA24" s="93">
        <v>395.71</v>
      </c>
      <c r="DB24" s="93">
        <v>394.71</v>
      </c>
      <c r="DC24" s="93">
        <v>393.71</v>
      </c>
      <c r="DD24" s="93">
        <v>392.72</v>
      </c>
      <c r="DE24" s="93">
        <v>391.72</v>
      </c>
      <c r="DF24" s="93">
        <v>390.73</v>
      </c>
      <c r="DG24" s="93">
        <v>389.73</v>
      </c>
      <c r="DH24" s="93">
        <v>388.74</v>
      </c>
      <c r="DI24" s="93">
        <v>387.75</v>
      </c>
      <c r="DJ24" s="93">
        <v>386.76</v>
      </c>
      <c r="DK24" s="93">
        <v>385.77</v>
      </c>
      <c r="DL24" s="93">
        <v>384.78</v>
      </c>
      <c r="DM24" s="93">
        <v>383.79</v>
      </c>
      <c r="DN24" s="93">
        <v>382.8</v>
      </c>
      <c r="DO24" s="93">
        <v>381.81</v>
      </c>
      <c r="DP24" s="93">
        <v>380.82</v>
      </c>
      <c r="DQ24" s="93">
        <v>379.83</v>
      </c>
      <c r="DR24" s="93">
        <v>378.84</v>
      </c>
      <c r="DS24" s="93">
        <v>377.86</v>
      </c>
      <c r="DT24" s="93">
        <v>376.87</v>
      </c>
      <c r="DU24" s="93">
        <v>375.89</v>
      </c>
      <c r="DV24" s="93">
        <v>374.91</v>
      </c>
      <c r="DW24" s="93">
        <v>373.93</v>
      </c>
      <c r="DX24" s="93">
        <v>372.95</v>
      </c>
      <c r="DY24" s="93">
        <v>371.97</v>
      </c>
      <c r="DZ24" s="93">
        <v>370.99</v>
      </c>
      <c r="EA24" s="93">
        <v>370.01</v>
      </c>
      <c r="EB24" s="93">
        <v>369.03</v>
      </c>
      <c r="EC24" s="93">
        <v>368.05</v>
      </c>
      <c r="ED24" s="93">
        <v>367.07</v>
      </c>
      <c r="EE24" s="93">
        <v>366.09</v>
      </c>
      <c r="EF24" s="93">
        <v>365.12</v>
      </c>
      <c r="EG24" s="93">
        <v>364.15</v>
      </c>
      <c r="EH24" s="93">
        <v>363.18</v>
      </c>
      <c r="EI24" s="93">
        <v>362.21</v>
      </c>
      <c r="EJ24" s="93">
        <v>361.24</v>
      </c>
      <c r="EK24" s="93">
        <v>360.27</v>
      </c>
      <c r="EL24" s="93">
        <v>359.31</v>
      </c>
      <c r="EM24" s="93">
        <v>358.34</v>
      </c>
      <c r="EN24" s="93">
        <v>357.37</v>
      </c>
      <c r="EO24" s="93">
        <v>356.41</v>
      </c>
      <c r="EP24" s="93">
        <v>355.44</v>
      </c>
      <c r="EQ24" s="93">
        <v>354.47</v>
      </c>
      <c r="ER24" s="93">
        <v>353.51</v>
      </c>
      <c r="ES24" s="93">
        <v>352.55</v>
      </c>
      <c r="ET24" s="93">
        <v>351.59</v>
      </c>
      <c r="EU24" s="93">
        <v>350.63</v>
      </c>
      <c r="EV24" s="93">
        <v>349.67</v>
      </c>
      <c r="EW24" s="93">
        <v>348.71</v>
      </c>
      <c r="EX24" s="93">
        <v>347.75</v>
      </c>
      <c r="EY24" s="93">
        <v>346.8</v>
      </c>
      <c r="EZ24" s="93">
        <v>345.84</v>
      </c>
      <c r="FA24" s="93">
        <v>344.88</v>
      </c>
      <c r="FB24" s="93">
        <v>343.93</v>
      </c>
      <c r="FC24" s="93">
        <v>342.97</v>
      </c>
      <c r="FD24" s="93">
        <v>342.02</v>
      </c>
      <c r="FE24" s="93">
        <v>341.06</v>
      </c>
      <c r="FF24" s="93">
        <v>340.11</v>
      </c>
      <c r="FG24" s="93">
        <v>339.16</v>
      </c>
      <c r="FH24" s="93">
        <v>338.21</v>
      </c>
      <c r="FI24" s="93">
        <v>337.26</v>
      </c>
      <c r="FJ24" s="93">
        <v>336.31</v>
      </c>
      <c r="FK24" s="93">
        <v>335.36</v>
      </c>
      <c r="FL24" s="93">
        <v>334.41</v>
      </c>
      <c r="FM24" s="93">
        <v>333.46</v>
      </c>
      <c r="FN24" s="93">
        <v>332.51</v>
      </c>
      <c r="FO24" s="93">
        <v>331.57</v>
      </c>
      <c r="FP24" s="93">
        <v>330.62</v>
      </c>
      <c r="FQ24" s="93">
        <v>329.68</v>
      </c>
      <c r="FR24" s="93">
        <v>328.73</v>
      </c>
      <c r="FS24" s="93">
        <v>327.79</v>
      </c>
      <c r="FT24" s="93">
        <v>326.85000000000002</v>
      </c>
      <c r="FU24" s="93">
        <v>325.91000000000003</v>
      </c>
      <c r="FV24" s="93">
        <v>324.95999999999998</v>
      </c>
      <c r="FW24" s="93">
        <v>324.01</v>
      </c>
      <c r="FX24" s="93">
        <v>323.07</v>
      </c>
      <c r="FY24" s="93">
        <v>322.14999999999998</v>
      </c>
      <c r="FZ24" s="93">
        <v>321.20999999999998</v>
      </c>
      <c r="GA24" s="93">
        <v>320.26</v>
      </c>
      <c r="GB24" s="93">
        <v>319.32</v>
      </c>
      <c r="GC24" s="93">
        <v>318.39999999999998</v>
      </c>
      <c r="GD24" s="93">
        <v>317.47000000000003</v>
      </c>
      <c r="GE24" s="93">
        <v>316.52999999999997</v>
      </c>
      <c r="GF24" s="93">
        <v>315.60000000000002</v>
      </c>
      <c r="GG24" s="93">
        <v>314.67</v>
      </c>
      <c r="GH24" s="93">
        <v>313.74</v>
      </c>
      <c r="GI24" s="93">
        <v>312.81</v>
      </c>
      <c r="GJ24" s="93">
        <v>311.88</v>
      </c>
      <c r="GK24" s="93">
        <v>310.95</v>
      </c>
      <c r="GL24" s="93">
        <v>310.01</v>
      </c>
      <c r="GM24" s="93">
        <v>309.10000000000002</v>
      </c>
      <c r="GN24" s="93">
        <v>308.17</v>
      </c>
      <c r="GO24" s="93">
        <v>307.25</v>
      </c>
      <c r="GP24" s="93">
        <v>306.32</v>
      </c>
      <c r="GQ24" s="93">
        <v>305.41000000000003</v>
      </c>
      <c r="GR24" s="93">
        <v>304.49</v>
      </c>
      <c r="GS24" s="93">
        <v>303.57</v>
      </c>
      <c r="GT24" s="93">
        <v>302.64999999999998</v>
      </c>
      <c r="GU24" s="93">
        <v>301.74</v>
      </c>
      <c r="GV24" s="93">
        <v>300.82</v>
      </c>
      <c r="GW24" s="93">
        <v>299.89999999999998</v>
      </c>
      <c r="GX24" s="93">
        <v>298.99</v>
      </c>
      <c r="GY24" s="93">
        <v>298.07</v>
      </c>
      <c r="GZ24" s="93">
        <v>297.17</v>
      </c>
      <c r="HA24" s="93">
        <v>296.26</v>
      </c>
      <c r="HB24" s="93">
        <v>295.35000000000002</v>
      </c>
      <c r="HC24" s="93">
        <v>294.44</v>
      </c>
      <c r="HD24" s="93">
        <v>293.52999999999997</v>
      </c>
      <c r="HE24" s="93">
        <v>292.63</v>
      </c>
      <c r="HF24" s="93">
        <v>291.72000000000003</v>
      </c>
      <c r="HG24" s="93">
        <v>290.82</v>
      </c>
      <c r="HH24" s="93">
        <v>289.92</v>
      </c>
      <c r="HI24" s="93">
        <v>289.01</v>
      </c>
      <c r="HJ24" s="93">
        <v>288.12</v>
      </c>
      <c r="HK24" s="93">
        <v>287.22000000000003</v>
      </c>
      <c r="HL24" s="93">
        <v>286.32</v>
      </c>
      <c r="HM24" s="93">
        <v>285.43</v>
      </c>
      <c r="HN24" s="93">
        <v>284.52999999999997</v>
      </c>
      <c r="HO24" s="93">
        <v>283.64</v>
      </c>
      <c r="HP24" s="93">
        <v>282.75</v>
      </c>
      <c r="HQ24" s="93">
        <v>281.85000000000002</v>
      </c>
      <c r="HR24" s="93">
        <v>280.97000000000003</v>
      </c>
      <c r="HS24" s="93">
        <v>280.07</v>
      </c>
      <c r="HT24" s="93">
        <v>279.19</v>
      </c>
      <c r="HU24" s="93">
        <v>278.31</v>
      </c>
      <c r="HV24" s="93">
        <v>277.42</v>
      </c>
      <c r="HW24" s="93">
        <v>276.54000000000002</v>
      </c>
      <c r="HX24" s="93">
        <v>275.66000000000003</v>
      </c>
      <c r="HY24" s="93">
        <v>274.77999999999997</v>
      </c>
      <c r="HZ24" s="93">
        <v>273.89999999999998</v>
      </c>
      <c r="IA24" s="93">
        <v>273.01</v>
      </c>
      <c r="IB24" s="93">
        <v>272.14</v>
      </c>
      <c r="IC24" s="93">
        <v>271.26</v>
      </c>
      <c r="ID24" s="93">
        <v>270.39</v>
      </c>
      <c r="IE24" s="93">
        <v>269.51</v>
      </c>
      <c r="IF24" s="93">
        <v>268.64</v>
      </c>
      <c r="IG24" s="93">
        <v>267.76</v>
      </c>
      <c r="IH24" s="93">
        <v>266.89</v>
      </c>
      <c r="II24" s="93">
        <v>266.01</v>
      </c>
      <c r="IJ24" s="93">
        <v>265.14999999999998</v>
      </c>
      <c r="IK24" s="93">
        <v>264.29000000000002</v>
      </c>
      <c r="IL24" s="93">
        <v>263.42</v>
      </c>
      <c r="IM24" s="93">
        <v>262.54000000000002</v>
      </c>
      <c r="IN24" s="93">
        <v>261.69</v>
      </c>
      <c r="IO24" s="93">
        <v>260.82</v>
      </c>
      <c r="IP24" s="93">
        <v>259.97000000000003</v>
      </c>
      <c r="IQ24" s="93">
        <v>259.10000000000002</v>
      </c>
      <c r="IR24" s="93">
        <v>258.25</v>
      </c>
      <c r="IS24" s="93">
        <v>257.39</v>
      </c>
      <c r="IT24" s="93">
        <v>256.52999999999997</v>
      </c>
      <c r="IU24" s="93">
        <v>255.68</v>
      </c>
      <c r="IV24" s="93">
        <v>254.82</v>
      </c>
      <c r="IW24" s="93">
        <v>253.97</v>
      </c>
      <c r="IX24" s="93">
        <v>253.12</v>
      </c>
      <c r="IY24" s="93">
        <v>252.27</v>
      </c>
      <c r="IZ24" s="93">
        <v>251.42</v>
      </c>
      <c r="JA24" s="93">
        <v>250.58</v>
      </c>
      <c r="JB24" s="93">
        <v>249.73</v>
      </c>
      <c r="JC24" s="93">
        <v>248.89</v>
      </c>
      <c r="JD24" s="93">
        <v>248.04</v>
      </c>
      <c r="JE24" s="93">
        <v>247.2</v>
      </c>
      <c r="JF24" s="93">
        <v>246.36</v>
      </c>
      <c r="JG24" s="93">
        <v>245.52</v>
      </c>
      <c r="JH24" s="93">
        <v>244.68</v>
      </c>
      <c r="JI24" s="93">
        <v>243.84</v>
      </c>
      <c r="JJ24" s="93">
        <v>243.01</v>
      </c>
      <c r="JK24" s="93">
        <v>242.17</v>
      </c>
      <c r="JL24" s="93">
        <v>241.34</v>
      </c>
      <c r="JM24" s="93">
        <v>240.5</v>
      </c>
      <c r="JN24" s="93">
        <v>239.67</v>
      </c>
      <c r="JO24" s="93">
        <v>238.84</v>
      </c>
      <c r="JP24" s="93">
        <v>238.01</v>
      </c>
      <c r="JQ24" s="93">
        <v>237.18</v>
      </c>
      <c r="JR24" s="93">
        <v>236.35</v>
      </c>
      <c r="JS24" s="93">
        <v>235.52</v>
      </c>
      <c r="JT24" s="93">
        <v>234.7</v>
      </c>
      <c r="JU24" s="93">
        <v>233.87</v>
      </c>
      <c r="JV24" s="93">
        <v>233.05</v>
      </c>
      <c r="JW24" s="93">
        <v>232.23</v>
      </c>
      <c r="JX24" s="93">
        <v>231.4</v>
      </c>
      <c r="JY24" s="93">
        <v>230.58</v>
      </c>
      <c r="JZ24" s="93">
        <v>229.77</v>
      </c>
      <c r="KA24" s="93">
        <v>228.95</v>
      </c>
      <c r="KB24" s="93">
        <v>228.13</v>
      </c>
      <c r="KC24" s="93">
        <v>227.31</v>
      </c>
      <c r="KD24" s="93">
        <v>226.5</v>
      </c>
      <c r="KE24" s="93">
        <v>225.68</v>
      </c>
      <c r="KF24" s="93">
        <v>224.87</v>
      </c>
      <c r="KG24" s="93">
        <v>224.06</v>
      </c>
      <c r="KH24" s="93">
        <v>223.25</v>
      </c>
      <c r="KI24" s="93">
        <v>222.44</v>
      </c>
      <c r="KJ24" s="93">
        <v>221.63</v>
      </c>
      <c r="KK24" s="93">
        <v>220.82</v>
      </c>
      <c r="KL24" s="93">
        <v>220.01</v>
      </c>
      <c r="KM24" s="93">
        <v>219.21</v>
      </c>
      <c r="KN24" s="93">
        <v>218.41</v>
      </c>
      <c r="KO24" s="93">
        <v>217.6</v>
      </c>
      <c r="KP24" s="93">
        <v>216.8</v>
      </c>
      <c r="KQ24" s="93">
        <v>216.01</v>
      </c>
      <c r="KR24" s="93">
        <v>214.91000000000017</v>
      </c>
      <c r="KS24" s="93">
        <v>214.16000000000017</v>
      </c>
      <c r="KT24" s="93">
        <v>213.41000000000017</v>
      </c>
      <c r="KU24" s="93">
        <v>212.66000000000017</v>
      </c>
      <c r="KV24" s="93">
        <v>211.91000000000017</v>
      </c>
      <c r="KW24" s="93">
        <v>211.16000000000017</v>
      </c>
      <c r="KX24" s="93">
        <v>210.41000000000017</v>
      </c>
      <c r="KY24" s="93">
        <v>209.66000000000017</v>
      </c>
      <c r="KZ24" s="93">
        <v>208.91000000000017</v>
      </c>
      <c r="LA24" s="93">
        <v>208.16000000000017</v>
      </c>
      <c r="LB24" s="93">
        <v>207.41000000000017</v>
      </c>
      <c r="LC24" s="93">
        <v>206.66000000000017</v>
      </c>
      <c r="LD24" s="93">
        <v>205.91000000000017</v>
      </c>
      <c r="LE24" s="93">
        <v>205.16000000000017</v>
      </c>
      <c r="LF24" s="93">
        <v>204.41000000000017</v>
      </c>
      <c r="LG24" s="93">
        <v>203.66000000000017</v>
      </c>
      <c r="LH24" s="93">
        <v>202.91000000000017</v>
      </c>
      <c r="LI24" s="93">
        <v>202.16000000000017</v>
      </c>
      <c r="LJ24" s="93">
        <v>201.41000000000017</v>
      </c>
      <c r="LK24" s="93">
        <v>200.66000000000017</v>
      </c>
      <c r="LL24" s="93">
        <v>199.91000000000017</v>
      </c>
      <c r="LM24" s="93">
        <v>199.16000000000017</v>
      </c>
      <c r="LN24" s="93">
        <v>198.41000000000017</v>
      </c>
      <c r="LO24" s="93">
        <v>197.66000000000017</v>
      </c>
      <c r="LP24" s="93">
        <v>196.91000000000017</v>
      </c>
      <c r="LQ24" s="93">
        <v>196.16000000000017</v>
      </c>
      <c r="LR24" s="93">
        <v>195.41000000000017</v>
      </c>
      <c r="LS24" s="93">
        <v>194.66000000000017</v>
      </c>
      <c r="LT24" s="93">
        <v>193.91000000000017</v>
      </c>
      <c r="LU24" s="93">
        <v>193.16000000000017</v>
      </c>
      <c r="LV24" s="93">
        <v>192.41000000000017</v>
      </c>
      <c r="LW24" s="93">
        <v>191.66000000000017</v>
      </c>
      <c r="LX24" s="93">
        <v>190.91000000000017</v>
      </c>
      <c r="LY24" s="93">
        <v>190.16000000000017</v>
      </c>
      <c r="LZ24" s="93">
        <v>189.41000000000017</v>
      </c>
      <c r="MA24" s="93">
        <v>188.66000000000017</v>
      </c>
      <c r="MB24" s="93">
        <v>187.91000000000017</v>
      </c>
      <c r="MC24" s="93">
        <v>187.16000000000017</v>
      </c>
      <c r="MD24" s="93">
        <v>186.41000000000017</v>
      </c>
      <c r="ME24" s="93">
        <v>185.66000000000017</v>
      </c>
      <c r="MF24" s="93">
        <v>184.91000000000017</v>
      </c>
      <c r="MG24" s="93">
        <v>184.16000000000017</v>
      </c>
      <c r="MH24" s="93">
        <v>183.41000000000017</v>
      </c>
      <c r="MI24" s="93">
        <v>182.66000000000017</v>
      </c>
      <c r="MJ24" s="93">
        <v>181.91000000000017</v>
      </c>
      <c r="MK24" s="93">
        <v>181.16000000000017</v>
      </c>
      <c r="ML24" s="93">
        <v>180.41000000000017</v>
      </c>
      <c r="MM24" s="93">
        <v>179.66000000000017</v>
      </c>
      <c r="MN24" s="93">
        <v>178.91000000000017</v>
      </c>
      <c r="MO24" s="93">
        <v>178.16000000000017</v>
      </c>
      <c r="MP24" s="93">
        <v>177.41000000000017</v>
      </c>
      <c r="MQ24" s="93">
        <v>176.66000000000017</v>
      </c>
      <c r="MR24" s="93">
        <v>175.91000000000017</v>
      </c>
      <c r="MS24" s="93">
        <v>175.16000000000017</v>
      </c>
      <c r="MT24" s="93">
        <v>174.41000000000017</v>
      </c>
      <c r="MU24" s="93">
        <v>173.66000000000017</v>
      </c>
      <c r="MV24" s="93">
        <v>172.91000000000017</v>
      </c>
      <c r="MW24" s="93">
        <v>172.16000000000017</v>
      </c>
      <c r="MX24" s="93">
        <v>171.41000000000017</v>
      </c>
      <c r="MY24" s="93">
        <v>170.66000000000017</v>
      </c>
    </row>
    <row r="25" spans="1:363" ht="15.75" x14ac:dyDescent="0.25">
      <c r="A25" s="90" t="s">
        <v>7</v>
      </c>
      <c r="B25" s="95">
        <v>2035</v>
      </c>
      <c r="C25" s="93">
        <v>499.7</v>
      </c>
      <c r="D25" s="93">
        <v>498.68</v>
      </c>
      <c r="E25" s="93">
        <v>497.66</v>
      </c>
      <c r="F25" s="93">
        <v>496.63</v>
      </c>
      <c r="G25" s="93">
        <v>495.61</v>
      </c>
      <c r="H25" s="93">
        <v>494.59</v>
      </c>
      <c r="I25" s="93">
        <v>493.57</v>
      </c>
      <c r="J25" s="93">
        <v>492.55</v>
      </c>
      <c r="K25" s="93">
        <v>491.53</v>
      </c>
      <c r="L25" s="93">
        <v>490.5</v>
      </c>
      <c r="M25" s="93">
        <v>489.48</v>
      </c>
      <c r="N25" s="93">
        <v>488.46</v>
      </c>
      <c r="O25" s="93">
        <v>487.44</v>
      </c>
      <c r="P25" s="93">
        <v>486.42</v>
      </c>
      <c r="Q25" s="93">
        <v>485.4</v>
      </c>
      <c r="R25" s="93">
        <v>484.38</v>
      </c>
      <c r="S25" s="93">
        <v>483.36</v>
      </c>
      <c r="T25" s="93">
        <v>482.33</v>
      </c>
      <c r="U25" s="93">
        <v>481.31</v>
      </c>
      <c r="V25" s="93">
        <v>480.29</v>
      </c>
      <c r="W25" s="93">
        <v>479.27</v>
      </c>
      <c r="X25" s="93">
        <v>478.25</v>
      </c>
      <c r="Y25" s="93">
        <v>477.23</v>
      </c>
      <c r="Z25" s="93">
        <v>476.21</v>
      </c>
      <c r="AA25" s="93">
        <v>475.19</v>
      </c>
      <c r="AB25" s="93">
        <v>474.17</v>
      </c>
      <c r="AC25" s="93">
        <v>473.15</v>
      </c>
      <c r="AD25" s="93">
        <v>472.13</v>
      </c>
      <c r="AE25" s="93">
        <v>471.11</v>
      </c>
      <c r="AF25" s="93">
        <v>470.09</v>
      </c>
      <c r="AG25" s="93">
        <v>469.07</v>
      </c>
      <c r="AH25" s="93">
        <v>468.05</v>
      </c>
      <c r="AI25" s="93">
        <v>467.03</v>
      </c>
      <c r="AJ25" s="93">
        <v>466.01</v>
      </c>
      <c r="AK25" s="93">
        <v>464.99</v>
      </c>
      <c r="AL25" s="93">
        <v>463.97</v>
      </c>
      <c r="AM25" s="93">
        <v>462.95</v>
      </c>
      <c r="AN25" s="93">
        <v>461.93</v>
      </c>
      <c r="AO25" s="93">
        <v>460.91</v>
      </c>
      <c r="AP25" s="93">
        <v>459.9</v>
      </c>
      <c r="AQ25" s="93">
        <v>458.88</v>
      </c>
      <c r="AR25" s="93">
        <v>457.86</v>
      </c>
      <c r="AS25" s="93">
        <v>456.84</v>
      </c>
      <c r="AT25" s="93">
        <v>455.82</v>
      </c>
      <c r="AU25" s="93">
        <v>454.81</v>
      </c>
      <c r="AV25" s="93">
        <v>453.79</v>
      </c>
      <c r="AW25" s="93">
        <v>452.77</v>
      </c>
      <c r="AX25" s="93">
        <v>451.75</v>
      </c>
      <c r="AY25" s="93">
        <v>450.73</v>
      </c>
      <c r="AZ25" s="93">
        <v>449.72</v>
      </c>
      <c r="BA25" s="93">
        <v>448.7</v>
      </c>
      <c r="BB25" s="93">
        <v>447.69</v>
      </c>
      <c r="BC25" s="93">
        <v>446.67</v>
      </c>
      <c r="BD25" s="93">
        <v>445.65</v>
      </c>
      <c r="BE25" s="93">
        <v>444.64</v>
      </c>
      <c r="BF25" s="93">
        <v>443.62</v>
      </c>
      <c r="BG25" s="93">
        <v>442.6</v>
      </c>
      <c r="BH25" s="93">
        <v>441.59</v>
      </c>
      <c r="BI25" s="93">
        <v>440.57</v>
      </c>
      <c r="BJ25" s="93">
        <v>439.56</v>
      </c>
      <c r="BK25" s="93">
        <v>438.54</v>
      </c>
      <c r="BL25" s="93">
        <v>437.53</v>
      </c>
      <c r="BM25" s="93">
        <v>436.51</v>
      </c>
      <c r="BN25" s="93">
        <v>435.5</v>
      </c>
      <c r="BO25" s="93">
        <v>434.49</v>
      </c>
      <c r="BP25" s="93">
        <v>433.47</v>
      </c>
      <c r="BQ25" s="93">
        <v>432.46</v>
      </c>
      <c r="BR25" s="93">
        <v>431.45</v>
      </c>
      <c r="BS25" s="93">
        <v>430.43</v>
      </c>
      <c r="BT25" s="93">
        <v>429.42</v>
      </c>
      <c r="BU25" s="93">
        <v>428.41</v>
      </c>
      <c r="BV25" s="93">
        <v>427.4</v>
      </c>
      <c r="BW25" s="93">
        <v>426.38</v>
      </c>
      <c r="BX25" s="93">
        <v>425.37</v>
      </c>
      <c r="BY25" s="93">
        <v>424.36</v>
      </c>
      <c r="BZ25" s="93">
        <v>423.35</v>
      </c>
      <c r="CA25" s="93">
        <v>422.35</v>
      </c>
      <c r="CB25" s="93">
        <v>421.34</v>
      </c>
      <c r="CC25" s="93">
        <v>420.33</v>
      </c>
      <c r="CD25" s="93">
        <v>419.32</v>
      </c>
      <c r="CE25" s="93">
        <v>418.31</v>
      </c>
      <c r="CF25" s="93">
        <v>417.3</v>
      </c>
      <c r="CG25" s="93">
        <v>416.29</v>
      </c>
      <c r="CH25" s="93">
        <v>415.29</v>
      </c>
      <c r="CI25" s="93">
        <v>414.28</v>
      </c>
      <c r="CJ25" s="93">
        <v>413.27</v>
      </c>
      <c r="CK25" s="93">
        <v>412.27</v>
      </c>
      <c r="CL25" s="93">
        <v>411.26</v>
      </c>
      <c r="CM25" s="93">
        <v>410.26</v>
      </c>
      <c r="CN25" s="93">
        <v>409.26</v>
      </c>
      <c r="CO25" s="93">
        <v>408.25</v>
      </c>
      <c r="CP25" s="93">
        <v>407.25</v>
      </c>
      <c r="CQ25" s="93">
        <v>406.25</v>
      </c>
      <c r="CR25" s="93">
        <v>405.24</v>
      </c>
      <c r="CS25" s="93">
        <v>404.24</v>
      </c>
      <c r="CT25" s="93">
        <v>403.24</v>
      </c>
      <c r="CU25" s="93">
        <v>402.24</v>
      </c>
      <c r="CV25" s="93">
        <v>401.24</v>
      </c>
      <c r="CW25" s="93">
        <v>400.24</v>
      </c>
      <c r="CX25" s="93">
        <v>399.24</v>
      </c>
      <c r="CY25" s="93">
        <v>398.24</v>
      </c>
      <c r="CZ25" s="93">
        <v>397.25</v>
      </c>
      <c r="DA25" s="93">
        <v>396.25</v>
      </c>
      <c r="DB25" s="93">
        <v>395.25</v>
      </c>
      <c r="DC25" s="93">
        <v>394.26</v>
      </c>
      <c r="DD25" s="93">
        <v>393.26</v>
      </c>
      <c r="DE25" s="93">
        <v>392.26</v>
      </c>
      <c r="DF25" s="93">
        <v>391.27</v>
      </c>
      <c r="DG25" s="93">
        <v>390.27</v>
      </c>
      <c r="DH25" s="93">
        <v>389.28</v>
      </c>
      <c r="DI25" s="93">
        <v>388.29</v>
      </c>
      <c r="DJ25" s="93">
        <v>387.3</v>
      </c>
      <c r="DK25" s="93">
        <v>386.31</v>
      </c>
      <c r="DL25" s="93">
        <v>385.32</v>
      </c>
      <c r="DM25" s="93">
        <v>384.33</v>
      </c>
      <c r="DN25" s="93">
        <v>383.34</v>
      </c>
      <c r="DO25" s="93">
        <v>382.35</v>
      </c>
      <c r="DP25" s="93">
        <v>381.36</v>
      </c>
      <c r="DQ25" s="93">
        <v>380.37</v>
      </c>
      <c r="DR25" s="93">
        <v>379.38</v>
      </c>
      <c r="DS25" s="93">
        <v>378.39</v>
      </c>
      <c r="DT25" s="93">
        <v>377.41</v>
      </c>
      <c r="DU25" s="93">
        <v>376.43</v>
      </c>
      <c r="DV25" s="93">
        <v>375.44</v>
      </c>
      <c r="DW25" s="93">
        <v>374.46</v>
      </c>
      <c r="DX25" s="93">
        <v>373.48</v>
      </c>
      <c r="DY25" s="93">
        <v>372.5</v>
      </c>
      <c r="DZ25" s="93">
        <v>371.52</v>
      </c>
      <c r="EA25" s="93">
        <v>370.54</v>
      </c>
      <c r="EB25" s="93">
        <v>369.56</v>
      </c>
      <c r="EC25" s="93">
        <v>368.58</v>
      </c>
      <c r="ED25" s="93">
        <v>367.6</v>
      </c>
      <c r="EE25" s="93">
        <v>366.63</v>
      </c>
      <c r="EF25" s="93">
        <v>365.65</v>
      </c>
      <c r="EG25" s="93">
        <v>364.68</v>
      </c>
      <c r="EH25" s="93">
        <v>363.71</v>
      </c>
      <c r="EI25" s="93">
        <v>362.74</v>
      </c>
      <c r="EJ25" s="93">
        <v>361.77</v>
      </c>
      <c r="EK25" s="93">
        <v>360.8</v>
      </c>
      <c r="EL25" s="93">
        <v>359.84</v>
      </c>
      <c r="EM25" s="93">
        <v>358.87</v>
      </c>
      <c r="EN25" s="93">
        <v>357.9</v>
      </c>
      <c r="EO25" s="93">
        <v>356.93</v>
      </c>
      <c r="EP25" s="93">
        <v>355.97</v>
      </c>
      <c r="EQ25" s="93">
        <v>355</v>
      </c>
      <c r="ER25" s="93">
        <v>354.04</v>
      </c>
      <c r="ES25" s="93">
        <v>353.08</v>
      </c>
      <c r="ET25" s="93">
        <v>352.12</v>
      </c>
      <c r="EU25" s="93">
        <v>351.16</v>
      </c>
      <c r="EV25" s="93">
        <v>350.2</v>
      </c>
      <c r="EW25" s="93">
        <v>349.24</v>
      </c>
      <c r="EX25" s="93">
        <v>348.28</v>
      </c>
      <c r="EY25" s="93">
        <v>347.32</v>
      </c>
      <c r="EZ25" s="93">
        <v>346.37</v>
      </c>
      <c r="FA25" s="93">
        <v>345.41</v>
      </c>
      <c r="FB25" s="93">
        <v>344.45</v>
      </c>
      <c r="FC25" s="93">
        <v>343.5</v>
      </c>
      <c r="FD25" s="93">
        <v>342.54</v>
      </c>
      <c r="FE25" s="93">
        <v>341.59</v>
      </c>
      <c r="FF25" s="93">
        <v>340.64</v>
      </c>
      <c r="FG25" s="93">
        <v>339.69</v>
      </c>
      <c r="FH25" s="93">
        <v>338.73</v>
      </c>
      <c r="FI25" s="93">
        <v>337.78</v>
      </c>
      <c r="FJ25" s="93">
        <v>336.83</v>
      </c>
      <c r="FK25" s="93">
        <v>335.88</v>
      </c>
      <c r="FL25" s="93">
        <v>334.93</v>
      </c>
      <c r="FM25" s="93">
        <v>333.99</v>
      </c>
      <c r="FN25" s="93">
        <v>333.04</v>
      </c>
      <c r="FO25" s="93">
        <v>332.09</v>
      </c>
      <c r="FP25" s="93">
        <v>331.15</v>
      </c>
      <c r="FQ25" s="93">
        <v>330.2</v>
      </c>
      <c r="FR25" s="93">
        <v>329.26</v>
      </c>
      <c r="FS25" s="93">
        <v>328.31</v>
      </c>
      <c r="FT25" s="93">
        <v>327.37</v>
      </c>
      <c r="FU25" s="93">
        <v>326.43</v>
      </c>
      <c r="FV25" s="93">
        <v>325.49</v>
      </c>
      <c r="FW25" s="93">
        <v>324.54000000000002</v>
      </c>
      <c r="FX25" s="93">
        <v>323.60000000000002</v>
      </c>
      <c r="FY25" s="93">
        <v>322.67</v>
      </c>
      <c r="FZ25" s="93">
        <v>321.73</v>
      </c>
      <c r="GA25" s="93">
        <v>320.79000000000002</v>
      </c>
      <c r="GB25" s="93">
        <v>319.85000000000002</v>
      </c>
      <c r="GC25" s="93">
        <v>318.92</v>
      </c>
      <c r="GD25" s="93">
        <v>317.98</v>
      </c>
      <c r="GE25" s="93">
        <v>317.04000000000002</v>
      </c>
      <c r="GF25" s="93">
        <v>316.12</v>
      </c>
      <c r="GG25" s="93">
        <v>315.19</v>
      </c>
      <c r="GH25" s="93">
        <v>314.26</v>
      </c>
      <c r="GI25" s="93">
        <v>313.32</v>
      </c>
      <c r="GJ25" s="93">
        <v>312.39999999999998</v>
      </c>
      <c r="GK25" s="93">
        <v>311.47000000000003</v>
      </c>
      <c r="GL25" s="93">
        <v>310.54000000000002</v>
      </c>
      <c r="GM25" s="93">
        <v>309.62</v>
      </c>
      <c r="GN25" s="93">
        <v>308.69</v>
      </c>
      <c r="GO25" s="93">
        <v>307.76</v>
      </c>
      <c r="GP25" s="93">
        <v>306.85000000000002</v>
      </c>
      <c r="GQ25" s="93">
        <v>305.92</v>
      </c>
      <c r="GR25" s="93">
        <v>305</v>
      </c>
      <c r="GS25" s="93">
        <v>304.08999999999997</v>
      </c>
      <c r="GT25" s="93">
        <v>303.17</v>
      </c>
      <c r="GU25" s="93">
        <v>302.25</v>
      </c>
      <c r="GV25" s="93">
        <v>301.32</v>
      </c>
      <c r="GW25" s="93">
        <v>300.42</v>
      </c>
      <c r="GX25" s="93">
        <v>299.5</v>
      </c>
      <c r="GY25" s="93">
        <v>298.58999999999997</v>
      </c>
      <c r="GZ25" s="93">
        <v>297.68</v>
      </c>
      <c r="HA25" s="93">
        <v>296.76</v>
      </c>
      <c r="HB25" s="93">
        <v>295.85000000000002</v>
      </c>
      <c r="HC25" s="93">
        <v>294.95</v>
      </c>
      <c r="HD25" s="93">
        <v>294.04000000000002</v>
      </c>
      <c r="HE25" s="93">
        <v>293.14</v>
      </c>
      <c r="HF25" s="93">
        <v>292.23</v>
      </c>
      <c r="HG25" s="93">
        <v>291.32</v>
      </c>
      <c r="HH25" s="93">
        <v>290.43</v>
      </c>
      <c r="HI25" s="93">
        <v>289.52999999999997</v>
      </c>
      <c r="HJ25" s="93">
        <v>288.63</v>
      </c>
      <c r="HK25" s="93">
        <v>287.73</v>
      </c>
      <c r="HL25" s="93">
        <v>286.82</v>
      </c>
      <c r="HM25" s="93">
        <v>285.94</v>
      </c>
      <c r="HN25" s="93">
        <v>285.04000000000002</v>
      </c>
      <c r="HO25" s="93">
        <v>284.14999999999998</v>
      </c>
      <c r="HP25" s="93">
        <v>283.26</v>
      </c>
      <c r="HQ25" s="93">
        <v>282.37</v>
      </c>
      <c r="HR25" s="93">
        <v>281.48</v>
      </c>
      <c r="HS25" s="93">
        <v>280.58999999999997</v>
      </c>
      <c r="HT25" s="93">
        <v>279.7</v>
      </c>
      <c r="HU25" s="93">
        <v>278.81</v>
      </c>
      <c r="HV25" s="93">
        <v>277.93</v>
      </c>
      <c r="HW25" s="93">
        <v>277.04000000000002</v>
      </c>
      <c r="HX25" s="93">
        <v>276.16000000000003</v>
      </c>
      <c r="HY25" s="93">
        <v>275.27999999999997</v>
      </c>
      <c r="HZ25" s="93">
        <v>274.39999999999998</v>
      </c>
      <c r="IA25" s="93">
        <v>273.51</v>
      </c>
      <c r="IB25" s="93">
        <v>272.64</v>
      </c>
      <c r="IC25" s="93">
        <v>271.76</v>
      </c>
      <c r="ID25" s="93">
        <v>270.89</v>
      </c>
      <c r="IE25" s="93">
        <v>270.01</v>
      </c>
      <c r="IF25" s="93">
        <v>269.14</v>
      </c>
      <c r="IG25" s="93">
        <v>268.26</v>
      </c>
      <c r="IH25" s="93">
        <v>267.39</v>
      </c>
      <c r="II25" s="93">
        <v>266.51</v>
      </c>
      <c r="IJ25" s="93">
        <v>265.64999999999998</v>
      </c>
      <c r="IK25" s="93">
        <v>264.77999999999997</v>
      </c>
      <c r="IL25" s="93">
        <v>263.92</v>
      </c>
      <c r="IM25" s="93">
        <v>263.04000000000002</v>
      </c>
      <c r="IN25" s="93">
        <v>262.19</v>
      </c>
      <c r="IO25" s="93">
        <v>261.32</v>
      </c>
      <c r="IP25" s="93">
        <v>260.45999999999998</v>
      </c>
      <c r="IQ25" s="93">
        <v>259.60000000000002</v>
      </c>
      <c r="IR25" s="93">
        <v>258.74</v>
      </c>
      <c r="IS25" s="93">
        <v>257.88</v>
      </c>
      <c r="IT25" s="93">
        <v>257.02999999999997</v>
      </c>
      <c r="IU25" s="93">
        <v>256.17</v>
      </c>
      <c r="IV25" s="93">
        <v>255.32</v>
      </c>
      <c r="IW25" s="93">
        <v>254.46</v>
      </c>
      <c r="IX25" s="93">
        <v>253.61</v>
      </c>
      <c r="IY25" s="93">
        <v>252.76</v>
      </c>
      <c r="IZ25" s="93">
        <v>251.91</v>
      </c>
      <c r="JA25" s="93">
        <v>251.07</v>
      </c>
      <c r="JB25" s="93">
        <v>250.22</v>
      </c>
      <c r="JC25" s="93">
        <v>249.38</v>
      </c>
      <c r="JD25" s="93">
        <v>248.53</v>
      </c>
      <c r="JE25" s="93">
        <v>247.69</v>
      </c>
      <c r="JF25" s="93">
        <v>246.85</v>
      </c>
      <c r="JG25" s="93">
        <v>246.01</v>
      </c>
      <c r="JH25" s="93">
        <v>245.17</v>
      </c>
      <c r="JI25" s="93">
        <v>244.33</v>
      </c>
      <c r="JJ25" s="93">
        <v>243.49</v>
      </c>
      <c r="JK25" s="93">
        <v>242.65</v>
      </c>
      <c r="JL25" s="93">
        <v>241.82</v>
      </c>
      <c r="JM25" s="93">
        <v>240.99</v>
      </c>
      <c r="JN25" s="93">
        <v>240.15</v>
      </c>
      <c r="JO25" s="93">
        <v>239.32</v>
      </c>
      <c r="JP25" s="93">
        <v>238.49</v>
      </c>
      <c r="JQ25" s="93">
        <v>237.66</v>
      </c>
      <c r="JR25" s="93">
        <v>236.83</v>
      </c>
      <c r="JS25" s="93">
        <v>236</v>
      </c>
      <c r="JT25" s="93">
        <v>235.18</v>
      </c>
      <c r="JU25" s="93">
        <v>234.35</v>
      </c>
      <c r="JV25" s="93">
        <v>233.53</v>
      </c>
      <c r="JW25" s="93">
        <v>232.7</v>
      </c>
      <c r="JX25" s="93">
        <v>231.88</v>
      </c>
      <c r="JY25" s="93">
        <v>231.06</v>
      </c>
      <c r="JZ25" s="93">
        <v>230.24</v>
      </c>
      <c r="KA25" s="93">
        <v>229.42</v>
      </c>
      <c r="KB25" s="93">
        <v>228.6</v>
      </c>
      <c r="KC25" s="93">
        <v>227.79</v>
      </c>
      <c r="KD25" s="93">
        <v>226.97</v>
      </c>
      <c r="KE25" s="93">
        <v>226.16</v>
      </c>
      <c r="KF25" s="93">
        <v>225.34</v>
      </c>
      <c r="KG25" s="93">
        <v>224.53</v>
      </c>
      <c r="KH25" s="93">
        <v>223.72</v>
      </c>
      <c r="KI25" s="93">
        <v>222.91</v>
      </c>
      <c r="KJ25" s="93">
        <v>222.1</v>
      </c>
      <c r="KK25" s="93">
        <v>221.29</v>
      </c>
      <c r="KL25" s="93">
        <v>220.48</v>
      </c>
      <c r="KM25" s="93">
        <v>219.68</v>
      </c>
      <c r="KN25" s="93">
        <v>218.87</v>
      </c>
      <c r="KO25" s="93">
        <v>218.07</v>
      </c>
      <c r="KP25" s="93">
        <v>217.27</v>
      </c>
      <c r="KQ25" s="93">
        <v>216.47</v>
      </c>
      <c r="KR25" s="93">
        <v>215.37000000000018</v>
      </c>
      <c r="KS25" s="93">
        <v>214.62000000000018</v>
      </c>
      <c r="KT25" s="93">
        <v>213.87000000000018</v>
      </c>
      <c r="KU25" s="93">
        <v>213.12000000000018</v>
      </c>
      <c r="KV25" s="93">
        <v>212.37000000000018</v>
      </c>
      <c r="KW25" s="93">
        <v>211.62000000000018</v>
      </c>
      <c r="KX25" s="93">
        <v>210.87000000000018</v>
      </c>
      <c r="KY25" s="93">
        <v>210.12000000000018</v>
      </c>
      <c r="KZ25" s="93">
        <v>209.37000000000018</v>
      </c>
      <c r="LA25" s="93">
        <v>208.62000000000018</v>
      </c>
      <c r="LB25" s="93">
        <v>207.87000000000018</v>
      </c>
      <c r="LC25" s="93">
        <v>207.12000000000018</v>
      </c>
      <c r="LD25" s="93">
        <v>206.37000000000018</v>
      </c>
      <c r="LE25" s="93">
        <v>205.62000000000018</v>
      </c>
      <c r="LF25" s="93">
        <v>204.87000000000018</v>
      </c>
      <c r="LG25" s="93">
        <v>204.12000000000018</v>
      </c>
      <c r="LH25" s="93">
        <v>203.37000000000018</v>
      </c>
      <c r="LI25" s="93">
        <v>202.62000000000018</v>
      </c>
      <c r="LJ25" s="93">
        <v>201.87000000000018</v>
      </c>
      <c r="LK25" s="93">
        <v>201.12000000000018</v>
      </c>
      <c r="LL25" s="93">
        <v>200.37000000000018</v>
      </c>
      <c r="LM25" s="93">
        <v>199.62000000000018</v>
      </c>
      <c r="LN25" s="93">
        <v>198.87000000000018</v>
      </c>
      <c r="LO25" s="93">
        <v>198.12000000000018</v>
      </c>
      <c r="LP25" s="93">
        <v>197.37000000000018</v>
      </c>
      <c r="LQ25" s="93">
        <v>196.62000000000018</v>
      </c>
      <c r="LR25" s="93">
        <v>195.87000000000018</v>
      </c>
      <c r="LS25" s="93">
        <v>195.12000000000018</v>
      </c>
      <c r="LT25" s="93">
        <v>194.37000000000018</v>
      </c>
      <c r="LU25" s="93">
        <v>193.62000000000018</v>
      </c>
      <c r="LV25" s="93">
        <v>192.87000000000018</v>
      </c>
      <c r="LW25" s="93">
        <v>192.12000000000018</v>
      </c>
      <c r="LX25" s="93">
        <v>191.37000000000018</v>
      </c>
      <c r="LY25" s="93">
        <v>190.62000000000018</v>
      </c>
      <c r="LZ25" s="93">
        <v>189.87000000000018</v>
      </c>
      <c r="MA25" s="93">
        <v>189.12000000000018</v>
      </c>
      <c r="MB25" s="93">
        <v>188.37000000000018</v>
      </c>
      <c r="MC25" s="93">
        <v>187.62000000000018</v>
      </c>
      <c r="MD25" s="93">
        <v>186.87000000000018</v>
      </c>
      <c r="ME25" s="93">
        <v>186.12000000000018</v>
      </c>
      <c r="MF25" s="93">
        <v>185.37000000000018</v>
      </c>
      <c r="MG25" s="93">
        <v>184.62000000000018</v>
      </c>
      <c r="MH25" s="93">
        <v>183.87000000000018</v>
      </c>
      <c r="MI25" s="93">
        <v>183.12000000000018</v>
      </c>
      <c r="MJ25" s="93">
        <v>182.37000000000018</v>
      </c>
      <c r="MK25" s="93">
        <v>181.62000000000018</v>
      </c>
      <c r="ML25" s="93">
        <v>180.87000000000018</v>
      </c>
      <c r="MM25" s="93">
        <v>180.12000000000018</v>
      </c>
      <c r="MN25" s="93">
        <v>179.37000000000018</v>
      </c>
      <c r="MO25" s="93">
        <v>178.62000000000018</v>
      </c>
      <c r="MP25" s="93">
        <v>177.87000000000018</v>
      </c>
      <c r="MQ25" s="93">
        <v>177.12000000000018</v>
      </c>
      <c r="MR25" s="93">
        <v>176.37000000000018</v>
      </c>
      <c r="MS25" s="93">
        <v>175.62000000000018</v>
      </c>
      <c r="MT25" s="93">
        <v>174.87000000000018</v>
      </c>
      <c r="MU25" s="93">
        <v>174.12000000000018</v>
      </c>
      <c r="MV25" s="93">
        <v>173.37000000000018</v>
      </c>
      <c r="MW25" s="93">
        <v>172.62000000000018</v>
      </c>
      <c r="MX25" s="93">
        <v>171.87000000000018</v>
      </c>
      <c r="MY25" s="93">
        <v>171.12000000000018</v>
      </c>
    </row>
    <row r="26" spans="1:363" ht="15.75" x14ac:dyDescent="0.25">
      <c r="A26" s="90" t="s">
        <v>7</v>
      </c>
      <c r="B26" s="95">
        <v>2036</v>
      </c>
      <c r="C26" s="93">
        <v>500.28</v>
      </c>
      <c r="D26" s="93">
        <v>499.26</v>
      </c>
      <c r="E26" s="93">
        <v>498.23</v>
      </c>
      <c r="F26" s="93">
        <v>497.21</v>
      </c>
      <c r="G26" s="93">
        <v>496.19</v>
      </c>
      <c r="H26" s="93">
        <v>495.17</v>
      </c>
      <c r="I26" s="93">
        <v>494.15</v>
      </c>
      <c r="J26" s="93">
        <v>493.12</v>
      </c>
      <c r="K26" s="93">
        <v>492.1</v>
      </c>
      <c r="L26" s="93">
        <v>491.08</v>
      </c>
      <c r="M26" s="93">
        <v>490.06</v>
      </c>
      <c r="N26" s="93">
        <v>489.04</v>
      </c>
      <c r="O26" s="93">
        <v>488.02</v>
      </c>
      <c r="P26" s="93">
        <v>486.99</v>
      </c>
      <c r="Q26" s="93">
        <v>485.97</v>
      </c>
      <c r="R26" s="93">
        <v>484.95</v>
      </c>
      <c r="S26" s="93">
        <v>483.93</v>
      </c>
      <c r="T26" s="93">
        <v>482.91</v>
      </c>
      <c r="U26" s="93">
        <v>481.89</v>
      </c>
      <c r="V26" s="93">
        <v>480.87</v>
      </c>
      <c r="W26" s="93">
        <v>479.85</v>
      </c>
      <c r="X26" s="93">
        <v>478.83</v>
      </c>
      <c r="Y26" s="93">
        <v>477.8</v>
      </c>
      <c r="Z26" s="93">
        <v>476.78</v>
      </c>
      <c r="AA26" s="93">
        <v>475.76</v>
      </c>
      <c r="AB26" s="93">
        <v>474.74</v>
      </c>
      <c r="AC26" s="93">
        <v>473.72</v>
      </c>
      <c r="AD26" s="93">
        <v>472.7</v>
      </c>
      <c r="AE26" s="93">
        <v>471.68</v>
      </c>
      <c r="AF26" s="93">
        <v>470.66</v>
      </c>
      <c r="AG26" s="93">
        <v>469.64</v>
      </c>
      <c r="AH26" s="93">
        <v>468.62</v>
      </c>
      <c r="AI26" s="93">
        <v>467.6</v>
      </c>
      <c r="AJ26" s="93">
        <v>466.58</v>
      </c>
      <c r="AK26" s="93">
        <v>465.56</v>
      </c>
      <c r="AL26" s="93">
        <v>464.54</v>
      </c>
      <c r="AM26" s="93">
        <v>463.52</v>
      </c>
      <c r="AN26" s="93">
        <v>462.5</v>
      </c>
      <c r="AO26" s="93">
        <v>461.48</v>
      </c>
      <c r="AP26" s="93">
        <v>460.46</v>
      </c>
      <c r="AQ26" s="93">
        <v>459.45</v>
      </c>
      <c r="AR26" s="93">
        <v>458.43</v>
      </c>
      <c r="AS26" s="93">
        <v>457.41</v>
      </c>
      <c r="AT26" s="93">
        <v>456.39</v>
      </c>
      <c r="AU26" s="93">
        <v>455.37</v>
      </c>
      <c r="AV26" s="93">
        <v>454.35</v>
      </c>
      <c r="AW26" s="93">
        <v>453.34</v>
      </c>
      <c r="AX26" s="93">
        <v>452.32</v>
      </c>
      <c r="AY26" s="93">
        <v>451.3</v>
      </c>
      <c r="AZ26" s="93">
        <v>450.28</v>
      </c>
      <c r="BA26" s="93">
        <v>449.27</v>
      </c>
      <c r="BB26" s="93">
        <v>448.25</v>
      </c>
      <c r="BC26" s="93">
        <v>447.23</v>
      </c>
      <c r="BD26" s="93">
        <v>446.22</v>
      </c>
      <c r="BE26" s="93">
        <v>445.2</v>
      </c>
      <c r="BF26" s="93">
        <v>444.18</v>
      </c>
      <c r="BG26" s="93">
        <v>443.17</v>
      </c>
      <c r="BH26" s="93">
        <v>442.15</v>
      </c>
      <c r="BI26" s="93">
        <v>441.13</v>
      </c>
      <c r="BJ26" s="93">
        <v>440.12</v>
      </c>
      <c r="BK26" s="93">
        <v>439.1</v>
      </c>
      <c r="BL26" s="93">
        <v>438.09</v>
      </c>
      <c r="BM26" s="93">
        <v>437.07</v>
      </c>
      <c r="BN26" s="93">
        <v>436.06</v>
      </c>
      <c r="BO26" s="93">
        <v>435.04</v>
      </c>
      <c r="BP26" s="93">
        <v>434.03</v>
      </c>
      <c r="BQ26" s="93">
        <v>433.02</v>
      </c>
      <c r="BR26" s="93">
        <v>432</v>
      </c>
      <c r="BS26" s="93">
        <v>430.99</v>
      </c>
      <c r="BT26" s="93">
        <v>429.98</v>
      </c>
      <c r="BU26" s="93">
        <v>428.96</v>
      </c>
      <c r="BV26" s="93">
        <v>427.95</v>
      </c>
      <c r="BW26" s="93">
        <v>426.94</v>
      </c>
      <c r="BX26" s="93">
        <v>425.93</v>
      </c>
      <c r="BY26" s="93">
        <v>424.92</v>
      </c>
      <c r="BZ26" s="93">
        <v>423.91</v>
      </c>
      <c r="CA26" s="93">
        <v>422.9</v>
      </c>
      <c r="CB26" s="93">
        <v>421.89</v>
      </c>
      <c r="CC26" s="93">
        <v>420.88</v>
      </c>
      <c r="CD26" s="93">
        <v>419.87</v>
      </c>
      <c r="CE26" s="93">
        <v>418.86</v>
      </c>
      <c r="CF26" s="93">
        <v>417.85</v>
      </c>
      <c r="CG26" s="93">
        <v>416.84</v>
      </c>
      <c r="CH26" s="93">
        <v>415.84</v>
      </c>
      <c r="CI26" s="93">
        <v>414.83</v>
      </c>
      <c r="CJ26" s="93">
        <v>413.82</v>
      </c>
      <c r="CK26" s="93">
        <v>412.82</v>
      </c>
      <c r="CL26" s="93">
        <v>411.81</v>
      </c>
      <c r="CM26" s="93">
        <v>410.81</v>
      </c>
      <c r="CN26" s="93">
        <v>409.81</v>
      </c>
      <c r="CO26" s="93">
        <v>408.8</v>
      </c>
      <c r="CP26" s="93">
        <v>407.8</v>
      </c>
      <c r="CQ26" s="93">
        <v>406.79</v>
      </c>
      <c r="CR26" s="93">
        <v>405.79</v>
      </c>
      <c r="CS26" s="93">
        <v>404.79</v>
      </c>
      <c r="CT26" s="93">
        <v>403.78</v>
      </c>
      <c r="CU26" s="93">
        <v>402.78</v>
      </c>
      <c r="CV26" s="93">
        <v>401.78</v>
      </c>
      <c r="CW26" s="93">
        <v>400.78</v>
      </c>
      <c r="CX26" s="93">
        <v>399.79</v>
      </c>
      <c r="CY26" s="93">
        <v>398.79</v>
      </c>
      <c r="CZ26" s="93">
        <v>397.79</v>
      </c>
      <c r="DA26" s="93">
        <v>396.79</v>
      </c>
      <c r="DB26" s="93">
        <v>395.79</v>
      </c>
      <c r="DC26" s="93">
        <v>394.8</v>
      </c>
      <c r="DD26" s="93">
        <v>393.8</v>
      </c>
      <c r="DE26" s="93">
        <v>392.8</v>
      </c>
      <c r="DF26" s="93">
        <v>391.81</v>
      </c>
      <c r="DG26" s="93">
        <v>390.81</v>
      </c>
      <c r="DH26" s="93">
        <v>389.82</v>
      </c>
      <c r="DI26" s="93">
        <v>388.83</v>
      </c>
      <c r="DJ26" s="93">
        <v>387.84</v>
      </c>
      <c r="DK26" s="93">
        <v>386.85</v>
      </c>
      <c r="DL26" s="93">
        <v>385.85</v>
      </c>
      <c r="DM26" s="93">
        <v>384.86</v>
      </c>
      <c r="DN26" s="93">
        <v>383.87</v>
      </c>
      <c r="DO26" s="93">
        <v>382.88</v>
      </c>
      <c r="DP26" s="93">
        <v>381.89</v>
      </c>
      <c r="DQ26" s="93">
        <v>380.9</v>
      </c>
      <c r="DR26" s="93">
        <v>379.92</v>
      </c>
      <c r="DS26" s="93">
        <v>378.93</v>
      </c>
      <c r="DT26" s="93">
        <v>377.94</v>
      </c>
      <c r="DU26" s="93">
        <v>376.96</v>
      </c>
      <c r="DV26" s="93">
        <v>375.98</v>
      </c>
      <c r="DW26" s="93">
        <v>375</v>
      </c>
      <c r="DX26" s="93">
        <v>374.02</v>
      </c>
      <c r="DY26" s="93">
        <v>373.03</v>
      </c>
      <c r="DZ26" s="93">
        <v>372.05</v>
      </c>
      <c r="EA26" s="93">
        <v>371.07</v>
      </c>
      <c r="EB26" s="93">
        <v>370.09</v>
      </c>
      <c r="EC26" s="93">
        <v>369.11</v>
      </c>
      <c r="ED26" s="93">
        <v>368.14</v>
      </c>
      <c r="EE26" s="93">
        <v>367.16</v>
      </c>
      <c r="EF26" s="93">
        <v>366.19</v>
      </c>
      <c r="EG26" s="93">
        <v>365.21</v>
      </c>
      <c r="EH26" s="93">
        <v>364.24</v>
      </c>
      <c r="EI26" s="93">
        <v>363.27</v>
      </c>
      <c r="EJ26" s="93">
        <v>362.3</v>
      </c>
      <c r="EK26" s="93">
        <v>361.33</v>
      </c>
      <c r="EL26" s="93">
        <v>360.37</v>
      </c>
      <c r="EM26" s="93">
        <v>359.4</v>
      </c>
      <c r="EN26" s="93">
        <v>358.43</v>
      </c>
      <c r="EO26" s="93">
        <v>357.46</v>
      </c>
      <c r="EP26" s="93">
        <v>356.5</v>
      </c>
      <c r="EQ26" s="93">
        <v>355.53</v>
      </c>
      <c r="ER26" s="93">
        <v>354.57</v>
      </c>
      <c r="ES26" s="93">
        <v>353.61</v>
      </c>
      <c r="ET26" s="93">
        <v>352.65</v>
      </c>
      <c r="EU26" s="93">
        <v>351.69</v>
      </c>
      <c r="EV26" s="93">
        <v>350.73</v>
      </c>
      <c r="EW26" s="93">
        <v>349.77</v>
      </c>
      <c r="EX26" s="93">
        <v>348.81</v>
      </c>
      <c r="EY26" s="93">
        <v>347.85</v>
      </c>
      <c r="EZ26" s="93">
        <v>346.89</v>
      </c>
      <c r="FA26" s="93">
        <v>345.94</v>
      </c>
      <c r="FB26" s="93">
        <v>344.98</v>
      </c>
      <c r="FC26" s="93">
        <v>344.02</v>
      </c>
      <c r="FD26" s="93">
        <v>343.07</v>
      </c>
      <c r="FE26" s="93">
        <v>342.12</v>
      </c>
      <c r="FF26" s="93">
        <v>341.16</v>
      </c>
      <c r="FG26" s="93">
        <v>340.21</v>
      </c>
      <c r="FH26" s="93">
        <v>339.26</v>
      </c>
      <c r="FI26" s="93">
        <v>338.31</v>
      </c>
      <c r="FJ26" s="93">
        <v>337.36</v>
      </c>
      <c r="FK26" s="93">
        <v>336.41</v>
      </c>
      <c r="FL26" s="93">
        <v>335.46</v>
      </c>
      <c r="FM26" s="93">
        <v>334.51</v>
      </c>
      <c r="FN26" s="93">
        <v>333.56</v>
      </c>
      <c r="FO26" s="93">
        <v>332.61</v>
      </c>
      <c r="FP26" s="93">
        <v>331.67</v>
      </c>
      <c r="FQ26" s="93">
        <v>330.72</v>
      </c>
      <c r="FR26" s="93">
        <v>329.78</v>
      </c>
      <c r="FS26" s="93">
        <v>328.83</v>
      </c>
      <c r="FT26" s="93">
        <v>327.89</v>
      </c>
      <c r="FU26" s="93">
        <v>326.95</v>
      </c>
      <c r="FV26" s="93">
        <v>326.01</v>
      </c>
      <c r="FW26" s="93">
        <v>325.07</v>
      </c>
      <c r="FX26" s="93">
        <v>324.13</v>
      </c>
      <c r="FY26" s="93">
        <v>323.19</v>
      </c>
      <c r="FZ26" s="93">
        <v>322.25</v>
      </c>
      <c r="GA26" s="93">
        <v>321.31</v>
      </c>
      <c r="GB26" s="93">
        <v>320.37</v>
      </c>
      <c r="GC26" s="93">
        <v>319.44</v>
      </c>
      <c r="GD26" s="93">
        <v>318.5</v>
      </c>
      <c r="GE26" s="93">
        <v>317.57</v>
      </c>
      <c r="GF26" s="93">
        <v>316.64</v>
      </c>
      <c r="GG26" s="93">
        <v>315.7</v>
      </c>
      <c r="GH26" s="93">
        <v>314.76</v>
      </c>
      <c r="GI26" s="93">
        <v>313.83999999999997</v>
      </c>
      <c r="GJ26" s="93">
        <v>312.91000000000003</v>
      </c>
      <c r="GK26" s="93">
        <v>311.99</v>
      </c>
      <c r="GL26" s="93">
        <v>311.06</v>
      </c>
      <c r="GM26" s="93">
        <v>310.13</v>
      </c>
      <c r="GN26" s="93">
        <v>309.20999999999998</v>
      </c>
      <c r="GO26" s="93">
        <v>308.27999999999997</v>
      </c>
      <c r="GP26" s="93">
        <v>307.35000000000002</v>
      </c>
      <c r="GQ26" s="93">
        <v>306.44</v>
      </c>
      <c r="GR26" s="93">
        <v>305.51</v>
      </c>
      <c r="GS26" s="93">
        <v>304.60000000000002</v>
      </c>
      <c r="GT26" s="93">
        <v>303.68</v>
      </c>
      <c r="GU26" s="93">
        <v>302.76</v>
      </c>
      <c r="GV26" s="93">
        <v>301.85000000000002</v>
      </c>
      <c r="GW26" s="93">
        <v>300.93</v>
      </c>
      <c r="GX26" s="93">
        <v>300.01</v>
      </c>
      <c r="GY26" s="93">
        <v>299.10000000000002</v>
      </c>
      <c r="GZ26" s="93">
        <v>298.19</v>
      </c>
      <c r="HA26" s="93">
        <v>297.27999999999997</v>
      </c>
      <c r="HB26" s="93">
        <v>296.37</v>
      </c>
      <c r="HC26" s="93">
        <v>295.45999999999998</v>
      </c>
      <c r="HD26" s="93">
        <v>294.56</v>
      </c>
      <c r="HE26" s="93">
        <v>293.64999999999998</v>
      </c>
      <c r="HF26" s="93">
        <v>292.74</v>
      </c>
      <c r="HG26" s="93">
        <v>291.83999999999997</v>
      </c>
      <c r="HH26" s="93">
        <v>290.94</v>
      </c>
      <c r="HI26" s="93">
        <v>290.04000000000002</v>
      </c>
      <c r="HJ26" s="93">
        <v>289.13</v>
      </c>
      <c r="HK26" s="93">
        <v>288.24</v>
      </c>
      <c r="HL26" s="93">
        <v>287.33999999999997</v>
      </c>
      <c r="HM26" s="93">
        <v>286.44</v>
      </c>
      <c r="HN26" s="93">
        <v>285.54000000000002</v>
      </c>
      <c r="HO26" s="93">
        <v>284.64999999999998</v>
      </c>
      <c r="HP26" s="93">
        <v>283.76</v>
      </c>
      <c r="HQ26" s="93">
        <v>282.87</v>
      </c>
      <c r="HR26" s="93">
        <v>281.98</v>
      </c>
      <c r="HS26" s="93">
        <v>281.08999999999997</v>
      </c>
      <c r="HT26" s="93">
        <v>280.2</v>
      </c>
      <c r="HU26" s="93">
        <v>279.32</v>
      </c>
      <c r="HV26" s="93">
        <v>278.43</v>
      </c>
      <c r="HW26" s="93">
        <v>277.54000000000002</v>
      </c>
      <c r="HX26" s="93">
        <v>276.66000000000003</v>
      </c>
      <c r="HY26" s="93">
        <v>275.77999999999997</v>
      </c>
      <c r="HZ26" s="93">
        <v>274.89999999999998</v>
      </c>
      <c r="IA26" s="93">
        <v>274.01</v>
      </c>
      <c r="IB26" s="93">
        <v>273.14</v>
      </c>
      <c r="IC26" s="93">
        <v>272.26</v>
      </c>
      <c r="ID26" s="93">
        <v>271.39</v>
      </c>
      <c r="IE26" s="93">
        <v>270.51</v>
      </c>
      <c r="IF26" s="93">
        <v>269.64</v>
      </c>
      <c r="IG26" s="93">
        <v>268.76</v>
      </c>
      <c r="IH26" s="93">
        <v>267.89</v>
      </c>
      <c r="II26" s="93">
        <v>267.01</v>
      </c>
      <c r="IJ26" s="93">
        <v>266.14999999999998</v>
      </c>
      <c r="IK26" s="93">
        <v>265.27999999999997</v>
      </c>
      <c r="IL26" s="93">
        <v>264.41000000000003</v>
      </c>
      <c r="IM26" s="93">
        <v>263.54000000000002</v>
      </c>
      <c r="IN26" s="93">
        <v>262.68</v>
      </c>
      <c r="IO26" s="93">
        <v>261.82</v>
      </c>
      <c r="IP26" s="93">
        <v>260.95999999999998</v>
      </c>
      <c r="IQ26" s="93">
        <v>260.08999999999997</v>
      </c>
      <c r="IR26" s="93">
        <v>259.23</v>
      </c>
      <c r="IS26" s="93">
        <v>258.38</v>
      </c>
      <c r="IT26" s="93">
        <v>257.51</v>
      </c>
      <c r="IU26" s="93">
        <v>256.66000000000003</v>
      </c>
      <c r="IV26" s="93">
        <v>255.81</v>
      </c>
      <c r="IW26" s="93">
        <v>254.95</v>
      </c>
      <c r="IX26" s="93">
        <v>254.1</v>
      </c>
      <c r="IY26" s="93">
        <v>253.25</v>
      </c>
      <c r="IZ26" s="93">
        <v>252.4</v>
      </c>
      <c r="JA26" s="93">
        <v>251.56</v>
      </c>
      <c r="JB26" s="93">
        <v>250.71</v>
      </c>
      <c r="JC26" s="93">
        <v>249.86</v>
      </c>
      <c r="JD26" s="93">
        <v>249.02</v>
      </c>
      <c r="JE26" s="93">
        <v>248.18</v>
      </c>
      <c r="JF26" s="93">
        <v>247.33</v>
      </c>
      <c r="JG26" s="93">
        <v>246.49</v>
      </c>
      <c r="JH26" s="93">
        <v>245.65</v>
      </c>
      <c r="JI26" s="93">
        <v>244.81</v>
      </c>
      <c r="JJ26" s="93">
        <v>243.98</v>
      </c>
      <c r="JK26" s="93">
        <v>243.14</v>
      </c>
      <c r="JL26" s="93">
        <v>242.3</v>
      </c>
      <c r="JM26" s="93">
        <v>241.47</v>
      </c>
      <c r="JN26" s="93">
        <v>240.63</v>
      </c>
      <c r="JO26" s="93">
        <v>239.8</v>
      </c>
      <c r="JP26" s="93">
        <v>238.97</v>
      </c>
      <c r="JQ26" s="93">
        <v>238.14</v>
      </c>
      <c r="JR26" s="93">
        <v>237.31</v>
      </c>
      <c r="JS26" s="93">
        <v>236.48</v>
      </c>
      <c r="JT26" s="93">
        <v>235.65</v>
      </c>
      <c r="JU26" s="93">
        <v>234.83</v>
      </c>
      <c r="JV26" s="93">
        <v>234</v>
      </c>
      <c r="JW26" s="93">
        <v>233.18</v>
      </c>
      <c r="JX26" s="93">
        <v>232.36</v>
      </c>
      <c r="JY26" s="93">
        <v>231.54</v>
      </c>
      <c r="JZ26" s="93">
        <v>230.72</v>
      </c>
      <c r="KA26" s="93">
        <v>229.9</v>
      </c>
      <c r="KB26" s="93">
        <v>229.08</v>
      </c>
      <c r="KC26" s="93">
        <v>228.26</v>
      </c>
      <c r="KD26" s="93">
        <v>227.44</v>
      </c>
      <c r="KE26" s="93">
        <v>226.63</v>
      </c>
      <c r="KF26" s="93">
        <v>225.81</v>
      </c>
      <c r="KG26" s="93">
        <v>225</v>
      </c>
      <c r="KH26" s="93">
        <v>224.19</v>
      </c>
      <c r="KI26" s="93">
        <v>223.38</v>
      </c>
      <c r="KJ26" s="93">
        <v>222.57</v>
      </c>
      <c r="KK26" s="93">
        <v>221.76</v>
      </c>
      <c r="KL26" s="93">
        <v>220.95</v>
      </c>
      <c r="KM26" s="93">
        <v>220.15</v>
      </c>
      <c r="KN26" s="93">
        <v>219.34</v>
      </c>
      <c r="KO26" s="93">
        <v>218.54</v>
      </c>
      <c r="KP26" s="93">
        <v>217.74</v>
      </c>
      <c r="KQ26" s="93">
        <v>216.94</v>
      </c>
      <c r="KR26" s="93">
        <v>215.83000000000018</v>
      </c>
      <c r="KS26" s="93">
        <v>215.08000000000018</v>
      </c>
      <c r="KT26" s="93">
        <v>214.33000000000018</v>
      </c>
      <c r="KU26" s="93">
        <v>213.58000000000018</v>
      </c>
      <c r="KV26" s="93">
        <v>212.83000000000018</v>
      </c>
      <c r="KW26" s="93">
        <v>212.08000000000018</v>
      </c>
      <c r="KX26" s="93">
        <v>211.33000000000018</v>
      </c>
      <c r="KY26" s="93">
        <v>210.58000000000018</v>
      </c>
      <c r="KZ26" s="93">
        <v>209.83000000000018</v>
      </c>
      <c r="LA26" s="93">
        <v>209.08000000000018</v>
      </c>
      <c r="LB26" s="93">
        <v>208.33000000000018</v>
      </c>
      <c r="LC26" s="93">
        <v>207.58000000000018</v>
      </c>
      <c r="LD26" s="93">
        <v>206.83000000000018</v>
      </c>
      <c r="LE26" s="93">
        <v>206.08000000000018</v>
      </c>
      <c r="LF26" s="93">
        <v>205.33000000000018</v>
      </c>
      <c r="LG26" s="93">
        <v>204.58000000000018</v>
      </c>
      <c r="LH26" s="93">
        <v>203.83000000000018</v>
      </c>
      <c r="LI26" s="93">
        <v>203.08000000000018</v>
      </c>
      <c r="LJ26" s="93">
        <v>202.33000000000018</v>
      </c>
      <c r="LK26" s="93">
        <v>201.58000000000018</v>
      </c>
      <c r="LL26" s="93">
        <v>200.83000000000018</v>
      </c>
      <c r="LM26" s="93">
        <v>200.08000000000018</v>
      </c>
      <c r="LN26" s="93">
        <v>199.33000000000018</v>
      </c>
      <c r="LO26" s="93">
        <v>198.58000000000018</v>
      </c>
      <c r="LP26" s="93">
        <v>197.83000000000018</v>
      </c>
      <c r="LQ26" s="93">
        <v>197.08000000000018</v>
      </c>
      <c r="LR26" s="93">
        <v>196.33000000000018</v>
      </c>
      <c r="LS26" s="93">
        <v>195.58000000000018</v>
      </c>
      <c r="LT26" s="93">
        <v>194.83000000000018</v>
      </c>
      <c r="LU26" s="93">
        <v>194.08000000000018</v>
      </c>
      <c r="LV26" s="93">
        <v>193.33000000000018</v>
      </c>
      <c r="LW26" s="93">
        <v>192.58000000000018</v>
      </c>
      <c r="LX26" s="93">
        <v>191.83000000000018</v>
      </c>
      <c r="LY26" s="93">
        <v>191.08000000000018</v>
      </c>
      <c r="LZ26" s="93">
        <v>190.33000000000018</v>
      </c>
      <c r="MA26" s="93">
        <v>189.58000000000018</v>
      </c>
      <c r="MB26" s="93">
        <v>188.83000000000018</v>
      </c>
      <c r="MC26" s="93">
        <v>188.08000000000018</v>
      </c>
      <c r="MD26" s="93">
        <v>187.33000000000018</v>
      </c>
      <c r="ME26" s="93">
        <v>186.58000000000018</v>
      </c>
      <c r="MF26" s="93">
        <v>185.83000000000018</v>
      </c>
      <c r="MG26" s="93">
        <v>185.08000000000018</v>
      </c>
      <c r="MH26" s="93">
        <v>184.33000000000018</v>
      </c>
      <c r="MI26" s="93">
        <v>183.58000000000018</v>
      </c>
      <c r="MJ26" s="93">
        <v>182.83000000000018</v>
      </c>
      <c r="MK26" s="93">
        <v>182.08000000000018</v>
      </c>
      <c r="ML26" s="93">
        <v>181.33000000000018</v>
      </c>
      <c r="MM26" s="93">
        <v>180.58000000000018</v>
      </c>
      <c r="MN26" s="93">
        <v>179.83000000000018</v>
      </c>
      <c r="MO26" s="93">
        <v>179.08000000000018</v>
      </c>
      <c r="MP26" s="93">
        <v>178.33000000000018</v>
      </c>
      <c r="MQ26" s="93">
        <v>177.58000000000018</v>
      </c>
      <c r="MR26" s="93">
        <v>176.83000000000018</v>
      </c>
      <c r="MS26" s="93">
        <v>176.08000000000018</v>
      </c>
      <c r="MT26" s="93">
        <v>175.33000000000018</v>
      </c>
      <c r="MU26" s="93">
        <v>174.58000000000018</v>
      </c>
      <c r="MV26" s="93">
        <v>173.83000000000018</v>
      </c>
      <c r="MW26" s="93">
        <v>173.08000000000018</v>
      </c>
      <c r="MX26" s="93">
        <v>172.33000000000018</v>
      </c>
      <c r="MY26" s="93">
        <v>171.58000000000018</v>
      </c>
    </row>
    <row r="27" spans="1:363" ht="15.75" x14ac:dyDescent="0.25">
      <c r="A27" s="90" t="s">
        <v>7</v>
      </c>
      <c r="B27" s="95">
        <v>2037</v>
      </c>
      <c r="C27" s="93">
        <v>500.85</v>
      </c>
      <c r="D27" s="93">
        <v>499.83</v>
      </c>
      <c r="E27" s="93">
        <v>498.81</v>
      </c>
      <c r="F27" s="93">
        <v>497.79</v>
      </c>
      <c r="G27" s="93">
        <v>496.77</v>
      </c>
      <c r="H27" s="93">
        <v>495.74</v>
      </c>
      <c r="I27" s="93">
        <v>494.72</v>
      </c>
      <c r="J27" s="93">
        <v>493.7</v>
      </c>
      <c r="K27" s="93">
        <v>492.68</v>
      </c>
      <c r="L27" s="93">
        <v>491.65</v>
      </c>
      <c r="M27" s="93">
        <v>490.63</v>
      </c>
      <c r="N27" s="93">
        <v>489.61</v>
      </c>
      <c r="O27" s="93">
        <v>488.59</v>
      </c>
      <c r="P27" s="93">
        <v>487.57</v>
      </c>
      <c r="Q27" s="93">
        <v>486.55</v>
      </c>
      <c r="R27" s="93">
        <v>485.52</v>
      </c>
      <c r="S27" s="93">
        <v>484.5</v>
      </c>
      <c r="T27" s="93">
        <v>483.48</v>
      </c>
      <c r="U27" s="93">
        <v>482.46</v>
      </c>
      <c r="V27" s="93">
        <v>481.44</v>
      </c>
      <c r="W27" s="93">
        <v>480.42</v>
      </c>
      <c r="X27" s="93">
        <v>479.4</v>
      </c>
      <c r="Y27" s="93">
        <v>478.38</v>
      </c>
      <c r="Z27" s="93">
        <v>477.35</v>
      </c>
      <c r="AA27" s="93">
        <v>476.33</v>
      </c>
      <c r="AB27" s="93">
        <v>475.31</v>
      </c>
      <c r="AC27" s="93">
        <v>474.29</v>
      </c>
      <c r="AD27" s="93">
        <v>473.27</v>
      </c>
      <c r="AE27" s="93">
        <v>472.25</v>
      </c>
      <c r="AF27" s="93">
        <v>471.23</v>
      </c>
      <c r="AG27" s="93">
        <v>470.21</v>
      </c>
      <c r="AH27" s="93">
        <v>469.19</v>
      </c>
      <c r="AI27" s="93">
        <v>468.17</v>
      </c>
      <c r="AJ27" s="93">
        <v>467.15</v>
      </c>
      <c r="AK27" s="93">
        <v>466.13</v>
      </c>
      <c r="AL27" s="93">
        <v>465.11</v>
      </c>
      <c r="AM27" s="93">
        <v>464.09</v>
      </c>
      <c r="AN27" s="93">
        <v>463.07</v>
      </c>
      <c r="AO27" s="93">
        <v>462.05</v>
      </c>
      <c r="AP27" s="93">
        <v>461.03</v>
      </c>
      <c r="AQ27" s="93">
        <v>460.01</v>
      </c>
      <c r="AR27" s="93">
        <v>458.99</v>
      </c>
      <c r="AS27" s="93">
        <v>457.97</v>
      </c>
      <c r="AT27" s="93">
        <v>456.95</v>
      </c>
      <c r="AU27" s="93">
        <v>455.94</v>
      </c>
      <c r="AV27" s="93">
        <v>454.92</v>
      </c>
      <c r="AW27" s="93">
        <v>453.9</v>
      </c>
      <c r="AX27" s="93">
        <v>452.88</v>
      </c>
      <c r="AY27" s="93">
        <v>451.86</v>
      </c>
      <c r="AZ27" s="93">
        <v>450.84</v>
      </c>
      <c r="BA27" s="93">
        <v>449.83</v>
      </c>
      <c r="BB27" s="93">
        <v>448.81</v>
      </c>
      <c r="BC27" s="93">
        <v>447.79</v>
      </c>
      <c r="BD27" s="93">
        <v>446.78</v>
      </c>
      <c r="BE27" s="93">
        <v>445.76</v>
      </c>
      <c r="BF27" s="93">
        <v>444.74</v>
      </c>
      <c r="BG27" s="93">
        <v>443.73</v>
      </c>
      <c r="BH27" s="93">
        <v>442.71</v>
      </c>
      <c r="BI27" s="93">
        <v>441.69</v>
      </c>
      <c r="BJ27" s="93">
        <v>440.68</v>
      </c>
      <c r="BK27" s="93">
        <v>439.66</v>
      </c>
      <c r="BL27" s="93">
        <v>438.64</v>
      </c>
      <c r="BM27" s="93">
        <v>437.63</v>
      </c>
      <c r="BN27" s="93">
        <v>436.62</v>
      </c>
      <c r="BO27" s="93">
        <v>435.6</v>
      </c>
      <c r="BP27" s="93">
        <v>434.59</v>
      </c>
      <c r="BQ27" s="93">
        <v>433.57</v>
      </c>
      <c r="BR27" s="93">
        <v>432.56</v>
      </c>
      <c r="BS27" s="93">
        <v>431.55</v>
      </c>
      <c r="BT27" s="93">
        <v>430.53</v>
      </c>
      <c r="BU27" s="93">
        <v>429.52</v>
      </c>
      <c r="BV27" s="93">
        <v>428.51</v>
      </c>
      <c r="BW27" s="93">
        <v>427.49</v>
      </c>
      <c r="BX27" s="93">
        <v>426.48</v>
      </c>
      <c r="BY27" s="93">
        <v>425.47</v>
      </c>
      <c r="BZ27" s="93">
        <v>424.46</v>
      </c>
      <c r="CA27" s="93">
        <v>423.45</v>
      </c>
      <c r="CB27" s="93">
        <v>422.44</v>
      </c>
      <c r="CC27" s="93">
        <v>421.43</v>
      </c>
      <c r="CD27" s="93">
        <v>420.42</v>
      </c>
      <c r="CE27" s="93">
        <v>419.41</v>
      </c>
      <c r="CF27" s="93">
        <v>418.4</v>
      </c>
      <c r="CG27" s="93">
        <v>417.39</v>
      </c>
      <c r="CH27" s="93">
        <v>416.38</v>
      </c>
      <c r="CI27" s="93">
        <v>415.38</v>
      </c>
      <c r="CJ27" s="93">
        <v>414.37</v>
      </c>
      <c r="CK27" s="93">
        <v>413.37</v>
      </c>
      <c r="CL27" s="93">
        <v>412.36</v>
      </c>
      <c r="CM27" s="93">
        <v>411.36</v>
      </c>
      <c r="CN27" s="93">
        <v>410.35</v>
      </c>
      <c r="CO27" s="93">
        <v>409.35</v>
      </c>
      <c r="CP27" s="93">
        <v>408.34</v>
      </c>
      <c r="CQ27" s="93">
        <v>407.34</v>
      </c>
      <c r="CR27" s="93">
        <v>406.33</v>
      </c>
      <c r="CS27" s="93">
        <v>405.33</v>
      </c>
      <c r="CT27" s="93">
        <v>404.33</v>
      </c>
      <c r="CU27" s="93">
        <v>403.32</v>
      </c>
      <c r="CV27" s="93">
        <v>402.33</v>
      </c>
      <c r="CW27" s="93">
        <v>401.33</v>
      </c>
      <c r="CX27" s="93">
        <v>400.33</v>
      </c>
      <c r="CY27" s="93">
        <v>399.33</v>
      </c>
      <c r="CZ27" s="93">
        <v>398.33</v>
      </c>
      <c r="DA27" s="93">
        <v>397.33</v>
      </c>
      <c r="DB27" s="93">
        <v>396.34</v>
      </c>
      <c r="DC27" s="93">
        <v>395.34</v>
      </c>
      <c r="DD27" s="93">
        <v>394.34</v>
      </c>
      <c r="DE27" s="93">
        <v>393.34</v>
      </c>
      <c r="DF27" s="93">
        <v>392.35</v>
      </c>
      <c r="DG27" s="93">
        <v>391.35</v>
      </c>
      <c r="DH27" s="93">
        <v>390.36</v>
      </c>
      <c r="DI27" s="93">
        <v>389.36</v>
      </c>
      <c r="DJ27" s="93">
        <v>388.37</v>
      </c>
      <c r="DK27" s="93">
        <v>387.38</v>
      </c>
      <c r="DL27" s="93">
        <v>386.39</v>
      </c>
      <c r="DM27" s="93">
        <v>385.4</v>
      </c>
      <c r="DN27" s="93">
        <v>384.41</v>
      </c>
      <c r="DO27" s="93">
        <v>383.42</v>
      </c>
      <c r="DP27" s="93">
        <v>382.43</v>
      </c>
      <c r="DQ27" s="93">
        <v>381.44</v>
      </c>
      <c r="DR27" s="93">
        <v>380.45</v>
      </c>
      <c r="DS27" s="93">
        <v>379.46</v>
      </c>
      <c r="DT27" s="93">
        <v>378.48</v>
      </c>
      <c r="DU27" s="93">
        <v>377.49</v>
      </c>
      <c r="DV27" s="93">
        <v>376.51</v>
      </c>
      <c r="DW27" s="93">
        <v>375.53</v>
      </c>
      <c r="DX27" s="93">
        <v>374.55</v>
      </c>
      <c r="DY27" s="93">
        <v>373.57</v>
      </c>
      <c r="DZ27" s="93">
        <v>372.59</v>
      </c>
      <c r="EA27" s="93">
        <v>371.6</v>
      </c>
      <c r="EB27" s="93">
        <v>370.62</v>
      </c>
      <c r="EC27" s="93">
        <v>369.64</v>
      </c>
      <c r="ED27" s="93">
        <v>368.67</v>
      </c>
      <c r="EE27" s="93">
        <v>367.69</v>
      </c>
      <c r="EF27" s="93">
        <v>366.72</v>
      </c>
      <c r="EG27" s="93">
        <v>365.74</v>
      </c>
      <c r="EH27" s="93">
        <v>364.77</v>
      </c>
      <c r="EI27" s="93">
        <v>363.8</v>
      </c>
      <c r="EJ27" s="93">
        <v>362.83</v>
      </c>
      <c r="EK27" s="93">
        <v>361.86</v>
      </c>
      <c r="EL27" s="93">
        <v>360.89</v>
      </c>
      <c r="EM27" s="93">
        <v>359.93</v>
      </c>
      <c r="EN27" s="93">
        <v>358.96</v>
      </c>
      <c r="EO27" s="93">
        <v>357.99</v>
      </c>
      <c r="EP27" s="93">
        <v>357.02</v>
      </c>
      <c r="EQ27" s="93">
        <v>356.06</v>
      </c>
      <c r="ER27" s="93">
        <v>355.1</v>
      </c>
      <c r="ES27" s="93">
        <v>354.13</v>
      </c>
      <c r="ET27" s="93">
        <v>353.17</v>
      </c>
      <c r="EU27" s="93">
        <v>352.21</v>
      </c>
      <c r="EV27" s="93">
        <v>351.25</v>
      </c>
      <c r="EW27" s="93">
        <v>350.29</v>
      </c>
      <c r="EX27" s="93">
        <v>349.33</v>
      </c>
      <c r="EY27" s="93">
        <v>348.38</v>
      </c>
      <c r="EZ27" s="93">
        <v>347.42</v>
      </c>
      <c r="FA27" s="93">
        <v>346.46</v>
      </c>
      <c r="FB27" s="93">
        <v>345.5</v>
      </c>
      <c r="FC27" s="93">
        <v>344.55</v>
      </c>
      <c r="FD27" s="93">
        <v>343.59</v>
      </c>
      <c r="FE27" s="93">
        <v>342.64</v>
      </c>
      <c r="FF27" s="93">
        <v>341.69</v>
      </c>
      <c r="FG27" s="93">
        <v>340.73</v>
      </c>
      <c r="FH27" s="93">
        <v>339.78</v>
      </c>
      <c r="FI27" s="93">
        <v>338.83</v>
      </c>
      <c r="FJ27" s="93">
        <v>337.88</v>
      </c>
      <c r="FK27" s="93">
        <v>336.93</v>
      </c>
      <c r="FL27" s="93">
        <v>335.98</v>
      </c>
      <c r="FM27" s="93">
        <v>335.03</v>
      </c>
      <c r="FN27" s="93">
        <v>334.08</v>
      </c>
      <c r="FO27" s="93">
        <v>333.14</v>
      </c>
      <c r="FP27" s="93">
        <v>332.19</v>
      </c>
      <c r="FQ27" s="93">
        <v>331.24</v>
      </c>
      <c r="FR27" s="93">
        <v>330.3</v>
      </c>
      <c r="FS27" s="93">
        <v>329.35</v>
      </c>
      <c r="FT27" s="93">
        <v>328.41</v>
      </c>
      <c r="FU27" s="93">
        <v>327.47000000000003</v>
      </c>
      <c r="FV27" s="93">
        <v>326.52999999999997</v>
      </c>
      <c r="FW27" s="93">
        <v>325.58999999999997</v>
      </c>
      <c r="FX27" s="93">
        <v>324.64999999999998</v>
      </c>
      <c r="FY27" s="93">
        <v>323.70999999999998</v>
      </c>
      <c r="FZ27" s="93">
        <v>322.76</v>
      </c>
      <c r="GA27" s="93">
        <v>321.82</v>
      </c>
      <c r="GB27" s="93">
        <v>320.89</v>
      </c>
      <c r="GC27" s="93">
        <v>319.95999999999998</v>
      </c>
      <c r="GD27" s="93">
        <v>319.01</v>
      </c>
      <c r="GE27" s="93">
        <v>318.08999999999997</v>
      </c>
      <c r="GF27" s="93">
        <v>317.14999999999998</v>
      </c>
      <c r="GG27" s="93">
        <v>316.22000000000003</v>
      </c>
      <c r="GH27" s="93">
        <v>315.29000000000002</v>
      </c>
      <c r="GI27" s="93">
        <v>314.35000000000002</v>
      </c>
      <c r="GJ27" s="93">
        <v>313.43</v>
      </c>
      <c r="GK27" s="93">
        <v>312.5</v>
      </c>
      <c r="GL27" s="93">
        <v>311.57</v>
      </c>
      <c r="GM27" s="93">
        <v>310.64999999999998</v>
      </c>
      <c r="GN27" s="93">
        <v>309.72000000000003</v>
      </c>
      <c r="GO27" s="93">
        <v>308.79000000000002</v>
      </c>
      <c r="GP27" s="93">
        <v>307.88</v>
      </c>
      <c r="GQ27" s="93">
        <v>306.95</v>
      </c>
      <c r="GR27" s="93">
        <v>306.02999999999997</v>
      </c>
      <c r="GS27" s="93">
        <v>305.10000000000002</v>
      </c>
      <c r="GT27" s="93">
        <v>304.19</v>
      </c>
      <c r="GU27" s="93">
        <v>303.27999999999997</v>
      </c>
      <c r="GV27" s="93">
        <v>302.35000000000002</v>
      </c>
      <c r="GW27" s="93">
        <v>301.44</v>
      </c>
      <c r="GX27" s="93">
        <v>300.52999999999997</v>
      </c>
      <c r="GY27" s="93">
        <v>299.62</v>
      </c>
      <c r="GZ27" s="93">
        <v>298.7</v>
      </c>
      <c r="HA27" s="93">
        <v>297.79000000000002</v>
      </c>
      <c r="HB27" s="93">
        <v>296.88</v>
      </c>
      <c r="HC27" s="93">
        <v>295.97000000000003</v>
      </c>
      <c r="HD27" s="93">
        <v>295.06</v>
      </c>
      <c r="HE27" s="93">
        <v>294.16000000000003</v>
      </c>
      <c r="HF27" s="93">
        <v>293.25</v>
      </c>
      <c r="HG27" s="93">
        <v>292.35000000000002</v>
      </c>
      <c r="HH27" s="93">
        <v>291.44</v>
      </c>
      <c r="HI27" s="93">
        <v>290.54000000000002</v>
      </c>
      <c r="HJ27" s="93">
        <v>289.64</v>
      </c>
      <c r="HK27" s="93">
        <v>288.74</v>
      </c>
      <c r="HL27" s="93">
        <v>287.83999999999997</v>
      </c>
      <c r="HM27" s="93">
        <v>286.95</v>
      </c>
      <c r="HN27" s="93">
        <v>286.04000000000002</v>
      </c>
      <c r="HO27" s="93">
        <v>285.16000000000003</v>
      </c>
      <c r="HP27" s="93">
        <v>284.26</v>
      </c>
      <c r="HQ27" s="93">
        <v>283.38</v>
      </c>
      <c r="HR27" s="93">
        <v>282.48</v>
      </c>
      <c r="HS27" s="93">
        <v>281.60000000000002</v>
      </c>
      <c r="HT27" s="93">
        <v>280.70999999999998</v>
      </c>
      <c r="HU27" s="93">
        <v>279.82</v>
      </c>
      <c r="HV27" s="93">
        <v>278.93</v>
      </c>
      <c r="HW27" s="93">
        <v>278.04000000000002</v>
      </c>
      <c r="HX27" s="93">
        <v>277.17</v>
      </c>
      <c r="HY27" s="93">
        <v>276.27999999999997</v>
      </c>
      <c r="HZ27" s="93">
        <v>275.39999999999998</v>
      </c>
      <c r="IA27" s="93">
        <v>274.51</v>
      </c>
      <c r="IB27" s="93">
        <v>273.64</v>
      </c>
      <c r="IC27" s="93">
        <v>272.76</v>
      </c>
      <c r="ID27" s="93">
        <v>271.89</v>
      </c>
      <c r="IE27" s="93">
        <v>271.01</v>
      </c>
      <c r="IF27" s="93">
        <v>270.14</v>
      </c>
      <c r="IG27" s="93">
        <v>269.26</v>
      </c>
      <c r="IH27" s="93">
        <v>268.39</v>
      </c>
      <c r="II27" s="93">
        <v>267.51</v>
      </c>
      <c r="IJ27" s="93">
        <v>266.64999999999998</v>
      </c>
      <c r="IK27" s="93">
        <v>265.77999999999997</v>
      </c>
      <c r="IL27" s="93">
        <v>264.91000000000003</v>
      </c>
      <c r="IM27" s="93">
        <v>264.04000000000002</v>
      </c>
      <c r="IN27" s="93">
        <v>263.18</v>
      </c>
      <c r="IO27" s="93">
        <v>262.31</v>
      </c>
      <c r="IP27" s="93">
        <v>261.45</v>
      </c>
      <c r="IQ27" s="93">
        <v>260.58999999999997</v>
      </c>
      <c r="IR27" s="93">
        <v>259.73</v>
      </c>
      <c r="IS27" s="93">
        <v>258.87</v>
      </c>
      <c r="IT27" s="93">
        <v>258.01</v>
      </c>
      <c r="IU27" s="93">
        <v>257.14999999999998</v>
      </c>
      <c r="IV27" s="93">
        <v>256.29000000000002</v>
      </c>
      <c r="IW27" s="93">
        <v>255.44</v>
      </c>
      <c r="IX27" s="93">
        <v>254.59</v>
      </c>
      <c r="IY27" s="93">
        <v>253.74</v>
      </c>
      <c r="IZ27" s="93">
        <v>252.89</v>
      </c>
      <c r="JA27" s="93">
        <v>252.04</v>
      </c>
      <c r="JB27" s="93">
        <v>251.2</v>
      </c>
      <c r="JC27" s="93">
        <v>250.35</v>
      </c>
      <c r="JD27" s="93">
        <v>249.51</v>
      </c>
      <c r="JE27" s="93">
        <v>248.66</v>
      </c>
      <c r="JF27" s="93">
        <v>247.82</v>
      </c>
      <c r="JG27" s="93">
        <v>246.98</v>
      </c>
      <c r="JH27" s="93">
        <v>246.14</v>
      </c>
      <c r="JI27" s="93">
        <v>245.3</v>
      </c>
      <c r="JJ27" s="93">
        <v>244.46</v>
      </c>
      <c r="JK27" s="93">
        <v>243.62</v>
      </c>
      <c r="JL27" s="93">
        <v>242.78</v>
      </c>
      <c r="JM27" s="93">
        <v>241.95</v>
      </c>
      <c r="JN27" s="93">
        <v>241.12</v>
      </c>
      <c r="JO27" s="93">
        <v>240.28</v>
      </c>
      <c r="JP27" s="93">
        <v>239.45</v>
      </c>
      <c r="JQ27" s="93">
        <v>238.62</v>
      </c>
      <c r="JR27" s="93">
        <v>237.79</v>
      </c>
      <c r="JS27" s="93">
        <v>236.96</v>
      </c>
      <c r="JT27" s="93">
        <v>236.13</v>
      </c>
      <c r="JU27" s="93">
        <v>235.31</v>
      </c>
      <c r="JV27" s="93">
        <v>234.48</v>
      </c>
      <c r="JW27" s="93">
        <v>233.66</v>
      </c>
      <c r="JX27" s="93">
        <v>232.83</v>
      </c>
      <c r="JY27" s="93">
        <v>232.01</v>
      </c>
      <c r="JZ27" s="93">
        <v>231.19</v>
      </c>
      <c r="KA27" s="93">
        <v>230.37</v>
      </c>
      <c r="KB27" s="93">
        <v>229.55</v>
      </c>
      <c r="KC27" s="93">
        <v>228.73</v>
      </c>
      <c r="KD27" s="93">
        <v>227.92</v>
      </c>
      <c r="KE27" s="93">
        <v>227.1</v>
      </c>
      <c r="KF27" s="93">
        <v>226.29</v>
      </c>
      <c r="KG27" s="93">
        <v>225.47</v>
      </c>
      <c r="KH27" s="93">
        <v>224.66</v>
      </c>
      <c r="KI27" s="93">
        <v>223.85</v>
      </c>
      <c r="KJ27" s="93">
        <v>223.04</v>
      </c>
      <c r="KK27" s="93">
        <v>222.23</v>
      </c>
      <c r="KL27" s="93">
        <v>221.42</v>
      </c>
      <c r="KM27" s="93">
        <v>220.61</v>
      </c>
      <c r="KN27" s="93">
        <v>219.81</v>
      </c>
      <c r="KO27" s="93">
        <v>219</v>
      </c>
      <c r="KP27" s="93">
        <v>218.2</v>
      </c>
      <c r="KQ27" s="93">
        <v>217.4</v>
      </c>
      <c r="KR27" s="93">
        <v>216.29000000000019</v>
      </c>
      <c r="KS27" s="93">
        <v>215.54000000000019</v>
      </c>
      <c r="KT27" s="93">
        <v>214.79000000000019</v>
      </c>
      <c r="KU27" s="93">
        <v>214.04000000000019</v>
      </c>
      <c r="KV27" s="93">
        <v>213.29000000000019</v>
      </c>
      <c r="KW27" s="93">
        <v>212.54000000000019</v>
      </c>
      <c r="KX27" s="93">
        <v>211.79000000000019</v>
      </c>
      <c r="KY27" s="93">
        <v>211.04000000000019</v>
      </c>
      <c r="KZ27" s="93">
        <v>210.29000000000019</v>
      </c>
      <c r="LA27" s="93">
        <v>209.54000000000019</v>
      </c>
      <c r="LB27" s="93">
        <v>208.79000000000019</v>
      </c>
      <c r="LC27" s="93">
        <v>208.04000000000019</v>
      </c>
      <c r="LD27" s="93">
        <v>207.29000000000019</v>
      </c>
      <c r="LE27" s="93">
        <v>206.54000000000019</v>
      </c>
      <c r="LF27" s="93">
        <v>205.79000000000019</v>
      </c>
      <c r="LG27" s="93">
        <v>205.04000000000019</v>
      </c>
      <c r="LH27" s="93">
        <v>204.29000000000019</v>
      </c>
      <c r="LI27" s="93">
        <v>203.54000000000019</v>
      </c>
      <c r="LJ27" s="93">
        <v>202.79000000000019</v>
      </c>
      <c r="LK27" s="93">
        <v>202.04000000000019</v>
      </c>
      <c r="LL27" s="93">
        <v>201.29000000000019</v>
      </c>
      <c r="LM27" s="93">
        <v>200.54000000000019</v>
      </c>
      <c r="LN27" s="93">
        <v>199.79000000000019</v>
      </c>
      <c r="LO27" s="93">
        <v>199.04000000000019</v>
      </c>
      <c r="LP27" s="93">
        <v>198.29000000000019</v>
      </c>
      <c r="LQ27" s="93">
        <v>197.54000000000019</v>
      </c>
      <c r="LR27" s="93">
        <v>196.79000000000019</v>
      </c>
      <c r="LS27" s="93">
        <v>196.04000000000019</v>
      </c>
      <c r="LT27" s="93">
        <v>195.29000000000019</v>
      </c>
      <c r="LU27" s="93">
        <v>194.54000000000019</v>
      </c>
      <c r="LV27" s="93">
        <v>193.79000000000019</v>
      </c>
      <c r="LW27" s="93">
        <v>193.04000000000019</v>
      </c>
      <c r="LX27" s="93">
        <v>192.29000000000019</v>
      </c>
      <c r="LY27" s="93">
        <v>191.54000000000019</v>
      </c>
      <c r="LZ27" s="93">
        <v>190.79000000000019</v>
      </c>
      <c r="MA27" s="93">
        <v>190.04000000000019</v>
      </c>
      <c r="MB27" s="93">
        <v>189.29000000000019</v>
      </c>
      <c r="MC27" s="93">
        <v>188.54000000000019</v>
      </c>
      <c r="MD27" s="93">
        <v>187.79000000000019</v>
      </c>
      <c r="ME27" s="93">
        <v>187.04000000000019</v>
      </c>
      <c r="MF27" s="93">
        <v>186.29000000000019</v>
      </c>
      <c r="MG27" s="93">
        <v>185.54000000000019</v>
      </c>
      <c r="MH27" s="93">
        <v>184.79000000000019</v>
      </c>
      <c r="MI27" s="93">
        <v>184.04000000000019</v>
      </c>
      <c r="MJ27" s="93">
        <v>183.29000000000019</v>
      </c>
      <c r="MK27" s="93">
        <v>182.54000000000019</v>
      </c>
      <c r="ML27" s="93">
        <v>181.79000000000019</v>
      </c>
      <c r="MM27" s="93">
        <v>181.04000000000019</v>
      </c>
      <c r="MN27" s="93">
        <v>180.29000000000019</v>
      </c>
      <c r="MO27" s="93">
        <v>179.54000000000019</v>
      </c>
      <c r="MP27" s="93">
        <v>178.79000000000019</v>
      </c>
      <c r="MQ27" s="93">
        <v>178.04000000000019</v>
      </c>
      <c r="MR27" s="93">
        <v>177.29000000000019</v>
      </c>
      <c r="MS27" s="93">
        <v>176.54000000000019</v>
      </c>
      <c r="MT27" s="93">
        <v>175.79000000000019</v>
      </c>
      <c r="MU27" s="93">
        <v>175.04000000000019</v>
      </c>
      <c r="MV27" s="93">
        <v>174.29000000000019</v>
      </c>
      <c r="MW27" s="93">
        <v>173.54000000000019</v>
      </c>
      <c r="MX27" s="93">
        <v>172.79000000000019</v>
      </c>
      <c r="MY27" s="93">
        <v>172.04000000000019</v>
      </c>
    </row>
    <row r="28" spans="1:363" ht="15.75" x14ac:dyDescent="0.25">
      <c r="A28" s="90" t="s">
        <v>7</v>
      </c>
      <c r="B28" s="95">
        <v>2038</v>
      </c>
      <c r="C28" s="93">
        <v>501.43</v>
      </c>
      <c r="D28" s="93">
        <v>500.41</v>
      </c>
      <c r="E28" s="93">
        <v>499.38</v>
      </c>
      <c r="F28" s="93">
        <v>498.36</v>
      </c>
      <c r="G28" s="93">
        <v>497.34</v>
      </c>
      <c r="H28" s="93">
        <v>496.32</v>
      </c>
      <c r="I28" s="93">
        <v>495.29</v>
      </c>
      <c r="J28" s="93">
        <v>494.27</v>
      </c>
      <c r="K28" s="93">
        <v>493.25</v>
      </c>
      <c r="L28" s="93">
        <v>492.23</v>
      </c>
      <c r="M28" s="93">
        <v>491.21</v>
      </c>
      <c r="N28" s="93">
        <v>490.18</v>
      </c>
      <c r="O28" s="93">
        <v>489.16</v>
      </c>
      <c r="P28" s="93">
        <v>488.14</v>
      </c>
      <c r="Q28" s="93">
        <v>487.12</v>
      </c>
      <c r="R28" s="93">
        <v>486.1</v>
      </c>
      <c r="S28" s="93">
        <v>485.07</v>
      </c>
      <c r="T28" s="93">
        <v>484.05</v>
      </c>
      <c r="U28" s="93">
        <v>483.03</v>
      </c>
      <c r="V28" s="93">
        <v>482.01</v>
      </c>
      <c r="W28" s="93">
        <v>480.99</v>
      </c>
      <c r="X28" s="93">
        <v>479.97</v>
      </c>
      <c r="Y28" s="93">
        <v>478.95</v>
      </c>
      <c r="Z28" s="93">
        <v>477.92</v>
      </c>
      <c r="AA28" s="93">
        <v>476.9</v>
      </c>
      <c r="AB28" s="93">
        <v>475.88</v>
      </c>
      <c r="AC28" s="93">
        <v>474.86</v>
      </c>
      <c r="AD28" s="93">
        <v>473.84</v>
      </c>
      <c r="AE28" s="93">
        <v>472.82</v>
      </c>
      <c r="AF28" s="93">
        <v>471.8</v>
      </c>
      <c r="AG28" s="93">
        <v>470.78</v>
      </c>
      <c r="AH28" s="93">
        <v>469.76</v>
      </c>
      <c r="AI28" s="93">
        <v>468.74</v>
      </c>
      <c r="AJ28" s="93">
        <v>467.71</v>
      </c>
      <c r="AK28" s="93">
        <v>466.69</v>
      </c>
      <c r="AL28" s="93">
        <v>465.67</v>
      </c>
      <c r="AM28" s="93">
        <v>464.65</v>
      </c>
      <c r="AN28" s="93">
        <v>463.63</v>
      </c>
      <c r="AO28" s="93">
        <v>462.61</v>
      </c>
      <c r="AP28" s="93">
        <v>461.59</v>
      </c>
      <c r="AQ28" s="93">
        <v>460.58</v>
      </c>
      <c r="AR28" s="93">
        <v>459.56</v>
      </c>
      <c r="AS28" s="93">
        <v>458.54</v>
      </c>
      <c r="AT28" s="93">
        <v>457.52</v>
      </c>
      <c r="AU28" s="93">
        <v>456.5</v>
      </c>
      <c r="AV28" s="93">
        <v>455.48</v>
      </c>
      <c r="AW28" s="93">
        <v>454.46</v>
      </c>
      <c r="AX28" s="93">
        <v>453.44</v>
      </c>
      <c r="AY28" s="93">
        <v>452.42</v>
      </c>
      <c r="AZ28" s="93">
        <v>451.41</v>
      </c>
      <c r="BA28" s="93">
        <v>450.39</v>
      </c>
      <c r="BB28" s="93">
        <v>449.37</v>
      </c>
      <c r="BC28" s="93">
        <v>448.35</v>
      </c>
      <c r="BD28" s="93">
        <v>447.34</v>
      </c>
      <c r="BE28" s="93">
        <v>446.32</v>
      </c>
      <c r="BF28" s="93">
        <v>445.3</v>
      </c>
      <c r="BG28" s="93">
        <v>444.28</v>
      </c>
      <c r="BH28" s="93">
        <v>443.27</v>
      </c>
      <c r="BI28" s="93">
        <v>442.25</v>
      </c>
      <c r="BJ28" s="93">
        <v>441.23</v>
      </c>
      <c r="BK28" s="93">
        <v>440.22</v>
      </c>
      <c r="BL28" s="93">
        <v>439.2</v>
      </c>
      <c r="BM28" s="93">
        <v>438.19</v>
      </c>
      <c r="BN28" s="93">
        <v>437.17</v>
      </c>
      <c r="BO28" s="93">
        <v>436.16</v>
      </c>
      <c r="BP28" s="93">
        <v>435.14</v>
      </c>
      <c r="BQ28" s="93">
        <v>434.13</v>
      </c>
      <c r="BR28" s="93">
        <v>433.11</v>
      </c>
      <c r="BS28" s="93">
        <v>432.1</v>
      </c>
      <c r="BT28" s="93">
        <v>431.09</v>
      </c>
      <c r="BU28" s="93">
        <v>430.07</v>
      </c>
      <c r="BV28" s="93">
        <v>429.06</v>
      </c>
      <c r="BW28" s="93">
        <v>428.04</v>
      </c>
      <c r="BX28" s="93">
        <v>427.03</v>
      </c>
      <c r="BY28" s="93">
        <v>426.02</v>
      </c>
      <c r="BZ28" s="93">
        <v>425.01</v>
      </c>
      <c r="CA28" s="93">
        <v>424</v>
      </c>
      <c r="CB28" s="93">
        <v>422.99</v>
      </c>
      <c r="CC28" s="93">
        <v>421.98</v>
      </c>
      <c r="CD28" s="93">
        <v>420.97</v>
      </c>
      <c r="CE28" s="93">
        <v>419.96</v>
      </c>
      <c r="CF28" s="93">
        <v>418.95</v>
      </c>
      <c r="CG28" s="93">
        <v>417.94</v>
      </c>
      <c r="CH28" s="93">
        <v>416.93</v>
      </c>
      <c r="CI28" s="93">
        <v>415.92</v>
      </c>
      <c r="CJ28" s="93">
        <v>414.92</v>
      </c>
      <c r="CK28" s="93">
        <v>413.91</v>
      </c>
      <c r="CL28" s="93">
        <v>412.91</v>
      </c>
      <c r="CM28" s="93">
        <v>411.9</v>
      </c>
      <c r="CN28" s="93">
        <v>410.9</v>
      </c>
      <c r="CO28" s="93">
        <v>409.89</v>
      </c>
      <c r="CP28" s="93">
        <v>408.89</v>
      </c>
      <c r="CQ28" s="93">
        <v>407.88</v>
      </c>
      <c r="CR28" s="93">
        <v>406.88</v>
      </c>
      <c r="CS28" s="93">
        <v>405.87</v>
      </c>
      <c r="CT28" s="93">
        <v>404.87</v>
      </c>
      <c r="CU28" s="93">
        <v>403.87</v>
      </c>
      <c r="CV28" s="93">
        <v>402.87</v>
      </c>
      <c r="CW28" s="93">
        <v>401.87</v>
      </c>
      <c r="CX28" s="93">
        <v>400.87</v>
      </c>
      <c r="CY28" s="93">
        <v>399.87</v>
      </c>
      <c r="CZ28" s="93">
        <v>398.87</v>
      </c>
      <c r="DA28" s="93">
        <v>397.87</v>
      </c>
      <c r="DB28" s="93">
        <v>396.87</v>
      </c>
      <c r="DC28" s="93">
        <v>395.88</v>
      </c>
      <c r="DD28" s="93">
        <v>394.88</v>
      </c>
      <c r="DE28" s="93">
        <v>393.88</v>
      </c>
      <c r="DF28" s="93">
        <v>392.88</v>
      </c>
      <c r="DG28" s="93">
        <v>391.89</v>
      </c>
      <c r="DH28" s="93">
        <v>390.89</v>
      </c>
      <c r="DI28" s="93">
        <v>389.9</v>
      </c>
      <c r="DJ28" s="93">
        <v>388.91</v>
      </c>
      <c r="DK28" s="93">
        <v>387.92</v>
      </c>
      <c r="DL28" s="93">
        <v>386.93</v>
      </c>
      <c r="DM28" s="93">
        <v>385.94</v>
      </c>
      <c r="DN28" s="93">
        <v>384.94</v>
      </c>
      <c r="DO28" s="93">
        <v>383.95</v>
      </c>
      <c r="DP28" s="93">
        <v>382.96</v>
      </c>
      <c r="DQ28" s="93">
        <v>381.97</v>
      </c>
      <c r="DR28" s="93">
        <v>380.98</v>
      </c>
      <c r="DS28" s="93">
        <v>379.99</v>
      </c>
      <c r="DT28" s="93">
        <v>379.01</v>
      </c>
      <c r="DU28" s="93">
        <v>378.03</v>
      </c>
      <c r="DV28" s="93">
        <v>377.04</v>
      </c>
      <c r="DW28" s="93">
        <v>376.06</v>
      </c>
      <c r="DX28" s="93">
        <v>375.08</v>
      </c>
      <c r="DY28" s="93">
        <v>374.1</v>
      </c>
      <c r="DZ28" s="93">
        <v>373.12</v>
      </c>
      <c r="EA28" s="93">
        <v>372.13</v>
      </c>
      <c r="EB28" s="93">
        <v>371.15</v>
      </c>
      <c r="EC28" s="93">
        <v>370.17</v>
      </c>
      <c r="ED28" s="93">
        <v>369.2</v>
      </c>
      <c r="EE28" s="93">
        <v>368.22</v>
      </c>
      <c r="EF28" s="93">
        <v>367.24</v>
      </c>
      <c r="EG28" s="93">
        <v>366.27</v>
      </c>
      <c r="EH28" s="93">
        <v>365.3</v>
      </c>
      <c r="EI28" s="93">
        <v>364.33</v>
      </c>
      <c r="EJ28" s="93">
        <v>363.36</v>
      </c>
      <c r="EK28" s="93">
        <v>362.39</v>
      </c>
      <c r="EL28" s="93">
        <v>361.42</v>
      </c>
      <c r="EM28" s="93">
        <v>360.45</v>
      </c>
      <c r="EN28" s="93">
        <v>359.49</v>
      </c>
      <c r="EO28" s="93">
        <v>358.52</v>
      </c>
      <c r="EP28" s="93">
        <v>357.55</v>
      </c>
      <c r="EQ28" s="93">
        <v>356.58</v>
      </c>
      <c r="ER28" s="93">
        <v>355.62</v>
      </c>
      <c r="ES28" s="93">
        <v>354.66</v>
      </c>
      <c r="ET28" s="93">
        <v>353.7</v>
      </c>
      <c r="EU28" s="93">
        <v>352.74</v>
      </c>
      <c r="EV28" s="93">
        <v>351.78</v>
      </c>
      <c r="EW28" s="93">
        <v>350.82</v>
      </c>
      <c r="EX28" s="93">
        <v>349.86</v>
      </c>
      <c r="EY28" s="93">
        <v>348.9</v>
      </c>
      <c r="EZ28" s="93">
        <v>347.94</v>
      </c>
      <c r="FA28" s="93">
        <v>346.99</v>
      </c>
      <c r="FB28" s="93">
        <v>346.03</v>
      </c>
      <c r="FC28" s="93">
        <v>345.07</v>
      </c>
      <c r="FD28" s="93">
        <v>344.12</v>
      </c>
      <c r="FE28" s="93">
        <v>343.16</v>
      </c>
      <c r="FF28" s="93">
        <v>342.21</v>
      </c>
      <c r="FG28" s="93">
        <v>341.26</v>
      </c>
      <c r="FH28" s="93">
        <v>340.3</v>
      </c>
      <c r="FI28" s="93">
        <v>339.35</v>
      </c>
      <c r="FJ28" s="93">
        <v>338.4</v>
      </c>
      <c r="FK28" s="93">
        <v>337.45</v>
      </c>
      <c r="FL28" s="93">
        <v>336.5</v>
      </c>
      <c r="FM28" s="93">
        <v>335.55</v>
      </c>
      <c r="FN28" s="93">
        <v>334.6</v>
      </c>
      <c r="FO28" s="93">
        <v>333.66</v>
      </c>
      <c r="FP28" s="93">
        <v>332.71</v>
      </c>
      <c r="FQ28" s="93">
        <v>331.76</v>
      </c>
      <c r="FR28" s="93">
        <v>330.82</v>
      </c>
      <c r="FS28" s="93">
        <v>329.87</v>
      </c>
      <c r="FT28" s="93">
        <v>328.93</v>
      </c>
      <c r="FU28" s="93">
        <v>327.99</v>
      </c>
      <c r="FV28" s="93">
        <v>327.04000000000002</v>
      </c>
      <c r="FW28" s="93">
        <v>326.10000000000002</v>
      </c>
      <c r="FX28" s="93">
        <v>325.16000000000003</v>
      </c>
      <c r="FY28" s="93">
        <v>324.22000000000003</v>
      </c>
      <c r="FZ28" s="93">
        <v>323.27999999999997</v>
      </c>
      <c r="GA28" s="93">
        <v>322.35000000000002</v>
      </c>
      <c r="GB28" s="93">
        <v>321.41000000000003</v>
      </c>
      <c r="GC28" s="93">
        <v>320.47000000000003</v>
      </c>
      <c r="GD28" s="93">
        <v>319.54000000000002</v>
      </c>
      <c r="GE28" s="93">
        <v>318.60000000000002</v>
      </c>
      <c r="GF28" s="93">
        <v>317.67</v>
      </c>
      <c r="GG28" s="93">
        <v>316.74</v>
      </c>
      <c r="GH28" s="93">
        <v>315.81</v>
      </c>
      <c r="GI28" s="93">
        <v>314.87</v>
      </c>
      <c r="GJ28" s="93">
        <v>313.94</v>
      </c>
      <c r="GK28" s="93">
        <v>313.01</v>
      </c>
      <c r="GL28" s="93">
        <v>312.08999999999997</v>
      </c>
      <c r="GM28" s="93">
        <v>311.16000000000003</v>
      </c>
      <c r="GN28" s="93">
        <v>310.24</v>
      </c>
      <c r="GO28" s="93">
        <v>309.31</v>
      </c>
      <c r="GP28" s="93">
        <v>308.39</v>
      </c>
      <c r="GQ28" s="93">
        <v>307.47000000000003</v>
      </c>
      <c r="GR28" s="93">
        <v>306.54000000000002</v>
      </c>
      <c r="GS28" s="93">
        <v>305.62</v>
      </c>
      <c r="GT28" s="93">
        <v>304.70999999999998</v>
      </c>
      <c r="GU28" s="93">
        <v>303.79000000000002</v>
      </c>
      <c r="GV28" s="93">
        <v>302.87</v>
      </c>
      <c r="GW28" s="93">
        <v>301.95</v>
      </c>
      <c r="GX28" s="93">
        <v>301.04000000000002</v>
      </c>
      <c r="GY28" s="93">
        <v>300.13</v>
      </c>
      <c r="GZ28" s="93">
        <v>299.20999999999998</v>
      </c>
      <c r="HA28" s="93">
        <v>298.29000000000002</v>
      </c>
      <c r="HB28" s="93">
        <v>297.39</v>
      </c>
      <c r="HC28" s="93">
        <v>296.48</v>
      </c>
      <c r="HD28" s="93">
        <v>295.57</v>
      </c>
      <c r="HE28" s="93">
        <v>294.67</v>
      </c>
      <c r="HF28" s="93">
        <v>293.76</v>
      </c>
      <c r="HG28" s="93">
        <v>292.85000000000002</v>
      </c>
      <c r="HH28" s="93">
        <v>291.95</v>
      </c>
      <c r="HI28" s="93">
        <v>291.04000000000002</v>
      </c>
      <c r="HJ28" s="93">
        <v>290.14999999999998</v>
      </c>
      <c r="HK28" s="93">
        <v>289.25</v>
      </c>
      <c r="HL28" s="93">
        <v>288.35000000000002</v>
      </c>
      <c r="HM28" s="93">
        <v>287.45</v>
      </c>
      <c r="HN28" s="93">
        <v>286.56</v>
      </c>
      <c r="HO28" s="93">
        <v>285.66000000000003</v>
      </c>
      <c r="HP28" s="93">
        <v>284.76</v>
      </c>
      <c r="HQ28" s="93">
        <v>283.88</v>
      </c>
      <c r="HR28" s="93">
        <v>282.99</v>
      </c>
      <c r="HS28" s="93">
        <v>282.10000000000002</v>
      </c>
      <c r="HT28" s="93">
        <v>281.20999999999998</v>
      </c>
      <c r="HU28" s="93">
        <v>280.32</v>
      </c>
      <c r="HV28" s="93">
        <v>279.44</v>
      </c>
      <c r="HW28" s="93">
        <v>278.54000000000002</v>
      </c>
      <c r="HX28" s="93">
        <v>277.67</v>
      </c>
      <c r="HY28" s="93">
        <v>276.77999999999997</v>
      </c>
      <c r="HZ28" s="93">
        <v>275.89999999999998</v>
      </c>
      <c r="IA28" s="93">
        <v>275.01</v>
      </c>
      <c r="IB28" s="93">
        <v>274.14</v>
      </c>
      <c r="IC28" s="93">
        <v>273.26</v>
      </c>
      <c r="ID28" s="93">
        <v>272.38</v>
      </c>
      <c r="IE28" s="93">
        <v>271.51</v>
      </c>
      <c r="IF28" s="93">
        <v>270.63</v>
      </c>
      <c r="IG28" s="93">
        <v>269.76</v>
      </c>
      <c r="IH28" s="93">
        <v>268.88</v>
      </c>
      <c r="II28" s="93">
        <v>268.01</v>
      </c>
      <c r="IJ28" s="93">
        <v>267.14</v>
      </c>
      <c r="IK28" s="93">
        <v>266.26</v>
      </c>
      <c r="IL28" s="93">
        <v>265.39999999999998</v>
      </c>
      <c r="IM28" s="93">
        <v>264.54000000000002</v>
      </c>
      <c r="IN28" s="93">
        <v>263.67</v>
      </c>
      <c r="IO28" s="93">
        <v>262.81</v>
      </c>
      <c r="IP28" s="93">
        <v>261.94</v>
      </c>
      <c r="IQ28" s="93">
        <v>261.07</v>
      </c>
      <c r="IR28" s="93">
        <v>260.22000000000003</v>
      </c>
      <c r="IS28" s="93">
        <v>259.35000000000002</v>
      </c>
      <c r="IT28" s="93">
        <v>258.5</v>
      </c>
      <c r="IU28" s="93">
        <v>257.64</v>
      </c>
      <c r="IV28" s="93">
        <v>256.79000000000002</v>
      </c>
      <c r="IW28" s="93">
        <v>255.93</v>
      </c>
      <c r="IX28" s="93">
        <v>255.08</v>
      </c>
      <c r="IY28" s="93">
        <v>254.23</v>
      </c>
      <c r="IZ28" s="93">
        <v>253.38</v>
      </c>
      <c r="JA28" s="93">
        <v>252.53</v>
      </c>
      <c r="JB28" s="93">
        <v>251.68</v>
      </c>
      <c r="JC28" s="93">
        <v>250.84</v>
      </c>
      <c r="JD28" s="93">
        <v>249.99</v>
      </c>
      <c r="JE28" s="93">
        <v>249.15</v>
      </c>
      <c r="JF28" s="93">
        <v>248.3</v>
      </c>
      <c r="JG28" s="93">
        <v>247.46</v>
      </c>
      <c r="JH28" s="93">
        <v>246.62</v>
      </c>
      <c r="JI28" s="93">
        <v>245.78</v>
      </c>
      <c r="JJ28" s="93">
        <v>244.94</v>
      </c>
      <c r="JK28" s="93">
        <v>244.1</v>
      </c>
      <c r="JL28" s="93">
        <v>243.27</v>
      </c>
      <c r="JM28" s="93">
        <v>242.43</v>
      </c>
      <c r="JN28" s="93">
        <v>241.6</v>
      </c>
      <c r="JO28" s="93">
        <v>240.76</v>
      </c>
      <c r="JP28" s="93">
        <v>239.93</v>
      </c>
      <c r="JQ28" s="93">
        <v>239.1</v>
      </c>
      <c r="JR28" s="93">
        <v>238.27</v>
      </c>
      <c r="JS28" s="93">
        <v>237.44</v>
      </c>
      <c r="JT28" s="93">
        <v>236.61</v>
      </c>
      <c r="JU28" s="93">
        <v>235.78</v>
      </c>
      <c r="JV28" s="93">
        <v>234.96</v>
      </c>
      <c r="JW28" s="93">
        <v>234.13</v>
      </c>
      <c r="JX28" s="93">
        <v>233.31</v>
      </c>
      <c r="JY28" s="93">
        <v>232.49</v>
      </c>
      <c r="JZ28" s="93">
        <v>231.66</v>
      </c>
      <c r="KA28" s="93">
        <v>230.84</v>
      </c>
      <c r="KB28" s="93">
        <v>230.02</v>
      </c>
      <c r="KC28" s="93">
        <v>229.21</v>
      </c>
      <c r="KD28" s="93">
        <v>228.39</v>
      </c>
      <c r="KE28" s="93">
        <v>227.57</v>
      </c>
      <c r="KF28" s="93">
        <v>226.76</v>
      </c>
      <c r="KG28" s="93">
        <v>225.94</v>
      </c>
      <c r="KH28" s="93">
        <v>225.13</v>
      </c>
      <c r="KI28" s="93">
        <v>224.31</v>
      </c>
      <c r="KJ28" s="93">
        <v>223.5</v>
      </c>
      <c r="KK28" s="93">
        <v>222.69</v>
      </c>
      <c r="KL28" s="93">
        <v>221.89</v>
      </c>
      <c r="KM28" s="93">
        <v>221.08</v>
      </c>
      <c r="KN28" s="93">
        <v>220.27</v>
      </c>
      <c r="KO28" s="93">
        <v>219.47</v>
      </c>
      <c r="KP28" s="93">
        <v>218.67</v>
      </c>
      <c r="KQ28" s="93">
        <v>217.87</v>
      </c>
      <c r="KR28" s="93">
        <v>216.7500000000002</v>
      </c>
      <c r="KS28" s="93">
        <v>216.0000000000002</v>
      </c>
      <c r="KT28" s="93">
        <v>215.2500000000002</v>
      </c>
      <c r="KU28" s="93">
        <v>214.5000000000002</v>
      </c>
      <c r="KV28" s="93">
        <v>213.7500000000002</v>
      </c>
      <c r="KW28" s="93">
        <v>213.0000000000002</v>
      </c>
      <c r="KX28" s="93">
        <v>212.2500000000002</v>
      </c>
      <c r="KY28" s="93">
        <v>211.5000000000002</v>
      </c>
      <c r="KZ28" s="93">
        <v>210.7500000000002</v>
      </c>
      <c r="LA28" s="93">
        <v>210.0000000000002</v>
      </c>
      <c r="LB28" s="93">
        <v>209.2500000000002</v>
      </c>
      <c r="LC28" s="93">
        <v>208.5000000000002</v>
      </c>
      <c r="LD28" s="93">
        <v>207.7500000000002</v>
      </c>
      <c r="LE28" s="93">
        <v>207.0000000000002</v>
      </c>
      <c r="LF28" s="93">
        <v>206.2500000000002</v>
      </c>
      <c r="LG28" s="93">
        <v>205.5000000000002</v>
      </c>
      <c r="LH28" s="93">
        <v>204.7500000000002</v>
      </c>
      <c r="LI28" s="93">
        <v>204.0000000000002</v>
      </c>
      <c r="LJ28" s="93">
        <v>203.2500000000002</v>
      </c>
      <c r="LK28" s="93">
        <v>202.5000000000002</v>
      </c>
      <c r="LL28" s="93">
        <v>201.7500000000002</v>
      </c>
      <c r="LM28" s="93">
        <v>201.0000000000002</v>
      </c>
      <c r="LN28" s="93">
        <v>200.2500000000002</v>
      </c>
      <c r="LO28" s="93">
        <v>199.5000000000002</v>
      </c>
      <c r="LP28" s="93">
        <v>198.7500000000002</v>
      </c>
      <c r="LQ28" s="93">
        <v>198.0000000000002</v>
      </c>
      <c r="LR28" s="93">
        <v>197.2500000000002</v>
      </c>
      <c r="LS28" s="93">
        <v>196.5000000000002</v>
      </c>
      <c r="LT28" s="93">
        <v>195.7500000000002</v>
      </c>
      <c r="LU28" s="93">
        <v>195.0000000000002</v>
      </c>
      <c r="LV28" s="93">
        <v>194.2500000000002</v>
      </c>
      <c r="LW28" s="93">
        <v>193.5000000000002</v>
      </c>
      <c r="LX28" s="93">
        <v>192.7500000000002</v>
      </c>
      <c r="LY28" s="93">
        <v>192.0000000000002</v>
      </c>
      <c r="LZ28" s="93">
        <v>191.2500000000002</v>
      </c>
      <c r="MA28" s="93">
        <v>190.5000000000002</v>
      </c>
      <c r="MB28" s="93">
        <v>189.7500000000002</v>
      </c>
      <c r="MC28" s="93">
        <v>189.0000000000002</v>
      </c>
      <c r="MD28" s="93">
        <v>188.2500000000002</v>
      </c>
      <c r="ME28" s="93">
        <v>187.5000000000002</v>
      </c>
      <c r="MF28" s="93">
        <v>186.7500000000002</v>
      </c>
      <c r="MG28" s="93">
        <v>186.0000000000002</v>
      </c>
      <c r="MH28" s="93">
        <v>185.2500000000002</v>
      </c>
      <c r="MI28" s="93">
        <v>184.5000000000002</v>
      </c>
      <c r="MJ28" s="93">
        <v>183.7500000000002</v>
      </c>
      <c r="MK28" s="93">
        <v>183.0000000000002</v>
      </c>
      <c r="ML28" s="93">
        <v>182.2500000000002</v>
      </c>
      <c r="MM28" s="93">
        <v>181.5000000000002</v>
      </c>
      <c r="MN28" s="93">
        <v>180.7500000000002</v>
      </c>
      <c r="MO28" s="93">
        <v>180.0000000000002</v>
      </c>
      <c r="MP28" s="93">
        <v>179.2500000000002</v>
      </c>
      <c r="MQ28" s="93">
        <v>178.5000000000002</v>
      </c>
      <c r="MR28" s="93">
        <v>177.7500000000002</v>
      </c>
      <c r="MS28" s="93">
        <v>177.0000000000002</v>
      </c>
      <c r="MT28" s="93">
        <v>176.2500000000002</v>
      </c>
      <c r="MU28" s="93">
        <v>175.5000000000002</v>
      </c>
      <c r="MV28" s="93">
        <v>174.7500000000002</v>
      </c>
      <c r="MW28" s="93">
        <v>174.0000000000002</v>
      </c>
      <c r="MX28" s="93">
        <v>173.2500000000002</v>
      </c>
      <c r="MY28" s="93">
        <v>172.5000000000002</v>
      </c>
    </row>
    <row r="29" spans="1:363" ht="15.75" x14ac:dyDescent="0.25">
      <c r="A29" s="90" t="s">
        <v>7</v>
      </c>
      <c r="B29" s="95">
        <v>2039</v>
      </c>
      <c r="C29" s="93">
        <v>502</v>
      </c>
      <c r="D29" s="93">
        <v>500.98</v>
      </c>
      <c r="E29" s="93">
        <v>499.96</v>
      </c>
      <c r="F29" s="93">
        <v>498.93</v>
      </c>
      <c r="G29" s="93">
        <v>497.91</v>
      </c>
      <c r="H29" s="93">
        <v>496.89</v>
      </c>
      <c r="I29" s="93">
        <v>495.87</v>
      </c>
      <c r="J29" s="93">
        <v>494.84</v>
      </c>
      <c r="K29" s="93">
        <v>493.82</v>
      </c>
      <c r="L29" s="93">
        <v>492.8</v>
      </c>
      <c r="M29" s="93">
        <v>491.78</v>
      </c>
      <c r="N29" s="93">
        <v>490.75</v>
      </c>
      <c r="O29" s="93">
        <v>489.73</v>
      </c>
      <c r="P29" s="93">
        <v>488.71</v>
      </c>
      <c r="Q29" s="93">
        <v>487.69</v>
      </c>
      <c r="R29" s="93">
        <v>486.67</v>
      </c>
      <c r="S29" s="93">
        <v>485.64</v>
      </c>
      <c r="T29" s="93">
        <v>484.62</v>
      </c>
      <c r="U29" s="93">
        <v>483.6</v>
      </c>
      <c r="V29" s="93">
        <v>482.58</v>
      </c>
      <c r="W29" s="93">
        <v>481.56</v>
      </c>
      <c r="X29" s="93">
        <v>480.53</v>
      </c>
      <c r="Y29" s="93">
        <v>479.51</v>
      </c>
      <c r="Z29" s="93">
        <v>478.49</v>
      </c>
      <c r="AA29" s="93">
        <v>477.47</v>
      </c>
      <c r="AB29" s="93">
        <v>476.45</v>
      </c>
      <c r="AC29" s="93">
        <v>475.43</v>
      </c>
      <c r="AD29" s="93">
        <v>474.41</v>
      </c>
      <c r="AE29" s="93">
        <v>473.38</v>
      </c>
      <c r="AF29" s="93">
        <v>472.36</v>
      </c>
      <c r="AG29" s="93">
        <v>471.34</v>
      </c>
      <c r="AH29" s="93">
        <v>470.32</v>
      </c>
      <c r="AI29" s="93">
        <v>469.3</v>
      </c>
      <c r="AJ29" s="93">
        <v>468.28</v>
      </c>
      <c r="AK29" s="93">
        <v>467.26</v>
      </c>
      <c r="AL29" s="93">
        <v>466.24</v>
      </c>
      <c r="AM29" s="93">
        <v>465.22</v>
      </c>
      <c r="AN29" s="93">
        <v>464.2</v>
      </c>
      <c r="AO29" s="93">
        <v>463.18</v>
      </c>
      <c r="AP29" s="93">
        <v>462.16</v>
      </c>
      <c r="AQ29" s="93">
        <v>461.14</v>
      </c>
      <c r="AR29" s="93">
        <v>460.12</v>
      </c>
      <c r="AS29" s="93">
        <v>459.1</v>
      </c>
      <c r="AT29" s="93">
        <v>458.08</v>
      </c>
      <c r="AU29" s="93">
        <v>457.06</v>
      </c>
      <c r="AV29" s="93">
        <v>456.04</v>
      </c>
      <c r="AW29" s="93">
        <v>455.02</v>
      </c>
      <c r="AX29" s="93">
        <v>454</v>
      </c>
      <c r="AY29" s="93">
        <v>452.98</v>
      </c>
      <c r="AZ29" s="93">
        <v>451.96</v>
      </c>
      <c r="BA29" s="93">
        <v>450.95</v>
      </c>
      <c r="BB29" s="93">
        <v>449.93</v>
      </c>
      <c r="BC29" s="93">
        <v>448.91</v>
      </c>
      <c r="BD29" s="93">
        <v>447.89</v>
      </c>
      <c r="BE29" s="93">
        <v>446.88</v>
      </c>
      <c r="BF29" s="93">
        <v>445.86</v>
      </c>
      <c r="BG29" s="93">
        <v>444.84</v>
      </c>
      <c r="BH29" s="93">
        <v>443.82</v>
      </c>
      <c r="BI29" s="93">
        <v>442.81</v>
      </c>
      <c r="BJ29" s="93">
        <v>441.79</v>
      </c>
      <c r="BK29" s="93">
        <v>440.77</v>
      </c>
      <c r="BL29" s="93">
        <v>439.76</v>
      </c>
      <c r="BM29" s="93">
        <v>438.74</v>
      </c>
      <c r="BN29" s="93">
        <v>437.73</v>
      </c>
      <c r="BO29" s="93">
        <v>436.71</v>
      </c>
      <c r="BP29" s="93">
        <v>435.7</v>
      </c>
      <c r="BQ29" s="93">
        <v>434.68</v>
      </c>
      <c r="BR29" s="93">
        <v>433.67</v>
      </c>
      <c r="BS29" s="93">
        <v>432.65</v>
      </c>
      <c r="BT29" s="93">
        <v>431.64</v>
      </c>
      <c r="BU29" s="93">
        <v>430.62</v>
      </c>
      <c r="BV29" s="93">
        <v>429.61</v>
      </c>
      <c r="BW29" s="93">
        <v>428.59</v>
      </c>
      <c r="BX29" s="93">
        <v>427.58</v>
      </c>
      <c r="BY29" s="93">
        <v>426.57</v>
      </c>
      <c r="BZ29" s="93">
        <v>425.56</v>
      </c>
      <c r="CA29" s="93">
        <v>424.55</v>
      </c>
      <c r="CB29" s="93">
        <v>423.54</v>
      </c>
      <c r="CC29" s="93">
        <v>422.53</v>
      </c>
      <c r="CD29" s="93">
        <v>421.52</v>
      </c>
      <c r="CE29" s="93">
        <v>420.51</v>
      </c>
      <c r="CF29" s="93">
        <v>419.5</v>
      </c>
      <c r="CG29" s="93">
        <v>418.49</v>
      </c>
      <c r="CH29" s="93">
        <v>417.48</v>
      </c>
      <c r="CI29" s="93">
        <v>416.47</v>
      </c>
      <c r="CJ29" s="93">
        <v>415.46</v>
      </c>
      <c r="CK29" s="93">
        <v>414.46</v>
      </c>
      <c r="CL29" s="93">
        <v>413.45</v>
      </c>
      <c r="CM29" s="93">
        <v>412.45</v>
      </c>
      <c r="CN29" s="93">
        <v>411.44</v>
      </c>
      <c r="CO29" s="93">
        <v>410.44</v>
      </c>
      <c r="CP29" s="93">
        <v>409.43</v>
      </c>
      <c r="CQ29" s="93">
        <v>408.43</v>
      </c>
      <c r="CR29" s="93">
        <v>407.42</v>
      </c>
      <c r="CS29" s="93">
        <v>406.42</v>
      </c>
      <c r="CT29" s="93">
        <v>405.41</v>
      </c>
      <c r="CU29" s="93">
        <v>404.41</v>
      </c>
      <c r="CV29" s="93">
        <v>403.41</v>
      </c>
      <c r="CW29" s="93">
        <v>402.41</v>
      </c>
      <c r="CX29" s="93">
        <v>401.41</v>
      </c>
      <c r="CY29" s="93">
        <v>400.41</v>
      </c>
      <c r="CZ29" s="93">
        <v>399.41</v>
      </c>
      <c r="DA29" s="93">
        <v>398.41</v>
      </c>
      <c r="DB29" s="93">
        <v>397.41</v>
      </c>
      <c r="DC29" s="93">
        <v>396.41</v>
      </c>
      <c r="DD29" s="93">
        <v>395.42</v>
      </c>
      <c r="DE29" s="93">
        <v>394.42</v>
      </c>
      <c r="DF29" s="93">
        <v>393.42</v>
      </c>
      <c r="DG29" s="93">
        <v>392.42</v>
      </c>
      <c r="DH29" s="93">
        <v>391.43</v>
      </c>
      <c r="DI29" s="93">
        <v>390.44</v>
      </c>
      <c r="DJ29" s="93">
        <v>389.44</v>
      </c>
      <c r="DK29" s="93">
        <v>388.45</v>
      </c>
      <c r="DL29" s="93">
        <v>387.46</v>
      </c>
      <c r="DM29" s="93">
        <v>386.47</v>
      </c>
      <c r="DN29" s="93">
        <v>385.48</v>
      </c>
      <c r="DO29" s="93">
        <v>384.49</v>
      </c>
      <c r="DP29" s="93">
        <v>383.5</v>
      </c>
      <c r="DQ29" s="93">
        <v>382.51</v>
      </c>
      <c r="DR29" s="93">
        <v>381.52</v>
      </c>
      <c r="DS29" s="93">
        <v>380.53</v>
      </c>
      <c r="DT29" s="93">
        <v>379.54</v>
      </c>
      <c r="DU29" s="93">
        <v>378.56</v>
      </c>
      <c r="DV29" s="93">
        <v>377.57</v>
      </c>
      <c r="DW29" s="93">
        <v>376.59</v>
      </c>
      <c r="DX29" s="93">
        <v>375.61</v>
      </c>
      <c r="DY29" s="93">
        <v>374.63</v>
      </c>
      <c r="DZ29" s="93">
        <v>373.65</v>
      </c>
      <c r="EA29" s="93">
        <v>372.66</v>
      </c>
      <c r="EB29" s="93">
        <v>371.68</v>
      </c>
      <c r="EC29" s="93">
        <v>370.7</v>
      </c>
      <c r="ED29" s="93">
        <v>369.72</v>
      </c>
      <c r="EE29" s="93">
        <v>368.74</v>
      </c>
      <c r="EF29" s="93">
        <v>367.77</v>
      </c>
      <c r="EG29" s="93">
        <v>366.8</v>
      </c>
      <c r="EH29" s="93">
        <v>365.83</v>
      </c>
      <c r="EI29" s="93">
        <v>364.86</v>
      </c>
      <c r="EJ29" s="93">
        <v>363.89</v>
      </c>
      <c r="EK29" s="93">
        <v>362.92</v>
      </c>
      <c r="EL29" s="93">
        <v>361.95</v>
      </c>
      <c r="EM29" s="93">
        <v>360.98</v>
      </c>
      <c r="EN29" s="93">
        <v>360.01</v>
      </c>
      <c r="EO29" s="93">
        <v>359.04</v>
      </c>
      <c r="EP29" s="93">
        <v>358.08</v>
      </c>
      <c r="EQ29" s="93">
        <v>357.11</v>
      </c>
      <c r="ER29" s="93">
        <v>356.15</v>
      </c>
      <c r="ES29" s="93">
        <v>355.18</v>
      </c>
      <c r="ET29" s="93">
        <v>354.22</v>
      </c>
      <c r="EU29" s="93">
        <v>353.26</v>
      </c>
      <c r="EV29" s="93">
        <v>352.3</v>
      </c>
      <c r="EW29" s="93">
        <v>351.34</v>
      </c>
      <c r="EX29" s="93">
        <v>350.38</v>
      </c>
      <c r="EY29" s="93">
        <v>349.42</v>
      </c>
      <c r="EZ29" s="93">
        <v>348.47</v>
      </c>
      <c r="FA29" s="93">
        <v>347.51</v>
      </c>
      <c r="FB29" s="93">
        <v>346.55</v>
      </c>
      <c r="FC29" s="93">
        <v>345.59</v>
      </c>
      <c r="FD29" s="93">
        <v>344.64</v>
      </c>
      <c r="FE29" s="93">
        <v>343.69</v>
      </c>
      <c r="FF29" s="93">
        <v>342.73</v>
      </c>
      <c r="FG29" s="93">
        <v>341.78</v>
      </c>
      <c r="FH29" s="93">
        <v>340.83</v>
      </c>
      <c r="FI29" s="93">
        <v>339.87</v>
      </c>
      <c r="FJ29" s="93">
        <v>338.92</v>
      </c>
      <c r="FK29" s="93">
        <v>337.97</v>
      </c>
      <c r="FL29" s="93">
        <v>337.02</v>
      </c>
      <c r="FM29" s="93">
        <v>336.07</v>
      </c>
      <c r="FN29" s="93">
        <v>335.12</v>
      </c>
      <c r="FO29" s="93">
        <v>334.18</v>
      </c>
      <c r="FP29" s="93">
        <v>333.23</v>
      </c>
      <c r="FQ29" s="93">
        <v>332.28</v>
      </c>
      <c r="FR29" s="93">
        <v>331.34</v>
      </c>
      <c r="FS29" s="93">
        <v>330.39</v>
      </c>
      <c r="FT29" s="93">
        <v>329.45</v>
      </c>
      <c r="FU29" s="93">
        <v>328.51</v>
      </c>
      <c r="FV29" s="93">
        <v>327.56</v>
      </c>
      <c r="FW29" s="93">
        <v>326.62</v>
      </c>
      <c r="FX29" s="93">
        <v>325.68</v>
      </c>
      <c r="FY29" s="93">
        <v>324.74</v>
      </c>
      <c r="FZ29" s="93">
        <v>323.79000000000002</v>
      </c>
      <c r="GA29" s="93">
        <v>322.85000000000002</v>
      </c>
      <c r="GB29" s="93">
        <v>321.93</v>
      </c>
      <c r="GC29" s="93">
        <v>320.99</v>
      </c>
      <c r="GD29" s="93">
        <v>320.04000000000002</v>
      </c>
      <c r="GE29" s="93">
        <v>319.12</v>
      </c>
      <c r="GF29" s="93">
        <v>318.19</v>
      </c>
      <c r="GG29" s="93">
        <v>317.25</v>
      </c>
      <c r="GH29" s="93">
        <v>316.32</v>
      </c>
      <c r="GI29" s="93">
        <v>315.39</v>
      </c>
      <c r="GJ29" s="93">
        <v>314.45999999999998</v>
      </c>
      <c r="GK29" s="93">
        <v>313.52999999999997</v>
      </c>
      <c r="GL29" s="93">
        <v>312.60000000000002</v>
      </c>
      <c r="GM29" s="93">
        <v>311.67</v>
      </c>
      <c r="GN29" s="93">
        <v>310.75</v>
      </c>
      <c r="GO29" s="93">
        <v>309.82</v>
      </c>
      <c r="GP29" s="93">
        <v>308.89999999999998</v>
      </c>
      <c r="GQ29" s="93">
        <v>307.98</v>
      </c>
      <c r="GR29" s="93">
        <v>307.06</v>
      </c>
      <c r="GS29" s="93">
        <v>306.14</v>
      </c>
      <c r="GT29" s="93">
        <v>305.22000000000003</v>
      </c>
      <c r="GU29" s="93">
        <v>304.29000000000002</v>
      </c>
      <c r="GV29" s="93">
        <v>303.38</v>
      </c>
      <c r="GW29" s="93">
        <v>302.45999999999998</v>
      </c>
      <c r="GX29" s="93">
        <v>301.54000000000002</v>
      </c>
      <c r="GY29" s="93">
        <v>300.63</v>
      </c>
      <c r="GZ29" s="93">
        <v>299.72000000000003</v>
      </c>
      <c r="HA29" s="93">
        <v>298.81</v>
      </c>
      <c r="HB29" s="93">
        <v>297.89999999999998</v>
      </c>
      <c r="HC29" s="93">
        <v>296.99</v>
      </c>
      <c r="HD29" s="93">
        <v>296.07</v>
      </c>
      <c r="HE29" s="93">
        <v>295.17</v>
      </c>
      <c r="HF29" s="93">
        <v>294.26</v>
      </c>
      <c r="HG29" s="93">
        <v>293.35000000000002</v>
      </c>
      <c r="HH29" s="93">
        <v>292.45999999999998</v>
      </c>
      <c r="HI29" s="93">
        <v>291.54000000000002</v>
      </c>
      <c r="HJ29" s="93">
        <v>290.64999999999998</v>
      </c>
      <c r="HK29" s="93">
        <v>289.75</v>
      </c>
      <c r="HL29" s="93">
        <v>288.85000000000002</v>
      </c>
      <c r="HM29" s="93">
        <v>287.95999999999998</v>
      </c>
      <c r="HN29" s="93">
        <v>287.06</v>
      </c>
      <c r="HO29" s="93">
        <v>286.17</v>
      </c>
      <c r="HP29" s="93">
        <v>285.26</v>
      </c>
      <c r="HQ29" s="93">
        <v>284.38</v>
      </c>
      <c r="HR29" s="93">
        <v>283.49</v>
      </c>
      <c r="HS29" s="93">
        <v>282.60000000000002</v>
      </c>
      <c r="HT29" s="93">
        <v>281.70999999999998</v>
      </c>
      <c r="HU29" s="93">
        <v>280.82</v>
      </c>
      <c r="HV29" s="93">
        <v>279.94</v>
      </c>
      <c r="HW29" s="93">
        <v>279.04000000000002</v>
      </c>
      <c r="HX29" s="93">
        <v>278.17</v>
      </c>
      <c r="HY29" s="93">
        <v>277.27999999999997</v>
      </c>
      <c r="HZ29" s="93">
        <v>276.39999999999998</v>
      </c>
      <c r="IA29" s="93">
        <v>275.51</v>
      </c>
      <c r="IB29" s="93">
        <v>274.64</v>
      </c>
      <c r="IC29" s="93">
        <v>273.76</v>
      </c>
      <c r="ID29" s="93">
        <v>272.88</v>
      </c>
      <c r="IE29" s="93">
        <v>272</v>
      </c>
      <c r="IF29" s="93">
        <v>271.13</v>
      </c>
      <c r="IG29" s="93">
        <v>270.25</v>
      </c>
      <c r="IH29" s="93">
        <v>269.38</v>
      </c>
      <c r="II29" s="93">
        <v>268.51</v>
      </c>
      <c r="IJ29" s="93">
        <v>267.64</v>
      </c>
      <c r="IK29" s="93">
        <v>266.76</v>
      </c>
      <c r="IL29" s="93">
        <v>265.89999999999998</v>
      </c>
      <c r="IM29" s="93">
        <v>265.02999999999997</v>
      </c>
      <c r="IN29" s="93">
        <v>264.16000000000003</v>
      </c>
      <c r="IO29" s="93">
        <v>263.29000000000002</v>
      </c>
      <c r="IP29" s="93">
        <v>262.43</v>
      </c>
      <c r="IQ29" s="93">
        <v>261.57</v>
      </c>
      <c r="IR29" s="93">
        <v>260.70999999999998</v>
      </c>
      <c r="IS29" s="93">
        <v>259.85000000000002</v>
      </c>
      <c r="IT29" s="93">
        <v>258.99</v>
      </c>
      <c r="IU29" s="93">
        <v>258.13</v>
      </c>
      <c r="IV29" s="93">
        <v>257.27999999999997</v>
      </c>
      <c r="IW29" s="93">
        <v>256.42</v>
      </c>
      <c r="IX29" s="93">
        <v>255.57</v>
      </c>
      <c r="IY29" s="93">
        <v>254.72</v>
      </c>
      <c r="IZ29" s="93">
        <v>253.87</v>
      </c>
      <c r="JA29" s="93">
        <v>253.02</v>
      </c>
      <c r="JB29" s="93">
        <v>252.17</v>
      </c>
      <c r="JC29" s="93">
        <v>251.32</v>
      </c>
      <c r="JD29" s="93">
        <v>250.47</v>
      </c>
      <c r="JE29" s="93">
        <v>249.63</v>
      </c>
      <c r="JF29" s="93">
        <v>248.79</v>
      </c>
      <c r="JG29" s="93">
        <v>247.94</v>
      </c>
      <c r="JH29" s="93">
        <v>247.1</v>
      </c>
      <c r="JI29" s="93">
        <v>246.26</v>
      </c>
      <c r="JJ29" s="93">
        <v>245.42</v>
      </c>
      <c r="JK29" s="93">
        <v>244.58</v>
      </c>
      <c r="JL29" s="93">
        <v>243.75</v>
      </c>
      <c r="JM29" s="93">
        <v>242.91</v>
      </c>
      <c r="JN29" s="93">
        <v>242.07</v>
      </c>
      <c r="JO29" s="93">
        <v>241.24</v>
      </c>
      <c r="JP29" s="93">
        <v>240.41</v>
      </c>
      <c r="JQ29" s="93">
        <v>239.57</v>
      </c>
      <c r="JR29" s="93">
        <v>238.74</v>
      </c>
      <c r="JS29" s="93">
        <v>237.91</v>
      </c>
      <c r="JT29" s="93">
        <v>237.09</v>
      </c>
      <c r="JU29" s="93">
        <v>236.26</v>
      </c>
      <c r="JV29" s="93">
        <v>235.43</v>
      </c>
      <c r="JW29" s="93">
        <v>234.61</v>
      </c>
      <c r="JX29" s="93">
        <v>233.78</v>
      </c>
      <c r="JY29" s="93">
        <v>232.96</v>
      </c>
      <c r="JZ29" s="93">
        <v>232.14</v>
      </c>
      <c r="KA29" s="93">
        <v>231.32</v>
      </c>
      <c r="KB29" s="93">
        <v>230.5</v>
      </c>
      <c r="KC29" s="93">
        <v>229.68</v>
      </c>
      <c r="KD29" s="93">
        <v>228.86</v>
      </c>
      <c r="KE29" s="93">
        <v>228.04</v>
      </c>
      <c r="KF29" s="93">
        <v>227.22</v>
      </c>
      <c r="KG29" s="93">
        <v>226.41</v>
      </c>
      <c r="KH29" s="93">
        <v>225.6</v>
      </c>
      <c r="KI29" s="93">
        <v>224.78</v>
      </c>
      <c r="KJ29" s="93">
        <v>223.97</v>
      </c>
      <c r="KK29" s="93">
        <v>223.16</v>
      </c>
      <c r="KL29" s="93">
        <v>222.35</v>
      </c>
      <c r="KM29" s="93">
        <v>221.54</v>
      </c>
      <c r="KN29" s="93">
        <v>220.74</v>
      </c>
      <c r="KO29" s="93">
        <v>219.93</v>
      </c>
      <c r="KP29" s="93">
        <v>219.13</v>
      </c>
      <c r="KQ29" s="93">
        <v>218.33</v>
      </c>
      <c r="KR29" s="93">
        <v>217.21000000000021</v>
      </c>
      <c r="KS29" s="93">
        <v>216.46000000000021</v>
      </c>
      <c r="KT29" s="93">
        <v>215.71000000000021</v>
      </c>
      <c r="KU29" s="93">
        <v>214.96000000000021</v>
      </c>
      <c r="KV29" s="93">
        <v>214.21000000000021</v>
      </c>
      <c r="KW29" s="93">
        <v>213.46000000000021</v>
      </c>
      <c r="KX29" s="93">
        <v>212.71000000000021</v>
      </c>
      <c r="KY29" s="93">
        <v>211.96000000000021</v>
      </c>
      <c r="KZ29" s="93">
        <v>211.21000000000021</v>
      </c>
      <c r="LA29" s="93">
        <v>210.46000000000021</v>
      </c>
      <c r="LB29" s="93">
        <v>209.71000000000021</v>
      </c>
      <c r="LC29" s="93">
        <v>208.96000000000021</v>
      </c>
      <c r="LD29" s="93">
        <v>208.21000000000021</v>
      </c>
      <c r="LE29" s="93">
        <v>207.46000000000021</v>
      </c>
      <c r="LF29" s="93">
        <v>206.71000000000021</v>
      </c>
      <c r="LG29" s="93">
        <v>205.96000000000021</v>
      </c>
      <c r="LH29" s="93">
        <v>205.21000000000021</v>
      </c>
      <c r="LI29" s="93">
        <v>204.46000000000021</v>
      </c>
      <c r="LJ29" s="93">
        <v>203.71000000000021</v>
      </c>
      <c r="LK29" s="93">
        <v>202.96000000000021</v>
      </c>
      <c r="LL29" s="93">
        <v>202.21000000000021</v>
      </c>
      <c r="LM29" s="93">
        <v>201.46000000000021</v>
      </c>
      <c r="LN29" s="93">
        <v>200.71000000000021</v>
      </c>
      <c r="LO29" s="93">
        <v>199.96000000000021</v>
      </c>
      <c r="LP29" s="93">
        <v>199.21000000000021</v>
      </c>
      <c r="LQ29" s="93">
        <v>198.46000000000021</v>
      </c>
      <c r="LR29" s="93">
        <v>197.71000000000021</v>
      </c>
      <c r="LS29" s="93">
        <v>196.96000000000021</v>
      </c>
      <c r="LT29" s="93">
        <v>196.21000000000021</v>
      </c>
      <c r="LU29" s="93">
        <v>195.46000000000021</v>
      </c>
      <c r="LV29" s="93">
        <v>194.71000000000021</v>
      </c>
      <c r="LW29" s="93">
        <v>193.96000000000021</v>
      </c>
      <c r="LX29" s="93">
        <v>193.21000000000021</v>
      </c>
      <c r="LY29" s="93">
        <v>192.46000000000021</v>
      </c>
      <c r="LZ29" s="93">
        <v>191.71000000000021</v>
      </c>
      <c r="MA29" s="93">
        <v>190.96000000000021</v>
      </c>
      <c r="MB29" s="93">
        <v>190.21000000000021</v>
      </c>
      <c r="MC29" s="93">
        <v>189.46000000000021</v>
      </c>
      <c r="MD29" s="93">
        <v>188.71000000000021</v>
      </c>
      <c r="ME29" s="93">
        <v>187.96000000000021</v>
      </c>
      <c r="MF29" s="93">
        <v>187.21000000000021</v>
      </c>
      <c r="MG29" s="93">
        <v>186.46000000000021</v>
      </c>
      <c r="MH29" s="93">
        <v>185.71000000000021</v>
      </c>
      <c r="MI29" s="93">
        <v>184.96000000000021</v>
      </c>
      <c r="MJ29" s="93">
        <v>184.21000000000021</v>
      </c>
      <c r="MK29" s="93">
        <v>183.46000000000021</v>
      </c>
      <c r="ML29" s="93">
        <v>182.71000000000021</v>
      </c>
      <c r="MM29" s="93">
        <v>181.96000000000021</v>
      </c>
      <c r="MN29" s="93">
        <v>181.21000000000021</v>
      </c>
      <c r="MO29" s="93">
        <v>180.46000000000021</v>
      </c>
      <c r="MP29" s="93">
        <v>179.71000000000021</v>
      </c>
      <c r="MQ29" s="93">
        <v>178.96000000000021</v>
      </c>
      <c r="MR29" s="93">
        <v>178.21000000000021</v>
      </c>
      <c r="MS29" s="93">
        <v>177.46000000000021</v>
      </c>
      <c r="MT29" s="93">
        <v>176.71000000000021</v>
      </c>
      <c r="MU29" s="93">
        <v>175.96000000000021</v>
      </c>
      <c r="MV29" s="93">
        <v>175.21000000000021</v>
      </c>
      <c r="MW29" s="93">
        <v>174.46000000000021</v>
      </c>
      <c r="MX29" s="93">
        <v>173.71000000000021</v>
      </c>
      <c r="MY29" s="93">
        <v>172.96000000000021</v>
      </c>
    </row>
    <row r="30" spans="1:363" ht="15.75" x14ac:dyDescent="0.25">
      <c r="A30" s="90" t="s">
        <v>7</v>
      </c>
      <c r="B30" s="95">
        <v>2040</v>
      </c>
      <c r="C30" s="93">
        <v>502.57</v>
      </c>
      <c r="D30" s="93">
        <v>501.55</v>
      </c>
      <c r="E30" s="93">
        <v>500.53</v>
      </c>
      <c r="F30" s="93">
        <v>499.5</v>
      </c>
      <c r="G30" s="93">
        <v>498.48</v>
      </c>
      <c r="H30" s="93">
        <v>497.46</v>
      </c>
      <c r="I30" s="93">
        <v>496.44</v>
      </c>
      <c r="J30" s="93">
        <v>495.41</v>
      </c>
      <c r="K30" s="93">
        <v>494.39</v>
      </c>
      <c r="L30" s="93">
        <v>493.37</v>
      </c>
      <c r="M30" s="93">
        <v>492.34</v>
      </c>
      <c r="N30" s="93">
        <v>491.32</v>
      </c>
      <c r="O30" s="93">
        <v>490.3</v>
      </c>
      <c r="P30" s="93">
        <v>489.28</v>
      </c>
      <c r="Q30" s="93">
        <v>488.26</v>
      </c>
      <c r="R30" s="93">
        <v>487.23</v>
      </c>
      <c r="S30" s="93">
        <v>486.21</v>
      </c>
      <c r="T30" s="93">
        <v>485.19</v>
      </c>
      <c r="U30" s="93">
        <v>484.17</v>
      </c>
      <c r="V30" s="93">
        <v>483.14</v>
      </c>
      <c r="W30" s="93">
        <v>482.12</v>
      </c>
      <c r="X30" s="93">
        <v>481.1</v>
      </c>
      <c r="Y30" s="93">
        <v>480.08</v>
      </c>
      <c r="Z30" s="93">
        <v>479.06</v>
      </c>
      <c r="AA30" s="93">
        <v>478.03</v>
      </c>
      <c r="AB30" s="93">
        <v>477.01</v>
      </c>
      <c r="AC30" s="93">
        <v>475.99</v>
      </c>
      <c r="AD30" s="93">
        <v>474.97</v>
      </c>
      <c r="AE30" s="93">
        <v>473.95</v>
      </c>
      <c r="AF30" s="93">
        <v>472.93</v>
      </c>
      <c r="AG30" s="93">
        <v>471.91</v>
      </c>
      <c r="AH30" s="93">
        <v>470.88</v>
      </c>
      <c r="AI30" s="93">
        <v>469.86</v>
      </c>
      <c r="AJ30" s="93">
        <v>468.84</v>
      </c>
      <c r="AK30" s="93">
        <v>467.82</v>
      </c>
      <c r="AL30" s="93">
        <v>466.8</v>
      </c>
      <c r="AM30" s="93">
        <v>465.78</v>
      </c>
      <c r="AN30" s="93">
        <v>464.76</v>
      </c>
      <c r="AO30" s="93">
        <v>463.74</v>
      </c>
      <c r="AP30" s="93">
        <v>462.72</v>
      </c>
      <c r="AQ30" s="93">
        <v>461.7</v>
      </c>
      <c r="AR30" s="93">
        <v>460.68</v>
      </c>
      <c r="AS30" s="93">
        <v>459.66</v>
      </c>
      <c r="AT30" s="93">
        <v>458.64</v>
      </c>
      <c r="AU30" s="93">
        <v>457.62</v>
      </c>
      <c r="AV30" s="93">
        <v>456.6</v>
      </c>
      <c r="AW30" s="93">
        <v>455.58</v>
      </c>
      <c r="AX30" s="93">
        <v>454.56</v>
      </c>
      <c r="AY30" s="93">
        <v>453.54</v>
      </c>
      <c r="AZ30" s="93">
        <v>452.52</v>
      </c>
      <c r="BA30" s="93">
        <v>451.5</v>
      </c>
      <c r="BB30" s="93">
        <v>450.49</v>
      </c>
      <c r="BC30" s="93">
        <v>449.47</v>
      </c>
      <c r="BD30" s="93">
        <v>448.45</v>
      </c>
      <c r="BE30" s="93">
        <v>447.43</v>
      </c>
      <c r="BF30" s="93">
        <v>446.41</v>
      </c>
      <c r="BG30" s="93">
        <v>445.4</v>
      </c>
      <c r="BH30" s="93">
        <v>444.38</v>
      </c>
      <c r="BI30" s="93">
        <v>443.36</v>
      </c>
      <c r="BJ30" s="93">
        <v>442.34</v>
      </c>
      <c r="BK30" s="93">
        <v>441.32</v>
      </c>
      <c r="BL30" s="93">
        <v>440.31</v>
      </c>
      <c r="BM30" s="93">
        <v>439.29</v>
      </c>
      <c r="BN30" s="93">
        <v>438.28</v>
      </c>
      <c r="BO30" s="93">
        <v>437.26</v>
      </c>
      <c r="BP30" s="93">
        <v>436.25</v>
      </c>
      <c r="BQ30" s="93">
        <v>435.23</v>
      </c>
      <c r="BR30" s="93">
        <v>434.22</v>
      </c>
      <c r="BS30" s="93">
        <v>433.2</v>
      </c>
      <c r="BT30" s="93">
        <v>432.19</v>
      </c>
      <c r="BU30" s="93">
        <v>431.17</v>
      </c>
      <c r="BV30" s="93">
        <v>430.16</v>
      </c>
      <c r="BW30" s="93">
        <v>429.14</v>
      </c>
      <c r="BX30" s="93">
        <v>428.13</v>
      </c>
      <c r="BY30" s="93">
        <v>427.12</v>
      </c>
      <c r="BZ30" s="93">
        <v>426.11</v>
      </c>
      <c r="CA30" s="93">
        <v>425.1</v>
      </c>
      <c r="CB30" s="93">
        <v>424.09</v>
      </c>
      <c r="CC30" s="93">
        <v>423.08</v>
      </c>
      <c r="CD30" s="93">
        <v>422.06</v>
      </c>
      <c r="CE30" s="93">
        <v>421.05</v>
      </c>
      <c r="CF30" s="93">
        <v>420.04</v>
      </c>
      <c r="CG30" s="93">
        <v>419.03</v>
      </c>
      <c r="CH30" s="93">
        <v>418.02</v>
      </c>
      <c r="CI30" s="93">
        <v>417.01</v>
      </c>
      <c r="CJ30" s="93">
        <v>416.01</v>
      </c>
      <c r="CK30" s="93">
        <v>415</v>
      </c>
      <c r="CL30" s="93">
        <v>413.99</v>
      </c>
      <c r="CM30" s="93">
        <v>412.99</v>
      </c>
      <c r="CN30" s="93">
        <v>411.98</v>
      </c>
      <c r="CO30" s="93">
        <v>410.98</v>
      </c>
      <c r="CP30" s="93">
        <v>409.97</v>
      </c>
      <c r="CQ30" s="93">
        <v>408.97</v>
      </c>
      <c r="CR30" s="93">
        <v>407.96</v>
      </c>
      <c r="CS30" s="93">
        <v>406.96</v>
      </c>
      <c r="CT30" s="93">
        <v>405.95</v>
      </c>
      <c r="CU30" s="93">
        <v>404.95</v>
      </c>
      <c r="CV30" s="93">
        <v>403.95</v>
      </c>
      <c r="CW30" s="93">
        <v>402.95</v>
      </c>
      <c r="CX30" s="93">
        <v>401.95</v>
      </c>
      <c r="CY30" s="93">
        <v>400.95</v>
      </c>
      <c r="CZ30" s="93">
        <v>399.95</v>
      </c>
      <c r="DA30" s="93">
        <v>398.95</v>
      </c>
      <c r="DB30" s="93">
        <v>397.95</v>
      </c>
      <c r="DC30" s="93">
        <v>396.95</v>
      </c>
      <c r="DD30" s="93">
        <v>395.95</v>
      </c>
      <c r="DE30" s="93">
        <v>394.95</v>
      </c>
      <c r="DF30" s="93">
        <v>393.96</v>
      </c>
      <c r="DG30" s="93">
        <v>392.96</v>
      </c>
      <c r="DH30" s="93">
        <v>391.96</v>
      </c>
      <c r="DI30" s="93">
        <v>390.97</v>
      </c>
      <c r="DJ30" s="93">
        <v>389.98</v>
      </c>
      <c r="DK30" s="93">
        <v>388.99</v>
      </c>
      <c r="DL30" s="93">
        <v>387.99</v>
      </c>
      <c r="DM30" s="93">
        <v>387</v>
      </c>
      <c r="DN30" s="93">
        <v>386.01</v>
      </c>
      <c r="DO30" s="93">
        <v>385.02</v>
      </c>
      <c r="DP30" s="93">
        <v>384.03</v>
      </c>
      <c r="DQ30" s="93">
        <v>383.04</v>
      </c>
      <c r="DR30" s="93">
        <v>382.05</v>
      </c>
      <c r="DS30" s="93">
        <v>381.06</v>
      </c>
      <c r="DT30" s="93">
        <v>380.07</v>
      </c>
      <c r="DU30" s="93">
        <v>379.09</v>
      </c>
      <c r="DV30" s="93">
        <v>378.1</v>
      </c>
      <c r="DW30" s="93">
        <v>377.12</v>
      </c>
      <c r="DX30" s="93">
        <v>376.14</v>
      </c>
      <c r="DY30" s="93">
        <v>375.16</v>
      </c>
      <c r="DZ30" s="93">
        <v>374.17</v>
      </c>
      <c r="EA30" s="93">
        <v>373.19</v>
      </c>
      <c r="EB30" s="93">
        <v>372.21</v>
      </c>
      <c r="EC30" s="93">
        <v>371.23</v>
      </c>
      <c r="ED30" s="93">
        <v>370.25</v>
      </c>
      <c r="EE30" s="93">
        <v>369.27</v>
      </c>
      <c r="EF30" s="93">
        <v>368.3</v>
      </c>
      <c r="EG30" s="93">
        <v>367.33</v>
      </c>
      <c r="EH30" s="93">
        <v>366.35</v>
      </c>
      <c r="EI30" s="93">
        <v>365.38</v>
      </c>
      <c r="EJ30" s="93">
        <v>364.41</v>
      </c>
      <c r="EK30" s="93">
        <v>363.44</v>
      </c>
      <c r="EL30" s="93">
        <v>362.47</v>
      </c>
      <c r="EM30" s="93">
        <v>361.5</v>
      </c>
      <c r="EN30" s="93">
        <v>360.54</v>
      </c>
      <c r="EO30" s="93">
        <v>359.57</v>
      </c>
      <c r="EP30" s="93">
        <v>358.6</v>
      </c>
      <c r="EQ30" s="93">
        <v>357.63</v>
      </c>
      <c r="ER30" s="93">
        <v>356.67</v>
      </c>
      <c r="ES30" s="93">
        <v>355.71</v>
      </c>
      <c r="ET30" s="93">
        <v>354.75</v>
      </c>
      <c r="EU30" s="93">
        <v>353.78</v>
      </c>
      <c r="EV30" s="93">
        <v>352.82</v>
      </c>
      <c r="EW30" s="93">
        <v>351.86</v>
      </c>
      <c r="EX30" s="93">
        <v>350.9</v>
      </c>
      <c r="EY30" s="93">
        <v>349.95</v>
      </c>
      <c r="EZ30" s="93">
        <v>348.99</v>
      </c>
      <c r="FA30" s="93">
        <v>348.03</v>
      </c>
      <c r="FB30" s="93">
        <v>347.07</v>
      </c>
      <c r="FC30" s="93">
        <v>346.12</v>
      </c>
      <c r="FD30" s="93">
        <v>345.16</v>
      </c>
      <c r="FE30" s="93">
        <v>344.21</v>
      </c>
      <c r="FF30" s="93">
        <v>343.25</v>
      </c>
      <c r="FG30" s="93">
        <v>342.3</v>
      </c>
      <c r="FH30" s="93">
        <v>341.35</v>
      </c>
      <c r="FI30" s="93">
        <v>340.39</v>
      </c>
      <c r="FJ30" s="93">
        <v>339.44</v>
      </c>
      <c r="FK30" s="93">
        <v>338.49</v>
      </c>
      <c r="FL30" s="93">
        <v>337.54</v>
      </c>
      <c r="FM30" s="93">
        <v>336.59</v>
      </c>
      <c r="FN30" s="93">
        <v>335.64</v>
      </c>
      <c r="FO30" s="93">
        <v>334.69</v>
      </c>
      <c r="FP30" s="93">
        <v>333.75</v>
      </c>
      <c r="FQ30" s="93">
        <v>332.8</v>
      </c>
      <c r="FR30" s="93">
        <v>331.86</v>
      </c>
      <c r="FS30" s="93">
        <v>330.91</v>
      </c>
      <c r="FT30" s="93">
        <v>329.97</v>
      </c>
      <c r="FU30" s="93">
        <v>329.02</v>
      </c>
      <c r="FV30" s="93">
        <v>328.08</v>
      </c>
      <c r="FW30" s="93">
        <v>327.14</v>
      </c>
      <c r="FX30" s="93">
        <v>326.2</v>
      </c>
      <c r="FY30" s="93">
        <v>325.26</v>
      </c>
      <c r="FZ30" s="93">
        <v>324.32</v>
      </c>
      <c r="GA30" s="93">
        <v>323.38</v>
      </c>
      <c r="GB30" s="93">
        <v>322.44</v>
      </c>
      <c r="GC30" s="93">
        <v>321.5</v>
      </c>
      <c r="GD30" s="93">
        <v>320.57</v>
      </c>
      <c r="GE30" s="93">
        <v>319.63</v>
      </c>
      <c r="GF30" s="93">
        <v>318.7</v>
      </c>
      <c r="GG30" s="93">
        <v>317.76</v>
      </c>
      <c r="GH30" s="93">
        <v>316.82</v>
      </c>
      <c r="GI30" s="93">
        <v>315.89999999999998</v>
      </c>
      <c r="GJ30" s="93">
        <v>314.97000000000003</v>
      </c>
      <c r="GK30" s="93">
        <v>314.04000000000002</v>
      </c>
      <c r="GL30" s="93">
        <v>313.10000000000002</v>
      </c>
      <c r="GM30" s="93">
        <v>312.19</v>
      </c>
      <c r="GN30" s="93">
        <v>311.26</v>
      </c>
      <c r="GO30" s="93">
        <v>310.33999999999997</v>
      </c>
      <c r="GP30" s="93">
        <v>309.41000000000003</v>
      </c>
      <c r="GQ30" s="93">
        <v>308.49</v>
      </c>
      <c r="GR30" s="93">
        <v>307.57</v>
      </c>
      <c r="GS30" s="93">
        <v>306.64999999999998</v>
      </c>
      <c r="GT30" s="93">
        <v>305.73</v>
      </c>
      <c r="GU30" s="93">
        <v>304.81</v>
      </c>
      <c r="GV30" s="93">
        <v>303.89</v>
      </c>
      <c r="GW30" s="93">
        <v>302.97000000000003</v>
      </c>
      <c r="GX30" s="93">
        <v>302.06</v>
      </c>
      <c r="GY30" s="93">
        <v>301.14</v>
      </c>
      <c r="GZ30" s="93">
        <v>300.23</v>
      </c>
      <c r="HA30" s="93">
        <v>299.32</v>
      </c>
      <c r="HB30" s="93">
        <v>298.41000000000003</v>
      </c>
      <c r="HC30" s="93">
        <v>297.5</v>
      </c>
      <c r="HD30" s="93">
        <v>296.58999999999997</v>
      </c>
      <c r="HE30" s="93">
        <v>295.68</v>
      </c>
      <c r="HF30" s="93">
        <v>294.76</v>
      </c>
      <c r="HG30" s="93">
        <v>293.87</v>
      </c>
      <c r="HH30" s="93">
        <v>292.95999999999998</v>
      </c>
      <c r="HI30" s="93">
        <v>292.06</v>
      </c>
      <c r="HJ30" s="93">
        <v>291.16000000000003</v>
      </c>
      <c r="HK30" s="93">
        <v>290.26</v>
      </c>
      <c r="HL30" s="93">
        <v>289.35000000000002</v>
      </c>
      <c r="HM30" s="93">
        <v>288.45999999999998</v>
      </c>
      <c r="HN30" s="93">
        <v>287.56</v>
      </c>
      <c r="HO30" s="93">
        <v>286.67</v>
      </c>
      <c r="HP30" s="93">
        <v>285.77999999999997</v>
      </c>
      <c r="HQ30" s="93">
        <v>284.88</v>
      </c>
      <c r="HR30" s="93">
        <v>283.99</v>
      </c>
      <c r="HS30" s="93">
        <v>283.10000000000002</v>
      </c>
      <c r="HT30" s="93">
        <v>282.20999999999998</v>
      </c>
      <c r="HU30" s="93">
        <v>281.32</v>
      </c>
      <c r="HV30" s="93">
        <v>280.44</v>
      </c>
      <c r="HW30" s="93">
        <v>279.54000000000002</v>
      </c>
      <c r="HX30" s="93">
        <v>278.66000000000003</v>
      </c>
      <c r="HY30" s="93">
        <v>277.77999999999997</v>
      </c>
      <c r="HZ30" s="93">
        <v>276.89999999999998</v>
      </c>
      <c r="IA30" s="93">
        <v>276.01</v>
      </c>
      <c r="IB30" s="93">
        <v>275.14</v>
      </c>
      <c r="IC30" s="93">
        <v>274.26</v>
      </c>
      <c r="ID30" s="93">
        <v>273.38</v>
      </c>
      <c r="IE30" s="93">
        <v>272.5</v>
      </c>
      <c r="IF30" s="93">
        <v>271.62</v>
      </c>
      <c r="IG30" s="93">
        <v>270.75</v>
      </c>
      <c r="IH30" s="93">
        <v>269.87</v>
      </c>
      <c r="II30" s="93">
        <v>269</v>
      </c>
      <c r="IJ30" s="93">
        <v>268.13</v>
      </c>
      <c r="IK30" s="93">
        <v>267.26</v>
      </c>
      <c r="IL30" s="93">
        <v>266.39</v>
      </c>
      <c r="IM30" s="93">
        <v>265.51</v>
      </c>
      <c r="IN30" s="93">
        <v>264.64999999999998</v>
      </c>
      <c r="IO30" s="93">
        <v>263.79000000000002</v>
      </c>
      <c r="IP30" s="93">
        <v>262.92</v>
      </c>
      <c r="IQ30" s="93">
        <v>262.06</v>
      </c>
      <c r="IR30" s="93">
        <v>261.2</v>
      </c>
      <c r="IS30" s="93">
        <v>260.33999999999997</v>
      </c>
      <c r="IT30" s="93">
        <v>259.48</v>
      </c>
      <c r="IU30" s="93">
        <v>258.62</v>
      </c>
      <c r="IV30" s="93">
        <v>257.76</v>
      </c>
      <c r="IW30" s="93">
        <v>256.91000000000003</v>
      </c>
      <c r="IX30" s="93">
        <v>256.04000000000002</v>
      </c>
      <c r="IY30" s="93">
        <v>255.2</v>
      </c>
      <c r="IZ30" s="93">
        <v>254.35</v>
      </c>
      <c r="JA30" s="93">
        <v>253.5</v>
      </c>
      <c r="JB30" s="93">
        <v>252.65</v>
      </c>
      <c r="JC30" s="93">
        <v>251.81</v>
      </c>
      <c r="JD30" s="93">
        <v>250.96</v>
      </c>
      <c r="JE30" s="93">
        <v>250.11</v>
      </c>
      <c r="JF30" s="93">
        <v>249.27</v>
      </c>
      <c r="JG30" s="93">
        <v>248.42</v>
      </c>
      <c r="JH30" s="93">
        <v>247.58</v>
      </c>
      <c r="JI30" s="93">
        <v>246.74</v>
      </c>
      <c r="JJ30" s="93">
        <v>245.9</v>
      </c>
      <c r="JK30" s="93">
        <v>245.06</v>
      </c>
      <c r="JL30" s="93">
        <v>244.23</v>
      </c>
      <c r="JM30" s="93">
        <v>243.39</v>
      </c>
      <c r="JN30" s="93">
        <v>242.55</v>
      </c>
      <c r="JO30" s="93">
        <v>241.72</v>
      </c>
      <c r="JP30" s="93">
        <v>240.88</v>
      </c>
      <c r="JQ30" s="93">
        <v>240.05</v>
      </c>
      <c r="JR30" s="93">
        <v>239.22</v>
      </c>
      <c r="JS30" s="93">
        <v>238.39</v>
      </c>
      <c r="JT30" s="93">
        <v>237.56</v>
      </c>
      <c r="JU30" s="93">
        <v>236.73</v>
      </c>
      <c r="JV30" s="93">
        <v>235.91</v>
      </c>
      <c r="JW30" s="93">
        <v>235.08</v>
      </c>
      <c r="JX30" s="93">
        <v>234.26</v>
      </c>
      <c r="JY30" s="93">
        <v>233.43</v>
      </c>
      <c r="JZ30" s="93">
        <v>232.61</v>
      </c>
      <c r="KA30" s="93">
        <v>231.79</v>
      </c>
      <c r="KB30" s="93">
        <v>230.97</v>
      </c>
      <c r="KC30" s="93">
        <v>230.15</v>
      </c>
      <c r="KD30" s="93">
        <v>229.33</v>
      </c>
      <c r="KE30" s="93">
        <v>228.51</v>
      </c>
      <c r="KF30" s="93">
        <v>227.69</v>
      </c>
      <c r="KG30" s="93">
        <v>226.88</v>
      </c>
      <c r="KH30" s="93">
        <v>226.06</v>
      </c>
      <c r="KI30" s="93">
        <v>225.25</v>
      </c>
      <c r="KJ30" s="93">
        <v>224.44</v>
      </c>
      <c r="KK30" s="93">
        <v>223.63</v>
      </c>
      <c r="KL30" s="93">
        <v>222.82</v>
      </c>
      <c r="KM30" s="93">
        <v>222.01</v>
      </c>
      <c r="KN30" s="93">
        <v>221.2</v>
      </c>
      <c r="KO30" s="93">
        <v>220.39</v>
      </c>
      <c r="KP30" s="93">
        <v>219.59</v>
      </c>
      <c r="KQ30" s="93">
        <v>218.79</v>
      </c>
      <c r="KR30" s="93">
        <v>217.67000000000021</v>
      </c>
      <c r="KS30" s="93">
        <v>216.92000000000021</v>
      </c>
      <c r="KT30" s="93">
        <v>216.17000000000021</v>
      </c>
      <c r="KU30" s="93">
        <v>215.42000000000021</v>
      </c>
      <c r="KV30" s="93">
        <v>214.67000000000021</v>
      </c>
      <c r="KW30" s="93">
        <v>213.92000000000021</v>
      </c>
      <c r="KX30" s="93">
        <v>213.17000000000021</v>
      </c>
      <c r="KY30" s="93">
        <v>212.42000000000021</v>
      </c>
      <c r="KZ30" s="93">
        <v>211.67000000000021</v>
      </c>
      <c r="LA30" s="93">
        <v>210.92000000000021</v>
      </c>
      <c r="LB30" s="93">
        <v>210.17000000000021</v>
      </c>
      <c r="LC30" s="93">
        <v>209.42000000000021</v>
      </c>
      <c r="LD30" s="93">
        <v>208.67000000000021</v>
      </c>
      <c r="LE30" s="93">
        <v>207.92000000000021</v>
      </c>
      <c r="LF30" s="93">
        <v>207.17000000000021</v>
      </c>
      <c r="LG30" s="93">
        <v>206.42000000000021</v>
      </c>
      <c r="LH30" s="93">
        <v>205.67000000000021</v>
      </c>
      <c r="LI30" s="93">
        <v>204.92000000000021</v>
      </c>
      <c r="LJ30" s="93">
        <v>204.17000000000021</v>
      </c>
      <c r="LK30" s="93">
        <v>203.42000000000021</v>
      </c>
      <c r="LL30" s="93">
        <v>202.67000000000021</v>
      </c>
      <c r="LM30" s="93">
        <v>201.92000000000021</v>
      </c>
      <c r="LN30" s="93">
        <v>201.17000000000021</v>
      </c>
      <c r="LO30" s="93">
        <v>200.42000000000021</v>
      </c>
      <c r="LP30" s="93">
        <v>199.67000000000021</v>
      </c>
      <c r="LQ30" s="93">
        <v>198.92000000000021</v>
      </c>
      <c r="LR30" s="93">
        <v>198.17000000000021</v>
      </c>
      <c r="LS30" s="93">
        <v>197.42000000000021</v>
      </c>
      <c r="LT30" s="93">
        <v>196.67000000000021</v>
      </c>
      <c r="LU30" s="93">
        <v>195.92000000000021</v>
      </c>
      <c r="LV30" s="93">
        <v>195.17000000000021</v>
      </c>
      <c r="LW30" s="93">
        <v>194.42000000000021</v>
      </c>
      <c r="LX30" s="93">
        <v>193.67000000000021</v>
      </c>
      <c r="LY30" s="93">
        <v>192.92000000000021</v>
      </c>
      <c r="LZ30" s="93">
        <v>192.17000000000021</v>
      </c>
      <c r="MA30" s="93">
        <v>191.42000000000021</v>
      </c>
      <c r="MB30" s="93">
        <v>190.67000000000021</v>
      </c>
      <c r="MC30" s="93">
        <v>189.92000000000021</v>
      </c>
      <c r="MD30" s="93">
        <v>189.17000000000021</v>
      </c>
      <c r="ME30" s="93">
        <v>188.42000000000021</v>
      </c>
      <c r="MF30" s="93">
        <v>187.67000000000021</v>
      </c>
      <c r="MG30" s="93">
        <v>186.92000000000021</v>
      </c>
      <c r="MH30" s="93">
        <v>186.17000000000021</v>
      </c>
      <c r="MI30" s="93">
        <v>185.42000000000021</v>
      </c>
      <c r="MJ30" s="93">
        <v>184.67000000000021</v>
      </c>
      <c r="MK30" s="93">
        <v>183.92000000000021</v>
      </c>
      <c r="ML30" s="93">
        <v>183.17000000000021</v>
      </c>
      <c r="MM30" s="93">
        <v>182.42000000000021</v>
      </c>
      <c r="MN30" s="93">
        <v>181.67000000000021</v>
      </c>
      <c r="MO30" s="93">
        <v>180.92000000000021</v>
      </c>
      <c r="MP30" s="93">
        <v>180.17000000000021</v>
      </c>
      <c r="MQ30" s="93">
        <v>179.42000000000021</v>
      </c>
      <c r="MR30" s="93">
        <v>178.67000000000021</v>
      </c>
      <c r="MS30" s="93">
        <v>177.92000000000021</v>
      </c>
      <c r="MT30" s="93">
        <v>177.17000000000021</v>
      </c>
      <c r="MU30" s="93">
        <v>176.42000000000021</v>
      </c>
      <c r="MV30" s="93">
        <v>175.67000000000021</v>
      </c>
      <c r="MW30" s="93">
        <v>174.92000000000021</v>
      </c>
      <c r="MX30" s="93">
        <v>174.17000000000021</v>
      </c>
      <c r="MY30" s="93">
        <v>173.42000000000021</v>
      </c>
    </row>
    <row r="31" spans="1:363" ht="15.75" x14ac:dyDescent="0.25">
      <c r="A31" s="90" t="s">
        <v>7</v>
      </c>
      <c r="B31" s="95">
        <v>2041</v>
      </c>
      <c r="C31" s="93">
        <v>503.14</v>
      </c>
      <c r="D31" s="93">
        <v>502.12</v>
      </c>
      <c r="E31" s="93">
        <v>501.1</v>
      </c>
      <c r="F31" s="93">
        <v>500.07</v>
      </c>
      <c r="G31" s="93">
        <v>499.05</v>
      </c>
      <c r="H31" s="93">
        <v>498.03</v>
      </c>
      <c r="I31" s="93">
        <v>497</v>
      </c>
      <c r="J31" s="93">
        <v>495.98</v>
      </c>
      <c r="K31" s="93">
        <v>494.96</v>
      </c>
      <c r="L31" s="93">
        <v>493.93</v>
      </c>
      <c r="M31" s="93">
        <v>492.91</v>
      </c>
      <c r="N31" s="93">
        <v>491.89</v>
      </c>
      <c r="O31" s="93">
        <v>490.87</v>
      </c>
      <c r="P31" s="93">
        <v>489.84</v>
      </c>
      <c r="Q31" s="93">
        <v>488.82</v>
      </c>
      <c r="R31" s="93">
        <v>487.8</v>
      </c>
      <c r="S31" s="93">
        <v>486.78</v>
      </c>
      <c r="T31" s="93">
        <v>485.75</v>
      </c>
      <c r="U31" s="93">
        <v>484.73</v>
      </c>
      <c r="V31" s="93">
        <v>483.71</v>
      </c>
      <c r="W31" s="93">
        <v>482.69</v>
      </c>
      <c r="X31" s="93">
        <v>481.66</v>
      </c>
      <c r="Y31" s="93">
        <v>480.64</v>
      </c>
      <c r="Z31" s="93">
        <v>479.62</v>
      </c>
      <c r="AA31" s="93">
        <v>478.6</v>
      </c>
      <c r="AB31" s="93">
        <v>477.58</v>
      </c>
      <c r="AC31" s="93">
        <v>476.55</v>
      </c>
      <c r="AD31" s="93">
        <v>475.53</v>
      </c>
      <c r="AE31" s="93">
        <v>474.51</v>
      </c>
      <c r="AF31" s="93">
        <v>473.49</v>
      </c>
      <c r="AG31" s="93">
        <v>472.47</v>
      </c>
      <c r="AH31" s="93">
        <v>471.45</v>
      </c>
      <c r="AI31" s="93">
        <v>470.42</v>
      </c>
      <c r="AJ31" s="93">
        <v>469.4</v>
      </c>
      <c r="AK31" s="93">
        <v>468.38</v>
      </c>
      <c r="AL31" s="93">
        <v>467.36</v>
      </c>
      <c r="AM31" s="93">
        <v>466.34</v>
      </c>
      <c r="AN31" s="93">
        <v>465.32</v>
      </c>
      <c r="AO31" s="93">
        <v>464.3</v>
      </c>
      <c r="AP31" s="93">
        <v>463.28</v>
      </c>
      <c r="AQ31" s="93">
        <v>462.26</v>
      </c>
      <c r="AR31" s="93">
        <v>461.24</v>
      </c>
      <c r="AS31" s="93">
        <v>460.22</v>
      </c>
      <c r="AT31" s="93">
        <v>459.2</v>
      </c>
      <c r="AU31" s="93">
        <v>458.18</v>
      </c>
      <c r="AV31" s="93">
        <v>457.16</v>
      </c>
      <c r="AW31" s="93">
        <v>456.14</v>
      </c>
      <c r="AX31" s="93">
        <v>455.12</v>
      </c>
      <c r="AY31" s="93">
        <v>454.1</v>
      </c>
      <c r="AZ31" s="93">
        <v>453.08</v>
      </c>
      <c r="BA31" s="93">
        <v>452.06</v>
      </c>
      <c r="BB31" s="93">
        <v>451.04</v>
      </c>
      <c r="BC31" s="93">
        <v>450.02</v>
      </c>
      <c r="BD31" s="93">
        <v>449</v>
      </c>
      <c r="BE31" s="93">
        <v>447.99</v>
      </c>
      <c r="BF31" s="93">
        <v>446.97</v>
      </c>
      <c r="BG31" s="93">
        <v>445.95</v>
      </c>
      <c r="BH31" s="93">
        <v>444.93</v>
      </c>
      <c r="BI31" s="93">
        <v>443.91</v>
      </c>
      <c r="BJ31" s="93">
        <v>442.89</v>
      </c>
      <c r="BK31" s="93">
        <v>441.88</v>
      </c>
      <c r="BL31" s="93">
        <v>440.86</v>
      </c>
      <c r="BM31" s="93">
        <v>439.84</v>
      </c>
      <c r="BN31" s="93">
        <v>438.83</v>
      </c>
      <c r="BO31" s="93">
        <v>437.81</v>
      </c>
      <c r="BP31" s="93">
        <v>436.8</v>
      </c>
      <c r="BQ31" s="93">
        <v>435.78</v>
      </c>
      <c r="BR31" s="93">
        <v>434.77</v>
      </c>
      <c r="BS31" s="93">
        <v>433.75</v>
      </c>
      <c r="BT31" s="93">
        <v>432.74</v>
      </c>
      <c r="BU31" s="93">
        <v>431.72</v>
      </c>
      <c r="BV31" s="93">
        <v>430.71</v>
      </c>
      <c r="BW31" s="93">
        <v>429.69</v>
      </c>
      <c r="BX31" s="93">
        <v>428.68</v>
      </c>
      <c r="BY31" s="93">
        <v>427.67</v>
      </c>
      <c r="BZ31" s="93">
        <v>426.66</v>
      </c>
      <c r="CA31" s="93">
        <v>425.64</v>
      </c>
      <c r="CB31" s="93">
        <v>424.63</v>
      </c>
      <c r="CC31" s="93">
        <v>423.62</v>
      </c>
      <c r="CD31" s="93">
        <v>422.61</v>
      </c>
      <c r="CE31" s="93">
        <v>421.6</v>
      </c>
      <c r="CF31" s="93">
        <v>420.59</v>
      </c>
      <c r="CG31" s="93">
        <v>419.58</v>
      </c>
      <c r="CH31" s="93">
        <v>418.57</v>
      </c>
      <c r="CI31" s="93">
        <v>417.56</v>
      </c>
      <c r="CJ31" s="93">
        <v>416.55</v>
      </c>
      <c r="CK31" s="93">
        <v>415.54</v>
      </c>
      <c r="CL31" s="93">
        <v>414.54</v>
      </c>
      <c r="CM31" s="93">
        <v>413.53</v>
      </c>
      <c r="CN31" s="93">
        <v>412.52</v>
      </c>
      <c r="CO31" s="93">
        <v>411.52</v>
      </c>
      <c r="CP31" s="93">
        <v>410.51</v>
      </c>
      <c r="CQ31" s="93">
        <v>409.51</v>
      </c>
      <c r="CR31" s="93">
        <v>408.5</v>
      </c>
      <c r="CS31" s="93">
        <v>407.5</v>
      </c>
      <c r="CT31" s="93">
        <v>406.49</v>
      </c>
      <c r="CU31" s="93">
        <v>405.49</v>
      </c>
      <c r="CV31" s="93">
        <v>404.48</v>
      </c>
      <c r="CW31" s="93">
        <v>403.48</v>
      </c>
      <c r="CX31" s="93">
        <v>402.48</v>
      </c>
      <c r="CY31" s="93">
        <v>401.48</v>
      </c>
      <c r="CZ31" s="93">
        <v>400.48</v>
      </c>
      <c r="DA31" s="93">
        <v>399.48</v>
      </c>
      <c r="DB31" s="93">
        <v>398.49</v>
      </c>
      <c r="DC31" s="93">
        <v>397.49</v>
      </c>
      <c r="DD31" s="93">
        <v>396.49</v>
      </c>
      <c r="DE31" s="93">
        <v>395.49</v>
      </c>
      <c r="DF31" s="93">
        <v>394.49</v>
      </c>
      <c r="DG31" s="93">
        <v>393.49</v>
      </c>
      <c r="DH31" s="93">
        <v>392.5</v>
      </c>
      <c r="DI31" s="93">
        <v>391.5</v>
      </c>
      <c r="DJ31" s="93">
        <v>390.51</v>
      </c>
      <c r="DK31" s="93">
        <v>389.52</v>
      </c>
      <c r="DL31" s="93">
        <v>388.53</v>
      </c>
      <c r="DM31" s="93">
        <v>387.53</v>
      </c>
      <c r="DN31" s="93">
        <v>386.54</v>
      </c>
      <c r="DO31" s="93">
        <v>385.55</v>
      </c>
      <c r="DP31" s="93">
        <v>384.56</v>
      </c>
      <c r="DQ31" s="93">
        <v>383.57</v>
      </c>
      <c r="DR31" s="93">
        <v>382.58</v>
      </c>
      <c r="DS31" s="93">
        <v>381.59</v>
      </c>
      <c r="DT31" s="93">
        <v>380.6</v>
      </c>
      <c r="DU31" s="93">
        <v>379.62</v>
      </c>
      <c r="DV31" s="93">
        <v>378.63</v>
      </c>
      <c r="DW31" s="93">
        <v>377.65</v>
      </c>
      <c r="DX31" s="93">
        <v>376.67</v>
      </c>
      <c r="DY31" s="93">
        <v>375.68</v>
      </c>
      <c r="DZ31" s="93">
        <v>374.7</v>
      </c>
      <c r="EA31" s="93">
        <v>373.72</v>
      </c>
      <c r="EB31" s="93">
        <v>372.74</v>
      </c>
      <c r="EC31" s="93">
        <v>371.76</v>
      </c>
      <c r="ED31" s="93">
        <v>370.78</v>
      </c>
      <c r="EE31" s="93">
        <v>369.8</v>
      </c>
      <c r="EF31" s="93">
        <v>368.82</v>
      </c>
      <c r="EG31" s="93">
        <v>367.85</v>
      </c>
      <c r="EH31" s="93">
        <v>366.88</v>
      </c>
      <c r="EI31" s="93">
        <v>365.91</v>
      </c>
      <c r="EJ31" s="93">
        <v>364.94</v>
      </c>
      <c r="EK31" s="93">
        <v>363.97</v>
      </c>
      <c r="EL31" s="93">
        <v>363</v>
      </c>
      <c r="EM31" s="93">
        <v>362.03</v>
      </c>
      <c r="EN31" s="93">
        <v>361.06</v>
      </c>
      <c r="EO31" s="93">
        <v>360.09</v>
      </c>
      <c r="EP31" s="93">
        <v>359.12</v>
      </c>
      <c r="EQ31" s="93">
        <v>358.16</v>
      </c>
      <c r="ER31" s="93">
        <v>357.19</v>
      </c>
      <c r="ES31" s="93">
        <v>356.23</v>
      </c>
      <c r="ET31" s="93">
        <v>355.27</v>
      </c>
      <c r="EU31" s="93">
        <v>354.31</v>
      </c>
      <c r="EV31" s="93">
        <v>353.35</v>
      </c>
      <c r="EW31" s="93">
        <v>352.39</v>
      </c>
      <c r="EX31" s="93">
        <v>351.43</v>
      </c>
      <c r="EY31" s="93">
        <v>350.47</v>
      </c>
      <c r="EZ31" s="93">
        <v>349.51</v>
      </c>
      <c r="FA31" s="93">
        <v>348.55</v>
      </c>
      <c r="FB31" s="93">
        <v>347.59</v>
      </c>
      <c r="FC31" s="93">
        <v>346.64</v>
      </c>
      <c r="FD31" s="93">
        <v>345.68</v>
      </c>
      <c r="FE31" s="93">
        <v>344.73</v>
      </c>
      <c r="FF31" s="93">
        <v>343.77</v>
      </c>
      <c r="FG31" s="93">
        <v>342.82</v>
      </c>
      <c r="FH31" s="93">
        <v>341.86</v>
      </c>
      <c r="FI31" s="93">
        <v>340.91</v>
      </c>
      <c r="FJ31" s="93">
        <v>339.96</v>
      </c>
      <c r="FK31" s="93">
        <v>339.01</v>
      </c>
      <c r="FL31" s="93">
        <v>338.06</v>
      </c>
      <c r="FM31" s="93">
        <v>337.11</v>
      </c>
      <c r="FN31" s="93">
        <v>336.16</v>
      </c>
      <c r="FO31" s="93">
        <v>335.21</v>
      </c>
      <c r="FP31" s="93">
        <v>334.26</v>
      </c>
      <c r="FQ31" s="93">
        <v>333.32</v>
      </c>
      <c r="FR31" s="93">
        <v>332.37</v>
      </c>
      <c r="FS31" s="93">
        <v>331.43</v>
      </c>
      <c r="FT31" s="93">
        <v>330.48</v>
      </c>
      <c r="FU31" s="93">
        <v>329.54</v>
      </c>
      <c r="FV31" s="93">
        <v>328.6</v>
      </c>
      <c r="FW31" s="93">
        <v>327.64999999999998</v>
      </c>
      <c r="FX31" s="93">
        <v>326.70999999999998</v>
      </c>
      <c r="FY31" s="93">
        <v>325.76</v>
      </c>
      <c r="FZ31" s="93">
        <v>324.82</v>
      </c>
      <c r="GA31" s="93">
        <v>323.89</v>
      </c>
      <c r="GB31" s="93">
        <v>322.95999999999998</v>
      </c>
      <c r="GC31" s="93">
        <v>322.01</v>
      </c>
      <c r="GD31" s="93">
        <v>321.07</v>
      </c>
      <c r="GE31" s="93">
        <v>320.14999999999998</v>
      </c>
      <c r="GF31" s="93">
        <v>319.20999999999998</v>
      </c>
      <c r="GG31" s="93">
        <v>318.27999999999997</v>
      </c>
      <c r="GH31" s="93">
        <v>317.35000000000002</v>
      </c>
      <c r="GI31" s="93">
        <v>316.41000000000003</v>
      </c>
      <c r="GJ31" s="93">
        <v>315.48</v>
      </c>
      <c r="GK31" s="93">
        <v>314.54000000000002</v>
      </c>
      <c r="GL31" s="93">
        <v>313.62</v>
      </c>
      <c r="GM31" s="93">
        <v>312.7</v>
      </c>
      <c r="GN31" s="93">
        <v>311.76</v>
      </c>
      <c r="GO31" s="93">
        <v>310.85000000000002</v>
      </c>
      <c r="GP31" s="93">
        <v>309.92</v>
      </c>
      <c r="GQ31" s="93">
        <v>309</v>
      </c>
      <c r="GR31" s="93">
        <v>308.07</v>
      </c>
      <c r="GS31" s="93">
        <v>307.16000000000003</v>
      </c>
      <c r="GT31" s="93">
        <v>306.24</v>
      </c>
      <c r="GU31" s="93">
        <v>305.32</v>
      </c>
      <c r="GV31" s="93">
        <v>304.39999999999998</v>
      </c>
      <c r="GW31" s="93">
        <v>303.48</v>
      </c>
      <c r="GX31" s="93">
        <v>302.56</v>
      </c>
      <c r="GY31" s="93">
        <v>301.64999999999998</v>
      </c>
      <c r="GZ31" s="93">
        <v>300.74</v>
      </c>
      <c r="HA31" s="93">
        <v>299.82</v>
      </c>
      <c r="HB31" s="93">
        <v>298.91000000000003</v>
      </c>
      <c r="HC31" s="93">
        <v>298</v>
      </c>
      <c r="HD31" s="93">
        <v>297.08999999999997</v>
      </c>
      <c r="HE31" s="93">
        <v>296.18</v>
      </c>
      <c r="HF31" s="93">
        <v>295.27999999999997</v>
      </c>
      <c r="HG31" s="93">
        <v>294.37</v>
      </c>
      <c r="HH31" s="93">
        <v>293.47000000000003</v>
      </c>
      <c r="HI31" s="93">
        <v>292.56</v>
      </c>
      <c r="HJ31" s="93">
        <v>291.66000000000003</v>
      </c>
      <c r="HK31" s="93">
        <v>290.76</v>
      </c>
      <c r="HL31" s="93">
        <v>289.85000000000002</v>
      </c>
      <c r="HM31" s="93">
        <v>288.95999999999998</v>
      </c>
      <c r="HN31" s="93">
        <v>288.07</v>
      </c>
      <c r="HO31" s="93">
        <v>287.17</v>
      </c>
      <c r="HP31" s="93">
        <v>286.27999999999997</v>
      </c>
      <c r="HQ31" s="93">
        <v>285.38</v>
      </c>
      <c r="HR31" s="93">
        <v>284.49</v>
      </c>
      <c r="HS31" s="93">
        <v>283.60000000000002</v>
      </c>
      <c r="HT31" s="93">
        <v>282.70999999999998</v>
      </c>
      <c r="HU31" s="93">
        <v>281.82</v>
      </c>
      <c r="HV31" s="93">
        <v>280.93</v>
      </c>
      <c r="HW31" s="93">
        <v>280.04000000000002</v>
      </c>
      <c r="HX31" s="93">
        <v>279.16000000000003</v>
      </c>
      <c r="HY31" s="93">
        <v>278.27999999999997</v>
      </c>
      <c r="HZ31" s="93">
        <v>277.39</v>
      </c>
      <c r="IA31" s="93">
        <v>276.51</v>
      </c>
      <c r="IB31" s="93">
        <v>275.63</v>
      </c>
      <c r="IC31" s="93">
        <v>274.75</v>
      </c>
      <c r="ID31" s="93">
        <v>273.87</v>
      </c>
      <c r="IE31" s="93">
        <v>272.99</v>
      </c>
      <c r="IF31" s="93">
        <v>272.12</v>
      </c>
      <c r="IG31" s="93">
        <v>271.24</v>
      </c>
      <c r="IH31" s="93">
        <v>270.37</v>
      </c>
      <c r="II31" s="93">
        <v>269.49</v>
      </c>
      <c r="IJ31" s="93">
        <v>268.62</v>
      </c>
      <c r="IK31" s="93">
        <v>267.75</v>
      </c>
      <c r="IL31" s="93">
        <v>266.88</v>
      </c>
      <c r="IM31" s="93">
        <v>266.01</v>
      </c>
      <c r="IN31" s="93">
        <v>265.14</v>
      </c>
      <c r="IO31" s="93">
        <v>264.27999999999997</v>
      </c>
      <c r="IP31" s="93">
        <v>263.41000000000003</v>
      </c>
      <c r="IQ31" s="93">
        <v>262.54000000000002</v>
      </c>
      <c r="IR31" s="93">
        <v>261.69</v>
      </c>
      <c r="IS31" s="93">
        <v>260.82</v>
      </c>
      <c r="IT31" s="93">
        <v>259.97000000000003</v>
      </c>
      <c r="IU31" s="93">
        <v>259.10000000000002</v>
      </c>
      <c r="IV31" s="93">
        <v>258.25</v>
      </c>
      <c r="IW31" s="93">
        <v>257.39</v>
      </c>
      <c r="IX31" s="93">
        <v>256.54000000000002</v>
      </c>
      <c r="IY31" s="93">
        <v>255.69</v>
      </c>
      <c r="IZ31" s="93">
        <v>254.84</v>
      </c>
      <c r="JA31" s="93">
        <v>253.99</v>
      </c>
      <c r="JB31" s="93">
        <v>253.14</v>
      </c>
      <c r="JC31" s="93">
        <v>252.29</v>
      </c>
      <c r="JD31" s="93">
        <v>251.44</v>
      </c>
      <c r="JE31" s="93">
        <v>250.59</v>
      </c>
      <c r="JF31" s="93">
        <v>249.75</v>
      </c>
      <c r="JG31" s="93">
        <v>248.91</v>
      </c>
      <c r="JH31" s="93">
        <v>248.06</v>
      </c>
      <c r="JI31" s="93">
        <v>247.22</v>
      </c>
      <c r="JJ31" s="93">
        <v>246.38</v>
      </c>
      <c r="JK31" s="93">
        <v>245.54</v>
      </c>
      <c r="JL31" s="93">
        <v>244.7</v>
      </c>
      <c r="JM31" s="93">
        <v>243.87</v>
      </c>
      <c r="JN31" s="93">
        <v>243.03</v>
      </c>
      <c r="JO31" s="93">
        <v>242.19</v>
      </c>
      <c r="JP31" s="93">
        <v>241.36</v>
      </c>
      <c r="JQ31" s="93">
        <v>240.53</v>
      </c>
      <c r="JR31" s="93">
        <v>239.69</v>
      </c>
      <c r="JS31" s="93">
        <v>238.86</v>
      </c>
      <c r="JT31" s="93">
        <v>238.03</v>
      </c>
      <c r="JU31" s="93">
        <v>237.21</v>
      </c>
      <c r="JV31" s="93">
        <v>236.38</v>
      </c>
      <c r="JW31" s="93">
        <v>235.55</v>
      </c>
      <c r="JX31" s="93">
        <v>234.73</v>
      </c>
      <c r="JY31" s="93">
        <v>233.9</v>
      </c>
      <c r="JZ31" s="93">
        <v>233.08</v>
      </c>
      <c r="KA31" s="93">
        <v>232.26</v>
      </c>
      <c r="KB31" s="93">
        <v>231.44</v>
      </c>
      <c r="KC31" s="93">
        <v>230.61</v>
      </c>
      <c r="KD31" s="93">
        <v>229.8</v>
      </c>
      <c r="KE31" s="93">
        <v>228.98</v>
      </c>
      <c r="KF31" s="93">
        <v>228.16</v>
      </c>
      <c r="KG31" s="93">
        <v>227.34</v>
      </c>
      <c r="KH31" s="93">
        <v>226.53</v>
      </c>
      <c r="KI31" s="93">
        <v>225.71</v>
      </c>
      <c r="KJ31" s="93">
        <v>224.9</v>
      </c>
      <c r="KK31" s="93">
        <v>224.09</v>
      </c>
      <c r="KL31" s="93">
        <v>223.28</v>
      </c>
      <c r="KM31" s="93">
        <v>222.47</v>
      </c>
      <c r="KN31" s="93">
        <v>221.66</v>
      </c>
      <c r="KO31" s="93">
        <v>220.86</v>
      </c>
      <c r="KP31" s="93">
        <v>220.05</v>
      </c>
      <c r="KQ31" s="93">
        <v>219.25</v>
      </c>
      <c r="KR31" s="93">
        <v>218.13000000000022</v>
      </c>
      <c r="KS31" s="93">
        <v>217.38000000000022</v>
      </c>
      <c r="KT31" s="93">
        <v>216.63000000000022</v>
      </c>
      <c r="KU31" s="93">
        <v>215.88000000000022</v>
      </c>
      <c r="KV31" s="93">
        <v>215.13000000000022</v>
      </c>
      <c r="KW31" s="93">
        <v>214.38000000000022</v>
      </c>
      <c r="KX31" s="93">
        <v>213.63000000000022</v>
      </c>
      <c r="KY31" s="93">
        <v>212.88000000000022</v>
      </c>
      <c r="KZ31" s="93">
        <v>212.13000000000022</v>
      </c>
      <c r="LA31" s="93">
        <v>211.38000000000022</v>
      </c>
      <c r="LB31" s="93">
        <v>210.63000000000022</v>
      </c>
      <c r="LC31" s="93">
        <v>209.88000000000022</v>
      </c>
      <c r="LD31" s="93">
        <v>209.13000000000022</v>
      </c>
      <c r="LE31" s="93">
        <v>208.38000000000022</v>
      </c>
      <c r="LF31" s="93">
        <v>207.63000000000022</v>
      </c>
      <c r="LG31" s="93">
        <v>206.88000000000022</v>
      </c>
      <c r="LH31" s="93">
        <v>206.13000000000022</v>
      </c>
      <c r="LI31" s="93">
        <v>205.38000000000022</v>
      </c>
      <c r="LJ31" s="93">
        <v>204.63000000000022</v>
      </c>
      <c r="LK31" s="93">
        <v>203.88000000000022</v>
      </c>
      <c r="LL31" s="93">
        <v>203.13000000000022</v>
      </c>
      <c r="LM31" s="93">
        <v>202.38000000000022</v>
      </c>
      <c r="LN31" s="93">
        <v>201.63000000000022</v>
      </c>
      <c r="LO31" s="93">
        <v>200.88000000000022</v>
      </c>
      <c r="LP31" s="93">
        <v>200.13000000000022</v>
      </c>
      <c r="LQ31" s="93">
        <v>199.38000000000022</v>
      </c>
      <c r="LR31" s="93">
        <v>198.63000000000022</v>
      </c>
      <c r="LS31" s="93">
        <v>197.88000000000022</v>
      </c>
      <c r="LT31" s="93">
        <v>197.13000000000022</v>
      </c>
      <c r="LU31" s="93">
        <v>196.38000000000022</v>
      </c>
      <c r="LV31" s="93">
        <v>195.63000000000022</v>
      </c>
      <c r="LW31" s="93">
        <v>194.88000000000022</v>
      </c>
      <c r="LX31" s="93">
        <v>194.13000000000022</v>
      </c>
      <c r="LY31" s="93">
        <v>193.38000000000022</v>
      </c>
      <c r="LZ31" s="93">
        <v>192.63000000000022</v>
      </c>
      <c r="MA31" s="93">
        <v>191.88000000000022</v>
      </c>
      <c r="MB31" s="93">
        <v>191.13000000000022</v>
      </c>
      <c r="MC31" s="93">
        <v>190.38000000000022</v>
      </c>
      <c r="MD31" s="93">
        <v>189.63000000000022</v>
      </c>
      <c r="ME31" s="93">
        <v>188.88000000000022</v>
      </c>
      <c r="MF31" s="93">
        <v>188.13000000000022</v>
      </c>
      <c r="MG31" s="93">
        <v>187.38000000000022</v>
      </c>
      <c r="MH31" s="93">
        <v>186.63000000000022</v>
      </c>
      <c r="MI31" s="93">
        <v>185.88000000000022</v>
      </c>
      <c r="MJ31" s="93">
        <v>185.13000000000022</v>
      </c>
      <c r="MK31" s="93">
        <v>184.38000000000022</v>
      </c>
      <c r="ML31" s="93">
        <v>183.63000000000022</v>
      </c>
      <c r="MM31" s="93">
        <v>182.88000000000022</v>
      </c>
      <c r="MN31" s="93">
        <v>182.13000000000022</v>
      </c>
      <c r="MO31" s="93">
        <v>181.38000000000022</v>
      </c>
      <c r="MP31" s="93">
        <v>180.63000000000022</v>
      </c>
      <c r="MQ31" s="93">
        <v>179.88000000000022</v>
      </c>
      <c r="MR31" s="93">
        <v>179.13000000000022</v>
      </c>
      <c r="MS31" s="93">
        <v>178.38000000000022</v>
      </c>
      <c r="MT31" s="93">
        <v>177.63000000000022</v>
      </c>
      <c r="MU31" s="93">
        <v>176.88000000000022</v>
      </c>
      <c r="MV31" s="93">
        <v>176.13000000000022</v>
      </c>
      <c r="MW31" s="93">
        <v>175.38000000000022</v>
      </c>
      <c r="MX31" s="93">
        <v>174.63000000000022</v>
      </c>
      <c r="MY31" s="93">
        <v>173.88000000000022</v>
      </c>
    </row>
    <row r="32" spans="1:363" ht="15.75" x14ac:dyDescent="0.25">
      <c r="A32" s="90" t="s">
        <v>7</v>
      </c>
      <c r="B32" s="95">
        <v>2042</v>
      </c>
      <c r="C32" s="93">
        <v>503.71</v>
      </c>
      <c r="D32" s="93">
        <v>502.69</v>
      </c>
      <c r="E32" s="93">
        <v>501.66</v>
      </c>
      <c r="F32" s="93">
        <v>500.64</v>
      </c>
      <c r="G32" s="93">
        <v>499.62</v>
      </c>
      <c r="H32" s="93">
        <v>498.59</v>
      </c>
      <c r="I32" s="93">
        <v>497.57</v>
      </c>
      <c r="J32" s="93">
        <v>496.55</v>
      </c>
      <c r="K32" s="93">
        <v>495.52</v>
      </c>
      <c r="L32" s="93">
        <v>494.5</v>
      </c>
      <c r="M32" s="93">
        <v>493.48</v>
      </c>
      <c r="N32" s="93">
        <v>492.45</v>
      </c>
      <c r="O32" s="93">
        <v>491.43</v>
      </c>
      <c r="P32" s="93">
        <v>490.41</v>
      </c>
      <c r="Q32" s="93">
        <v>489.39</v>
      </c>
      <c r="R32" s="93">
        <v>488.36</v>
      </c>
      <c r="S32" s="93">
        <v>487.34</v>
      </c>
      <c r="T32" s="93">
        <v>486.32</v>
      </c>
      <c r="U32" s="93">
        <v>485.29</v>
      </c>
      <c r="V32" s="93">
        <v>484.27</v>
      </c>
      <c r="W32" s="93">
        <v>483.25</v>
      </c>
      <c r="X32" s="93">
        <v>482.23</v>
      </c>
      <c r="Y32" s="93">
        <v>481.2</v>
      </c>
      <c r="Z32" s="93">
        <v>480.18</v>
      </c>
      <c r="AA32" s="93">
        <v>479.16</v>
      </c>
      <c r="AB32" s="93">
        <v>478.14</v>
      </c>
      <c r="AC32" s="93">
        <v>477.12</v>
      </c>
      <c r="AD32" s="93">
        <v>476.09</v>
      </c>
      <c r="AE32" s="93">
        <v>475.07</v>
      </c>
      <c r="AF32" s="93">
        <v>474.05</v>
      </c>
      <c r="AG32" s="93">
        <v>473.03</v>
      </c>
      <c r="AH32" s="93">
        <v>472.01</v>
      </c>
      <c r="AI32" s="93">
        <v>470.98</v>
      </c>
      <c r="AJ32" s="93">
        <v>469.96</v>
      </c>
      <c r="AK32" s="93">
        <v>468.94</v>
      </c>
      <c r="AL32" s="93">
        <v>467.92</v>
      </c>
      <c r="AM32" s="93">
        <v>466.9</v>
      </c>
      <c r="AN32" s="93">
        <v>465.88</v>
      </c>
      <c r="AO32" s="93">
        <v>464.86</v>
      </c>
      <c r="AP32" s="93">
        <v>463.83</v>
      </c>
      <c r="AQ32" s="93">
        <v>462.81</v>
      </c>
      <c r="AR32" s="93">
        <v>461.79</v>
      </c>
      <c r="AS32" s="93">
        <v>460.77</v>
      </c>
      <c r="AT32" s="93">
        <v>459.75</v>
      </c>
      <c r="AU32" s="93">
        <v>458.73</v>
      </c>
      <c r="AV32" s="93">
        <v>457.71</v>
      </c>
      <c r="AW32" s="93">
        <v>456.69</v>
      </c>
      <c r="AX32" s="93">
        <v>455.67</v>
      </c>
      <c r="AY32" s="93">
        <v>454.65</v>
      </c>
      <c r="AZ32" s="93">
        <v>453.63</v>
      </c>
      <c r="BA32" s="93">
        <v>452.61</v>
      </c>
      <c r="BB32" s="93">
        <v>451.59</v>
      </c>
      <c r="BC32" s="93">
        <v>450.58</v>
      </c>
      <c r="BD32" s="93">
        <v>449.56</v>
      </c>
      <c r="BE32" s="93">
        <v>448.54</v>
      </c>
      <c r="BF32" s="93">
        <v>447.52</v>
      </c>
      <c r="BG32" s="93">
        <v>446.5</v>
      </c>
      <c r="BH32" s="93">
        <v>445.48</v>
      </c>
      <c r="BI32" s="93">
        <v>444.46</v>
      </c>
      <c r="BJ32" s="93">
        <v>443.45</v>
      </c>
      <c r="BK32" s="93">
        <v>442.43</v>
      </c>
      <c r="BL32" s="93">
        <v>441.41</v>
      </c>
      <c r="BM32" s="93">
        <v>440.39</v>
      </c>
      <c r="BN32" s="93">
        <v>439.38</v>
      </c>
      <c r="BO32" s="93">
        <v>438.36</v>
      </c>
      <c r="BP32" s="93">
        <v>437.35</v>
      </c>
      <c r="BQ32" s="93">
        <v>436.33</v>
      </c>
      <c r="BR32" s="93">
        <v>435.32</v>
      </c>
      <c r="BS32" s="93">
        <v>434.3</v>
      </c>
      <c r="BT32" s="93">
        <v>433.28</v>
      </c>
      <c r="BU32" s="93">
        <v>432.27</v>
      </c>
      <c r="BV32" s="93">
        <v>431.25</v>
      </c>
      <c r="BW32" s="93">
        <v>430.24</v>
      </c>
      <c r="BX32" s="93">
        <v>429.23</v>
      </c>
      <c r="BY32" s="93">
        <v>428.21</v>
      </c>
      <c r="BZ32" s="93">
        <v>427.2</v>
      </c>
      <c r="CA32" s="93">
        <v>426.19</v>
      </c>
      <c r="CB32" s="93">
        <v>425.18</v>
      </c>
      <c r="CC32" s="93">
        <v>424.17</v>
      </c>
      <c r="CD32" s="93">
        <v>423.15</v>
      </c>
      <c r="CE32" s="93">
        <v>422.14</v>
      </c>
      <c r="CF32" s="93">
        <v>421.13</v>
      </c>
      <c r="CG32" s="93">
        <v>420.12</v>
      </c>
      <c r="CH32" s="93">
        <v>419.11</v>
      </c>
      <c r="CI32" s="93">
        <v>418.1</v>
      </c>
      <c r="CJ32" s="93">
        <v>417.09</v>
      </c>
      <c r="CK32" s="93">
        <v>416.08</v>
      </c>
      <c r="CL32" s="93">
        <v>415.08</v>
      </c>
      <c r="CM32" s="93">
        <v>414.07</v>
      </c>
      <c r="CN32" s="93">
        <v>413.06</v>
      </c>
      <c r="CO32" s="93">
        <v>412.06</v>
      </c>
      <c r="CP32" s="93">
        <v>411.05</v>
      </c>
      <c r="CQ32" s="93">
        <v>410.05</v>
      </c>
      <c r="CR32" s="93">
        <v>409.04</v>
      </c>
      <c r="CS32" s="93">
        <v>408.03</v>
      </c>
      <c r="CT32" s="93">
        <v>407.03</v>
      </c>
      <c r="CU32" s="93">
        <v>406.02</v>
      </c>
      <c r="CV32" s="93">
        <v>405.02</v>
      </c>
      <c r="CW32" s="93">
        <v>404.02</v>
      </c>
      <c r="CX32" s="93">
        <v>403.02</v>
      </c>
      <c r="CY32" s="93">
        <v>402.02</v>
      </c>
      <c r="CZ32" s="93">
        <v>401.02</v>
      </c>
      <c r="DA32" s="93">
        <v>400.02</v>
      </c>
      <c r="DB32" s="93">
        <v>399.02</v>
      </c>
      <c r="DC32" s="93">
        <v>398.02</v>
      </c>
      <c r="DD32" s="93">
        <v>397.02</v>
      </c>
      <c r="DE32" s="93">
        <v>396.02</v>
      </c>
      <c r="DF32" s="93">
        <v>395.02</v>
      </c>
      <c r="DG32" s="93">
        <v>394.02</v>
      </c>
      <c r="DH32" s="93">
        <v>393.03</v>
      </c>
      <c r="DI32" s="93">
        <v>392.04</v>
      </c>
      <c r="DJ32" s="93">
        <v>391.04</v>
      </c>
      <c r="DK32" s="93">
        <v>390.05</v>
      </c>
      <c r="DL32" s="93">
        <v>389.06</v>
      </c>
      <c r="DM32" s="93">
        <v>388.06</v>
      </c>
      <c r="DN32" s="93">
        <v>387.07</v>
      </c>
      <c r="DO32" s="93">
        <v>386.08</v>
      </c>
      <c r="DP32" s="93">
        <v>385.09</v>
      </c>
      <c r="DQ32" s="93">
        <v>384.1</v>
      </c>
      <c r="DR32" s="93">
        <v>383.1</v>
      </c>
      <c r="DS32" s="93">
        <v>382.11</v>
      </c>
      <c r="DT32" s="93">
        <v>381.13</v>
      </c>
      <c r="DU32" s="93">
        <v>380.14</v>
      </c>
      <c r="DV32" s="93">
        <v>379.16</v>
      </c>
      <c r="DW32" s="93">
        <v>378.18</v>
      </c>
      <c r="DX32" s="93">
        <v>377.19</v>
      </c>
      <c r="DY32" s="93">
        <v>376.21</v>
      </c>
      <c r="DZ32" s="93">
        <v>375.23</v>
      </c>
      <c r="EA32" s="93">
        <v>374.24</v>
      </c>
      <c r="EB32" s="93">
        <v>373.26</v>
      </c>
      <c r="EC32" s="93">
        <v>372.28</v>
      </c>
      <c r="ED32" s="93">
        <v>371.3</v>
      </c>
      <c r="EE32" s="93">
        <v>370.32</v>
      </c>
      <c r="EF32" s="93">
        <v>369.35</v>
      </c>
      <c r="EG32" s="93">
        <v>368.38</v>
      </c>
      <c r="EH32" s="93">
        <v>367.4</v>
      </c>
      <c r="EI32" s="93">
        <v>366.43</v>
      </c>
      <c r="EJ32" s="93">
        <v>365.46</v>
      </c>
      <c r="EK32" s="93">
        <v>364.49</v>
      </c>
      <c r="EL32" s="93">
        <v>363.52</v>
      </c>
      <c r="EM32" s="93">
        <v>362.55</v>
      </c>
      <c r="EN32" s="93">
        <v>361.58</v>
      </c>
      <c r="EO32" s="93">
        <v>360.61</v>
      </c>
      <c r="EP32" s="93">
        <v>359.64</v>
      </c>
      <c r="EQ32" s="93">
        <v>358.68</v>
      </c>
      <c r="ER32" s="93">
        <v>357.71</v>
      </c>
      <c r="ES32" s="93">
        <v>356.75</v>
      </c>
      <c r="ET32" s="93">
        <v>355.79</v>
      </c>
      <c r="EU32" s="93">
        <v>354.83</v>
      </c>
      <c r="EV32" s="93">
        <v>353.87</v>
      </c>
      <c r="EW32" s="93">
        <v>352.91</v>
      </c>
      <c r="EX32" s="93">
        <v>351.95</v>
      </c>
      <c r="EY32" s="93">
        <v>350.99</v>
      </c>
      <c r="EZ32" s="93">
        <v>350.03</v>
      </c>
      <c r="FA32" s="93">
        <v>349.07</v>
      </c>
      <c r="FB32" s="93">
        <v>348.11</v>
      </c>
      <c r="FC32" s="93">
        <v>347.16</v>
      </c>
      <c r="FD32" s="93">
        <v>346.2</v>
      </c>
      <c r="FE32" s="93">
        <v>345.24</v>
      </c>
      <c r="FF32" s="93">
        <v>344.29</v>
      </c>
      <c r="FG32" s="93">
        <v>343.34</v>
      </c>
      <c r="FH32" s="93">
        <v>342.38</v>
      </c>
      <c r="FI32" s="93">
        <v>341.43</v>
      </c>
      <c r="FJ32" s="93">
        <v>340.48</v>
      </c>
      <c r="FK32" s="93">
        <v>339.53</v>
      </c>
      <c r="FL32" s="93">
        <v>338.58</v>
      </c>
      <c r="FM32" s="93">
        <v>337.63</v>
      </c>
      <c r="FN32" s="93">
        <v>336.68</v>
      </c>
      <c r="FO32" s="93">
        <v>335.73</v>
      </c>
      <c r="FP32" s="93">
        <v>334.78</v>
      </c>
      <c r="FQ32" s="93">
        <v>333.83</v>
      </c>
      <c r="FR32" s="93">
        <v>332.89</v>
      </c>
      <c r="FS32" s="93">
        <v>331.94</v>
      </c>
      <c r="FT32" s="93">
        <v>331</v>
      </c>
      <c r="FU32" s="93">
        <v>330.05</v>
      </c>
      <c r="FV32" s="93">
        <v>329.11</v>
      </c>
      <c r="FW32" s="93">
        <v>328.17</v>
      </c>
      <c r="FX32" s="93">
        <v>327.23</v>
      </c>
      <c r="FY32" s="93">
        <v>326.29000000000002</v>
      </c>
      <c r="FZ32" s="93">
        <v>325.35000000000002</v>
      </c>
      <c r="GA32" s="93">
        <v>324.41000000000003</v>
      </c>
      <c r="GB32" s="93">
        <v>323.47000000000003</v>
      </c>
      <c r="GC32" s="93">
        <v>322.52999999999997</v>
      </c>
      <c r="GD32" s="93">
        <v>321.58999999999997</v>
      </c>
      <c r="GE32" s="93">
        <v>320.66000000000003</v>
      </c>
      <c r="GF32" s="93">
        <v>319.72000000000003</v>
      </c>
      <c r="GG32" s="93">
        <v>318.79000000000002</v>
      </c>
      <c r="GH32" s="93">
        <v>317.85000000000002</v>
      </c>
      <c r="GI32" s="93">
        <v>316.93</v>
      </c>
      <c r="GJ32" s="93">
        <v>315.99</v>
      </c>
      <c r="GK32" s="93">
        <v>315.06</v>
      </c>
      <c r="GL32" s="93">
        <v>314.13</v>
      </c>
      <c r="GM32" s="93">
        <v>313.20999999999998</v>
      </c>
      <c r="GN32" s="93">
        <v>312.27999999999997</v>
      </c>
      <c r="GO32" s="93">
        <v>311.35000000000002</v>
      </c>
      <c r="GP32" s="93">
        <v>310.43</v>
      </c>
      <c r="GQ32" s="93">
        <v>309.51</v>
      </c>
      <c r="GR32" s="93">
        <v>308.57</v>
      </c>
      <c r="GS32" s="93">
        <v>307.66000000000003</v>
      </c>
      <c r="GT32" s="93">
        <v>306.74</v>
      </c>
      <c r="GU32" s="93">
        <v>305.82</v>
      </c>
      <c r="GV32" s="93">
        <v>304.91000000000003</v>
      </c>
      <c r="GW32" s="93">
        <v>303.99</v>
      </c>
      <c r="GX32" s="93">
        <v>303.07</v>
      </c>
      <c r="GY32" s="93">
        <v>302.16000000000003</v>
      </c>
      <c r="GZ32" s="93">
        <v>301.24</v>
      </c>
      <c r="HA32" s="93">
        <v>300.32</v>
      </c>
      <c r="HB32" s="93">
        <v>299.42</v>
      </c>
      <c r="HC32" s="93">
        <v>298.51</v>
      </c>
      <c r="HD32" s="93">
        <v>297.60000000000002</v>
      </c>
      <c r="HE32" s="93">
        <v>296.69</v>
      </c>
      <c r="HF32" s="93">
        <v>295.77999999999997</v>
      </c>
      <c r="HG32" s="93">
        <v>294.87</v>
      </c>
      <c r="HH32" s="93">
        <v>293.97000000000003</v>
      </c>
      <c r="HI32" s="93">
        <v>293.07</v>
      </c>
      <c r="HJ32" s="93">
        <v>292.16000000000003</v>
      </c>
      <c r="HK32" s="93">
        <v>291.26</v>
      </c>
      <c r="HL32" s="93">
        <v>290.35000000000002</v>
      </c>
      <c r="HM32" s="93">
        <v>289.45999999999998</v>
      </c>
      <c r="HN32" s="93">
        <v>288.57</v>
      </c>
      <c r="HO32" s="93">
        <v>287.67</v>
      </c>
      <c r="HP32" s="93">
        <v>286.77999999999997</v>
      </c>
      <c r="HQ32" s="93">
        <v>285.88</v>
      </c>
      <c r="HR32" s="93">
        <v>284.99</v>
      </c>
      <c r="HS32" s="93">
        <v>284.10000000000002</v>
      </c>
      <c r="HT32" s="93">
        <v>283.20999999999998</v>
      </c>
      <c r="HU32" s="93">
        <v>282.32</v>
      </c>
      <c r="HV32" s="93">
        <v>281.43</v>
      </c>
      <c r="HW32" s="93">
        <v>280.54000000000002</v>
      </c>
      <c r="HX32" s="93">
        <v>279.66000000000003</v>
      </c>
      <c r="HY32" s="93">
        <v>278.76</v>
      </c>
      <c r="HZ32" s="93">
        <v>277.89</v>
      </c>
      <c r="IA32" s="93">
        <v>277.01</v>
      </c>
      <c r="IB32" s="93">
        <v>276.13</v>
      </c>
      <c r="IC32" s="93">
        <v>275.25</v>
      </c>
      <c r="ID32" s="93">
        <v>274.37</v>
      </c>
      <c r="IE32" s="93">
        <v>273.49</v>
      </c>
      <c r="IF32" s="93">
        <v>272.60000000000002</v>
      </c>
      <c r="IG32" s="93">
        <v>271.73</v>
      </c>
      <c r="IH32" s="93">
        <v>270.85000000000002</v>
      </c>
      <c r="II32" s="93">
        <v>269.98</v>
      </c>
      <c r="IJ32" s="93">
        <v>269.10000000000002</v>
      </c>
      <c r="IK32" s="93">
        <v>268.24</v>
      </c>
      <c r="IL32" s="93">
        <v>267.37</v>
      </c>
      <c r="IM32" s="93">
        <v>266.5</v>
      </c>
      <c r="IN32" s="93">
        <v>265.63</v>
      </c>
      <c r="IO32" s="93">
        <v>264.76</v>
      </c>
      <c r="IP32" s="93">
        <v>263.89999999999998</v>
      </c>
      <c r="IQ32" s="93">
        <v>263.04000000000002</v>
      </c>
      <c r="IR32" s="93">
        <v>262.17</v>
      </c>
      <c r="IS32" s="93">
        <v>261.31</v>
      </c>
      <c r="IT32" s="93">
        <v>260.45</v>
      </c>
      <c r="IU32" s="93">
        <v>259.58999999999997</v>
      </c>
      <c r="IV32" s="93">
        <v>258.74</v>
      </c>
      <c r="IW32" s="93">
        <v>257.88</v>
      </c>
      <c r="IX32" s="93">
        <v>257.02999999999997</v>
      </c>
      <c r="IY32" s="93">
        <v>256.17</v>
      </c>
      <c r="IZ32" s="93">
        <v>255.32</v>
      </c>
      <c r="JA32" s="93">
        <v>254.47</v>
      </c>
      <c r="JB32" s="93">
        <v>253.62</v>
      </c>
      <c r="JC32" s="93">
        <v>252.77</v>
      </c>
      <c r="JD32" s="93">
        <v>251.92</v>
      </c>
      <c r="JE32" s="93">
        <v>251.08</v>
      </c>
      <c r="JF32" s="93">
        <v>250.23</v>
      </c>
      <c r="JG32" s="93">
        <v>249.39</v>
      </c>
      <c r="JH32" s="93">
        <v>248.54</v>
      </c>
      <c r="JI32" s="93">
        <v>247.7</v>
      </c>
      <c r="JJ32" s="93">
        <v>246.86</v>
      </c>
      <c r="JK32" s="93">
        <v>246.02</v>
      </c>
      <c r="JL32" s="93">
        <v>245.18</v>
      </c>
      <c r="JM32" s="93">
        <v>244.34</v>
      </c>
      <c r="JN32" s="93">
        <v>243.51</v>
      </c>
      <c r="JO32" s="93">
        <v>242.67</v>
      </c>
      <c r="JP32" s="93">
        <v>241.84</v>
      </c>
      <c r="JQ32" s="93">
        <v>241</v>
      </c>
      <c r="JR32" s="93">
        <v>240.17</v>
      </c>
      <c r="JS32" s="93">
        <v>239.34</v>
      </c>
      <c r="JT32" s="93">
        <v>238.51</v>
      </c>
      <c r="JU32" s="93">
        <v>237.68</v>
      </c>
      <c r="JV32" s="93">
        <v>236.85</v>
      </c>
      <c r="JW32" s="93">
        <v>236.02</v>
      </c>
      <c r="JX32" s="93">
        <v>235.2</v>
      </c>
      <c r="JY32" s="93">
        <v>234.37</v>
      </c>
      <c r="JZ32" s="93">
        <v>233.55</v>
      </c>
      <c r="KA32" s="93">
        <v>232.73</v>
      </c>
      <c r="KB32" s="93">
        <v>231.9</v>
      </c>
      <c r="KC32" s="93">
        <v>231.08</v>
      </c>
      <c r="KD32" s="93">
        <v>230.26</v>
      </c>
      <c r="KE32" s="93">
        <v>229.44</v>
      </c>
      <c r="KF32" s="93">
        <v>228.63</v>
      </c>
      <c r="KG32" s="93">
        <v>227.81</v>
      </c>
      <c r="KH32" s="93">
        <v>226.99</v>
      </c>
      <c r="KI32" s="93">
        <v>226.18</v>
      </c>
      <c r="KJ32" s="93">
        <v>225.36</v>
      </c>
      <c r="KK32" s="93">
        <v>224.55</v>
      </c>
      <c r="KL32" s="93">
        <v>223.74</v>
      </c>
      <c r="KM32" s="93">
        <v>222.93</v>
      </c>
      <c r="KN32" s="93">
        <v>222.12</v>
      </c>
      <c r="KO32" s="93">
        <v>221.32</v>
      </c>
      <c r="KP32" s="93">
        <v>220.51</v>
      </c>
      <c r="KQ32" s="93">
        <v>219.71</v>
      </c>
      <c r="KR32" s="93">
        <v>218.59000000000023</v>
      </c>
      <c r="KS32" s="93">
        <v>217.84000000000023</v>
      </c>
      <c r="KT32" s="93">
        <v>217.09000000000023</v>
      </c>
      <c r="KU32" s="93">
        <v>216.34000000000023</v>
      </c>
      <c r="KV32" s="93">
        <v>215.59000000000023</v>
      </c>
      <c r="KW32" s="93">
        <v>214.84000000000023</v>
      </c>
      <c r="KX32" s="93">
        <v>214.09000000000023</v>
      </c>
      <c r="KY32" s="93">
        <v>213.34000000000023</v>
      </c>
      <c r="KZ32" s="93">
        <v>212.59000000000023</v>
      </c>
      <c r="LA32" s="93">
        <v>211.84000000000023</v>
      </c>
      <c r="LB32" s="93">
        <v>211.09000000000023</v>
      </c>
      <c r="LC32" s="93">
        <v>210.34000000000023</v>
      </c>
      <c r="LD32" s="93">
        <v>209.59000000000023</v>
      </c>
      <c r="LE32" s="93">
        <v>208.84000000000023</v>
      </c>
      <c r="LF32" s="93">
        <v>208.09000000000023</v>
      </c>
      <c r="LG32" s="93">
        <v>207.34000000000023</v>
      </c>
      <c r="LH32" s="93">
        <v>206.59000000000023</v>
      </c>
      <c r="LI32" s="93">
        <v>205.84000000000023</v>
      </c>
      <c r="LJ32" s="93">
        <v>205.09000000000023</v>
      </c>
      <c r="LK32" s="93">
        <v>204.34000000000023</v>
      </c>
      <c r="LL32" s="93">
        <v>203.59000000000023</v>
      </c>
      <c r="LM32" s="93">
        <v>202.84000000000023</v>
      </c>
      <c r="LN32" s="93">
        <v>202.09000000000023</v>
      </c>
      <c r="LO32" s="93">
        <v>201.34000000000023</v>
      </c>
      <c r="LP32" s="93">
        <v>200.59000000000023</v>
      </c>
      <c r="LQ32" s="93">
        <v>199.84000000000023</v>
      </c>
      <c r="LR32" s="93">
        <v>199.09000000000023</v>
      </c>
      <c r="LS32" s="93">
        <v>198.34000000000023</v>
      </c>
      <c r="LT32" s="93">
        <v>197.59000000000023</v>
      </c>
      <c r="LU32" s="93">
        <v>196.84000000000023</v>
      </c>
      <c r="LV32" s="93">
        <v>196.09000000000023</v>
      </c>
      <c r="LW32" s="93">
        <v>195.34000000000023</v>
      </c>
      <c r="LX32" s="93">
        <v>194.59000000000023</v>
      </c>
      <c r="LY32" s="93">
        <v>193.84000000000023</v>
      </c>
      <c r="LZ32" s="93">
        <v>193.09000000000023</v>
      </c>
      <c r="MA32" s="93">
        <v>192.34000000000023</v>
      </c>
      <c r="MB32" s="93">
        <v>191.59000000000023</v>
      </c>
      <c r="MC32" s="93">
        <v>190.84000000000023</v>
      </c>
      <c r="MD32" s="93">
        <v>190.09000000000023</v>
      </c>
      <c r="ME32" s="93">
        <v>189.34000000000023</v>
      </c>
      <c r="MF32" s="93">
        <v>188.59000000000023</v>
      </c>
      <c r="MG32" s="93">
        <v>187.84000000000023</v>
      </c>
      <c r="MH32" s="93">
        <v>187.09000000000023</v>
      </c>
      <c r="MI32" s="93">
        <v>186.34000000000023</v>
      </c>
      <c r="MJ32" s="93">
        <v>185.59000000000023</v>
      </c>
      <c r="MK32" s="93">
        <v>184.84000000000023</v>
      </c>
      <c r="ML32" s="93">
        <v>184.09000000000023</v>
      </c>
      <c r="MM32" s="93">
        <v>183.34000000000023</v>
      </c>
      <c r="MN32" s="93">
        <v>182.59000000000023</v>
      </c>
      <c r="MO32" s="93">
        <v>181.84000000000023</v>
      </c>
      <c r="MP32" s="93">
        <v>181.09000000000023</v>
      </c>
      <c r="MQ32" s="93">
        <v>180.34000000000023</v>
      </c>
      <c r="MR32" s="93">
        <v>179.59000000000023</v>
      </c>
      <c r="MS32" s="93">
        <v>178.84000000000023</v>
      </c>
      <c r="MT32" s="93">
        <v>178.09000000000023</v>
      </c>
      <c r="MU32" s="93">
        <v>177.34000000000023</v>
      </c>
      <c r="MV32" s="93">
        <v>176.59000000000023</v>
      </c>
      <c r="MW32" s="93">
        <v>175.84000000000023</v>
      </c>
      <c r="MX32" s="93">
        <v>175.09000000000023</v>
      </c>
      <c r="MY32" s="93">
        <v>174.34000000000023</v>
      </c>
    </row>
    <row r="33" spans="1:363" ht="15.75" x14ac:dyDescent="0.25">
      <c r="A33" s="90" t="s">
        <v>7</v>
      </c>
      <c r="B33" s="95">
        <v>2043</v>
      </c>
      <c r="C33" s="93">
        <v>504.28</v>
      </c>
      <c r="D33" s="93">
        <v>503.25</v>
      </c>
      <c r="E33" s="93">
        <v>502.23</v>
      </c>
      <c r="F33" s="93">
        <v>501.2</v>
      </c>
      <c r="G33" s="93">
        <v>500.18</v>
      </c>
      <c r="H33" s="93">
        <v>499.16</v>
      </c>
      <c r="I33" s="93">
        <v>498.13</v>
      </c>
      <c r="J33" s="93">
        <v>497.11</v>
      </c>
      <c r="K33" s="93">
        <v>496.09</v>
      </c>
      <c r="L33" s="93">
        <v>495.06</v>
      </c>
      <c r="M33" s="93">
        <v>494.04</v>
      </c>
      <c r="N33" s="93">
        <v>493.02</v>
      </c>
      <c r="O33" s="93">
        <v>491.99</v>
      </c>
      <c r="P33" s="93">
        <v>490.97</v>
      </c>
      <c r="Q33" s="93">
        <v>489.95</v>
      </c>
      <c r="R33" s="93">
        <v>488.92</v>
      </c>
      <c r="S33" s="93">
        <v>487.9</v>
      </c>
      <c r="T33" s="93">
        <v>486.88</v>
      </c>
      <c r="U33" s="93">
        <v>485.86</v>
      </c>
      <c r="V33" s="93">
        <v>484.83</v>
      </c>
      <c r="W33" s="93">
        <v>483.81</v>
      </c>
      <c r="X33" s="93">
        <v>482.79</v>
      </c>
      <c r="Y33" s="93">
        <v>481.77</v>
      </c>
      <c r="Z33" s="93">
        <v>480.74</v>
      </c>
      <c r="AA33" s="93">
        <v>479.72</v>
      </c>
      <c r="AB33" s="93">
        <v>478.7</v>
      </c>
      <c r="AC33" s="93">
        <v>477.68</v>
      </c>
      <c r="AD33" s="93">
        <v>476.65</v>
      </c>
      <c r="AE33" s="93">
        <v>475.63</v>
      </c>
      <c r="AF33" s="93">
        <v>474.61</v>
      </c>
      <c r="AG33" s="93">
        <v>473.59</v>
      </c>
      <c r="AH33" s="93">
        <v>472.56</v>
      </c>
      <c r="AI33" s="93">
        <v>471.54</v>
      </c>
      <c r="AJ33" s="93">
        <v>470.52</v>
      </c>
      <c r="AK33" s="93">
        <v>469.5</v>
      </c>
      <c r="AL33" s="93">
        <v>468.48</v>
      </c>
      <c r="AM33" s="93">
        <v>467.45</v>
      </c>
      <c r="AN33" s="93">
        <v>466.43</v>
      </c>
      <c r="AO33" s="93">
        <v>465.41</v>
      </c>
      <c r="AP33" s="93">
        <v>464.39</v>
      </c>
      <c r="AQ33" s="93">
        <v>463.37</v>
      </c>
      <c r="AR33" s="93">
        <v>462.35</v>
      </c>
      <c r="AS33" s="93">
        <v>461.33</v>
      </c>
      <c r="AT33" s="93">
        <v>460.31</v>
      </c>
      <c r="AU33" s="93">
        <v>459.29</v>
      </c>
      <c r="AV33" s="93">
        <v>458.27</v>
      </c>
      <c r="AW33" s="93">
        <v>457.25</v>
      </c>
      <c r="AX33" s="93">
        <v>456.23</v>
      </c>
      <c r="AY33" s="93">
        <v>455.2</v>
      </c>
      <c r="AZ33" s="93">
        <v>454.19</v>
      </c>
      <c r="BA33" s="93">
        <v>453.17</v>
      </c>
      <c r="BB33" s="93">
        <v>452.15</v>
      </c>
      <c r="BC33" s="93">
        <v>451.13</v>
      </c>
      <c r="BD33" s="93">
        <v>450.11</v>
      </c>
      <c r="BE33" s="93">
        <v>449.09</v>
      </c>
      <c r="BF33" s="93">
        <v>448.07</v>
      </c>
      <c r="BG33" s="93">
        <v>447.05</v>
      </c>
      <c r="BH33" s="93">
        <v>446.03</v>
      </c>
      <c r="BI33" s="93">
        <v>445.01</v>
      </c>
      <c r="BJ33" s="93">
        <v>444</v>
      </c>
      <c r="BK33" s="93">
        <v>442.98</v>
      </c>
      <c r="BL33" s="93">
        <v>441.96</v>
      </c>
      <c r="BM33" s="93">
        <v>440.94</v>
      </c>
      <c r="BN33" s="93">
        <v>439.93</v>
      </c>
      <c r="BO33" s="93">
        <v>438.91</v>
      </c>
      <c r="BP33" s="93">
        <v>437.89</v>
      </c>
      <c r="BQ33" s="93">
        <v>436.88</v>
      </c>
      <c r="BR33" s="93">
        <v>435.86</v>
      </c>
      <c r="BS33" s="93">
        <v>434.85</v>
      </c>
      <c r="BT33" s="93">
        <v>433.83</v>
      </c>
      <c r="BU33" s="93">
        <v>432.81</v>
      </c>
      <c r="BV33" s="93">
        <v>431.8</v>
      </c>
      <c r="BW33" s="93">
        <v>430.78</v>
      </c>
      <c r="BX33" s="93">
        <v>429.77</v>
      </c>
      <c r="BY33" s="93">
        <v>428.76</v>
      </c>
      <c r="BZ33" s="93">
        <v>427.75</v>
      </c>
      <c r="CA33" s="93">
        <v>426.73</v>
      </c>
      <c r="CB33" s="93">
        <v>425.72</v>
      </c>
      <c r="CC33" s="93">
        <v>424.71</v>
      </c>
      <c r="CD33" s="93">
        <v>423.7</v>
      </c>
      <c r="CE33" s="93">
        <v>422.68</v>
      </c>
      <c r="CF33" s="93">
        <v>421.67</v>
      </c>
      <c r="CG33" s="93">
        <v>420.66</v>
      </c>
      <c r="CH33" s="93">
        <v>419.65</v>
      </c>
      <c r="CI33" s="93">
        <v>418.64</v>
      </c>
      <c r="CJ33" s="93">
        <v>417.63</v>
      </c>
      <c r="CK33" s="93">
        <v>416.62</v>
      </c>
      <c r="CL33" s="93">
        <v>415.62</v>
      </c>
      <c r="CM33" s="93">
        <v>414.61</v>
      </c>
      <c r="CN33" s="93">
        <v>413.6</v>
      </c>
      <c r="CO33" s="93">
        <v>412.6</v>
      </c>
      <c r="CP33" s="93">
        <v>411.59</v>
      </c>
      <c r="CQ33" s="93">
        <v>410.58</v>
      </c>
      <c r="CR33" s="93">
        <v>409.58</v>
      </c>
      <c r="CS33" s="93">
        <v>408.57</v>
      </c>
      <c r="CT33" s="93">
        <v>407.56</v>
      </c>
      <c r="CU33" s="93">
        <v>406.56</v>
      </c>
      <c r="CV33" s="93">
        <v>405.56</v>
      </c>
      <c r="CW33" s="93">
        <v>404.56</v>
      </c>
      <c r="CX33" s="93">
        <v>403.55</v>
      </c>
      <c r="CY33" s="93">
        <v>402.55</v>
      </c>
      <c r="CZ33" s="93">
        <v>401.55</v>
      </c>
      <c r="DA33" s="93">
        <v>400.55</v>
      </c>
      <c r="DB33" s="93">
        <v>399.55</v>
      </c>
      <c r="DC33" s="93">
        <v>398.55</v>
      </c>
      <c r="DD33" s="93">
        <v>397.55</v>
      </c>
      <c r="DE33" s="93">
        <v>396.55</v>
      </c>
      <c r="DF33" s="93">
        <v>395.55</v>
      </c>
      <c r="DG33" s="93">
        <v>394.55</v>
      </c>
      <c r="DH33" s="93">
        <v>393.56</v>
      </c>
      <c r="DI33" s="93">
        <v>392.57</v>
      </c>
      <c r="DJ33" s="93">
        <v>391.57</v>
      </c>
      <c r="DK33" s="93">
        <v>390.58</v>
      </c>
      <c r="DL33" s="93">
        <v>389.59</v>
      </c>
      <c r="DM33" s="93">
        <v>388.59</v>
      </c>
      <c r="DN33" s="93">
        <v>387.6</v>
      </c>
      <c r="DO33" s="93">
        <v>386.61</v>
      </c>
      <c r="DP33" s="93">
        <v>385.62</v>
      </c>
      <c r="DQ33" s="93">
        <v>384.62</v>
      </c>
      <c r="DR33" s="93">
        <v>383.63</v>
      </c>
      <c r="DS33" s="93">
        <v>382.64</v>
      </c>
      <c r="DT33" s="93">
        <v>381.66</v>
      </c>
      <c r="DU33" s="93">
        <v>380.67</v>
      </c>
      <c r="DV33" s="93">
        <v>379.69</v>
      </c>
      <c r="DW33" s="93">
        <v>378.7</v>
      </c>
      <c r="DX33" s="93">
        <v>377.72</v>
      </c>
      <c r="DY33" s="93">
        <v>376.74</v>
      </c>
      <c r="DZ33" s="93">
        <v>375.75</v>
      </c>
      <c r="EA33" s="93">
        <v>374.77</v>
      </c>
      <c r="EB33" s="93">
        <v>373.79</v>
      </c>
      <c r="EC33" s="93">
        <v>372.81</v>
      </c>
      <c r="ED33" s="93">
        <v>371.83</v>
      </c>
      <c r="EE33" s="93">
        <v>370.84</v>
      </c>
      <c r="EF33" s="93">
        <v>369.87</v>
      </c>
      <c r="EG33" s="93">
        <v>368.9</v>
      </c>
      <c r="EH33" s="93">
        <v>367.93</v>
      </c>
      <c r="EI33" s="93">
        <v>366.95</v>
      </c>
      <c r="EJ33" s="93">
        <v>365.98</v>
      </c>
      <c r="EK33" s="93">
        <v>365.01</v>
      </c>
      <c r="EL33" s="93">
        <v>364.04</v>
      </c>
      <c r="EM33" s="93">
        <v>363.07</v>
      </c>
      <c r="EN33" s="93">
        <v>362.1</v>
      </c>
      <c r="EO33" s="93">
        <v>361.13</v>
      </c>
      <c r="EP33" s="93">
        <v>360.17</v>
      </c>
      <c r="EQ33" s="93">
        <v>359.2</v>
      </c>
      <c r="ER33" s="93">
        <v>358.23</v>
      </c>
      <c r="ES33" s="93">
        <v>357.27</v>
      </c>
      <c r="ET33" s="93">
        <v>356.31</v>
      </c>
      <c r="EU33" s="93">
        <v>355.35</v>
      </c>
      <c r="EV33" s="93">
        <v>354.39</v>
      </c>
      <c r="EW33" s="93">
        <v>353.43</v>
      </c>
      <c r="EX33" s="93">
        <v>352.47</v>
      </c>
      <c r="EY33" s="93">
        <v>351.51</v>
      </c>
      <c r="EZ33" s="93">
        <v>350.55</v>
      </c>
      <c r="FA33" s="93">
        <v>349.59</v>
      </c>
      <c r="FB33" s="93">
        <v>348.63</v>
      </c>
      <c r="FC33" s="93">
        <v>347.67</v>
      </c>
      <c r="FD33" s="93">
        <v>346.72</v>
      </c>
      <c r="FE33" s="93">
        <v>345.76</v>
      </c>
      <c r="FF33" s="93">
        <v>344.81</v>
      </c>
      <c r="FG33" s="93">
        <v>343.85</v>
      </c>
      <c r="FH33" s="93">
        <v>342.9</v>
      </c>
      <c r="FI33" s="93">
        <v>341.95</v>
      </c>
      <c r="FJ33" s="93">
        <v>340.99</v>
      </c>
      <c r="FK33" s="93">
        <v>340.04</v>
      </c>
      <c r="FL33" s="93">
        <v>339.09</v>
      </c>
      <c r="FM33" s="93">
        <v>338.14</v>
      </c>
      <c r="FN33" s="93">
        <v>337.19</v>
      </c>
      <c r="FO33" s="93">
        <v>336.24</v>
      </c>
      <c r="FP33" s="93">
        <v>335.3</v>
      </c>
      <c r="FQ33" s="93">
        <v>334.35</v>
      </c>
      <c r="FR33" s="93">
        <v>333.4</v>
      </c>
      <c r="FS33" s="93">
        <v>332.46</v>
      </c>
      <c r="FT33" s="93">
        <v>331.51</v>
      </c>
      <c r="FU33" s="93">
        <v>330.57</v>
      </c>
      <c r="FV33" s="93">
        <v>329.62</v>
      </c>
      <c r="FW33" s="93">
        <v>328.68</v>
      </c>
      <c r="FX33" s="93">
        <v>327.74</v>
      </c>
      <c r="FY33" s="93">
        <v>326.79000000000002</v>
      </c>
      <c r="FZ33" s="93">
        <v>325.85000000000002</v>
      </c>
      <c r="GA33" s="93">
        <v>324.92</v>
      </c>
      <c r="GB33" s="93">
        <v>323.98</v>
      </c>
      <c r="GC33" s="93">
        <v>323.04000000000002</v>
      </c>
      <c r="GD33" s="93">
        <v>322.10000000000002</v>
      </c>
      <c r="GE33" s="93">
        <v>321.17</v>
      </c>
      <c r="GF33" s="93">
        <v>320.24</v>
      </c>
      <c r="GG33" s="93">
        <v>319.29000000000002</v>
      </c>
      <c r="GH33" s="93">
        <v>318.37</v>
      </c>
      <c r="GI33" s="93">
        <v>317.44</v>
      </c>
      <c r="GJ33" s="93">
        <v>316.5</v>
      </c>
      <c r="GK33" s="93">
        <v>315.57</v>
      </c>
      <c r="GL33" s="93">
        <v>314.64</v>
      </c>
      <c r="GM33" s="93">
        <v>313.72000000000003</v>
      </c>
      <c r="GN33" s="93">
        <v>312.79000000000002</v>
      </c>
      <c r="GO33" s="93">
        <v>311.85000000000002</v>
      </c>
      <c r="GP33" s="93">
        <v>310.94</v>
      </c>
      <c r="GQ33" s="93">
        <v>310.01</v>
      </c>
      <c r="GR33" s="93">
        <v>309.08999999999997</v>
      </c>
      <c r="GS33" s="93">
        <v>308.17</v>
      </c>
      <c r="GT33" s="93">
        <v>307.25</v>
      </c>
      <c r="GU33" s="93">
        <v>306.32</v>
      </c>
      <c r="GV33" s="93">
        <v>305.41000000000003</v>
      </c>
      <c r="GW33" s="93">
        <v>304.49</v>
      </c>
      <c r="GX33" s="93">
        <v>303.57</v>
      </c>
      <c r="GY33" s="93">
        <v>302.66000000000003</v>
      </c>
      <c r="GZ33" s="93">
        <v>301.75</v>
      </c>
      <c r="HA33" s="93">
        <v>300.82</v>
      </c>
      <c r="HB33" s="93">
        <v>299.92</v>
      </c>
      <c r="HC33" s="93">
        <v>299.01</v>
      </c>
      <c r="HD33" s="93">
        <v>298.10000000000002</v>
      </c>
      <c r="HE33" s="93">
        <v>297.19</v>
      </c>
      <c r="HF33" s="93">
        <v>296.27999999999997</v>
      </c>
      <c r="HG33" s="93">
        <v>295.38</v>
      </c>
      <c r="HH33" s="93">
        <v>294.47000000000003</v>
      </c>
      <c r="HI33" s="93">
        <v>293.57</v>
      </c>
      <c r="HJ33" s="93">
        <v>292.66000000000003</v>
      </c>
      <c r="HK33" s="93">
        <v>291.76</v>
      </c>
      <c r="HL33" s="93">
        <v>290.85000000000002</v>
      </c>
      <c r="HM33" s="93">
        <v>289.95999999999998</v>
      </c>
      <c r="HN33" s="93">
        <v>289.07</v>
      </c>
      <c r="HO33" s="93">
        <v>288.17</v>
      </c>
      <c r="HP33" s="93">
        <v>287.26</v>
      </c>
      <c r="HQ33" s="93">
        <v>286.38</v>
      </c>
      <c r="HR33" s="93">
        <v>285.49</v>
      </c>
      <c r="HS33" s="93">
        <v>284.60000000000002</v>
      </c>
      <c r="HT33" s="93">
        <v>283.70999999999998</v>
      </c>
      <c r="HU33" s="93">
        <v>282.82</v>
      </c>
      <c r="HV33" s="93">
        <v>281.93</v>
      </c>
      <c r="HW33" s="93">
        <v>281.04000000000002</v>
      </c>
      <c r="HX33" s="93">
        <v>280.14999999999998</v>
      </c>
      <c r="HY33" s="93">
        <v>279.26</v>
      </c>
      <c r="HZ33" s="93">
        <v>278.39</v>
      </c>
      <c r="IA33" s="93">
        <v>277.5</v>
      </c>
      <c r="IB33" s="93">
        <v>276.62</v>
      </c>
      <c r="IC33" s="93">
        <v>275.74</v>
      </c>
      <c r="ID33" s="93">
        <v>274.85000000000002</v>
      </c>
      <c r="IE33" s="93">
        <v>273.98</v>
      </c>
      <c r="IF33" s="93">
        <v>273.10000000000002</v>
      </c>
      <c r="IG33" s="93">
        <v>272.23</v>
      </c>
      <c r="IH33" s="93">
        <v>271.35000000000002</v>
      </c>
      <c r="II33" s="93">
        <v>270.48</v>
      </c>
      <c r="IJ33" s="93">
        <v>269.60000000000002</v>
      </c>
      <c r="IK33" s="93">
        <v>268.73</v>
      </c>
      <c r="IL33" s="93">
        <v>267.85000000000002</v>
      </c>
      <c r="IM33" s="93">
        <v>266.99</v>
      </c>
      <c r="IN33" s="93">
        <v>266.12</v>
      </c>
      <c r="IO33" s="93">
        <v>265.26</v>
      </c>
      <c r="IP33" s="93">
        <v>264.39</v>
      </c>
      <c r="IQ33" s="93">
        <v>263.51</v>
      </c>
      <c r="IR33" s="93">
        <v>262.66000000000003</v>
      </c>
      <c r="IS33" s="93">
        <v>261.79000000000002</v>
      </c>
      <c r="IT33" s="93">
        <v>260.94</v>
      </c>
      <c r="IU33" s="93">
        <v>260.07</v>
      </c>
      <c r="IV33" s="93">
        <v>259.22000000000003</v>
      </c>
      <c r="IW33" s="93">
        <v>258.35000000000002</v>
      </c>
      <c r="IX33" s="93">
        <v>257.51</v>
      </c>
      <c r="IY33" s="93">
        <v>256.64999999999998</v>
      </c>
      <c r="IZ33" s="93">
        <v>255.8</v>
      </c>
      <c r="JA33" s="93">
        <v>254.95</v>
      </c>
      <c r="JB33" s="93">
        <v>254.1</v>
      </c>
      <c r="JC33" s="93">
        <v>253.25</v>
      </c>
      <c r="JD33" s="93">
        <v>252.4</v>
      </c>
      <c r="JE33" s="93">
        <v>251.56</v>
      </c>
      <c r="JF33" s="93">
        <v>250.71</v>
      </c>
      <c r="JG33" s="93">
        <v>249.86</v>
      </c>
      <c r="JH33" s="93">
        <v>249.02</v>
      </c>
      <c r="JI33" s="93">
        <v>248.18</v>
      </c>
      <c r="JJ33" s="93">
        <v>247.34</v>
      </c>
      <c r="JK33" s="93">
        <v>246.5</v>
      </c>
      <c r="JL33" s="93">
        <v>245.66</v>
      </c>
      <c r="JM33" s="93">
        <v>244.82</v>
      </c>
      <c r="JN33" s="93">
        <v>243.98</v>
      </c>
      <c r="JO33" s="93">
        <v>243.15</v>
      </c>
      <c r="JP33" s="93">
        <v>242.31</v>
      </c>
      <c r="JQ33" s="93">
        <v>241.48</v>
      </c>
      <c r="JR33" s="93">
        <v>240.64</v>
      </c>
      <c r="JS33" s="93">
        <v>239.81</v>
      </c>
      <c r="JT33" s="93">
        <v>238.98</v>
      </c>
      <c r="JU33" s="93">
        <v>238.15</v>
      </c>
      <c r="JV33" s="93">
        <v>237.32</v>
      </c>
      <c r="JW33" s="93">
        <v>236.49</v>
      </c>
      <c r="JX33" s="93">
        <v>235.67</v>
      </c>
      <c r="JY33" s="93">
        <v>234.84</v>
      </c>
      <c r="JZ33" s="93">
        <v>234.02</v>
      </c>
      <c r="KA33" s="93">
        <v>233.19</v>
      </c>
      <c r="KB33" s="93">
        <v>232.37</v>
      </c>
      <c r="KC33" s="93">
        <v>231.55</v>
      </c>
      <c r="KD33" s="93">
        <v>230.73</v>
      </c>
      <c r="KE33" s="93">
        <v>229.91</v>
      </c>
      <c r="KF33" s="93">
        <v>229.09</v>
      </c>
      <c r="KG33" s="93">
        <v>228.27</v>
      </c>
      <c r="KH33" s="93">
        <v>227.46</v>
      </c>
      <c r="KI33" s="93">
        <v>226.64</v>
      </c>
      <c r="KJ33" s="93">
        <v>225.83</v>
      </c>
      <c r="KK33" s="93">
        <v>225.01</v>
      </c>
      <c r="KL33" s="93">
        <v>224.2</v>
      </c>
      <c r="KM33" s="93">
        <v>223.39</v>
      </c>
      <c r="KN33" s="93">
        <v>222.58</v>
      </c>
      <c r="KO33" s="93">
        <v>221.78</v>
      </c>
      <c r="KP33" s="93">
        <v>220.97</v>
      </c>
      <c r="KQ33" s="93">
        <v>220.17</v>
      </c>
      <c r="KR33" s="93">
        <v>219.05000000000024</v>
      </c>
      <c r="KS33" s="93">
        <v>218.30000000000024</v>
      </c>
      <c r="KT33" s="93">
        <v>217.55000000000024</v>
      </c>
      <c r="KU33" s="93">
        <v>216.80000000000024</v>
      </c>
      <c r="KV33" s="93">
        <v>216.05000000000024</v>
      </c>
      <c r="KW33" s="93">
        <v>215.30000000000024</v>
      </c>
      <c r="KX33" s="93">
        <v>214.55000000000024</v>
      </c>
      <c r="KY33" s="93">
        <v>213.80000000000024</v>
      </c>
      <c r="KZ33" s="93">
        <v>213.05000000000024</v>
      </c>
      <c r="LA33" s="93">
        <v>212.30000000000024</v>
      </c>
      <c r="LB33" s="93">
        <v>211.55000000000024</v>
      </c>
      <c r="LC33" s="93">
        <v>210.80000000000024</v>
      </c>
      <c r="LD33" s="93">
        <v>210.05000000000024</v>
      </c>
      <c r="LE33" s="93">
        <v>209.30000000000024</v>
      </c>
      <c r="LF33" s="93">
        <v>208.55000000000024</v>
      </c>
      <c r="LG33" s="93">
        <v>207.80000000000024</v>
      </c>
      <c r="LH33" s="93">
        <v>207.05000000000024</v>
      </c>
      <c r="LI33" s="93">
        <v>206.30000000000024</v>
      </c>
      <c r="LJ33" s="93">
        <v>205.55000000000024</v>
      </c>
      <c r="LK33" s="93">
        <v>204.80000000000024</v>
      </c>
      <c r="LL33" s="93">
        <v>204.05000000000024</v>
      </c>
      <c r="LM33" s="93">
        <v>203.30000000000024</v>
      </c>
      <c r="LN33" s="93">
        <v>202.55000000000024</v>
      </c>
      <c r="LO33" s="93">
        <v>201.80000000000024</v>
      </c>
      <c r="LP33" s="93">
        <v>201.05000000000024</v>
      </c>
      <c r="LQ33" s="93">
        <v>200.30000000000024</v>
      </c>
      <c r="LR33" s="93">
        <v>199.55000000000024</v>
      </c>
      <c r="LS33" s="93">
        <v>198.80000000000024</v>
      </c>
      <c r="LT33" s="93">
        <v>198.05000000000024</v>
      </c>
      <c r="LU33" s="93">
        <v>197.30000000000024</v>
      </c>
      <c r="LV33" s="93">
        <v>196.55000000000024</v>
      </c>
      <c r="LW33" s="93">
        <v>195.80000000000024</v>
      </c>
      <c r="LX33" s="93">
        <v>195.05000000000024</v>
      </c>
      <c r="LY33" s="93">
        <v>194.30000000000024</v>
      </c>
      <c r="LZ33" s="93">
        <v>193.55000000000024</v>
      </c>
      <c r="MA33" s="93">
        <v>192.80000000000024</v>
      </c>
      <c r="MB33" s="93">
        <v>192.05000000000024</v>
      </c>
      <c r="MC33" s="93">
        <v>191.30000000000024</v>
      </c>
      <c r="MD33" s="93">
        <v>190.55000000000024</v>
      </c>
      <c r="ME33" s="93">
        <v>189.80000000000024</v>
      </c>
      <c r="MF33" s="93">
        <v>189.05000000000024</v>
      </c>
      <c r="MG33" s="93">
        <v>188.30000000000024</v>
      </c>
      <c r="MH33" s="93">
        <v>187.55000000000024</v>
      </c>
      <c r="MI33" s="93">
        <v>186.80000000000024</v>
      </c>
      <c r="MJ33" s="93">
        <v>186.05000000000024</v>
      </c>
      <c r="MK33" s="93">
        <v>185.30000000000024</v>
      </c>
      <c r="ML33" s="93">
        <v>184.55000000000024</v>
      </c>
      <c r="MM33" s="93">
        <v>183.80000000000024</v>
      </c>
      <c r="MN33" s="93">
        <v>183.05000000000024</v>
      </c>
      <c r="MO33" s="93">
        <v>182.30000000000024</v>
      </c>
      <c r="MP33" s="93">
        <v>181.55000000000024</v>
      </c>
      <c r="MQ33" s="93">
        <v>180.80000000000024</v>
      </c>
      <c r="MR33" s="93">
        <v>180.05000000000024</v>
      </c>
      <c r="MS33" s="93">
        <v>179.30000000000024</v>
      </c>
      <c r="MT33" s="93">
        <v>178.55000000000024</v>
      </c>
      <c r="MU33" s="93">
        <v>177.80000000000024</v>
      </c>
      <c r="MV33" s="93">
        <v>177.05000000000024</v>
      </c>
      <c r="MW33" s="93">
        <v>176.30000000000024</v>
      </c>
      <c r="MX33" s="93">
        <v>175.55000000000024</v>
      </c>
      <c r="MY33" s="93">
        <v>174.80000000000024</v>
      </c>
    </row>
    <row r="34" spans="1:363" ht="15.75" x14ac:dyDescent="0.25">
      <c r="A34" s="90" t="s">
        <v>7</v>
      </c>
      <c r="B34" s="95">
        <v>2044</v>
      </c>
      <c r="C34" s="93">
        <v>504.84</v>
      </c>
      <c r="D34" s="93">
        <v>503.81</v>
      </c>
      <c r="E34" s="93">
        <v>502.79</v>
      </c>
      <c r="F34" s="93">
        <v>501.77</v>
      </c>
      <c r="G34" s="93">
        <v>500.74</v>
      </c>
      <c r="H34" s="93">
        <v>499.72</v>
      </c>
      <c r="I34" s="93">
        <v>498.7</v>
      </c>
      <c r="J34" s="93">
        <v>497.67</v>
      </c>
      <c r="K34" s="93">
        <v>496.65</v>
      </c>
      <c r="L34" s="93">
        <v>495.63</v>
      </c>
      <c r="M34" s="93">
        <v>494.6</v>
      </c>
      <c r="N34" s="93">
        <v>493.58</v>
      </c>
      <c r="O34" s="93">
        <v>492.56</v>
      </c>
      <c r="P34" s="93">
        <v>491.53</v>
      </c>
      <c r="Q34" s="93">
        <v>490.51</v>
      </c>
      <c r="R34" s="93">
        <v>489.49</v>
      </c>
      <c r="S34" s="93">
        <v>488.46</v>
      </c>
      <c r="T34" s="93">
        <v>487.44</v>
      </c>
      <c r="U34" s="93">
        <v>486.42</v>
      </c>
      <c r="V34" s="93">
        <v>485.39</v>
      </c>
      <c r="W34" s="93">
        <v>484.37</v>
      </c>
      <c r="X34" s="93">
        <v>483.35</v>
      </c>
      <c r="Y34" s="93">
        <v>482.32</v>
      </c>
      <c r="Z34" s="93">
        <v>481.3</v>
      </c>
      <c r="AA34" s="93">
        <v>480.28</v>
      </c>
      <c r="AB34" s="93">
        <v>479.26</v>
      </c>
      <c r="AC34" s="93">
        <v>478.23</v>
      </c>
      <c r="AD34" s="93">
        <v>477.21</v>
      </c>
      <c r="AE34" s="93">
        <v>476.19</v>
      </c>
      <c r="AF34" s="93">
        <v>475.17</v>
      </c>
      <c r="AG34" s="93">
        <v>474.14</v>
      </c>
      <c r="AH34" s="93">
        <v>473.12</v>
      </c>
      <c r="AI34" s="93">
        <v>472.1</v>
      </c>
      <c r="AJ34" s="93">
        <v>471.08</v>
      </c>
      <c r="AK34" s="93">
        <v>470.05</v>
      </c>
      <c r="AL34" s="93">
        <v>469.03</v>
      </c>
      <c r="AM34" s="93">
        <v>468.01</v>
      </c>
      <c r="AN34" s="93">
        <v>466.99</v>
      </c>
      <c r="AO34" s="93">
        <v>465.97</v>
      </c>
      <c r="AP34" s="93">
        <v>464.94</v>
      </c>
      <c r="AQ34" s="93">
        <v>463.92</v>
      </c>
      <c r="AR34" s="93">
        <v>462.9</v>
      </c>
      <c r="AS34" s="93">
        <v>461.88</v>
      </c>
      <c r="AT34" s="93">
        <v>460.86</v>
      </c>
      <c r="AU34" s="93">
        <v>459.84</v>
      </c>
      <c r="AV34" s="93">
        <v>458.82</v>
      </c>
      <c r="AW34" s="93">
        <v>457.8</v>
      </c>
      <c r="AX34" s="93">
        <v>456.78</v>
      </c>
      <c r="AY34" s="93">
        <v>455.76</v>
      </c>
      <c r="AZ34" s="93">
        <v>454.74</v>
      </c>
      <c r="BA34" s="93">
        <v>453.72</v>
      </c>
      <c r="BB34" s="93">
        <v>452.7</v>
      </c>
      <c r="BC34" s="93">
        <v>451.68</v>
      </c>
      <c r="BD34" s="93">
        <v>450.66</v>
      </c>
      <c r="BE34" s="93">
        <v>449.64</v>
      </c>
      <c r="BF34" s="93">
        <v>448.62</v>
      </c>
      <c r="BG34" s="93">
        <v>447.6</v>
      </c>
      <c r="BH34" s="93">
        <v>446.58</v>
      </c>
      <c r="BI34" s="93">
        <v>445.56</v>
      </c>
      <c r="BJ34" s="93">
        <v>444.54</v>
      </c>
      <c r="BK34" s="93">
        <v>443.52</v>
      </c>
      <c r="BL34" s="93">
        <v>442.51</v>
      </c>
      <c r="BM34" s="93">
        <v>441.49</v>
      </c>
      <c r="BN34" s="93">
        <v>440.47</v>
      </c>
      <c r="BO34" s="93">
        <v>439.46</v>
      </c>
      <c r="BP34" s="93">
        <v>438.44</v>
      </c>
      <c r="BQ34" s="93">
        <v>437.42</v>
      </c>
      <c r="BR34" s="93">
        <v>436.41</v>
      </c>
      <c r="BS34" s="93">
        <v>435.39</v>
      </c>
      <c r="BT34" s="93">
        <v>434.37</v>
      </c>
      <c r="BU34" s="93">
        <v>433.36</v>
      </c>
      <c r="BV34" s="93">
        <v>432.34</v>
      </c>
      <c r="BW34" s="93">
        <v>431.33</v>
      </c>
      <c r="BX34" s="93">
        <v>430.31</v>
      </c>
      <c r="BY34" s="93">
        <v>429.3</v>
      </c>
      <c r="BZ34" s="93">
        <v>428.29</v>
      </c>
      <c r="CA34" s="93">
        <v>427.27</v>
      </c>
      <c r="CB34" s="93">
        <v>426.26</v>
      </c>
      <c r="CC34" s="93">
        <v>425.25</v>
      </c>
      <c r="CD34" s="93">
        <v>424.24</v>
      </c>
      <c r="CE34" s="93">
        <v>423.22</v>
      </c>
      <c r="CF34" s="93">
        <v>422.21</v>
      </c>
      <c r="CG34" s="93">
        <v>421.2</v>
      </c>
      <c r="CH34" s="93">
        <v>420.19</v>
      </c>
      <c r="CI34" s="93">
        <v>419.18</v>
      </c>
      <c r="CJ34" s="93">
        <v>418.17</v>
      </c>
      <c r="CK34" s="93">
        <v>417.16</v>
      </c>
      <c r="CL34" s="93">
        <v>416.15</v>
      </c>
      <c r="CM34" s="93">
        <v>415.15</v>
      </c>
      <c r="CN34" s="93">
        <v>414.14</v>
      </c>
      <c r="CO34" s="93">
        <v>413.13</v>
      </c>
      <c r="CP34" s="93">
        <v>412.13</v>
      </c>
      <c r="CQ34" s="93">
        <v>411.12</v>
      </c>
      <c r="CR34" s="93">
        <v>410.11</v>
      </c>
      <c r="CS34" s="93">
        <v>409.11</v>
      </c>
      <c r="CT34" s="93">
        <v>408.1</v>
      </c>
      <c r="CU34" s="93">
        <v>407.09</v>
      </c>
      <c r="CV34" s="93">
        <v>406.09</v>
      </c>
      <c r="CW34" s="93">
        <v>405.09</v>
      </c>
      <c r="CX34" s="93">
        <v>404.09</v>
      </c>
      <c r="CY34" s="93">
        <v>403.09</v>
      </c>
      <c r="CZ34" s="93">
        <v>402.09</v>
      </c>
      <c r="DA34" s="93">
        <v>401.09</v>
      </c>
      <c r="DB34" s="93">
        <v>400.09</v>
      </c>
      <c r="DC34" s="93">
        <v>399.08</v>
      </c>
      <c r="DD34" s="93">
        <v>398.08</v>
      </c>
      <c r="DE34" s="93">
        <v>397.08</v>
      </c>
      <c r="DF34" s="93">
        <v>396.08</v>
      </c>
      <c r="DG34" s="93">
        <v>395.08</v>
      </c>
      <c r="DH34" s="93">
        <v>394.09</v>
      </c>
      <c r="DI34" s="93">
        <v>393.1</v>
      </c>
      <c r="DJ34" s="93">
        <v>392.1</v>
      </c>
      <c r="DK34" s="93">
        <v>391.11</v>
      </c>
      <c r="DL34" s="93">
        <v>390.11</v>
      </c>
      <c r="DM34" s="93">
        <v>389.12</v>
      </c>
      <c r="DN34" s="93">
        <v>388.13</v>
      </c>
      <c r="DO34" s="93">
        <v>387.14</v>
      </c>
      <c r="DP34" s="93">
        <v>386.14</v>
      </c>
      <c r="DQ34" s="93">
        <v>385.15</v>
      </c>
      <c r="DR34" s="93">
        <v>384.16</v>
      </c>
      <c r="DS34" s="93">
        <v>383.17</v>
      </c>
      <c r="DT34" s="93">
        <v>382.18</v>
      </c>
      <c r="DU34" s="93">
        <v>381.2</v>
      </c>
      <c r="DV34" s="93">
        <v>380.21</v>
      </c>
      <c r="DW34" s="93">
        <v>379.23</v>
      </c>
      <c r="DX34" s="93">
        <v>378.24</v>
      </c>
      <c r="DY34" s="93">
        <v>377.26</v>
      </c>
      <c r="DZ34" s="93">
        <v>376.28</v>
      </c>
      <c r="EA34" s="93">
        <v>375.29</v>
      </c>
      <c r="EB34" s="93">
        <v>374.31</v>
      </c>
      <c r="EC34" s="93">
        <v>373.33</v>
      </c>
      <c r="ED34" s="93">
        <v>372.35</v>
      </c>
      <c r="EE34" s="93">
        <v>371.37</v>
      </c>
      <c r="EF34" s="93">
        <v>370.39</v>
      </c>
      <c r="EG34" s="93">
        <v>369.42</v>
      </c>
      <c r="EH34" s="93">
        <v>368.45</v>
      </c>
      <c r="EI34" s="93">
        <v>367.48</v>
      </c>
      <c r="EJ34" s="93">
        <v>366.5</v>
      </c>
      <c r="EK34" s="93">
        <v>365.53</v>
      </c>
      <c r="EL34" s="93">
        <v>364.56</v>
      </c>
      <c r="EM34" s="93">
        <v>363.59</v>
      </c>
      <c r="EN34" s="93">
        <v>362.62</v>
      </c>
      <c r="EO34" s="93">
        <v>361.65</v>
      </c>
      <c r="EP34" s="93">
        <v>360.68</v>
      </c>
      <c r="EQ34" s="93">
        <v>359.72</v>
      </c>
      <c r="ER34" s="93">
        <v>358.75</v>
      </c>
      <c r="ES34" s="93">
        <v>357.79</v>
      </c>
      <c r="ET34" s="93">
        <v>356.83</v>
      </c>
      <c r="EU34" s="93">
        <v>355.87</v>
      </c>
      <c r="EV34" s="93">
        <v>354.9</v>
      </c>
      <c r="EW34" s="93">
        <v>353.94</v>
      </c>
      <c r="EX34" s="93">
        <v>352.98</v>
      </c>
      <c r="EY34" s="93">
        <v>352.02</v>
      </c>
      <c r="EZ34" s="93">
        <v>351.06</v>
      </c>
      <c r="FA34" s="93">
        <v>350.11</v>
      </c>
      <c r="FB34" s="93">
        <v>349.15</v>
      </c>
      <c r="FC34" s="93">
        <v>348.19</v>
      </c>
      <c r="FD34" s="93">
        <v>347.23</v>
      </c>
      <c r="FE34" s="93">
        <v>346.28</v>
      </c>
      <c r="FF34" s="93">
        <v>345.32</v>
      </c>
      <c r="FG34" s="93">
        <v>344.37</v>
      </c>
      <c r="FH34" s="93">
        <v>343.42</v>
      </c>
      <c r="FI34" s="93">
        <v>342.46</v>
      </c>
      <c r="FJ34" s="93">
        <v>341.51</v>
      </c>
      <c r="FK34" s="93">
        <v>340.56</v>
      </c>
      <c r="FL34" s="93">
        <v>339.61</v>
      </c>
      <c r="FM34" s="93">
        <v>338.66</v>
      </c>
      <c r="FN34" s="93">
        <v>337.71</v>
      </c>
      <c r="FO34" s="93">
        <v>336.76</v>
      </c>
      <c r="FP34" s="93">
        <v>335.81</v>
      </c>
      <c r="FQ34" s="93">
        <v>334.86</v>
      </c>
      <c r="FR34" s="93">
        <v>333.92</v>
      </c>
      <c r="FS34" s="93">
        <v>332.97</v>
      </c>
      <c r="FT34" s="93">
        <v>332.03</v>
      </c>
      <c r="FU34" s="93">
        <v>331.08</v>
      </c>
      <c r="FV34" s="93">
        <v>330.14</v>
      </c>
      <c r="FW34" s="93">
        <v>329.19</v>
      </c>
      <c r="FX34" s="93">
        <v>328.25</v>
      </c>
      <c r="FY34" s="93">
        <v>327.31</v>
      </c>
      <c r="FZ34" s="93">
        <v>326.37</v>
      </c>
      <c r="GA34" s="93">
        <v>325.43</v>
      </c>
      <c r="GB34" s="93">
        <v>324.49</v>
      </c>
      <c r="GC34" s="93">
        <v>323.54000000000002</v>
      </c>
      <c r="GD34" s="93">
        <v>322.62</v>
      </c>
      <c r="GE34" s="93">
        <v>321.68</v>
      </c>
      <c r="GF34" s="93">
        <v>320.75</v>
      </c>
      <c r="GG34" s="93">
        <v>319.81</v>
      </c>
      <c r="GH34" s="93">
        <v>318.88</v>
      </c>
      <c r="GI34" s="93">
        <v>317.94</v>
      </c>
      <c r="GJ34" s="93">
        <v>317.01</v>
      </c>
      <c r="GK34" s="93">
        <v>316.07</v>
      </c>
      <c r="GL34" s="93">
        <v>315.14999999999998</v>
      </c>
      <c r="GM34" s="93">
        <v>314.22000000000003</v>
      </c>
      <c r="GN34" s="93">
        <v>313.29000000000002</v>
      </c>
      <c r="GO34" s="93">
        <v>312.37</v>
      </c>
      <c r="GP34" s="93">
        <v>311.45</v>
      </c>
      <c r="GQ34" s="93">
        <v>310.51</v>
      </c>
      <c r="GR34" s="93">
        <v>309.60000000000002</v>
      </c>
      <c r="GS34" s="93">
        <v>308.68</v>
      </c>
      <c r="GT34" s="93">
        <v>307.76</v>
      </c>
      <c r="GU34" s="93">
        <v>306.83999999999997</v>
      </c>
      <c r="GV34" s="93">
        <v>305.92</v>
      </c>
      <c r="GW34" s="93">
        <v>305</v>
      </c>
      <c r="GX34" s="93">
        <v>304.07</v>
      </c>
      <c r="GY34" s="93">
        <v>303.16000000000003</v>
      </c>
      <c r="GZ34" s="93">
        <v>302.25</v>
      </c>
      <c r="HA34" s="93">
        <v>301.33999999999997</v>
      </c>
      <c r="HB34" s="93">
        <v>300.42</v>
      </c>
      <c r="HC34" s="93">
        <v>299.51</v>
      </c>
      <c r="HD34" s="93">
        <v>298.60000000000002</v>
      </c>
      <c r="HE34" s="93">
        <v>297.69</v>
      </c>
      <c r="HF34" s="93">
        <v>296.77999999999997</v>
      </c>
      <c r="HG34" s="93">
        <v>295.88</v>
      </c>
      <c r="HH34" s="93">
        <v>294.97000000000003</v>
      </c>
      <c r="HI34" s="93">
        <v>294.07</v>
      </c>
      <c r="HJ34" s="93">
        <v>293.16000000000003</v>
      </c>
      <c r="HK34" s="93">
        <v>292.26</v>
      </c>
      <c r="HL34" s="93">
        <v>291.35000000000002</v>
      </c>
      <c r="HM34" s="93">
        <v>290.45999999999998</v>
      </c>
      <c r="HN34" s="93">
        <v>289.56</v>
      </c>
      <c r="HO34" s="93">
        <v>288.67</v>
      </c>
      <c r="HP34" s="93">
        <v>287.76</v>
      </c>
      <c r="HQ34" s="93">
        <v>286.88</v>
      </c>
      <c r="HR34" s="93">
        <v>285.98</v>
      </c>
      <c r="HS34" s="93">
        <v>285.08999999999997</v>
      </c>
      <c r="HT34" s="93">
        <v>284.2</v>
      </c>
      <c r="HU34" s="93">
        <v>283.31</v>
      </c>
      <c r="HV34" s="93">
        <v>282.42</v>
      </c>
      <c r="HW34" s="93">
        <v>281.52999999999997</v>
      </c>
      <c r="HX34" s="93">
        <v>280.64999999999998</v>
      </c>
      <c r="HY34" s="93">
        <v>279.76</v>
      </c>
      <c r="HZ34" s="93">
        <v>278.88</v>
      </c>
      <c r="IA34" s="93">
        <v>278</v>
      </c>
      <c r="IB34" s="93">
        <v>277.10000000000002</v>
      </c>
      <c r="IC34" s="93">
        <v>276.23</v>
      </c>
      <c r="ID34" s="93">
        <v>275.35000000000002</v>
      </c>
      <c r="IE34" s="93">
        <v>274.47000000000003</v>
      </c>
      <c r="IF34" s="93">
        <v>273.58999999999997</v>
      </c>
      <c r="IG34" s="93">
        <v>272.72000000000003</v>
      </c>
      <c r="IH34" s="93">
        <v>271.83999999999997</v>
      </c>
      <c r="II34" s="93">
        <v>270.97000000000003</v>
      </c>
      <c r="IJ34" s="93">
        <v>270.08999999999997</v>
      </c>
      <c r="IK34" s="93">
        <v>269.22000000000003</v>
      </c>
      <c r="IL34" s="93">
        <v>268.35000000000002</v>
      </c>
      <c r="IM34" s="93">
        <v>267.48</v>
      </c>
      <c r="IN34" s="93">
        <v>266.60000000000002</v>
      </c>
      <c r="IO34" s="93">
        <v>265.74</v>
      </c>
      <c r="IP34" s="93">
        <v>264.88</v>
      </c>
      <c r="IQ34" s="93">
        <v>264.01</v>
      </c>
      <c r="IR34" s="93">
        <v>263.14999999999998</v>
      </c>
      <c r="IS34" s="93">
        <v>262.27999999999997</v>
      </c>
      <c r="IT34" s="93">
        <v>261.42</v>
      </c>
      <c r="IU34" s="93">
        <v>260.56</v>
      </c>
      <c r="IV34" s="93">
        <v>259.7</v>
      </c>
      <c r="IW34" s="93">
        <v>258.85000000000002</v>
      </c>
      <c r="IX34" s="93">
        <v>257.99</v>
      </c>
      <c r="IY34" s="93">
        <v>257.14</v>
      </c>
      <c r="IZ34" s="93">
        <v>256.27999999999997</v>
      </c>
      <c r="JA34" s="93">
        <v>255.43</v>
      </c>
      <c r="JB34" s="93">
        <v>254.58</v>
      </c>
      <c r="JC34" s="93">
        <v>253.73</v>
      </c>
      <c r="JD34" s="93">
        <v>252.88</v>
      </c>
      <c r="JE34" s="93">
        <v>252.03</v>
      </c>
      <c r="JF34" s="93">
        <v>251.19</v>
      </c>
      <c r="JG34" s="93">
        <v>250.34</v>
      </c>
      <c r="JH34" s="93">
        <v>249.5</v>
      </c>
      <c r="JI34" s="93">
        <v>248.66</v>
      </c>
      <c r="JJ34" s="93">
        <v>247.81</v>
      </c>
      <c r="JK34" s="93">
        <v>246.97</v>
      </c>
      <c r="JL34" s="93">
        <v>246.13</v>
      </c>
      <c r="JM34" s="93">
        <v>245.29</v>
      </c>
      <c r="JN34" s="93">
        <v>244.46</v>
      </c>
      <c r="JO34" s="93">
        <v>243.62</v>
      </c>
      <c r="JP34" s="93">
        <v>242.78</v>
      </c>
      <c r="JQ34" s="93">
        <v>241.95</v>
      </c>
      <c r="JR34" s="93">
        <v>241.11</v>
      </c>
      <c r="JS34" s="93">
        <v>240.28</v>
      </c>
      <c r="JT34" s="93">
        <v>239.45</v>
      </c>
      <c r="JU34" s="93">
        <v>238.62</v>
      </c>
      <c r="JV34" s="93">
        <v>237.79</v>
      </c>
      <c r="JW34" s="93">
        <v>236.96</v>
      </c>
      <c r="JX34" s="93">
        <v>236.14</v>
      </c>
      <c r="JY34" s="93">
        <v>235.31</v>
      </c>
      <c r="JZ34" s="93">
        <v>234.48</v>
      </c>
      <c r="KA34" s="93">
        <v>233.66</v>
      </c>
      <c r="KB34" s="93">
        <v>232.84</v>
      </c>
      <c r="KC34" s="93">
        <v>232.02</v>
      </c>
      <c r="KD34" s="93">
        <v>231.19</v>
      </c>
      <c r="KE34" s="93">
        <v>230.37</v>
      </c>
      <c r="KF34" s="93">
        <v>229.55</v>
      </c>
      <c r="KG34" s="93">
        <v>228.74</v>
      </c>
      <c r="KH34" s="93">
        <v>227.92</v>
      </c>
      <c r="KI34" s="93">
        <v>227.1</v>
      </c>
      <c r="KJ34" s="93">
        <v>226.29</v>
      </c>
      <c r="KK34" s="93">
        <v>225.48</v>
      </c>
      <c r="KL34" s="93">
        <v>224.66</v>
      </c>
      <c r="KM34" s="93">
        <v>223.85</v>
      </c>
      <c r="KN34" s="93">
        <v>223.04</v>
      </c>
      <c r="KO34" s="93">
        <v>222.24</v>
      </c>
      <c r="KP34" s="93">
        <v>221.43</v>
      </c>
      <c r="KQ34" s="93">
        <v>220.63</v>
      </c>
      <c r="KR34" s="93">
        <v>219.51000000000025</v>
      </c>
      <c r="KS34" s="93">
        <v>218.76000000000025</v>
      </c>
      <c r="KT34" s="93">
        <v>218.01000000000025</v>
      </c>
      <c r="KU34" s="93">
        <v>217.26000000000025</v>
      </c>
      <c r="KV34" s="93">
        <v>216.51000000000025</v>
      </c>
      <c r="KW34" s="93">
        <v>215.76000000000025</v>
      </c>
      <c r="KX34" s="93">
        <v>215.01000000000025</v>
      </c>
      <c r="KY34" s="93">
        <v>214.26000000000025</v>
      </c>
      <c r="KZ34" s="93">
        <v>213.51000000000025</v>
      </c>
      <c r="LA34" s="93">
        <v>212.76000000000025</v>
      </c>
      <c r="LB34" s="93">
        <v>212.01000000000025</v>
      </c>
      <c r="LC34" s="93">
        <v>211.26000000000025</v>
      </c>
      <c r="LD34" s="93">
        <v>210.51000000000025</v>
      </c>
      <c r="LE34" s="93">
        <v>209.76000000000025</v>
      </c>
      <c r="LF34" s="93">
        <v>209.01000000000025</v>
      </c>
      <c r="LG34" s="93">
        <v>208.26000000000025</v>
      </c>
      <c r="LH34" s="93">
        <v>207.51000000000025</v>
      </c>
      <c r="LI34" s="93">
        <v>206.76000000000025</v>
      </c>
      <c r="LJ34" s="93">
        <v>206.01000000000025</v>
      </c>
      <c r="LK34" s="93">
        <v>205.26000000000025</v>
      </c>
      <c r="LL34" s="93">
        <v>204.51000000000025</v>
      </c>
      <c r="LM34" s="93">
        <v>203.76000000000025</v>
      </c>
      <c r="LN34" s="93">
        <v>203.01000000000025</v>
      </c>
      <c r="LO34" s="93">
        <v>202.26000000000025</v>
      </c>
      <c r="LP34" s="93">
        <v>201.51000000000025</v>
      </c>
      <c r="LQ34" s="93">
        <v>200.76000000000025</v>
      </c>
      <c r="LR34" s="93">
        <v>200.01000000000025</v>
      </c>
      <c r="LS34" s="93">
        <v>199.26000000000025</v>
      </c>
      <c r="LT34" s="93">
        <v>198.51000000000025</v>
      </c>
      <c r="LU34" s="93">
        <v>197.76000000000025</v>
      </c>
      <c r="LV34" s="93">
        <v>197.01000000000025</v>
      </c>
      <c r="LW34" s="93">
        <v>196.26000000000025</v>
      </c>
      <c r="LX34" s="93">
        <v>195.51000000000025</v>
      </c>
      <c r="LY34" s="93">
        <v>194.76000000000025</v>
      </c>
      <c r="LZ34" s="93">
        <v>194.01000000000025</v>
      </c>
      <c r="MA34" s="93">
        <v>193.26000000000025</v>
      </c>
      <c r="MB34" s="93">
        <v>192.51000000000025</v>
      </c>
      <c r="MC34" s="93">
        <v>191.76000000000025</v>
      </c>
      <c r="MD34" s="93">
        <v>191.01000000000025</v>
      </c>
      <c r="ME34" s="93">
        <v>190.26000000000025</v>
      </c>
      <c r="MF34" s="93">
        <v>189.51000000000025</v>
      </c>
      <c r="MG34" s="93">
        <v>188.76000000000025</v>
      </c>
      <c r="MH34" s="93">
        <v>188.01000000000025</v>
      </c>
      <c r="MI34" s="93">
        <v>187.26000000000025</v>
      </c>
      <c r="MJ34" s="93">
        <v>186.51000000000025</v>
      </c>
      <c r="MK34" s="93">
        <v>185.76000000000025</v>
      </c>
      <c r="ML34" s="93">
        <v>185.01000000000025</v>
      </c>
      <c r="MM34" s="93">
        <v>184.26000000000025</v>
      </c>
      <c r="MN34" s="93">
        <v>183.51000000000025</v>
      </c>
      <c r="MO34" s="93">
        <v>182.76000000000025</v>
      </c>
      <c r="MP34" s="93">
        <v>182.01000000000025</v>
      </c>
      <c r="MQ34" s="93">
        <v>181.26000000000025</v>
      </c>
      <c r="MR34" s="93">
        <v>180.51000000000025</v>
      </c>
      <c r="MS34" s="93">
        <v>179.76000000000025</v>
      </c>
      <c r="MT34" s="93">
        <v>179.01000000000025</v>
      </c>
      <c r="MU34" s="93">
        <v>178.26000000000025</v>
      </c>
      <c r="MV34" s="93">
        <v>177.51000000000025</v>
      </c>
      <c r="MW34" s="93">
        <v>176.76000000000025</v>
      </c>
      <c r="MX34" s="93">
        <v>176.01000000000025</v>
      </c>
      <c r="MY34" s="93">
        <v>175.26000000000025</v>
      </c>
    </row>
    <row r="35" spans="1:363" ht="15.75" x14ac:dyDescent="0.25">
      <c r="A35" s="90" t="s">
        <v>7</v>
      </c>
      <c r="B35" s="95">
        <v>2045</v>
      </c>
      <c r="C35" s="93">
        <v>505.4</v>
      </c>
      <c r="D35" s="93">
        <v>504.38</v>
      </c>
      <c r="E35" s="93">
        <v>503.35</v>
      </c>
      <c r="F35" s="93">
        <v>502.33</v>
      </c>
      <c r="G35" s="93">
        <v>501.3</v>
      </c>
      <c r="H35" s="93">
        <v>500.28</v>
      </c>
      <c r="I35" s="93">
        <v>499.26</v>
      </c>
      <c r="J35" s="93">
        <v>498.23</v>
      </c>
      <c r="K35" s="93">
        <v>497.21</v>
      </c>
      <c r="L35" s="93">
        <v>496.19</v>
      </c>
      <c r="M35" s="93">
        <v>495.16</v>
      </c>
      <c r="N35" s="93">
        <v>494.14</v>
      </c>
      <c r="O35" s="93">
        <v>493.11</v>
      </c>
      <c r="P35" s="93">
        <v>492.09</v>
      </c>
      <c r="Q35" s="93">
        <v>491.07</v>
      </c>
      <c r="R35" s="93">
        <v>490.04</v>
      </c>
      <c r="S35" s="93">
        <v>489.02</v>
      </c>
      <c r="T35" s="93">
        <v>488</v>
      </c>
      <c r="U35" s="93">
        <v>486.97</v>
      </c>
      <c r="V35" s="93">
        <v>485.95</v>
      </c>
      <c r="W35" s="93">
        <v>484.93</v>
      </c>
      <c r="X35" s="93">
        <v>483.9</v>
      </c>
      <c r="Y35" s="93">
        <v>482.88</v>
      </c>
      <c r="Z35" s="93">
        <v>481.86</v>
      </c>
      <c r="AA35" s="93">
        <v>480.84</v>
      </c>
      <c r="AB35" s="93">
        <v>479.81</v>
      </c>
      <c r="AC35" s="93">
        <v>478.79</v>
      </c>
      <c r="AD35" s="93">
        <v>477.77</v>
      </c>
      <c r="AE35" s="93">
        <v>476.74</v>
      </c>
      <c r="AF35" s="93">
        <v>475.72</v>
      </c>
      <c r="AG35" s="93">
        <v>474.7</v>
      </c>
      <c r="AH35" s="93">
        <v>473.67</v>
      </c>
      <c r="AI35" s="93">
        <v>472.65</v>
      </c>
      <c r="AJ35" s="93">
        <v>471.63</v>
      </c>
      <c r="AK35" s="93">
        <v>470.61</v>
      </c>
      <c r="AL35" s="93">
        <v>469.58</v>
      </c>
      <c r="AM35" s="93">
        <v>468.56</v>
      </c>
      <c r="AN35" s="93">
        <v>467.54</v>
      </c>
      <c r="AO35" s="93">
        <v>466.52</v>
      </c>
      <c r="AP35" s="93">
        <v>465.5</v>
      </c>
      <c r="AQ35" s="93">
        <v>464.48</v>
      </c>
      <c r="AR35" s="93">
        <v>463.45</v>
      </c>
      <c r="AS35" s="93">
        <v>462.43</v>
      </c>
      <c r="AT35" s="93">
        <v>461.41</v>
      </c>
      <c r="AU35" s="93">
        <v>460.39</v>
      </c>
      <c r="AV35" s="93">
        <v>459.37</v>
      </c>
      <c r="AW35" s="93">
        <v>458.35</v>
      </c>
      <c r="AX35" s="93">
        <v>457.33</v>
      </c>
      <c r="AY35" s="93">
        <v>456.31</v>
      </c>
      <c r="AZ35" s="93">
        <v>455.29</v>
      </c>
      <c r="BA35" s="93">
        <v>454.27</v>
      </c>
      <c r="BB35" s="93">
        <v>453.25</v>
      </c>
      <c r="BC35" s="93">
        <v>452.23</v>
      </c>
      <c r="BD35" s="93">
        <v>451.21</v>
      </c>
      <c r="BE35" s="93">
        <v>450.19</v>
      </c>
      <c r="BF35" s="93">
        <v>449.17</v>
      </c>
      <c r="BG35" s="93">
        <v>448.15</v>
      </c>
      <c r="BH35" s="93">
        <v>447.13</v>
      </c>
      <c r="BI35" s="93">
        <v>446.11</v>
      </c>
      <c r="BJ35" s="93">
        <v>445.09</v>
      </c>
      <c r="BK35" s="93">
        <v>444.07</v>
      </c>
      <c r="BL35" s="93">
        <v>443.05</v>
      </c>
      <c r="BM35" s="93">
        <v>442.04</v>
      </c>
      <c r="BN35" s="93">
        <v>441.02</v>
      </c>
      <c r="BO35" s="93">
        <v>440</v>
      </c>
      <c r="BP35" s="93">
        <v>438.98</v>
      </c>
      <c r="BQ35" s="93">
        <v>437.97</v>
      </c>
      <c r="BR35" s="93">
        <v>436.95</v>
      </c>
      <c r="BS35" s="93">
        <v>435.93</v>
      </c>
      <c r="BT35" s="93">
        <v>434.92</v>
      </c>
      <c r="BU35" s="93">
        <v>433.9</v>
      </c>
      <c r="BV35" s="93">
        <v>432.89</v>
      </c>
      <c r="BW35" s="93">
        <v>431.87</v>
      </c>
      <c r="BX35" s="93">
        <v>430.86</v>
      </c>
      <c r="BY35" s="93">
        <v>429.84</v>
      </c>
      <c r="BZ35" s="93">
        <v>428.83</v>
      </c>
      <c r="CA35" s="93">
        <v>427.82</v>
      </c>
      <c r="CB35" s="93">
        <v>426.8</v>
      </c>
      <c r="CC35" s="93">
        <v>425.79</v>
      </c>
      <c r="CD35" s="93">
        <v>424.78</v>
      </c>
      <c r="CE35" s="93">
        <v>423.76</v>
      </c>
      <c r="CF35" s="93">
        <v>422.75</v>
      </c>
      <c r="CG35" s="93">
        <v>421.74</v>
      </c>
      <c r="CH35" s="93">
        <v>420.73</v>
      </c>
      <c r="CI35" s="93">
        <v>419.71</v>
      </c>
      <c r="CJ35" s="93">
        <v>418.71</v>
      </c>
      <c r="CK35" s="93">
        <v>417.7</v>
      </c>
      <c r="CL35" s="93">
        <v>416.69</v>
      </c>
      <c r="CM35" s="93">
        <v>415.68</v>
      </c>
      <c r="CN35" s="93">
        <v>414.68</v>
      </c>
      <c r="CO35" s="93">
        <v>413.67</v>
      </c>
      <c r="CP35" s="93">
        <v>412.66</v>
      </c>
      <c r="CQ35" s="93">
        <v>411.65</v>
      </c>
      <c r="CR35" s="93">
        <v>410.65</v>
      </c>
      <c r="CS35" s="93">
        <v>409.64</v>
      </c>
      <c r="CT35" s="93">
        <v>408.63</v>
      </c>
      <c r="CU35" s="93">
        <v>407.63</v>
      </c>
      <c r="CV35" s="93">
        <v>406.62</v>
      </c>
      <c r="CW35" s="93">
        <v>405.62</v>
      </c>
      <c r="CX35" s="93">
        <v>404.62</v>
      </c>
      <c r="CY35" s="93">
        <v>403.62</v>
      </c>
      <c r="CZ35" s="93">
        <v>402.62</v>
      </c>
      <c r="DA35" s="93">
        <v>401.62</v>
      </c>
      <c r="DB35" s="93">
        <v>400.62</v>
      </c>
      <c r="DC35" s="93">
        <v>399.62</v>
      </c>
      <c r="DD35" s="93">
        <v>398.61</v>
      </c>
      <c r="DE35" s="93">
        <v>397.61</v>
      </c>
      <c r="DF35" s="93">
        <v>396.61</v>
      </c>
      <c r="DG35" s="93">
        <v>395.61</v>
      </c>
      <c r="DH35" s="93">
        <v>394.62</v>
      </c>
      <c r="DI35" s="93">
        <v>393.62</v>
      </c>
      <c r="DJ35" s="93">
        <v>392.63</v>
      </c>
      <c r="DK35" s="93">
        <v>391.64</v>
      </c>
      <c r="DL35" s="93">
        <v>390.64</v>
      </c>
      <c r="DM35" s="93">
        <v>389.65</v>
      </c>
      <c r="DN35" s="93">
        <v>388.65</v>
      </c>
      <c r="DO35" s="93">
        <v>387.66</v>
      </c>
      <c r="DP35" s="93">
        <v>386.67</v>
      </c>
      <c r="DQ35" s="93">
        <v>385.68</v>
      </c>
      <c r="DR35" s="93">
        <v>384.68</v>
      </c>
      <c r="DS35" s="93">
        <v>383.69</v>
      </c>
      <c r="DT35" s="93">
        <v>382.71</v>
      </c>
      <c r="DU35" s="93">
        <v>381.72</v>
      </c>
      <c r="DV35" s="93">
        <v>380.74</v>
      </c>
      <c r="DW35" s="93">
        <v>379.75</v>
      </c>
      <c r="DX35" s="93">
        <v>378.77</v>
      </c>
      <c r="DY35" s="93">
        <v>377.78</v>
      </c>
      <c r="DZ35" s="93">
        <v>376.8</v>
      </c>
      <c r="EA35" s="93">
        <v>375.82</v>
      </c>
      <c r="EB35" s="93">
        <v>374.83</v>
      </c>
      <c r="EC35" s="93">
        <v>373.85</v>
      </c>
      <c r="ED35" s="93">
        <v>372.87</v>
      </c>
      <c r="EE35" s="93">
        <v>371.89</v>
      </c>
      <c r="EF35" s="93">
        <v>370.91</v>
      </c>
      <c r="EG35" s="93">
        <v>369.94</v>
      </c>
      <c r="EH35" s="93">
        <v>368.97</v>
      </c>
      <c r="EI35" s="93">
        <v>368</v>
      </c>
      <c r="EJ35" s="93">
        <v>367.02</v>
      </c>
      <c r="EK35" s="93">
        <v>366.05</v>
      </c>
      <c r="EL35" s="93">
        <v>365.08</v>
      </c>
      <c r="EM35" s="93">
        <v>364.11</v>
      </c>
      <c r="EN35" s="93">
        <v>363.14</v>
      </c>
      <c r="EO35" s="93">
        <v>362.17</v>
      </c>
      <c r="EP35" s="93">
        <v>361.2</v>
      </c>
      <c r="EQ35" s="93">
        <v>360.24</v>
      </c>
      <c r="ER35" s="93">
        <v>359.27</v>
      </c>
      <c r="ES35" s="93">
        <v>358.31</v>
      </c>
      <c r="ET35" s="93">
        <v>357.35</v>
      </c>
      <c r="EU35" s="93">
        <v>356.38</v>
      </c>
      <c r="EV35" s="93">
        <v>355.42</v>
      </c>
      <c r="EW35" s="93">
        <v>354.46</v>
      </c>
      <c r="EX35" s="93">
        <v>353.5</v>
      </c>
      <c r="EY35" s="93">
        <v>352.54</v>
      </c>
      <c r="EZ35" s="93">
        <v>351.58</v>
      </c>
      <c r="FA35" s="93">
        <v>350.62</v>
      </c>
      <c r="FB35" s="93">
        <v>349.66</v>
      </c>
      <c r="FC35" s="93">
        <v>348.71</v>
      </c>
      <c r="FD35" s="93">
        <v>347.75</v>
      </c>
      <c r="FE35" s="93">
        <v>346.79</v>
      </c>
      <c r="FF35" s="93">
        <v>345.84</v>
      </c>
      <c r="FG35" s="93">
        <v>344.88</v>
      </c>
      <c r="FH35" s="93">
        <v>343.93</v>
      </c>
      <c r="FI35" s="93">
        <v>342.98</v>
      </c>
      <c r="FJ35" s="93">
        <v>342.02</v>
      </c>
      <c r="FK35" s="93">
        <v>341.07</v>
      </c>
      <c r="FL35" s="93">
        <v>340.12</v>
      </c>
      <c r="FM35" s="93">
        <v>339.17</v>
      </c>
      <c r="FN35" s="93">
        <v>338.22</v>
      </c>
      <c r="FO35" s="93">
        <v>337.27</v>
      </c>
      <c r="FP35" s="93">
        <v>336.32</v>
      </c>
      <c r="FQ35" s="93">
        <v>335.38</v>
      </c>
      <c r="FR35" s="93">
        <v>334.43</v>
      </c>
      <c r="FS35" s="93">
        <v>333.48</v>
      </c>
      <c r="FT35" s="93">
        <v>332.54</v>
      </c>
      <c r="FU35" s="93">
        <v>331.59</v>
      </c>
      <c r="FV35" s="93">
        <v>330.65</v>
      </c>
      <c r="FW35" s="93">
        <v>329.71</v>
      </c>
      <c r="FX35" s="93">
        <v>328.76</v>
      </c>
      <c r="FY35" s="93">
        <v>327.82</v>
      </c>
      <c r="FZ35" s="93">
        <v>326.88</v>
      </c>
      <c r="GA35" s="93">
        <v>325.94</v>
      </c>
      <c r="GB35" s="93">
        <v>325</v>
      </c>
      <c r="GC35" s="93">
        <v>324.06</v>
      </c>
      <c r="GD35" s="93">
        <v>323.13</v>
      </c>
      <c r="GE35" s="93">
        <v>322.19</v>
      </c>
      <c r="GF35" s="93">
        <v>321.25</v>
      </c>
      <c r="GG35" s="93">
        <v>320.32</v>
      </c>
      <c r="GH35" s="93">
        <v>319.39</v>
      </c>
      <c r="GI35" s="93">
        <v>318.45</v>
      </c>
      <c r="GJ35" s="93">
        <v>317.51</v>
      </c>
      <c r="GK35" s="93">
        <v>316.58999999999997</v>
      </c>
      <c r="GL35" s="93">
        <v>315.66000000000003</v>
      </c>
      <c r="GM35" s="93">
        <v>314.73</v>
      </c>
      <c r="GN35" s="93">
        <v>313.79000000000002</v>
      </c>
      <c r="GO35" s="93">
        <v>312.88</v>
      </c>
      <c r="GP35" s="93">
        <v>311.95</v>
      </c>
      <c r="GQ35" s="93">
        <v>311.02999999999997</v>
      </c>
      <c r="GR35" s="93">
        <v>310.10000000000002</v>
      </c>
      <c r="GS35" s="93">
        <v>309.18</v>
      </c>
      <c r="GT35" s="93">
        <v>308.26</v>
      </c>
      <c r="GU35" s="93">
        <v>307.33999999999997</v>
      </c>
      <c r="GV35" s="93">
        <v>306.42</v>
      </c>
      <c r="GW35" s="93">
        <v>305.5</v>
      </c>
      <c r="GX35" s="93">
        <v>304.57</v>
      </c>
      <c r="GY35" s="93">
        <v>303.67</v>
      </c>
      <c r="GZ35" s="93">
        <v>302.75</v>
      </c>
      <c r="HA35" s="93">
        <v>301.83999999999997</v>
      </c>
      <c r="HB35" s="93">
        <v>300.93</v>
      </c>
      <c r="HC35" s="93">
        <v>300.01</v>
      </c>
      <c r="HD35" s="93">
        <v>299.10000000000002</v>
      </c>
      <c r="HE35" s="93">
        <v>298.19</v>
      </c>
      <c r="HF35" s="93">
        <v>297.29000000000002</v>
      </c>
      <c r="HG35" s="93">
        <v>296.38</v>
      </c>
      <c r="HH35" s="93">
        <v>295.47000000000003</v>
      </c>
      <c r="HI35" s="93">
        <v>294.57</v>
      </c>
      <c r="HJ35" s="93">
        <v>293.66000000000003</v>
      </c>
      <c r="HK35" s="93">
        <v>292.76</v>
      </c>
      <c r="HL35" s="93">
        <v>291.85000000000002</v>
      </c>
      <c r="HM35" s="93">
        <v>290.95999999999998</v>
      </c>
      <c r="HN35" s="93">
        <v>290.06</v>
      </c>
      <c r="HO35" s="93">
        <v>289.17</v>
      </c>
      <c r="HP35" s="93">
        <v>288.26</v>
      </c>
      <c r="HQ35" s="93">
        <v>287.37</v>
      </c>
      <c r="HR35" s="93">
        <v>286.48</v>
      </c>
      <c r="HS35" s="93">
        <v>285.58999999999997</v>
      </c>
      <c r="HT35" s="93">
        <v>284.7</v>
      </c>
      <c r="HU35" s="93">
        <v>283.81</v>
      </c>
      <c r="HV35" s="93">
        <v>282.92</v>
      </c>
      <c r="HW35" s="93">
        <v>282.02999999999997</v>
      </c>
      <c r="HX35" s="93">
        <v>281.14</v>
      </c>
      <c r="HY35" s="93">
        <v>280.26</v>
      </c>
      <c r="HZ35" s="93">
        <v>279.37</v>
      </c>
      <c r="IA35" s="93">
        <v>278.49</v>
      </c>
      <c r="IB35" s="93">
        <v>277.60000000000002</v>
      </c>
      <c r="IC35" s="93">
        <v>276.72000000000003</v>
      </c>
      <c r="ID35" s="93">
        <v>275.83999999999997</v>
      </c>
      <c r="IE35" s="93">
        <v>274.95999999999998</v>
      </c>
      <c r="IF35" s="93">
        <v>274.07</v>
      </c>
      <c r="IG35" s="93">
        <v>273.20999999999998</v>
      </c>
      <c r="IH35" s="93">
        <v>272.32</v>
      </c>
      <c r="II35" s="93">
        <v>271.45</v>
      </c>
      <c r="IJ35" s="93">
        <v>270.57</v>
      </c>
      <c r="IK35" s="93">
        <v>269.70999999999998</v>
      </c>
      <c r="IL35" s="93">
        <v>268.83999999999997</v>
      </c>
      <c r="IM35" s="93">
        <v>267.97000000000003</v>
      </c>
      <c r="IN35" s="93">
        <v>267.10000000000002</v>
      </c>
      <c r="IO35" s="93">
        <v>266.23</v>
      </c>
      <c r="IP35" s="93">
        <v>265.35000000000002</v>
      </c>
      <c r="IQ35" s="93">
        <v>264.5</v>
      </c>
      <c r="IR35" s="93">
        <v>263.63</v>
      </c>
      <c r="IS35" s="93">
        <v>262.76</v>
      </c>
      <c r="IT35" s="93">
        <v>261.91000000000003</v>
      </c>
      <c r="IU35" s="93">
        <v>261.04000000000002</v>
      </c>
      <c r="IV35" s="93">
        <v>260.19</v>
      </c>
      <c r="IW35" s="93">
        <v>259.32</v>
      </c>
      <c r="IX35" s="93">
        <v>258.47000000000003</v>
      </c>
      <c r="IY35" s="93">
        <v>257.62</v>
      </c>
      <c r="IZ35" s="93">
        <v>256.76</v>
      </c>
      <c r="JA35" s="93">
        <v>255.91</v>
      </c>
      <c r="JB35" s="93">
        <v>255.06</v>
      </c>
      <c r="JC35" s="93">
        <v>254.21</v>
      </c>
      <c r="JD35" s="93">
        <v>253.36</v>
      </c>
      <c r="JE35" s="93">
        <v>252.51</v>
      </c>
      <c r="JF35" s="93">
        <v>251.67</v>
      </c>
      <c r="JG35" s="93">
        <v>250.82</v>
      </c>
      <c r="JH35" s="93">
        <v>249.98</v>
      </c>
      <c r="JI35" s="93">
        <v>249.13</v>
      </c>
      <c r="JJ35" s="93">
        <v>248.29</v>
      </c>
      <c r="JK35" s="93">
        <v>247.45</v>
      </c>
      <c r="JL35" s="93">
        <v>246.61</v>
      </c>
      <c r="JM35" s="93">
        <v>245.77</v>
      </c>
      <c r="JN35" s="93">
        <v>244.93</v>
      </c>
      <c r="JO35" s="93">
        <v>244.09</v>
      </c>
      <c r="JP35" s="93">
        <v>243.25</v>
      </c>
      <c r="JQ35" s="93">
        <v>242.42</v>
      </c>
      <c r="JR35" s="93">
        <v>241.59</v>
      </c>
      <c r="JS35" s="93">
        <v>240.75</v>
      </c>
      <c r="JT35" s="93">
        <v>239.92</v>
      </c>
      <c r="JU35" s="93">
        <v>239.09</v>
      </c>
      <c r="JV35" s="93">
        <v>238.26</v>
      </c>
      <c r="JW35" s="93">
        <v>237.43</v>
      </c>
      <c r="JX35" s="93">
        <v>236.6</v>
      </c>
      <c r="JY35" s="93">
        <v>235.78</v>
      </c>
      <c r="JZ35" s="93">
        <v>234.95</v>
      </c>
      <c r="KA35" s="93">
        <v>234.13</v>
      </c>
      <c r="KB35" s="93">
        <v>233.3</v>
      </c>
      <c r="KC35" s="93">
        <v>232.48</v>
      </c>
      <c r="KD35" s="93">
        <v>231.66</v>
      </c>
      <c r="KE35" s="93">
        <v>230.84</v>
      </c>
      <c r="KF35" s="93">
        <v>230.02</v>
      </c>
      <c r="KG35" s="93">
        <v>229.2</v>
      </c>
      <c r="KH35" s="93">
        <v>228.38</v>
      </c>
      <c r="KI35" s="93">
        <v>227.57</v>
      </c>
      <c r="KJ35" s="93">
        <v>226.75</v>
      </c>
      <c r="KK35" s="93">
        <v>225.94</v>
      </c>
      <c r="KL35" s="93">
        <v>225.12</v>
      </c>
      <c r="KM35" s="93">
        <v>224.31</v>
      </c>
      <c r="KN35" s="93">
        <v>223.5</v>
      </c>
      <c r="KO35" s="93">
        <v>222.69</v>
      </c>
      <c r="KP35" s="93">
        <v>221.89</v>
      </c>
      <c r="KQ35" s="93">
        <v>221.08</v>
      </c>
      <c r="KR35" s="93">
        <v>219.97000000000025</v>
      </c>
      <c r="KS35" s="93">
        <v>219.22000000000025</v>
      </c>
      <c r="KT35" s="93">
        <v>218.47000000000025</v>
      </c>
      <c r="KU35" s="93">
        <v>217.72000000000025</v>
      </c>
      <c r="KV35" s="93">
        <v>216.97000000000025</v>
      </c>
      <c r="KW35" s="93">
        <v>216.22000000000025</v>
      </c>
      <c r="KX35" s="93">
        <v>215.47000000000025</v>
      </c>
      <c r="KY35" s="93">
        <v>214.72000000000025</v>
      </c>
      <c r="KZ35" s="93">
        <v>213.97000000000025</v>
      </c>
      <c r="LA35" s="93">
        <v>213.22000000000025</v>
      </c>
      <c r="LB35" s="93">
        <v>212.47000000000025</v>
      </c>
      <c r="LC35" s="93">
        <v>211.72000000000025</v>
      </c>
      <c r="LD35" s="93">
        <v>210.97000000000025</v>
      </c>
      <c r="LE35" s="93">
        <v>210.22000000000025</v>
      </c>
      <c r="LF35" s="93">
        <v>209.47000000000025</v>
      </c>
      <c r="LG35" s="93">
        <v>208.72000000000025</v>
      </c>
      <c r="LH35" s="93">
        <v>207.97000000000025</v>
      </c>
      <c r="LI35" s="93">
        <v>207.22000000000025</v>
      </c>
      <c r="LJ35" s="93">
        <v>206.47000000000025</v>
      </c>
      <c r="LK35" s="93">
        <v>205.72000000000025</v>
      </c>
      <c r="LL35" s="93">
        <v>204.97000000000025</v>
      </c>
      <c r="LM35" s="93">
        <v>204.22000000000025</v>
      </c>
      <c r="LN35" s="93">
        <v>203.47000000000025</v>
      </c>
      <c r="LO35" s="93">
        <v>202.72000000000025</v>
      </c>
      <c r="LP35" s="93">
        <v>201.97000000000025</v>
      </c>
      <c r="LQ35" s="93">
        <v>201.22000000000025</v>
      </c>
      <c r="LR35" s="93">
        <v>200.47000000000025</v>
      </c>
      <c r="LS35" s="93">
        <v>199.72000000000025</v>
      </c>
      <c r="LT35" s="93">
        <v>198.97000000000025</v>
      </c>
      <c r="LU35" s="93">
        <v>198.22000000000025</v>
      </c>
      <c r="LV35" s="93">
        <v>197.47000000000025</v>
      </c>
      <c r="LW35" s="93">
        <v>196.72000000000025</v>
      </c>
      <c r="LX35" s="93">
        <v>195.97000000000025</v>
      </c>
      <c r="LY35" s="93">
        <v>195.22000000000025</v>
      </c>
      <c r="LZ35" s="93">
        <v>194.47000000000025</v>
      </c>
      <c r="MA35" s="93">
        <v>193.72000000000025</v>
      </c>
      <c r="MB35" s="93">
        <v>192.97000000000025</v>
      </c>
      <c r="MC35" s="93">
        <v>192.22000000000025</v>
      </c>
      <c r="MD35" s="93">
        <v>191.47000000000025</v>
      </c>
      <c r="ME35" s="93">
        <v>190.72000000000025</v>
      </c>
      <c r="MF35" s="93">
        <v>189.97000000000025</v>
      </c>
      <c r="MG35" s="93">
        <v>189.22000000000025</v>
      </c>
      <c r="MH35" s="93">
        <v>188.47000000000025</v>
      </c>
      <c r="MI35" s="93">
        <v>187.72000000000025</v>
      </c>
      <c r="MJ35" s="93">
        <v>186.97000000000025</v>
      </c>
      <c r="MK35" s="93">
        <v>186.22000000000025</v>
      </c>
      <c r="ML35" s="93">
        <v>185.47000000000025</v>
      </c>
      <c r="MM35" s="93">
        <v>184.72000000000025</v>
      </c>
      <c r="MN35" s="93">
        <v>183.97000000000025</v>
      </c>
      <c r="MO35" s="93">
        <v>183.22000000000025</v>
      </c>
      <c r="MP35" s="93">
        <v>182.47000000000025</v>
      </c>
      <c r="MQ35" s="93">
        <v>181.72000000000025</v>
      </c>
      <c r="MR35" s="93">
        <v>180.97000000000025</v>
      </c>
      <c r="MS35" s="93">
        <v>180.22000000000025</v>
      </c>
      <c r="MT35" s="93">
        <v>179.47000000000025</v>
      </c>
      <c r="MU35" s="93">
        <v>178.72000000000025</v>
      </c>
      <c r="MV35" s="93">
        <v>177.97000000000025</v>
      </c>
      <c r="MW35" s="93">
        <v>177.22000000000025</v>
      </c>
      <c r="MX35" s="93">
        <v>176.47000000000025</v>
      </c>
      <c r="MY35" s="93">
        <v>175.72000000000025</v>
      </c>
    </row>
    <row r="36" spans="1:363" ht="15.75" x14ac:dyDescent="0.25">
      <c r="A36" s="90" t="s">
        <v>7</v>
      </c>
      <c r="B36" s="95">
        <v>2046</v>
      </c>
      <c r="C36" s="93">
        <v>505.96</v>
      </c>
      <c r="D36" s="93">
        <v>504.94</v>
      </c>
      <c r="E36" s="93">
        <v>503.91</v>
      </c>
      <c r="F36" s="93">
        <v>502.89</v>
      </c>
      <c r="G36" s="93">
        <v>501.86</v>
      </c>
      <c r="H36" s="93">
        <v>500.84</v>
      </c>
      <c r="I36" s="93">
        <v>499.81</v>
      </c>
      <c r="J36" s="93">
        <v>498.79</v>
      </c>
      <c r="K36" s="93">
        <v>497.77</v>
      </c>
      <c r="L36" s="93">
        <v>496.74</v>
      </c>
      <c r="M36" s="93">
        <v>495.72</v>
      </c>
      <c r="N36" s="93">
        <v>494.7</v>
      </c>
      <c r="O36" s="93">
        <v>493.67</v>
      </c>
      <c r="P36" s="93">
        <v>492.65</v>
      </c>
      <c r="Q36" s="93">
        <v>491.62</v>
      </c>
      <c r="R36" s="93">
        <v>490.6</v>
      </c>
      <c r="S36" s="93">
        <v>489.58</v>
      </c>
      <c r="T36" s="93">
        <v>488.55</v>
      </c>
      <c r="U36" s="93">
        <v>487.53</v>
      </c>
      <c r="V36" s="93">
        <v>486.51</v>
      </c>
      <c r="W36" s="93">
        <v>485.48</v>
      </c>
      <c r="X36" s="93">
        <v>484.46</v>
      </c>
      <c r="Y36" s="93">
        <v>483.44</v>
      </c>
      <c r="Z36" s="93">
        <v>482.41</v>
      </c>
      <c r="AA36" s="93">
        <v>481.39</v>
      </c>
      <c r="AB36" s="93">
        <v>480.37</v>
      </c>
      <c r="AC36" s="93">
        <v>479.34</v>
      </c>
      <c r="AD36" s="93">
        <v>478.32</v>
      </c>
      <c r="AE36" s="93">
        <v>477.3</v>
      </c>
      <c r="AF36" s="93">
        <v>476.27</v>
      </c>
      <c r="AG36" s="93">
        <v>475.25</v>
      </c>
      <c r="AH36" s="93">
        <v>474.23</v>
      </c>
      <c r="AI36" s="93">
        <v>473.21</v>
      </c>
      <c r="AJ36" s="93">
        <v>472.18</v>
      </c>
      <c r="AK36" s="93">
        <v>471.16</v>
      </c>
      <c r="AL36" s="93">
        <v>470.14</v>
      </c>
      <c r="AM36" s="93">
        <v>469.11</v>
      </c>
      <c r="AN36" s="93">
        <v>468.09</v>
      </c>
      <c r="AO36" s="93">
        <v>467.07</v>
      </c>
      <c r="AP36" s="93">
        <v>466.05</v>
      </c>
      <c r="AQ36" s="93">
        <v>465.03</v>
      </c>
      <c r="AR36" s="93">
        <v>464</v>
      </c>
      <c r="AS36" s="93">
        <v>462.98</v>
      </c>
      <c r="AT36" s="93">
        <v>461.96</v>
      </c>
      <c r="AU36" s="93">
        <v>460.94</v>
      </c>
      <c r="AV36" s="93">
        <v>459.92</v>
      </c>
      <c r="AW36" s="93">
        <v>458.9</v>
      </c>
      <c r="AX36" s="93">
        <v>457.88</v>
      </c>
      <c r="AY36" s="93">
        <v>456.85</v>
      </c>
      <c r="AZ36" s="93">
        <v>455.83</v>
      </c>
      <c r="BA36" s="93">
        <v>454.81</v>
      </c>
      <c r="BB36" s="93">
        <v>453.79</v>
      </c>
      <c r="BC36" s="93">
        <v>452.77</v>
      </c>
      <c r="BD36" s="93">
        <v>451.75</v>
      </c>
      <c r="BE36" s="93">
        <v>450.73</v>
      </c>
      <c r="BF36" s="93">
        <v>449.71</v>
      </c>
      <c r="BG36" s="93">
        <v>448.69</v>
      </c>
      <c r="BH36" s="93">
        <v>447.67</v>
      </c>
      <c r="BI36" s="93">
        <v>446.65</v>
      </c>
      <c r="BJ36" s="93">
        <v>445.63</v>
      </c>
      <c r="BK36" s="93">
        <v>444.61</v>
      </c>
      <c r="BL36" s="93">
        <v>443.6</v>
      </c>
      <c r="BM36" s="93">
        <v>442.58</v>
      </c>
      <c r="BN36" s="93">
        <v>441.56</v>
      </c>
      <c r="BO36" s="93">
        <v>440.55</v>
      </c>
      <c r="BP36" s="93">
        <v>439.53</v>
      </c>
      <c r="BQ36" s="93">
        <v>438.51</v>
      </c>
      <c r="BR36" s="93">
        <v>437.49</v>
      </c>
      <c r="BS36" s="93">
        <v>436.48</v>
      </c>
      <c r="BT36" s="93">
        <v>435.46</v>
      </c>
      <c r="BU36" s="93">
        <v>434.44</v>
      </c>
      <c r="BV36" s="93">
        <v>433.43</v>
      </c>
      <c r="BW36" s="93">
        <v>432.41</v>
      </c>
      <c r="BX36" s="93">
        <v>431.4</v>
      </c>
      <c r="BY36" s="93">
        <v>430.38</v>
      </c>
      <c r="BZ36" s="93">
        <v>429.37</v>
      </c>
      <c r="CA36" s="93">
        <v>428.35</v>
      </c>
      <c r="CB36" s="93">
        <v>427.34</v>
      </c>
      <c r="CC36" s="93">
        <v>426.33</v>
      </c>
      <c r="CD36" s="93">
        <v>425.32</v>
      </c>
      <c r="CE36" s="93">
        <v>424.3</v>
      </c>
      <c r="CF36" s="93">
        <v>423.29</v>
      </c>
      <c r="CG36" s="93">
        <v>422.28</v>
      </c>
      <c r="CH36" s="93">
        <v>421.26</v>
      </c>
      <c r="CI36" s="93">
        <v>420.25</v>
      </c>
      <c r="CJ36" s="93">
        <v>419.24</v>
      </c>
      <c r="CK36" s="93">
        <v>418.23</v>
      </c>
      <c r="CL36" s="93">
        <v>417.23</v>
      </c>
      <c r="CM36" s="93">
        <v>416.22</v>
      </c>
      <c r="CN36" s="93">
        <v>415.21</v>
      </c>
      <c r="CO36" s="93">
        <v>414.2</v>
      </c>
      <c r="CP36" s="93">
        <v>413.19</v>
      </c>
      <c r="CQ36" s="93">
        <v>412.19</v>
      </c>
      <c r="CR36" s="93">
        <v>411.18</v>
      </c>
      <c r="CS36" s="93">
        <v>410.17</v>
      </c>
      <c r="CT36" s="93">
        <v>409.17</v>
      </c>
      <c r="CU36" s="93">
        <v>408.16</v>
      </c>
      <c r="CV36" s="93">
        <v>407.16</v>
      </c>
      <c r="CW36" s="93">
        <v>406.15</v>
      </c>
      <c r="CX36" s="93">
        <v>405.15</v>
      </c>
      <c r="CY36" s="93">
        <v>404.15</v>
      </c>
      <c r="CZ36" s="93">
        <v>403.15</v>
      </c>
      <c r="DA36" s="93">
        <v>402.15</v>
      </c>
      <c r="DB36" s="93">
        <v>401.15</v>
      </c>
      <c r="DC36" s="93">
        <v>400.14</v>
      </c>
      <c r="DD36" s="93">
        <v>399.14</v>
      </c>
      <c r="DE36" s="93">
        <v>398.14</v>
      </c>
      <c r="DF36" s="93">
        <v>397.14</v>
      </c>
      <c r="DG36" s="93">
        <v>396.14</v>
      </c>
      <c r="DH36" s="93">
        <v>395.15</v>
      </c>
      <c r="DI36" s="93">
        <v>394.15</v>
      </c>
      <c r="DJ36" s="93">
        <v>393.16</v>
      </c>
      <c r="DK36" s="93">
        <v>392.16</v>
      </c>
      <c r="DL36" s="93">
        <v>391.17</v>
      </c>
      <c r="DM36" s="93">
        <v>390.17</v>
      </c>
      <c r="DN36" s="93">
        <v>389.18</v>
      </c>
      <c r="DO36" s="93">
        <v>388.19</v>
      </c>
      <c r="DP36" s="93">
        <v>387.19</v>
      </c>
      <c r="DQ36" s="93">
        <v>386.2</v>
      </c>
      <c r="DR36" s="93">
        <v>385.21</v>
      </c>
      <c r="DS36" s="93">
        <v>384.22</v>
      </c>
      <c r="DT36" s="93">
        <v>383.23</v>
      </c>
      <c r="DU36" s="93">
        <v>382.24</v>
      </c>
      <c r="DV36" s="93">
        <v>381.26</v>
      </c>
      <c r="DW36" s="93">
        <v>380.27</v>
      </c>
      <c r="DX36" s="93">
        <v>379.29</v>
      </c>
      <c r="DY36" s="93">
        <v>378.3</v>
      </c>
      <c r="DZ36" s="93">
        <v>377.32</v>
      </c>
      <c r="EA36" s="93">
        <v>376.34</v>
      </c>
      <c r="EB36" s="93">
        <v>375.35</v>
      </c>
      <c r="EC36" s="93">
        <v>374.37</v>
      </c>
      <c r="ED36" s="93">
        <v>373.39</v>
      </c>
      <c r="EE36" s="93">
        <v>372.41</v>
      </c>
      <c r="EF36" s="93">
        <v>371.43</v>
      </c>
      <c r="EG36" s="93">
        <v>370.46</v>
      </c>
      <c r="EH36" s="93">
        <v>369.49</v>
      </c>
      <c r="EI36" s="93">
        <v>368.51</v>
      </c>
      <c r="EJ36" s="93">
        <v>367.54</v>
      </c>
      <c r="EK36" s="93">
        <v>366.57</v>
      </c>
      <c r="EL36" s="93">
        <v>365.6</v>
      </c>
      <c r="EM36" s="93">
        <v>364.63</v>
      </c>
      <c r="EN36" s="93">
        <v>363.66</v>
      </c>
      <c r="EO36" s="93">
        <v>362.69</v>
      </c>
      <c r="EP36" s="93">
        <v>361.72</v>
      </c>
      <c r="EQ36" s="93">
        <v>360.75</v>
      </c>
      <c r="ER36" s="93">
        <v>359.79</v>
      </c>
      <c r="ES36" s="93">
        <v>358.83</v>
      </c>
      <c r="ET36" s="93">
        <v>357.86</v>
      </c>
      <c r="EU36" s="93">
        <v>356.9</v>
      </c>
      <c r="EV36" s="93">
        <v>355.94</v>
      </c>
      <c r="EW36" s="93">
        <v>354.98</v>
      </c>
      <c r="EX36" s="93">
        <v>354.02</v>
      </c>
      <c r="EY36" s="93">
        <v>353.06</v>
      </c>
      <c r="EZ36" s="93">
        <v>352.1</v>
      </c>
      <c r="FA36" s="93">
        <v>351.14</v>
      </c>
      <c r="FB36" s="93">
        <v>350.18</v>
      </c>
      <c r="FC36" s="93">
        <v>349.22</v>
      </c>
      <c r="FD36" s="93">
        <v>348.26</v>
      </c>
      <c r="FE36" s="93">
        <v>347.31</v>
      </c>
      <c r="FF36" s="93">
        <v>346.35</v>
      </c>
      <c r="FG36" s="93">
        <v>345.4</v>
      </c>
      <c r="FH36" s="93">
        <v>344.44</v>
      </c>
      <c r="FI36" s="93">
        <v>343.49</v>
      </c>
      <c r="FJ36" s="93">
        <v>342.54</v>
      </c>
      <c r="FK36" s="93">
        <v>341.59</v>
      </c>
      <c r="FL36" s="93">
        <v>340.63</v>
      </c>
      <c r="FM36" s="93">
        <v>339.68</v>
      </c>
      <c r="FN36" s="93">
        <v>338.73</v>
      </c>
      <c r="FO36" s="93">
        <v>337.78</v>
      </c>
      <c r="FP36" s="93">
        <v>336.83</v>
      </c>
      <c r="FQ36" s="93">
        <v>335.89</v>
      </c>
      <c r="FR36" s="93">
        <v>334.94</v>
      </c>
      <c r="FS36" s="93">
        <v>333.99</v>
      </c>
      <c r="FT36" s="93">
        <v>333.05</v>
      </c>
      <c r="FU36" s="93">
        <v>332.1</v>
      </c>
      <c r="FV36" s="93">
        <v>331.16</v>
      </c>
      <c r="FW36" s="93">
        <v>330.22</v>
      </c>
      <c r="FX36" s="93">
        <v>329.27</v>
      </c>
      <c r="FY36" s="93">
        <v>328.33</v>
      </c>
      <c r="FZ36" s="93">
        <v>327.39</v>
      </c>
      <c r="GA36" s="93">
        <v>326.45</v>
      </c>
      <c r="GB36" s="93">
        <v>325.51</v>
      </c>
      <c r="GC36" s="93">
        <v>324.57</v>
      </c>
      <c r="GD36" s="93">
        <v>323.63</v>
      </c>
      <c r="GE36" s="93">
        <v>322.7</v>
      </c>
      <c r="GF36" s="93">
        <v>321.76</v>
      </c>
      <c r="GG36" s="93">
        <v>320.82</v>
      </c>
      <c r="GH36" s="93">
        <v>319.89</v>
      </c>
      <c r="GI36" s="93">
        <v>318.95999999999998</v>
      </c>
      <c r="GJ36" s="93">
        <v>318.02999999999997</v>
      </c>
      <c r="GK36" s="93">
        <v>317.10000000000002</v>
      </c>
      <c r="GL36" s="93">
        <v>316.17</v>
      </c>
      <c r="GM36" s="93">
        <v>315.24</v>
      </c>
      <c r="GN36" s="93">
        <v>314.31</v>
      </c>
      <c r="GO36" s="93">
        <v>313.38</v>
      </c>
      <c r="GP36" s="93">
        <v>312.45999999999998</v>
      </c>
      <c r="GQ36" s="93">
        <v>311.52999999999997</v>
      </c>
      <c r="GR36" s="93">
        <v>310.60000000000002</v>
      </c>
      <c r="GS36" s="93">
        <v>309.69</v>
      </c>
      <c r="GT36" s="93">
        <v>308.76</v>
      </c>
      <c r="GU36" s="93">
        <v>307.83999999999997</v>
      </c>
      <c r="GV36" s="93">
        <v>306.92</v>
      </c>
      <c r="GW36" s="93">
        <v>306</v>
      </c>
      <c r="GX36" s="93">
        <v>305.08999999999997</v>
      </c>
      <c r="GY36" s="93">
        <v>304.17</v>
      </c>
      <c r="GZ36" s="93">
        <v>303.25</v>
      </c>
      <c r="HA36" s="93">
        <v>302.33999999999997</v>
      </c>
      <c r="HB36" s="93">
        <v>301.43</v>
      </c>
      <c r="HC36" s="93">
        <v>300.51</v>
      </c>
      <c r="HD36" s="93">
        <v>299.60000000000002</v>
      </c>
      <c r="HE36" s="93">
        <v>298.69</v>
      </c>
      <c r="HF36" s="93">
        <v>297.77999999999997</v>
      </c>
      <c r="HG36" s="93">
        <v>296.88</v>
      </c>
      <c r="HH36" s="93">
        <v>295.97000000000003</v>
      </c>
      <c r="HI36" s="93">
        <v>295.07</v>
      </c>
      <c r="HJ36" s="93">
        <v>294.16000000000003</v>
      </c>
      <c r="HK36" s="93">
        <v>293.26</v>
      </c>
      <c r="HL36" s="93">
        <v>292.35000000000002</v>
      </c>
      <c r="HM36" s="93">
        <v>291.45999999999998</v>
      </c>
      <c r="HN36" s="93">
        <v>290.56</v>
      </c>
      <c r="HO36" s="93">
        <v>289.66000000000003</v>
      </c>
      <c r="HP36" s="93">
        <v>288.76</v>
      </c>
      <c r="HQ36" s="93">
        <v>287.87</v>
      </c>
      <c r="HR36" s="93">
        <v>286.98</v>
      </c>
      <c r="HS36" s="93">
        <v>286.07</v>
      </c>
      <c r="HT36" s="93">
        <v>285.19</v>
      </c>
      <c r="HU36" s="93">
        <v>284.29000000000002</v>
      </c>
      <c r="HV36" s="93">
        <v>283.41000000000003</v>
      </c>
      <c r="HW36" s="93">
        <v>282.51</v>
      </c>
      <c r="HX36" s="93">
        <v>281.63</v>
      </c>
      <c r="HY36" s="93">
        <v>280.75</v>
      </c>
      <c r="HZ36" s="93">
        <v>279.85000000000002</v>
      </c>
      <c r="IA36" s="93">
        <v>278.98</v>
      </c>
      <c r="IB36" s="93">
        <v>278.10000000000002</v>
      </c>
      <c r="IC36" s="93">
        <v>277.20999999999998</v>
      </c>
      <c r="ID36" s="93">
        <v>276.32</v>
      </c>
      <c r="IE36" s="93">
        <v>275.45</v>
      </c>
      <c r="IF36" s="93">
        <v>274.57</v>
      </c>
      <c r="IG36" s="93">
        <v>273.69</v>
      </c>
      <c r="IH36" s="93">
        <v>272.82</v>
      </c>
      <c r="II36" s="93">
        <v>271.94</v>
      </c>
      <c r="IJ36" s="93">
        <v>271.07</v>
      </c>
      <c r="IK36" s="93">
        <v>270.19</v>
      </c>
      <c r="IL36" s="93">
        <v>269.32</v>
      </c>
      <c r="IM36" s="93">
        <v>268.45</v>
      </c>
      <c r="IN36" s="93">
        <v>267.57</v>
      </c>
      <c r="IO36" s="93">
        <v>266.70999999999998</v>
      </c>
      <c r="IP36" s="93">
        <v>265.85000000000002</v>
      </c>
      <c r="IQ36" s="93">
        <v>264.98</v>
      </c>
      <c r="IR36" s="93">
        <v>264.10000000000002</v>
      </c>
      <c r="IS36" s="93">
        <v>263.25</v>
      </c>
      <c r="IT36" s="93">
        <v>262.39</v>
      </c>
      <c r="IU36" s="93">
        <v>261.52999999999997</v>
      </c>
      <c r="IV36" s="93">
        <v>260.67</v>
      </c>
      <c r="IW36" s="93">
        <v>259.81</v>
      </c>
      <c r="IX36" s="93">
        <v>258.95</v>
      </c>
      <c r="IY36" s="93">
        <v>258.10000000000002</v>
      </c>
      <c r="IZ36" s="93">
        <v>257.24</v>
      </c>
      <c r="JA36" s="93">
        <v>256.39</v>
      </c>
      <c r="JB36" s="93">
        <v>255.54</v>
      </c>
      <c r="JC36" s="93">
        <v>254.69</v>
      </c>
      <c r="JD36" s="93">
        <v>253.84</v>
      </c>
      <c r="JE36" s="93">
        <v>252.99</v>
      </c>
      <c r="JF36" s="93">
        <v>252.14</v>
      </c>
      <c r="JG36" s="93">
        <v>251.3</v>
      </c>
      <c r="JH36" s="93">
        <v>250.45</v>
      </c>
      <c r="JI36" s="93">
        <v>249.61</v>
      </c>
      <c r="JJ36" s="93">
        <v>248.76</v>
      </c>
      <c r="JK36" s="93">
        <v>247.92</v>
      </c>
      <c r="JL36" s="93">
        <v>247.08</v>
      </c>
      <c r="JM36" s="93">
        <v>246.24</v>
      </c>
      <c r="JN36" s="93">
        <v>245.4</v>
      </c>
      <c r="JO36" s="93">
        <v>244.56</v>
      </c>
      <c r="JP36" s="93">
        <v>243.73</v>
      </c>
      <c r="JQ36" s="93">
        <v>242.89</v>
      </c>
      <c r="JR36" s="93">
        <v>242.06</v>
      </c>
      <c r="JS36" s="93">
        <v>241.22</v>
      </c>
      <c r="JT36" s="93">
        <v>240.39</v>
      </c>
      <c r="JU36" s="93">
        <v>239.56</v>
      </c>
      <c r="JV36" s="93">
        <v>238.73</v>
      </c>
      <c r="JW36" s="93">
        <v>237.9</v>
      </c>
      <c r="JX36" s="93">
        <v>237.07</v>
      </c>
      <c r="JY36" s="93">
        <v>236.24</v>
      </c>
      <c r="JZ36" s="93">
        <v>235.42</v>
      </c>
      <c r="KA36" s="93">
        <v>234.59</v>
      </c>
      <c r="KB36" s="93">
        <v>233.77</v>
      </c>
      <c r="KC36" s="93">
        <v>232.94</v>
      </c>
      <c r="KD36" s="93">
        <v>232.12</v>
      </c>
      <c r="KE36" s="93">
        <v>231.3</v>
      </c>
      <c r="KF36" s="93">
        <v>230.48</v>
      </c>
      <c r="KG36" s="93">
        <v>229.66</v>
      </c>
      <c r="KH36" s="93">
        <v>228.84</v>
      </c>
      <c r="KI36" s="93">
        <v>228.03</v>
      </c>
      <c r="KJ36" s="93">
        <v>227.21</v>
      </c>
      <c r="KK36" s="93">
        <v>226.4</v>
      </c>
      <c r="KL36" s="93">
        <v>225.58</v>
      </c>
      <c r="KM36" s="93">
        <v>224.77</v>
      </c>
      <c r="KN36" s="93">
        <v>223.96</v>
      </c>
      <c r="KO36" s="93">
        <v>223.15</v>
      </c>
      <c r="KP36" s="93">
        <v>222.34</v>
      </c>
      <c r="KQ36" s="93">
        <v>221.54</v>
      </c>
      <c r="KR36" s="93">
        <v>220.43000000000026</v>
      </c>
      <c r="KS36" s="93">
        <v>219.68000000000026</v>
      </c>
      <c r="KT36" s="93">
        <v>218.93000000000026</v>
      </c>
      <c r="KU36" s="93">
        <v>218.18000000000026</v>
      </c>
      <c r="KV36" s="93">
        <v>217.43000000000026</v>
      </c>
      <c r="KW36" s="93">
        <v>216.68000000000026</v>
      </c>
      <c r="KX36" s="93">
        <v>215.93000000000026</v>
      </c>
      <c r="KY36" s="93">
        <v>215.18000000000026</v>
      </c>
      <c r="KZ36" s="93">
        <v>214.43000000000026</v>
      </c>
      <c r="LA36" s="93">
        <v>213.68000000000026</v>
      </c>
      <c r="LB36" s="93">
        <v>212.93000000000026</v>
      </c>
      <c r="LC36" s="93">
        <v>212.18000000000026</v>
      </c>
      <c r="LD36" s="93">
        <v>211.43000000000026</v>
      </c>
      <c r="LE36" s="93">
        <v>210.68000000000026</v>
      </c>
      <c r="LF36" s="93">
        <v>209.93000000000026</v>
      </c>
      <c r="LG36" s="93">
        <v>209.18000000000026</v>
      </c>
      <c r="LH36" s="93">
        <v>208.43000000000026</v>
      </c>
      <c r="LI36" s="93">
        <v>207.68000000000026</v>
      </c>
      <c r="LJ36" s="93">
        <v>206.93000000000026</v>
      </c>
      <c r="LK36" s="93">
        <v>206.18000000000026</v>
      </c>
      <c r="LL36" s="93">
        <v>205.43000000000026</v>
      </c>
      <c r="LM36" s="93">
        <v>204.68000000000026</v>
      </c>
      <c r="LN36" s="93">
        <v>203.93000000000026</v>
      </c>
      <c r="LO36" s="93">
        <v>203.18000000000026</v>
      </c>
      <c r="LP36" s="93">
        <v>202.43000000000026</v>
      </c>
      <c r="LQ36" s="93">
        <v>201.68000000000026</v>
      </c>
      <c r="LR36" s="93">
        <v>200.93000000000026</v>
      </c>
      <c r="LS36" s="93">
        <v>200.18000000000026</v>
      </c>
      <c r="LT36" s="93">
        <v>199.43000000000026</v>
      </c>
      <c r="LU36" s="93">
        <v>198.68000000000026</v>
      </c>
      <c r="LV36" s="93">
        <v>197.93000000000026</v>
      </c>
      <c r="LW36" s="93">
        <v>197.18000000000026</v>
      </c>
      <c r="LX36" s="93">
        <v>196.43000000000026</v>
      </c>
      <c r="LY36" s="93">
        <v>195.68000000000026</v>
      </c>
      <c r="LZ36" s="93">
        <v>194.93000000000026</v>
      </c>
      <c r="MA36" s="93">
        <v>194.18000000000026</v>
      </c>
      <c r="MB36" s="93">
        <v>193.43000000000026</v>
      </c>
      <c r="MC36" s="93">
        <v>192.68000000000026</v>
      </c>
      <c r="MD36" s="93">
        <v>191.93000000000026</v>
      </c>
      <c r="ME36" s="93">
        <v>191.18000000000026</v>
      </c>
      <c r="MF36" s="93">
        <v>190.43000000000026</v>
      </c>
      <c r="MG36" s="93">
        <v>189.68000000000026</v>
      </c>
      <c r="MH36" s="93">
        <v>188.93000000000026</v>
      </c>
      <c r="MI36" s="93">
        <v>188.18000000000026</v>
      </c>
      <c r="MJ36" s="93">
        <v>187.43000000000026</v>
      </c>
      <c r="MK36" s="93">
        <v>186.68000000000026</v>
      </c>
      <c r="ML36" s="93">
        <v>185.93000000000026</v>
      </c>
      <c r="MM36" s="93">
        <v>185.18000000000026</v>
      </c>
      <c r="MN36" s="93">
        <v>184.43000000000026</v>
      </c>
      <c r="MO36" s="93">
        <v>183.68000000000026</v>
      </c>
      <c r="MP36" s="93">
        <v>182.93000000000026</v>
      </c>
      <c r="MQ36" s="93">
        <v>182.18000000000026</v>
      </c>
      <c r="MR36" s="93">
        <v>181.43000000000026</v>
      </c>
      <c r="MS36" s="93">
        <v>180.68000000000026</v>
      </c>
      <c r="MT36" s="93">
        <v>179.93000000000026</v>
      </c>
      <c r="MU36" s="93">
        <v>179.18000000000026</v>
      </c>
      <c r="MV36" s="93">
        <v>178.43000000000026</v>
      </c>
      <c r="MW36" s="93">
        <v>177.68000000000026</v>
      </c>
      <c r="MX36" s="93">
        <v>176.93000000000026</v>
      </c>
      <c r="MY36" s="93">
        <v>176.18000000000026</v>
      </c>
    </row>
    <row r="37" spans="1:363" ht="15.75" x14ac:dyDescent="0.25">
      <c r="A37" s="90" t="s">
        <v>7</v>
      </c>
      <c r="B37" s="95">
        <v>2047</v>
      </c>
      <c r="C37" s="93">
        <v>506.52</v>
      </c>
      <c r="D37" s="93">
        <v>505.49</v>
      </c>
      <c r="E37" s="93">
        <v>504.47</v>
      </c>
      <c r="F37" s="93">
        <v>503.44</v>
      </c>
      <c r="G37" s="93">
        <v>502.42</v>
      </c>
      <c r="H37" s="93">
        <v>501.4</v>
      </c>
      <c r="I37" s="93">
        <v>500.37</v>
      </c>
      <c r="J37" s="93">
        <v>499.35</v>
      </c>
      <c r="K37" s="93">
        <v>498.32</v>
      </c>
      <c r="L37" s="93">
        <v>497.3</v>
      </c>
      <c r="M37" s="93">
        <v>496.28</v>
      </c>
      <c r="N37" s="93">
        <v>495.25</v>
      </c>
      <c r="O37" s="93">
        <v>494.23</v>
      </c>
      <c r="P37" s="93">
        <v>493.2</v>
      </c>
      <c r="Q37" s="93">
        <v>492.18</v>
      </c>
      <c r="R37" s="93">
        <v>491.16</v>
      </c>
      <c r="S37" s="93">
        <v>490.13</v>
      </c>
      <c r="T37" s="93">
        <v>489.11</v>
      </c>
      <c r="U37" s="93">
        <v>488.08</v>
      </c>
      <c r="V37" s="93">
        <v>487.06</v>
      </c>
      <c r="W37" s="93">
        <v>486.04</v>
      </c>
      <c r="X37" s="93">
        <v>485.01</v>
      </c>
      <c r="Y37" s="93">
        <v>483.99</v>
      </c>
      <c r="Z37" s="93">
        <v>482.97</v>
      </c>
      <c r="AA37" s="93">
        <v>481.94</v>
      </c>
      <c r="AB37" s="93">
        <v>480.92</v>
      </c>
      <c r="AC37" s="93">
        <v>479.9</v>
      </c>
      <c r="AD37" s="93">
        <v>478.87</v>
      </c>
      <c r="AE37" s="93">
        <v>477.85</v>
      </c>
      <c r="AF37" s="93">
        <v>476.83</v>
      </c>
      <c r="AG37" s="93">
        <v>475.8</v>
      </c>
      <c r="AH37" s="93">
        <v>474.78</v>
      </c>
      <c r="AI37" s="93">
        <v>473.76</v>
      </c>
      <c r="AJ37" s="93">
        <v>472.73</v>
      </c>
      <c r="AK37" s="93">
        <v>471.71</v>
      </c>
      <c r="AL37" s="93">
        <v>470.69</v>
      </c>
      <c r="AM37" s="93">
        <v>469.66</v>
      </c>
      <c r="AN37" s="93">
        <v>468.64</v>
      </c>
      <c r="AO37" s="93">
        <v>467.62</v>
      </c>
      <c r="AP37" s="93">
        <v>466.6</v>
      </c>
      <c r="AQ37" s="93">
        <v>465.58</v>
      </c>
      <c r="AR37" s="93">
        <v>464.55</v>
      </c>
      <c r="AS37" s="93">
        <v>463.53</v>
      </c>
      <c r="AT37" s="93">
        <v>462.51</v>
      </c>
      <c r="AU37" s="93">
        <v>461.49</v>
      </c>
      <c r="AV37" s="93">
        <v>460.47</v>
      </c>
      <c r="AW37" s="93">
        <v>459.44</v>
      </c>
      <c r="AX37" s="93">
        <v>458.42</v>
      </c>
      <c r="AY37" s="93">
        <v>457.4</v>
      </c>
      <c r="AZ37" s="93">
        <v>456.38</v>
      </c>
      <c r="BA37" s="93">
        <v>455.36</v>
      </c>
      <c r="BB37" s="93">
        <v>454.34</v>
      </c>
      <c r="BC37" s="93">
        <v>453.32</v>
      </c>
      <c r="BD37" s="93">
        <v>452.3</v>
      </c>
      <c r="BE37" s="93">
        <v>451.28</v>
      </c>
      <c r="BF37" s="93">
        <v>450.26</v>
      </c>
      <c r="BG37" s="93">
        <v>449.24</v>
      </c>
      <c r="BH37" s="93">
        <v>448.22</v>
      </c>
      <c r="BI37" s="93">
        <v>447.2</v>
      </c>
      <c r="BJ37" s="93">
        <v>446.18</v>
      </c>
      <c r="BK37" s="93">
        <v>445.16</v>
      </c>
      <c r="BL37" s="93">
        <v>444.14</v>
      </c>
      <c r="BM37" s="93">
        <v>443.12</v>
      </c>
      <c r="BN37" s="93">
        <v>442.1</v>
      </c>
      <c r="BO37" s="93">
        <v>441.09</v>
      </c>
      <c r="BP37" s="93">
        <v>440.07</v>
      </c>
      <c r="BQ37" s="93">
        <v>439.05</v>
      </c>
      <c r="BR37" s="93">
        <v>438.03</v>
      </c>
      <c r="BS37" s="93">
        <v>437.02</v>
      </c>
      <c r="BT37" s="93">
        <v>436</v>
      </c>
      <c r="BU37" s="93">
        <v>434.98</v>
      </c>
      <c r="BV37" s="93">
        <v>433.97</v>
      </c>
      <c r="BW37" s="93">
        <v>432.95</v>
      </c>
      <c r="BX37" s="93">
        <v>431.93</v>
      </c>
      <c r="BY37" s="93">
        <v>430.92</v>
      </c>
      <c r="BZ37" s="93">
        <v>429.91</v>
      </c>
      <c r="CA37" s="93">
        <v>428.89</v>
      </c>
      <c r="CB37" s="93">
        <v>427.88</v>
      </c>
      <c r="CC37" s="93">
        <v>426.87</v>
      </c>
      <c r="CD37" s="93">
        <v>425.85</v>
      </c>
      <c r="CE37" s="93">
        <v>424.84</v>
      </c>
      <c r="CF37" s="93">
        <v>423.83</v>
      </c>
      <c r="CG37" s="93">
        <v>422.81</v>
      </c>
      <c r="CH37" s="93">
        <v>421.8</v>
      </c>
      <c r="CI37" s="93">
        <v>420.79</v>
      </c>
      <c r="CJ37" s="93">
        <v>419.78</v>
      </c>
      <c r="CK37" s="93">
        <v>418.77</v>
      </c>
      <c r="CL37" s="93">
        <v>417.76</v>
      </c>
      <c r="CM37" s="93">
        <v>416.75</v>
      </c>
      <c r="CN37" s="93">
        <v>415.74</v>
      </c>
      <c r="CO37" s="93">
        <v>414.74</v>
      </c>
      <c r="CP37" s="93">
        <v>413.73</v>
      </c>
      <c r="CQ37" s="93">
        <v>412.72</v>
      </c>
      <c r="CR37" s="93">
        <v>411.71</v>
      </c>
      <c r="CS37" s="93">
        <v>410.7</v>
      </c>
      <c r="CT37" s="93">
        <v>409.7</v>
      </c>
      <c r="CU37" s="93">
        <v>408.69</v>
      </c>
      <c r="CV37" s="93">
        <v>407.69</v>
      </c>
      <c r="CW37" s="93">
        <v>406.68</v>
      </c>
      <c r="CX37" s="93">
        <v>405.68</v>
      </c>
      <c r="CY37" s="93">
        <v>404.68</v>
      </c>
      <c r="CZ37" s="93">
        <v>403.68</v>
      </c>
      <c r="DA37" s="93">
        <v>402.68</v>
      </c>
      <c r="DB37" s="93">
        <v>401.67</v>
      </c>
      <c r="DC37" s="93">
        <v>400.67</v>
      </c>
      <c r="DD37" s="93">
        <v>399.67</v>
      </c>
      <c r="DE37" s="93">
        <v>398.67</v>
      </c>
      <c r="DF37" s="93">
        <v>397.67</v>
      </c>
      <c r="DG37" s="93">
        <v>396.67</v>
      </c>
      <c r="DH37" s="93">
        <v>395.67</v>
      </c>
      <c r="DI37" s="93">
        <v>394.68</v>
      </c>
      <c r="DJ37" s="93">
        <v>393.68</v>
      </c>
      <c r="DK37" s="93">
        <v>392.69</v>
      </c>
      <c r="DL37" s="93">
        <v>391.69</v>
      </c>
      <c r="DM37" s="93">
        <v>390.7</v>
      </c>
      <c r="DN37" s="93">
        <v>389.7</v>
      </c>
      <c r="DO37" s="93">
        <v>388.71</v>
      </c>
      <c r="DP37" s="93">
        <v>387.72</v>
      </c>
      <c r="DQ37" s="93">
        <v>386.72</v>
      </c>
      <c r="DR37" s="93">
        <v>385.73</v>
      </c>
      <c r="DS37" s="93">
        <v>384.74</v>
      </c>
      <c r="DT37" s="93">
        <v>383.75</v>
      </c>
      <c r="DU37" s="93">
        <v>382.77</v>
      </c>
      <c r="DV37" s="93">
        <v>381.78</v>
      </c>
      <c r="DW37" s="93">
        <v>380.79</v>
      </c>
      <c r="DX37" s="93">
        <v>379.81</v>
      </c>
      <c r="DY37" s="93">
        <v>378.83</v>
      </c>
      <c r="DZ37" s="93">
        <v>377.84</v>
      </c>
      <c r="EA37" s="93">
        <v>376.86</v>
      </c>
      <c r="EB37" s="93">
        <v>375.87</v>
      </c>
      <c r="EC37" s="93">
        <v>374.89</v>
      </c>
      <c r="ED37" s="93">
        <v>373.91</v>
      </c>
      <c r="EE37" s="93">
        <v>372.93</v>
      </c>
      <c r="EF37" s="93">
        <v>371.95</v>
      </c>
      <c r="EG37" s="93">
        <v>370.98</v>
      </c>
      <c r="EH37" s="93">
        <v>370.01</v>
      </c>
      <c r="EI37" s="93">
        <v>369.03</v>
      </c>
      <c r="EJ37" s="93">
        <v>368.06</v>
      </c>
      <c r="EK37" s="93">
        <v>367.09</v>
      </c>
      <c r="EL37" s="93">
        <v>366.12</v>
      </c>
      <c r="EM37" s="93">
        <v>365.15</v>
      </c>
      <c r="EN37" s="93">
        <v>364.18</v>
      </c>
      <c r="EO37" s="93">
        <v>363.21</v>
      </c>
      <c r="EP37" s="93">
        <v>362.24</v>
      </c>
      <c r="EQ37" s="93">
        <v>361.27</v>
      </c>
      <c r="ER37" s="93">
        <v>360.3</v>
      </c>
      <c r="ES37" s="93">
        <v>359.34</v>
      </c>
      <c r="ET37" s="93">
        <v>358.38</v>
      </c>
      <c r="EU37" s="93">
        <v>357.42</v>
      </c>
      <c r="EV37" s="93">
        <v>356.45</v>
      </c>
      <c r="EW37" s="93">
        <v>355.49</v>
      </c>
      <c r="EX37" s="93">
        <v>354.53</v>
      </c>
      <c r="EY37" s="93">
        <v>353.57</v>
      </c>
      <c r="EZ37" s="93">
        <v>352.61</v>
      </c>
      <c r="FA37" s="93">
        <v>351.65</v>
      </c>
      <c r="FB37" s="93">
        <v>350.69</v>
      </c>
      <c r="FC37" s="93">
        <v>349.73</v>
      </c>
      <c r="FD37" s="93">
        <v>348.78</v>
      </c>
      <c r="FE37" s="93">
        <v>347.82</v>
      </c>
      <c r="FF37" s="93">
        <v>346.87</v>
      </c>
      <c r="FG37" s="93">
        <v>345.91</v>
      </c>
      <c r="FH37" s="93">
        <v>344.96</v>
      </c>
      <c r="FI37" s="93">
        <v>344</v>
      </c>
      <c r="FJ37" s="93">
        <v>343.05</v>
      </c>
      <c r="FK37" s="93">
        <v>342.1</v>
      </c>
      <c r="FL37" s="93">
        <v>341.15</v>
      </c>
      <c r="FM37" s="93">
        <v>340.19</v>
      </c>
      <c r="FN37" s="93">
        <v>339.24</v>
      </c>
      <c r="FO37" s="93">
        <v>338.29</v>
      </c>
      <c r="FP37" s="93">
        <v>337.35</v>
      </c>
      <c r="FQ37" s="93">
        <v>336.4</v>
      </c>
      <c r="FR37" s="93">
        <v>335.45</v>
      </c>
      <c r="FS37" s="93">
        <v>334.5</v>
      </c>
      <c r="FT37" s="93">
        <v>333.56</v>
      </c>
      <c r="FU37" s="93">
        <v>332.61</v>
      </c>
      <c r="FV37" s="93">
        <v>331.67</v>
      </c>
      <c r="FW37" s="93">
        <v>330.72</v>
      </c>
      <c r="FX37" s="93">
        <v>329.78</v>
      </c>
      <c r="FY37" s="93">
        <v>328.84</v>
      </c>
      <c r="FZ37" s="93">
        <v>327.9</v>
      </c>
      <c r="GA37" s="93">
        <v>326.95999999999998</v>
      </c>
      <c r="GB37" s="93">
        <v>326.01</v>
      </c>
      <c r="GC37" s="93">
        <v>325.07</v>
      </c>
      <c r="GD37" s="93">
        <v>324.14</v>
      </c>
      <c r="GE37" s="93">
        <v>323.2</v>
      </c>
      <c r="GF37" s="93">
        <v>322.26</v>
      </c>
      <c r="GG37" s="93">
        <v>321.32</v>
      </c>
      <c r="GH37" s="93">
        <v>320.39999999999998</v>
      </c>
      <c r="GI37" s="93">
        <v>319.47000000000003</v>
      </c>
      <c r="GJ37" s="93">
        <v>318.52999999999997</v>
      </c>
      <c r="GK37" s="93">
        <v>317.60000000000002</v>
      </c>
      <c r="GL37" s="93">
        <v>316.67</v>
      </c>
      <c r="GM37" s="93">
        <v>315.74</v>
      </c>
      <c r="GN37" s="93">
        <v>314.81</v>
      </c>
      <c r="GO37" s="93">
        <v>313.89</v>
      </c>
      <c r="GP37" s="93">
        <v>312.95999999999998</v>
      </c>
      <c r="GQ37" s="93">
        <v>312.02999999999997</v>
      </c>
      <c r="GR37" s="93">
        <v>311.10000000000002</v>
      </c>
      <c r="GS37" s="93">
        <v>310.19</v>
      </c>
      <c r="GT37" s="93">
        <v>309.26</v>
      </c>
      <c r="GU37" s="93">
        <v>308.33999999999997</v>
      </c>
      <c r="GV37" s="93">
        <v>307.42</v>
      </c>
      <c r="GW37" s="93">
        <v>306.51</v>
      </c>
      <c r="GX37" s="93">
        <v>305.58999999999997</v>
      </c>
      <c r="GY37" s="93">
        <v>304.67</v>
      </c>
      <c r="GZ37" s="93">
        <v>303.75</v>
      </c>
      <c r="HA37" s="93">
        <v>302.83999999999997</v>
      </c>
      <c r="HB37" s="93">
        <v>301.93</v>
      </c>
      <c r="HC37" s="93">
        <v>301.01</v>
      </c>
      <c r="HD37" s="93">
        <v>300.10000000000002</v>
      </c>
      <c r="HE37" s="93">
        <v>299.19</v>
      </c>
      <c r="HF37" s="93">
        <v>298.27999999999997</v>
      </c>
      <c r="HG37" s="93">
        <v>297.38</v>
      </c>
      <c r="HH37" s="93">
        <v>296.47000000000003</v>
      </c>
      <c r="HI37" s="93">
        <v>295.56</v>
      </c>
      <c r="HJ37" s="93">
        <v>294.66000000000003</v>
      </c>
      <c r="HK37" s="93">
        <v>293.75</v>
      </c>
      <c r="HL37" s="93">
        <v>292.85000000000002</v>
      </c>
      <c r="HM37" s="93">
        <v>291.95</v>
      </c>
      <c r="HN37" s="93">
        <v>291.04000000000002</v>
      </c>
      <c r="HO37" s="93">
        <v>290.16000000000003</v>
      </c>
      <c r="HP37" s="93">
        <v>289.26</v>
      </c>
      <c r="HQ37" s="93">
        <v>288.35000000000002</v>
      </c>
      <c r="HR37" s="93">
        <v>287.47000000000003</v>
      </c>
      <c r="HS37" s="93">
        <v>286.57</v>
      </c>
      <c r="HT37" s="93">
        <v>285.68</v>
      </c>
      <c r="HU37" s="93">
        <v>284.79000000000002</v>
      </c>
      <c r="HV37" s="93">
        <v>283.89999999999998</v>
      </c>
      <c r="HW37" s="93">
        <v>283.01</v>
      </c>
      <c r="HX37" s="93">
        <v>282.13</v>
      </c>
      <c r="HY37" s="93">
        <v>281.24</v>
      </c>
      <c r="HZ37" s="93">
        <v>280.35000000000002</v>
      </c>
      <c r="IA37" s="93">
        <v>279.47000000000003</v>
      </c>
      <c r="IB37" s="93">
        <v>278.58999999999997</v>
      </c>
      <c r="IC37" s="93">
        <v>277.7</v>
      </c>
      <c r="ID37" s="93">
        <v>276.82</v>
      </c>
      <c r="IE37" s="93">
        <v>275.94</v>
      </c>
      <c r="IF37" s="93">
        <v>275.06</v>
      </c>
      <c r="IG37" s="93">
        <v>274.18</v>
      </c>
      <c r="IH37" s="93">
        <v>273.29000000000002</v>
      </c>
      <c r="II37" s="93">
        <v>272.43</v>
      </c>
      <c r="IJ37" s="93">
        <v>271.54000000000002</v>
      </c>
      <c r="IK37" s="93">
        <v>270.68</v>
      </c>
      <c r="IL37" s="93">
        <v>269.81</v>
      </c>
      <c r="IM37" s="93">
        <v>268.94</v>
      </c>
      <c r="IN37" s="93">
        <v>268.07</v>
      </c>
      <c r="IO37" s="93">
        <v>267.2</v>
      </c>
      <c r="IP37" s="93">
        <v>266.32</v>
      </c>
      <c r="IQ37" s="93">
        <v>265.45999999999998</v>
      </c>
      <c r="IR37" s="93">
        <v>264.60000000000002</v>
      </c>
      <c r="IS37" s="93">
        <v>263.73</v>
      </c>
      <c r="IT37" s="93">
        <v>262.87</v>
      </c>
      <c r="IU37" s="93">
        <v>262.01</v>
      </c>
      <c r="IV37" s="93">
        <v>261.14999999999998</v>
      </c>
      <c r="IW37" s="93">
        <v>260.29000000000002</v>
      </c>
      <c r="IX37" s="93">
        <v>259.43</v>
      </c>
      <c r="IY37" s="93">
        <v>258.57</v>
      </c>
      <c r="IZ37" s="93">
        <v>257.72000000000003</v>
      </c>
      <c r="JA37" s="93">
        <v>256.87</v>
      </c>
      <c r="JB37" s="93">
        <v>256.01</v>
      </c>
      <c r="JC37" s="93">
        <v>255.17</v>
      </c>
      <c r="JD37" s="93">
        <v>254.32</v>
      </c>
      <c r="JE37" s="93">
        <v>253.47</v>
      </c>
      <c r="JF37" s="93">
        <v>252.62</v>
      </c>
      <c r="JG37" s="93">
        <v>251.77</v>
      </c>
      <c r="JH37" s="93">
        <v>250.93</v>
      </c>
      <c r="JI37" s="93">
        <v>250.08</v>
      </c>
      <c r="JJ37" s="93">
        <v>249.24</v>
      </c>
      <c r="JK37" s="93">
        <v>248.39</v>
      </c>
      <c r="JL37" s="93">
        <v>247.55</v>
      </c>
      <c r="JM37" s="93">
        <v>246.71</v>
      </c>
      <c r="JN37" s="93">
        <v>245.87</v>
      </c>
      <c r="JO37" s="93">
        <v>245.03</v>
      </c>
      <c r="JP37" s="93">
        <v>244.2</v>
      </c>
      <c r="JQ37" s="93">
        <v>243.36</v>
      </c>
      <c r="JR37" s="93">
        <v>242.52</v>
      </c>
      <c r="JS37" s="93">
        <v>241.69</v>
      </c>
      <c r="JT37" s="93">
        <v>240.86</v>
      </c>
      <c r="JU37" s="93">
        <v>240.03</v>
      </c>
      <c r="JV37" s="93">
        <v>239.19</v>
      </c>
      <c r="JW37" s="93">
        <v>238.37</v>
      </c>
      <c r="JX37" s="93">
        <v>237.54</v>
      </c>
      <c r="JY37" s="93">
        <v>236.71</v>
      </c>
      <c r="JZ37" s="93">
        <v>235.88</v>
      </c>
      <c r="KA37" s="93">
        <v>235.06</v>
      </c>
      <c r="KB37" s="93">
        <v>234.23</v>
      </c>
      <c r="KC37" s="93">
        <v>233.41</v>
      </c>
      <c r="KD37" s="93">
        <v>232.58</v>
      </c>
      <c r="KE37" s="93">
        <v>231.76</v>
      </c>
      <c r="KF37" s="93">
        <v>230.94</v>
      </c>
      <c r="KG37" s="93">
        <v>230.12</v>
      </c>
      <c r="KH37" s="93">
        <v>229.3</v>
      </c>
      <c r="KI37" s="93">
        <v>228.49</v>
      </c>
      <c r="KJ37" s="93">
        <v>227.67</v>
      </c>
      <c r="KK37" s="93">
        <v>226.85</v>
      </c>
      <c r="KL37" s="93">
        <v>226.04</v>
      </c>
      <c r="KM37" s="93">
        <v>225.23</v>
      </c>
      <c r="KN37" s="93">
        <v>224.42</v>
      </c>
      <c r="KO37" s="93">
        <v>223.61</v>
      </c>
      <c r="KP37" s="93">
        <v>222.8</v>
      </c>
      <c r="KQ37" s="93">
        <v>221.99</v>
      </c>
      <c r="KR37" s="93">
        <v>220.89000000000027</v>
      </c>
      <c r="KS37" s="93">
        <v>220.14000000000027</v>
      </c>
      <c r="KT37" s="93">
        <v>219.39000000000027</v>
      </c>
      <c r="KU37" s="93">
        <v>218.64000000000027</v>
      </c>
      <c r="KV37" s="93">
        <v>217.89000000000027</v>
      </c>
      <c r="KW37" s="93">
        <v>217.14000000000027</v>
      </c>
      <c r="KX37" s="93">
        <v>216.39000000000027</v>
      </c>
      <c r="KY37" s="93">
        <v>215.64000000000027</v>
      </c>
      <c r="KZ37" s="93">
        <v>214.89000000000027</v>
      </c>
      <c r="LA37" s="93">
        <v>214.14000000000027</v>
      </c>
      <c r="LB37" s="93">
        <v>213.39000000000027</v>
      </c>
      <c r="LC37" s="93">
        <v>212.64000000000027</v>
      </c>
      <c r="LD37" s="93">
        <v>211.89000000000027</v>
      </c>
      <c r="LE37" s="93">
        <v>211.14000000000027</v>
      </c>
      <c r="LF37" s="93">
        <v>210.39000000000027</v>
      </c>
      <c r="LG37" s="93">
        <v>209.64000000000027</v>
      </c>
      <c r="LH37" s="93">
        <v>208.89000000000027</v>
      </c>
      <c r="LI37" s="93">
        <v>208.14000000000027</v>
      </c>
      <c r="LJ37" s="93">
        <v>207.39000000000027</v>
      </c>
      <c r="LK37" s="93">
        <v>206.64000000000027</v>
      </c>
      <c r="LL37" s="93">
        <v>205.89000000000027</v>
      </c>
      <c r="LM37" s="93">
        <v>205.14000000000027</v>
      </c>
      <c r="LN37" s="93">
        <v>204.39000000000027</v>
      </c>
      <c r="LO37" s="93">
        <v>203.64000000000027</v>
      </c>
      <c r="LP37" s="93">
        <v>202.89000000000027</v>
      </c>
      <c r="LQ37" s="93">
        <v>202.14000000000027</v>
      </c>
      <c r="LR37" s="93">
        <v>201.39000000000027</v>
      </c>
      <c r="LS37" s="93">
        <v>200.64000000000027</v>
      </c>
      <c r="LT37" s="93">
        <v>199.89000000000027</v>
      </c>
      <c r="LU37" s="93">
        <v>199.14000000000027</v>
      </c>
      <c r="LV37" s="93">
        <v>198.39000000000027</v>
      </c>
      <c r="LW37" s="93">
        <v>197.64000000000027</v>
      </c>
      <c r="LX37" s="93">
        <v>196.89000000000027</v>
      </c>
      <c r="LY37" s="93">
        <v>196.14000000000027</v>
      </c>
      <c r="LZ37" s="93">
        <v>195.39000000000027</v>
      </c>
      <c r="MA37" s="93">
        <v>194.64000000000027</v>
      </c>
      <c r="MB37" s="93">
        <v>193.89000000000027</v>
      </c>
      <c r="MC37" s="93">
        <v>193.14000000000027</v>
      </c>
      <c r="MD37" s="93">
        <v>192.39000000000027</v>
      </c>
      <c r="ME37" s="93">
        <v>191.64000000000027</v>
      </c>
      <c r="MF37" s="93">
        <v>190.89000000000027</v>
      </c>
      <c r="MG37" s="93">
        <v>190.14000000000027</v>
      </c>
      <c r="MH37" s="93">
        <v>189.39000000000027</v>
      </c>
      <c r="MI37" s="93">
        <v>188.64000000000027</v>
      </c>
      <c r="MJ37" s="93">
        <v>187.89000000000027</v>
      </c>
      <c r="MK37" s="93">
        <v>187.14000000000027</v>
      </c>
      <c r="ML37" s="93">
        <v>186.39000000000027</v>
      </c>
      <c r="MM37" s="93">
        <v>185.64000000000027</v>
      </c>
      <c r="MN37" s="93">
        <v>184.89000000000027</v>
      </c>
      <c r="MO37" s="93">
        <v>184.14000000000027</v>
      </c>
      <c r="MP37" s="93">
        <v>183.39000000000027</v>
      </c>
      <c r="MQ37" s="93">
        <v>182.64000000000027</v>
      </c>
      <c r="MR37" s="93">
        <v>181.89000000000027</v>
      </c>
      <c r="MS37" s="93">
        <v>181.14000000000027</v>
      </c>
      <c r="MT37" s="93">
        <v>180.39000000000027</v>
      </c>
      <c r="MU37" s="93">
        <v>179.64000000000027</v>
      </c>
      <c r="MV37" s="93">
        <v>178.89000000000027</v>
      </c>
      <c r="MW37" s="93">
        <v>178.14000000000027</v>
      </c>
      <c r="MX37" s="93">
        <v>177.39000000000027</v>
      </c>
      <c r="MY37" s="93">
        <v>176.64000000000027</v>
      </c>
    </row>
    <row r="38" spans="1:363" ht="15.75" x14ac:dyDescent="0.25">
      <c r="A38" s="90" t="s">
        <v>7</v>
      </c>
      <c r="B38" s="95">
        <v>2048</v>
      </c>
      <c r="C38" s="93">
        <v>507.07</v>
      </c>
      <c r="D38" s="93">
        <v>506.05</v>
      </c>
      <c r="E38" s="93">
        <v>505.02</v>
      </c>
      <c r="F38" s="93">
        <v>504</v>
      </c>
      <c r="G38" s="93">
        <v>502.98</v>
      </c>
      <c r="H38" s="93">
        <v>501.95</v>
      </c>
      <c r="I38" s="93">
        <v>500.93</v>
      </c>
      <c r="J38" s="93">
        <v>499.9</v>
      </c>
      <c r="K38" s="93">
        <v>498.88</v>
      </c>
      <c r="L38" s="93">
        <v>497.85</v>
      </c>
      <c r="M38" s="93">
        <v>496.83</v>
      </c>
      <c r="N38" s="93">
        <v>495.81</v>
      </c>
      <c r="O38" s="93">
        <v>494.78</v>
      </c>
      <c r="P38" s="93">
        <v>493.76</v>
      </c>
      <c r="Q38" s="93">
        <v>492.73</v>
      </c>
      <c r="R38" s="93">
        <v>491.71</v>
      </c>
      <c r="S38" s="93">
        <v>490.68</v>
      </c>
      <c r="T38" s="93">
        <v>489.66</v>
      </c>
      <c r="U38" s="93">
        <v>488.64</v>
      </c>
      <c r="V38" s="93">
        <v>487.61</v>
      </c>
      <c r="W38" s="93">
        <v>486.59</v>
      </c>
      <c r="X38" s="93">
        <v>485.57</v>
      </c>
      <c r="Y38" s="93">
        <v>484.54</v>
      </c>
      <c r="Z38" s="93">
        <v>483.52</v>
      </c>
      <c r="AA38" s="93">
        <v>482.49</v>
      </c>
      <c r="AB38" s="93">
        <v>481.47</v>
      </c>
      <c r="AC38" s="93">
        <v>480.45</v>
      </c>
      <c r="AD38" s="93">
        <v>479.42</v>
      </c>
      <c r="AE38" s="93">
        <v>478.4</v>
      </c>
      <c r="AF38" s="93">
        <v>477.38</v>
      </c>
      <c r="AG38" s="93">
        <v>476.35</v>
      </c>
      <c r="AH38" s="93">
        <v>475.33</v>
      </c>
      <c r="AI38" s="93">
        <v>474.31</v>
      </c>
      <c r="AJ38" s="93">
        <v>473.28</v>
      </c>
      <c r="AK38" s="93">
        <v>472.26</v>
      </c>
      <c r="AL38" s="93">
        <v>471.24</v>
      </c>
      <c r="AM38" s="93">
        <v>470.21</v>
      </c>
      <c r="AN38" s="93">
        <v>469.19</v>
      </c>
      <c r="AO38" s="93">
        <v>468.17</v>
      </c>
      <c r="AP38" s="93">
        <v>467.15</v>
      </c>
      <c r="AQ38" s="93">
        <v>466.12</v>
      </c>
      <c r="AR38" s="93">
        <v>465.1</v>
      </c>
      <c r="AS38" s="93">
        <v>464.08</v>
      </c>
      <c r="AT38" s="93">
        <v>463.06</v>
      </c>
      <c r="AU38" s="93">
        <v>462.03</v>
      </c>
      <c r="AV38" s="93">
        <v>461.01</v>
      </c>
      <c r="AW38" s="93">
        <v>459.99</v>
      </c>
      <c r="AX38" s="93">
        <v>458.97</v>
      </c>
      <c r="AY38" s="93">
        <v>457.95</v>
      </c>
      <c r="AZ38" s="93">
        <v>456.93</v>
      </c>
      <c r="BA38" s="93">
        <v>455.91</v>
      </c>
      <c r="BB38" s="93">
        <v>454.88</v>
      </c>
      <c r="BC38" s="93">
        <v>453.86</v>
      </c>
      <c r="BD38" s="93">
        <v>452.84</v>
      </c>
      <c r="BE38" s="93">
        <v>451.82</v>
      </c>
      <c r="BF38" s="93">
        <v>450.8</v>
      </c>
      <c r="BG38" s="93">
        <v>449.78</v>
      </c>
      <c r="BH38" s="93">
        <v>448.76</v>
      </c>
      <c r="BI38" s="93">
        <v>447.74</v>
      </c>
      <c r="BJ38" s="93">
        <v>446.72</v>
      </c>
      <c r="BK38" s="93">
        <v>445.7</v>
      </c>
      <c r="BL38" s="93">
        <v>444.68</v>
      </c>
      <c r="BM38" s="93">
        <v>443.66</v>
      </c>
      <c r="BN38" s="93">
        <v>442.65</v>
      </c>
      <c r="BO38" s="93">
        <v>441.63</v>
      </c>
      <c r="BP38" s="93">
        <v>440.61</v>
      </c>
      <c r="BQ38" s="93">
        <v>439.59</v>
      </c>
      <c r="BR38" s="93">
        <v>438.57</v>
      </c>
      <c r="BS38" s="93">
        <v>437.56</v>
      </c>
      <c r="BT38" s="93">
        <v>436.54</v>
      </c>
      <c r="BU38" s="93">
        <v>435.52</v>
      </c>
      <c r="BV38" s="93">
        <v>434.5</v>
      </c>
      <c r="BW38" s="93">
        <v>433.49</v>
      </c>
      <c r="BX38" s="93">
        <v>432.47</v>
      </c>
      <c r="BY38" s="93">
        <v>431.46</v>
      </c>
      <c r="BZ38" s="93">
        <v>430.44</v>
      </c>
      <c r="CA38" s="93">
        <v>429.43</v>
      </c>
      <c r="CB38" s="93">
        <v>428.42</v>
      </c>
      <c r="CC38" s="93">
        <v>427.4</v>
      </c>
      <c r="CD38" s="93">
        <v>426.39</v>
      </c>
      <c r="CE38" s="93">
        <v>425.37</v>
      </c>
      <c r="CF38" s="93">
        <v>424.36</v>
      </c>
      <c r="CG38" s="93">
        <v>423.35</v>
      </c>
      <c r="CH38" s="93">
        <v>422.33</v>
      </c>
      <c r="CI38" s="93">
        <v>421.32</v>
      </c>
      <c r="CJ38" s="93">
        <v>420.31</v>
      </c>
      <c r="CK38" s="93">
        <v>419.3</v>
      </c>
      <c r="CL38" s="93">
        <v>418.29</v>
      </c>
      <c r="CM38" s="93">
        <v>417.28</v>
      </c>
      <c r="CN38" s="93">
        <v>416.28</v>
      </c>
      <c r="CO38" s="93">
        <v>415.27</v>
      </c>
      <c r="CP38" s="93">
        <v>414.26</v>
      </c>
      <c r="CQ38" s="93">
        <v>413.25</v>
      </c>
      <c r="CR38" s="93">
        <v>412.24</v>
      </c>
      <c r="CS38" s="93">
        <v>411.23</v>
      </c>
      <c r="CT38" s="93">
        <v>410.23</v>
      </c>
      <c r="CU38" s="93">
        <v>409.22</v>
      </c>
      <c r="CV38" s="93">
        <v>408.22</v>
      </c>
      <c r="CW38" s="93">
        <v>407.21</v>
      </c>
      <c r="CX38" s="93">
        <v>406.21</v>
      </c>
      <c r="CY38" s="93">
        <v>405.21</v>
      </c>
      <c r="CZ38" s="93">
        <v>404.21</v>
      </c>
      <c r="DA38" s="93">
        <v>403.2</v>
      </c>
      <c r="DB38" s="93">
        <v>402.2</v>
      </c>
      <c r="DC38" s="93">
        <v>401.2</v>
      </c>
      <c r="DD38" s="93">
        <v>400.2</v>
      </c>
      <c r="DE38" s="93">
        <v>399.2</v>
      </c>
      <c r="DF38" s="93">
        <v>398.19</v>
      </c>
      <c r="DG38" s="93">
        <v>397.19</v>
      </c>
      <c r="DH38" s="93">
        <v>396.2</v>
      </c>
      <c r="DI38" s="93">
        <v>395.2</v>
      </c>
      <c r="DJ38" s="93">
        <v>394.21</v>
      </c>
      <c r="DK38" s="93">
        <v>393.21</v>
      </c>
      <c r="DL38" s="93">
        <v>392.22</v>
      </c>
      <c r="DM38" s="93">
        <v>391.22</v>
      </c>
      <c r="DN38" s="93">
        <v>390.23</v>
      </c>
      <c r="DO38" s="93">
        <v>389.23</v>
      </c>
      <c r="DP38" s="93">
        <v>388.24</v>
      </c>
      <c r="DQ38" s="93">
        <v>387.25</v>
      </c>
      <c r="DR38" s="93">
        <v>386.25</v>
      </c>
      <c r="DS38" s="93">
        <v>385.26</v>
      </c>
      <c r="DT38" s="93">
        <v>384.27</v>
      </c>
      <c r="DU38" s="93">
        <v>383.29</v>
      </c>
      <c r="DV38" s="93">
        <v>382.3</v>
      </c>
      <c r="DW38" s="93">
        <v>381.31</v>
      </c>
      <c r="DX38" s="93">
        <v>380.33</v>
      </c>
      <c r="DY38" s="93">
        <v>379.34</v>
      </c>
      <c r="DZ38" s="93">
        <v>378.36</v>
      </c>
      <c r="EA38" s="93">
        <v>377.38</v>
      </c>
      <c r="EB38" s="93">
        <v>376.39</v>
      </c>
      <c r="EC38" s="93">
        <v>375.41</v>
      </c>
      <c r="ED38" s="93">
        <v>374.43</v>
      </c>
      <c r="EE38" s="93">
        <v>373.44</v>
      </c>
      <c r="EF38" s="93">
        <v>372.47</v>
      </c>
      <c r="EG38" s="93">
        <v>371.5</v>
      </c>
      <c r="EH38" s="93">
        <v>370.52</v>
      </c>
      <c r="EI38" s="93">
        <v>369.55</v>
      </c>
      <c r="EJ38" s="93">
        <v>368.58</v>
      </c>
      <c r="EK38" s="93">
        <v>367.61</v>
      </c>
      <c r="EL38" s="93">
        <v>366.63</v>
      </c>
      <c r="EM38" s="93">
        <v>365.66</v>
      </c>
      <c r="EN38" s="93">
        <v>364.69</v>
      </c>
      <c r="EO38" s="93">
        <v>363.72</v>
      </c>
      <c r="EP38" s="93">
        <v>362.75</v>
      </c>
      <c r="EQ38" s="93">
        <v>361.78</v>
      </c>
      <c r="ER38" s="93">
        <v>360.82</v>
      </c>
      <c r="ES38" s="93">
        <v>359.86</v>
      </c>
      <c r="ET38" s="93">
        <v>358.89</v>
      </c>
      <c r="EU38" s="93">
        <v>357.93</v>
      </c>
      <c r="EV38" s="93">
        <v>356.97</v>
      </c>
      <c r="EW38" s="93">
        <v>356.01</v>
      </c>
      <c r="EX38" s="93">
        <v>355.04</v>
      </c>
      <c r="EY38" s="93">
        <v>354.08</v>
      </c>
      <c r="EZ38" s="93">
        <v>353.12</v>
      </c>
      <c r="FA38" s="93">
        <v>352.16</v>
      </c>
      <c r="FB38" s="93">
        <v>351.21</v>
      </c>
      <c r="FC38" s="93">
        <v>350.25</v>
      </c>
      <c r="FD38" s="93">
        <v>349.29</v>
      </c>
      <c r="FE38" s="93">
        <v>348.33</v>
      </c>
      <c r="FF38" s="93">
        <v>347.38</v>
      </c>
      <c r="FG38" s="93">
        <v>346.42</v>
      </c>
      <c r="FH38" s="93">
        <v>345.47</v>
      </c>
      <c r="FI38" s="93">
        <v>344.51</v>
      </c>
      <c r="FJ38" s="93">
        <v>343.56</v>
      </c>
      <c r="FK38" s="93">
        <v>342.61</v>
      </c>
      <c r="FL38" s="93">
        <v>341.66</v>
      </c>
      <c r="FM38" s="93">
        <v>340.7</v>
      </c>
      <c r="FN38" s="93">
        <v>339.75</v>
      </c>
      <c r="FO38" s="93">
        <v>338.8</v>
      </c>
      <c r="FP38" s="93">
        <v>337.86</v>
      </c>
      <c r="FQ38" s="93">
        <v>336.91</v>
      </c>
      <c r="FR38" s="93">
        <v>335.96</v>
      </c>
      <c r="FS38" s="93">
        <v>335.01</v>
      </c>
      <c r="FT38" s="93">
        <v>334.07</v>
      </c>
      <c r="FU38" s="93">
        <v>333.12</v>
      </c>
      <c r="FV38" s="93">
        <v>332.18</v>
      </c>
      <c r="FW38" s="93">
        <v>331.23</v>
      </c>
      <c r="FX38" s="93">
        <v>330.29</v>
      </c>
      <c r="FY38" s="93">
        <v>329.35</v>
      </c>
      <c r="FZ38" s="93">
        <v>328.41</v>
      </c>
      <c r="GA38" s="93">
        <v>327.45999999999998</v>
      </c>
      <c r="GB38" s="93">
        <v>326.51</v>
      </c>
      <c r="GC38" s="93">
        <v>325.58999999999997</v>
      </c>
      <c r="GD38" s="93">
        <v>324.64999999999998</v>
      </c>
      <c r="GE38" s="93">
        <v>323.70999999999998</v>
      </c>
      <c r="GF38" s="93">
        <v>322.76</v>
      </c>
      <c r="GG38" s="93">
        <v>321.83999999999997</v>
      </c>
      <c r="GH38" s="93">
        <v>320.89999999999998</v>
      </c>
      <c r="GI38" s="93">
        <v>319.97000000000003</v>
      </c>
      <c r="GJ38" s="93">
        <v>319.04000000000002</v>
      </c>
      <c r="GK38" s="93">
        <v>318.10000000000002</v>
      </c>
      <c r="GL38" s="93">
        <v>317.17</v>
      </c>
      <c r="GM38" s="93">
        <v>316.24</v>
      </c>
      <c r="GN38" s="93">
        <v>315.32</v>
      </c>
      <c r="GO38" s="93">
        <v>314.39</v>
      </c>
      <c r="GP38" s="93">
        <v>313.45999999999998</v>
      </c>
      <c r="GQ38" s="93">
        <v>312.54000000000002</v>
      </c>
      <c r="GR38" s="93">
        <v>311.60000000000002</v>
      </c>
      <c r="GS38" s="93">
        <v>310.69</v>
      </c>
      <c r="GT38" s="93">
        <v>309.76</v>
      </c>
      <c r="GU38" s="93">
        <v>308.85000000000002</v>
      </c>
      <c r="GV38" s="93">
        <v>307.93</v>
      </c>
      <c r="GW38" s="93">
        <v>307.01</v>
      </c>
      <c r="GX38" s="93">
        <v>306.08999999999997</v>
      </c>
      <c r="GY38" s="93">
        <v>305.17</v>
      </c>
      <c r="GZ38" s="93">
        <v>304.25</v>
      </c>
      <c r="HA38" s="93">
        <v>303.33999999999997</v>
      </c>
      <c r="HB38" s="93">
        <v>302.43</v>
      </c>
      <c r="HC38" s="93">
        <v>301.51</v>
      </c>
      <c r="HD38" s="93">
        <v>300.60000000000002</v>
      </c>
      <c r="HE38" s="93">
        <v>299.69</v>
      </c>
      <c r="HF38" s="93">
        <v>298.77999999999997</v>
      </c>
      <c r="HG38" s="93">
        <v>297.87</v>
      </c>
      <c r="HH38" s="93">
        <v>296.95999999999998</v>
      </c>
      <c r="HI38" s="93">
        <v>296.06</v>
      </c>
      <c r="HJ38" s="93">
        <v>295.14999999999998</v>
      </c>
      <c r="HK38" s="93">
        <v>294.25</v>
      </c>
      <c r="HL38" s="93">
        <v>293.35000000000002</v>
      </c>
      <c r="HM38" s="93">
        <v>292.45</v>
      </c>
      <c r="HN38" s="93">
        <v>291.54000000000002</v>
      </c>
      <c r="HO38" s="93">
        <v>290.64999999999998</v>
      </c>
      <c r="HP38" s="93">
        <v>289.75</v>
      </c>
      <c r="HQ38" s="93">
        <v>288.85000000000002</v>
      </c>
      <c r="HR38" s="93">
        <v>287.95999999999998</v>
      </c>
      <c r="HS38" s="93">
        <v>287.07</v>
      </c>
      <c r="HT38" s="93">
        <v>286.18</v>
      </c>
      <c r="HU38" s="93">
        <v>285.27999999999997</v>
      </c>
      <c r="HV38" s="93">
        <v>284.39</v>
      </c>
      <c r="HW38" s="93">
        <v>283.5</v>
      </c>
      <c r="HX38" s="93">
        <v>282.62</v>
      </c>
      <c r="HY38" s="93">
        <v>281.73</v>
      </c>
      <c r="HZ38" s="93">
        <v>280.83999999999997</v>
      </c>
      <c r="IA38" s="93">
        <v>279.95999999999998</v>
      </c>
      <c r="IB38" s="93">
        <v>279.07</v>
      </c>
      <c r="IC38" s="93">
        <v>278.19</v>
      </c>
      <c r="ID38" s="93">
        <v>277.31</v>
      </c>
      <c r="IE38" s="93">
        <v>276.43</v>
      </c>
      <c r="IF38" s="93">
        <v>275.54000000000002</v>
      </c>
      <c r="IG38" s="93">
        <v>274.67</v>
      </c>
      <c r="IH38" s="93">
        <v>273.79000000000002</v>
      </c>
      <c r="II38" s="93">
        <v>272.91000000000003</v>
      </c>
      <c r="IJ38" s="93">
        <v>272.04000000000002</v>
      </c>
      <c r="IK38" s="93">
        <v>271.16000000000003</v>
      </c>
      <c r="IL38" s="93">
        <v>270.29000000000002</v>
      </c>
      <c r="IM38" s="93">
        <v>269.42</v>
      </c>
      <c r="IN38" s="93">
        <v>268.54000000000002</v>
      </c>
      <c r="IO38" s="93">
        <v>267.68</v>
      </c>
      <c r="IP38" s="93">
        <v>266.81</v>
      </c>
      <c r="IQ38" s="93">
        <v>265.94</v>
      </c>
      <c r="IR38" s="93">
        <v>265.07</v>
      </c>
      <c r="IS38" s="93">
        <v>264.20999999999998</v>
      </c>
      <c r="IT38" s="93">
        <v>263.35000000000002</v>
      </c>
      <c r="IU38" s="93">
        <v>262.49</v>
      </c>
      <c r="IV38" s="93">
        <v>261.63</v>
      </c>
      <c r="IW38" s="93">
        <v>260.76</v>
      </c>
      <c r="IX38" s="93">
        <v>259.91000000000003</v>
      </c>
      <c r="IY38" s="93">
        <v>259.06</v>
      </c>
      <c r="IZ38" s="93">
        <v>258.2</v>
      </c>
      <c r="JA38" s="93">
        <v>257.35000000000002</v>
      </c>
      <c r="JB38" s="93">
        <v>256.49</v>
      </c>
      <c r="JC38" s="93">
        <v>255.64</v>
      </c>
      <c r="JD38" s="93">
        <v>254.79</v>
      </c>
      <c r="JE38" s="93">
        <v>253.94</v>
      </c>
      <c r="JF38" s="93">
        <v>253.09</v>
      </c>
      <c r="JG38" s="93">
        <v>252.24</v>
      </c>
      <c r="JH38" s="93">
        <v>251.4</v>
      </c>
      <c r="JI38" s="93">
        <v>250.55</v>
      </c>
      <c r="JJ38" s="93">
        <v>249.71</v>
      </c>
      <c r="JK38" s="93">
        <v>248.87</v>
      </c>
      <c r="JL38" s="93">
        <v>248.02</v>
      </c>
      <c r="JM38" s="93">
        <v>247.18</v>
      </c>
      <c r="JN38" s="93">
        <v>246.34</v>
      </c>
      <c r="JO38" s="93">
        <v>245.5</v>
      </c>
      <c r="JP38" s="93">
        <v>244.67</v>
      </c>
      <c r="JQ38" s="93">
        <v>243.83</v>
      </c>
      <c r="JR38" s="93">
        <v>242.99</v>
      </c>
      <c r="JS38" s="93">
        <v>242.16</v>
      </c>
      <c r="JT38" s="93">
        <v>241.32</v>
      </c>
      <c r="JU38" s="93">
        <v>240.49</v>
      </c>
      <c r="JV38" s="93">
        <v>239.66</v>
      </c>
      <c r="JW38" s="93">
        <v>238.83</v>
      </c>
      <c r="JX38" s="93">
        <v>238</v>
      </c>
      <c r="JY38" s="93">
        <v>237.17</v>
      </c>
      <c r="JZ38" s="93">
        <v>236.35</v>
      </c>
      <c r="KA38" s="93">
        <v>235.52</v>
      </c>
      <c r="KB38" s="93">
        <v>234.69</v>
      </c>
      <c r="KC38" s="93">
        <v>233.87</v>
      </c>
      <c r="KD38" s="93">
        <v>233.05</v>
      </c>
      <c r="KE38" s="93">
        <v>232.22</v>
      </c>
      <c r="KF38" s="93">
        <v>231.4</v>
      </c>
      <c r="KG38" s="93">
        <v>230.58</v>
      </c>
      <c r="KH38" s="93">
        <v>229.76</v>
      </c>
      <c r="KI38" s="93">
        <v>228.94</v>
      </c>
      <c r="KJ38" s="93">
        <v>228.13</v>
      </c>
      <c r="KK38" s="93">
        <v>227.31</v>
      </c>
      <c r="KL38" s="93">
        <v>226.5</v>
      </c>
      <c r="KM38" s="93">
        <v>225.68</v>
      </c>
      <c r="KN38" s="93">
        <v>224.87</v>
      </c>
      <c r="KO38" s="93">
        <v>224.06</v>
      </c>
      <c r="KP38" s="93">
        <v>223.25</v>
      </c>
      <c r="KQ38" s="93">
        <v>222.45</v>
      </c>
      <c r="KR38" s="93">
        <v>221.35000000000028</v>
      </c>
      <c r="KS38" s="93">
        <v>220.60000000000028</v>
      </c>
      <c r="KT38" s="93">
        <v>219.85000000000028</v>
      </c>
      <c r="KU38" s="93">
        <v>219.10000000000028</v>
      </c>
      <c r="KV38" s="93">
        <v>218.35000000000028</v>
      </c>
      <c r="KW38" s="93">
        <v>217.60000000000028</v>
      </c>
      <c r="KX38" s="93">
        <v>216.85000000000028</v>
      </c>
      <c r="KY38" s="93">
        <v>216.10000000000028</v>
      </c>
      <c r="KZ38" s="93">
        <v>215.35000000000028</v>
      </c>
      <c r="LA38" s="93">
        <v>214.60000000000028</v>
      </c>
      <c r="LB38" s="93">
        <v>213.85000000000028</v>
      </c>
      <c r="LC38" s="93">
        <v>213.10000000000028</v>
      </c>
      <c r="LD38" s="93">
        <v>212.35000000000028</v>
      </c>
      <c r="LE38" s="93">
        <v>211.60000000000028</v>
      </c>
      <c r="LF38" s="93">
        <v>210.85000000000028</v>
      </c>
      <c r="LG38" s="93">
        <v>210.10000000000028</v>
      </c>
      <c r="LH38" s="93">
        <v>209.35000000000028</v>
      </c>
      <c r="LI38" s="93">
        <v>208.60000000000028</v>
      </c>
      <c r="LJ38" s="93">
        <v>207.85000000000028</v>
      </c>
      <c r="LK38" s="93">
        <v>207.10000000000028</v>
      </c>
      <c r="LL38" s="93">
        <v>206.35000000000028</v>
      </c>
      <c r="LM38" s="93">
        <v>205.60000000000028</v>
      </c>
      <c r="LN38" s="93">
        <v>204.85000000000028</v>
      </c>
      <c r="LO38" s="93">
        <v>204.10000000000028</v>
      </c>
      <c r="LP38" s="93">
        <v>203.35000000000028</v>
      </c>
      <c r="LQ38" s="93">
        <v>202.60000000000028</v>
      </c>
      <c r="LR38" s="93">
        <v>201.85000000000028</v>
      </c>
      <c r="LS38" s="93">
        <v>201.10000000000028</v>
      </c>
      <c r="LT38" s="93">
        <v>200.35000000000028</v>
      </c>
      <c r="LU38" s="93">
        <v>199.60000000000028</v>
      </c>
      <c r="LV38" s="93">
        <v>198.85000000000028</v>
      </c>
      <c r="LW38" s="93">
        <v>198.10000000000028</v>
      </c>
      <c r="LX38" s="93">
        <v>197.35000000000028</v>
      </c>
      <c r="LY38" s="93">
        <v>196.60000000000028</v>
      </c>
      <c r="LZ38" s="93">
        <v>195.85000000000028</v>
      </c>
      <c r="MA38" s="93">
        <v>195.10000000000028</v>
      </c>
      <c r="MB38" s="93">
        <v>194.35000000000028</v>
      </c>
      <c r="MC38" s="93">
        <v>193.60000000000028</v>
      </c>
      <c r="MD38" s="93">
        <v>192.85000000000028</v>
      </c>
      <c r="ME38" s="93">
        <v>192.10000000000028</v>
      </c>
      <c r="MF38" s="93">
        <v>191.35000000000028</v>
      </c>
      <c r="MG38" s="93">
        <v>190.60000000000028</v>
      </c>
      <c r="MH38" s="93">
        <v>189.85000000000028</v>
      </c>
      <c r="MI38" s="93">
        <v>189.10000000000028</v>
      </c>
      <c r="MJ38" s="93">
        <v>188.35000000000028</v>
      </c>
      <c r="MK38" s="93">
        <v>187.60000000000028</v>
      </c>
      <c r="ML38" s="93">
        <v>186.85000000000028</v>
      </c>
      <c r="MM38" s="93">
        <v>186.10000000000028</v>
      </c>
      <c r="MN38" s="93">
        <v>185.35000000000028</v>
      </c>
      <c r="MO38" s="93">
        <v>184.60000000000028</v>
      </c>
      <c r="MP38" s="93">
        <v>183.85000000000028</v>
      </c>
      <c r="MQ38" s="93">
        <v>183.10000000000028</v>
      </c>
      <c r="MR38" s="93">
        <v>182.35000000000028</v>
      </c>
      <c r="MS38" s="93">
        <v>181.60000000000028</v>
      </c>
      <c r="MT38" s="93">
        <v>180.85000000000028</v>
      </c>
      <c r="MU38" s="93">
        <v>180.10000000000028</v>
      </c>
      <c r="MV38" s="93">
        <v>179.35000000000028</v>
      </c>
      <c r="MW38" s="93">
        <v>178.60000000000028</v>
      </c>
      <c r="MX38" s="93">
        <v>177.85000000000028</v>
      </c>
      <c r="MY38" s="93">
        <v>177.10000000000028</v>
      </c>
    </row>
    <row r="39" spans="1:363" ht="15.75" x14ac:dyDescent="0.25">
      <c r="A39" s="90" t="s">
        <v>7</v>
      </c>
      <c r="B39" s="95">
        <v>2049</v>
      </c>
      <c r="C39" s="93">
        <v>507.63</v>
      </c>
      <c r="D39" s="93">
        <v>506.6</v>
      </c>
      <c r="E39" s="93">
        <v>505.58</v>
      </c>
      <c r="F39" s="93">
        <v>504.55</v>
      </c>
      <c r="G39" s="93">
        <v>503.53</v>
      </c>
      <c r="H39" s="93">
        <v>502.5</v>
      </c>
      <c r="I39" s="93">
        <v>501.48</v>
      </c>
      <c r="J39" s="93">
        <v>500.46</v>
      </c>
      <c r="K39" s="93">
        <v>499.43</v>
      </c>
      <c r="L39" s="93">
        <v>498.41</v>
      </c>
      <c r="M39" s="93">
        <v>497.38</v>
      </c>
      <c r="N39" s="93">
        <v>496.36</v>
      </c>
      <c r="O39" s="93">
        <v>495.33</v>
      </c>
      <c r="P39" s="93">
        <v>494.31</v>
      </c>
      <c r="Q39" s="93">
        <v>493.28</v>
      </c>
      <c r="R39" s="93">
        <v>492.26</v>
      </c>
      <c r="S39" s="93">
        <v>491.24</v>
      </c>
      <c r="T39" s="93">
        <v>490.21</v>
      </c>
      <c r="U39" s="93">
        <v>489.19</v>
      </c>
      <c r="V39" s="93">
        <v>488.16</v>
      </c>
      <c r="W39" s="93">
        <v>487.14</v>
      </c>
      <c r="X39" s="93">
        <v>486.12</v>
      </c>
      <c r="Y39" s="93">
        <v>485.09</v>
      </c>
      <c r="Z39" s="93">
        <v>484.07</v>
      </c>
      <c r="AA39" s="93">
        <v>483.04</v>
      </c>
      <c r="AB39" s="93">
        <v>482.02</v>
      </c>
      <c r="AC39" s="93">
        <v>481</v>
      </c>
      <c r="AD39" s="93">
        <v>479.97</v>
      </c>
      <c r="AE39" s="93">
        <v>478.95</v>
      </c>
      <c r="AF39" s="93">
        <v>477.92</v>
      </c>
      <c r="AG39" s="93">
        <v>476.9</v>
      </c>
      <c r="AH39" s="93">
        <v>475.88</v>
      </c>
      <c r="AI39" s="93">
        <v>474.85</v>
      </c>
      <c r="AJ39" s="93">
        <v>473.83</v>
      </c>
      <c r="AK39" s="93">
        <v>472.81</v>
      </c>
      <c r="AL39" s="93">
        <v>471.78</v>
      </c>
      <c r="AM39" s="93">
        <v>470.76</v>
      </c>
      <c r="AN39" s="93">
        <v>469.74</v>
      </c>
      <c r="AO39" s="93">
        <v>468.71</v>
      </c>
      <c r="AP39" s="93">
        <v>467.69</v>
      </c>
      <c r="AQ39" s="93">
        <v>466.67</v>
      </c>
      <c r="AR39" s="93">
        <v>465.65</v>
      </c>
      <c r="AS39" s="93">
        <v>464.62</v>
      </c>
      <c r="AT39" s="93">
        <v>463.6</v>
      </c>
      <c r="AU39" s="93">
        <v>462.58</v>
      </c>
      <c r="AV39" s="93">
        <v>461.56</v>
      </c>
      <c r="AW39" s="93">
        <v>460.53</v>
      </c>
      <c r="AX39" s="93">
        <v>459.51</v>
      </c>
      <c r="AY39" s="93">
        <v>458.49</v>
      </c>
      <c r="AZ39" s="93">
        <v>457.47</v>
      </c>
      <c r="BA39" s="93">
        <v>456.45</v>
      </c>
      <c r="BB39" s="93">
        <v>455.43</v>
      </c>
      <c r="BC39" s="93">
        <v>454.41</v>
      </c>
      <c r="BD39" s="93">
        <v>453.39</v>
      </c>
      <c r="BE39" s="93">
        <v>452.36</v>
      </c>
      <c r="BF39" s="93">
        <v>451.34</v>
      </c>
      <c r="BG39" s="93">
        <v>450.32</v>
      </c>
      <c r="BH39" s="93">
        <v>449.3</v>
      </c>
      <c r="BI39" s="93">
        <v>448.28</v>
      </c>
      <c r="BJ39" s="93">
        <v>447.26</v>
      </c>
      <c r="BK39" s="93">
        <v>446.24</v>
      </c>
      <c r="BL39" s="93">
        <v>445.22</v>
      </c>
      <c r="BM39" s="93">
        <v>444.2</v>
      </c>
      <c r="BN39" s="93">
        <v>443.19</v>
      </c>
      <c r="BO39" s="93">
        <v>442.17</v>
      </c>
      <c r="BP39" s="93">
        <v>441.15</v>
      </c>
      <c r="BQ39" s="93">
        <v>440.13</v>
      </c>
      <c r="BR39" s="93">
        <v>439.11</v>
      </c>
      <c r="BS39" s="93">
        <v>438.09</v>
      </c>
      <c r="BT39" s="93">
        <v>437.08</v>
      </c>
      <c r="BU39" s="93">
        <v>436.06</v>
      </c>
      <c r="BV39" s="93">
        <v>435.04</v>
      </c>
      <c r="BW39" s="93">
        <v>434.02</v>
      </c>
      <c r="BX39" s="93">
        <v>433.01</v>
      </c>
      <c r="BY39" s="93">
        <v>431.99</v>
      </c>
      <c r="BZ39" s="93">
        <v>430.98</v>
      </c>
      <c r="CA39" s="93">
        <v>429.96</v>
      </c>
      <c r="CB39" s="93">
        <v>428.95</v>
      </c>
      <c r="CC39" s="93">
        <v>427.94</v>
      </c>
      <c r="CD39" s="93">
        <v>426.92</v>
      </c>
      <c r="CE39" s="93">
        <v>425.91</v>
      </c>
      <c r="CF39" s="93">
        <v>424.89</v>
      </c>
      <c r="CG39" s="93">
        <v>423.88</v>
      </c>
      <c r="CH39" s="93">
        <v>422.87</v>
      </c>
      <c r="CI39" s="93">
        <v>421.85</v>
      </c>
      <c r="CJ39" s="93">
        <v>420.84</v>
      </c>
      <c r="CK39" s="93">
        <v>419.83</v>
      </c>
      <c r="CL39" s="93">
        <v>418.82</v>
      </c>
      <c r="CM39" s="93">
        <v>417.82</v>
      </c>
      <c r="CN39" s="93">
        <v>416.81</v>
      </c>
      <c r="CO39" s="93">
        <v>415.8</v>
      </c>
      <c r="CP39" s="93">
        <v>414.79</v>
      </c>
      <c r="CQ39" s="93">
        <v>413.78</v>
      </c>
      <c r="CR39" s="93">
        <v>412.77</v>
      </c>
      <c r="CS39" s="93">
        <v>411.76</v>
      </c>
      <c r="CT39" s="93">
        <v>410.75</v>
      </c>
      <c r="CU39" s="93">
        <v>409.75</v>
      </c>
      <c r="CV39" s="93">
        <v>408.74</v>
      </c>
      <c r="CW39" s="93">
        <v>407.74</v>
      </c>
      <c r="CX39" s="93">
        <v>406.74</v>
      </c>
      <c r="CY39" s="93">
        <v>405.73</v>
      </c>
      <c r="CZ39" s="93">
        <v>404.73</v>
      </c>
      <c r="DA39" s="93">
        <v>403.73</v>
      </c>
      <c r="DB39" s="93">
        <v>402.73</v>
      </c>
      <c r="DC39" s="93">
        <v>401.72</v>
      </c>
      <c r="DD39" s="93">
        <v>400.72</v>
      </c>
      <c r="DE39" s="93">
        <v>399.72</v>
      </c>
      <c r="DF39" s="93">
        <v>398.72</v>
      </c>
      <c r="DG39" s="93">
        <v>397.72</v>
      </c>
      <c r="DH39" s="93">
        <v>396.72</v>
      </c>
      <c r="DI39" s="93">
        <v>395.73</v>
      </c>
      <c r="DJ39" s="93">
        <v>394.73</v>
      </c>
      <c r="DK39" s="93">
        <v>393.73</v>
      </c>
      <c r="DL39" s="93">
        <v>392.74</v>
      </c>
      <c r="DM39" s="93">
        <v>391.74</v>
      </c>
      <c r="DN39" s="93">
        <v>390.75</v>
      </c>
      <c r="DO39" s="93">
        <v>389.76</v>
      </c>
      <c r="DP39" s="93">
        <v>388.76</v>
      </c>
      <c r="DQ39" s="93">
        <v>387.77</v>
      </c>
      <c r="DR39" s="93">
        <v>386.77</v>
      </c>
      <c r="DS39" s="93">
        <v>385.78</v>
      </c>
      <c r="DT39" s="93">
        <v>384.79</v>
      </c>
      <c r="DU39" s="93">
        <v>383.81</v>
      </c>
      <c r="DV39" s="93">
        <v>382.82</v>
      </c>
      <c r="DW39" s="93">
        <v>381.83</v>
      </c>
      <c r="DX39" s="93">
        <v>380.85</v>
      </c>
      <c r="DY39" s="93">
        <v>379.86</v>
      </c>
      <c r="DZ39" s="93">
        <v>378.88</v>
      </c>
      <c r="EA39" s="93">
        <v>377.89</v>
      </c>
      <c r="EB39" s="93">
        <v>376.91</v>
      </c>
      <c r="EC39" s="93">
        <v>375.93</v>
      </c>
      <c r="ED39" s="93">
        <v>374.94</v>
      </c>
      <c r="EE39" s="93">
        <v>373.96</v>
      </c>
      <c r="EF39" s="93">
        <v>372.99</v>
      </c>
      <c r="EG39" s="93">
        <v>372.01</v>
      </c>
      <c r="EH39" s="93">
        <v>371.04</v>
      </c>
      <c r="EI39" s="93">
        <v>370.07</v>
      </c>
      <c r="EJ39" s="93">
        <v>369.09</v>
      </c>
      <c r="EK39" s="93">
        <v>368.12</v>
      </c>
      <c r="EL39" s="93">
        <v>367.15</v>
      </c>
      <c r="EM39" s="93">
        <v>366.18</v>
      </c>
      <c r="EN39" s="93">
        <v>365.21</v>
      </c>
      <c r="EO39" s="93">
        <v>364.24</v>
      </c>
      <c r="EP39" s="93">
        <v>363.27</v>
      </c>
      <c r="EQ39" s="93">
        <v>362.3</v>
      </c>
      <c r="ER39" s="93">
        <v>361.33</v>
      </c>
      <c r="ES39" s="93">
        <v>360.37</v>
      </c>
      <c r="ET39" s="93">
        <v>359.41</v>
      </c>
      <c r="EU39" s="93">
        <v>358.44</v>
      </c>
      <c r="EV39" s="93">
        <v>357.48</v>
      </c>
      <c r="EW39" s="93">
        <v>356.52</v>
      </c>
      <c r="EX39" s="93">
        <v>355.56</v>
      </c>
      <c r="EY39" s="93">
        <v>354.6</v>
      </c>
      <c r="EZ39" s="93">
        <v>353.64</v>
      </c>
      <c r="FA39" s="93">
        <v>352.68</v>
      </c>
      <c r="FB39" s="93">
        <v>351.72</v>
      </c>
      <c r="FC39" s="93">
        <v>350.76</v>
      </c>
      <c r="FD39" s="93">
        <v>349.8</v>
      </c>
      <c r="FE39" s="93">
        <v>348.85</v>
      </c>
      <c r="FF39" s="93">
        <v>347.89</v>
      </c>
      <c r="FG39" s="93">
        <v>346.93</v>
      </c>
      <c r="FH39" s="93">
        <v>345.98</v>
      </c>
      <c r="FI39" s="93">
        <v>345.02</v>
      </c>
      <c r="FJ39" s="93">
        <v>344.07</v>
      </c>
      <c r="FK39" s="93">
        <v>343.12</v>
      </c>
      <c r="FL39" s="93">
        <v>342.17</v>
      </c>
      <c r="FM39" s="93">
        <v>341.21</v>
      </c>
      <c r="FN39" s="93">
        <v>340.26</v>
      </c>
      <c r="FO39" s="93">
        <v>339.31</v>
      </c>
      <c r="FP39" s="93">
        <v>338.36</v>
      </c>
      <c r="FQ39" s="93">
        <v>337.42</v>
      </c>
      <c r="FR39" s="93">
        <v>336.47</v>
      </c>
      <c r="FS39" s="93">
        <v>335.52</v>
      </c>
      <c r="FT39" s="93">
        <v>334.57</v>
      </c>
      <c r="FU39" s="93">
        <v>333.63</v>
      </c>
      <c r="FV39" s="93">
        <v>332.68</v>
      </c>
      <c r="FW39" s="93">
        <v>331.74</v>
      </c>
      <c r="FX39" s="93">
        <v>330.8</v>
      </c>
      <c r="FY39" s="93">
        <v>329.85</v>
      </c>
      <c r="FZ39" s="93">
        <v>328.91</v>
      </c>
      <c r="GA39" s="93">
        <v>327.97</v>
      </c>
      <c r="GB39" s="93">
        <v>327.02999999999997</v>
      </c>
      <c r="GC39" s="93">
        <v>326.08999999999997</v>
      </c>
      <c r="GD39" s="93">
        <v>325.14999999999998</v>
      </c>
      <c r="GE39" s="93">
        <v>324.22000000000003</v>
      </c>
      <c r="GF39" s="93">
        <v>323.27999999999997</v>
      </c>
      <c r="GG39" s="93">
        <v>322.33999999999997</v>
      </c>
      <c r="GH39" s="93">
        <v>321.41000000000003</v>
      </c>
      <c r="GI39" s="93">
        <v>320.47000000000003</v>
      </c>
      <c r="GJ39" s="93">
        <v>319.54000000000002</v>
      </c>
      <c r="GK39" s="93">
        <v>318.60000000000002</v>
      </c>
      <c r="GL39" s="93">
        <v>317.68</v>
      </c>
      <c r="GM39" s="93">
        <v>316.75</v>
      </c>
      <c r="GN39" s="93">
        <v>315.82</v>
      </c>
      <c r="GO39" s="93">
        <v>314.89</v>
      </c>
      <c r="GP39" s="93">
        <v>313.95999999999998</v>
      </c>
      <c r="GQ39" s="93">
        <v>313.04000000000002</v>
      </c>
      <c r="GR39" s="93">
        <v>312.10000000000002</v>
      </c>
      <c r="GS39" s="93">
        <v>311.19</v>
      </c>
      <c r="GT39" s="93">
        <v>310.26</v>
      </c>
      <c r="GU39" s="93">
        <v>309.35000000000002</v>
      </c>
      <c r="GV39" s="93">
        <v>308.43</v>
      </c>
      <c r="GW39" s="93">
        <v>307.51</v>
      </c>
      <c r="GX39" s="93">
        <v>306.58999999999997</v>
      </c>
      <c r="GY39" s="93">
        <v>305.67</v>
      </c>
      <c r="GZ39" s="93">
        <v>304.75</v>
      </c>
      <c r="HA39" s="93">
        <v>303.83999999999997</v>
      </c>
      <c r="HB39" s="93">
        <v>302.92</v>
      </c>
      <c r="HC39" s="93">
        <v>302.01</v>
      </c>
      <c r="HD39" s="93">
        <v>301.10000000000002</v>
      </c>
      <c r="HE39" s="93">
        <v>300.19</v>
      </c>
      <c r="HF39" s="93">
        <v>299.27999999999997</v>
      </c>
      <c r="HG39" s="93">
        <v>298.37</v>
      </c>
      <c r="HH39" s="93">
        <v>297.45999999999998</v>
      </c>
      <c r="HI39" s="93">
        <v>296.54000000000002</v>
      </c>
      <c r="HJ39" s="93">
        <v>295.64999999999998</v>
      </c>
      <c r="HK39" s="93">
        <v>294.74</v>
      </c>
      <c r="HL39" s="93">
        <v>293.83999999999997</v>
      </c>
      <c r="HM39" s="93">
        <v>292.94</v>
      </c>
      <c r="HN39" s="93">
        <v>292.04000000000002</v>
      </c>
      <c r="HO39" s="93">
        <v>291.14</v>
      </c>
      <c r="HP39" s="93">
        <v>290.25</v>
      </c>
      <c r="HQ39" s="93">
        <v>289.35000000000002</v>
      </c>
      <c r="HR39" s="93">
        <v>288.45</v>
      </c>
      <c r="HS39" s="93">
        <v>287.56</v>
      </c>
      <c r="HT39" s="93">
        <v>286.67</v>
      </c>
      <c r="HU39" s="93">
        <v>285.77999999999997</v>
      </c>
      <c r="HV39" s="93">
        <v>284.88</v>
      </c>
      <c r="HW39" s="93">
        <v>283.99</v>
      </c>
      <c r="HX39" s="93">
        <v>283.10000000000002</v>
      </c>
      <c r="HY39" s="93">
        <v>282.22000000000003</v>
      </c>
      <c r="HZ39" s="93">
        <v>281.32</v>
      </c>
      <c r="IA39" s="93">
        <v>280.45</v>
      </c>
      <c r="IB39" s="93">
        <v>279.56</v>
      </c>
      <c r="IC39" s="93">
        <v>278.68</v>
      </c>
      <c r="ID39" s="93">
        <v>277.79000000000002</v>
      </c>
      <c r="IE39" s="93">
        <v>276.91000000000003</v>
      </c>
      <c r="IF39" s="93">
        <v>276.02999999999997</v>
      </c>
      <c r="IG39" s="93">
        <v>275.14999999999998</v>
      </c>
      <c r="IH39" s="93">
        <v>274.27999999999997</v>
      </c>
      <c r="II39" s="93">
        <v>273.39999999999998</v>
      </c>
      <c r="IJ39" s="93">
        <v>272.51</v>
      </c>
      <c r="IK39" s="93">
        <v>271.64999999999998</v>
      </c>
      <c r="IL39" s="93">
        <v>270.76</v>
      </c>
      <c r="IM39" s="93">
        <v>269.89999999999998</v>
      </c>
      <c r="IN39" s="93">
        <v>269.02999999999997</v>
      </c>
      <c r="IO39" s="93">
        <v>268.16000000000003</v>
      </c>
      <c r="IP39" s="93">
        <v>267.29000000000002</v>
      </c>
      <c r="IQ39" s="93">
        <v>266.43</v>
      </c>
      <c r="IR39" s="93">
        <v>265.56</v>
      </c>
      <c r="IS39" s="93">
        <v>264.69</v>
      </c>
      <c r="IT39" s="93">
        <v>263.82</v>
      </c>
      <c r="IU39" s="93">
        <v>262.97000000000003</v>
      </c>
      <c r="IV39" s="93">
        <v>262.10000000000002</v>
      </c>
      <c r="IW39" s="93">
        <v>261.25</v>
      </c>
      <c r="IX39" s="93">
        <v>260.39</v>
      </c>
      <c r="IY39" s="93">
        <v>259.52999999999997</v>
      </c>
      <c r="IZ39" s="93">
        <v>258.68</v>
      </c>
      <c r="JA39" s="93">
        <v>257.82</v>
      </c>
      <c r="JB39" s="93">
        <v>256.97000000000003</v>
      </c>
      <c r="JC39" s="93">
        <v>256.12</v>
      </c>
      <c r="JD39" s="93">
        <v>255.27</v>
      </c>
      <c r="JE39" s="93">
        <v>254.42</v>
      </c>
      <c r="JF39" s="93">
        <v>253.57</v>
      </c>
      <c r="JG39" s="93">
        <v>252.72</v>
      </c>
      <c r="JH39" s="93">
        <v>251.87</v>
      </c>
      <c r="JI39" s="93">
        <v>251.03</v>
      </c>
      <c r="JJ39" s="93">
        <v>250.18</v>
      </c>
      <c r="JK39" s="93">
        <v>249.34</v>
      </c>
      <c r="JL39" s="93">
        <v>248.49</v>
      </c>
      <c r="JM39" s="93">
        <v>247.65</v>
      </c>
      <c r="JN39" s="93">
        <v>246.81</v>
      </c>
      <c r="JO39" s="93">
        <v>245.97</v>
      </c>
      <c r="JP39" s="93">
        <v>245.13</v>
      </c>
      <c r="JQ39" s="93">
        <v>244.3</v>
      </c>
      <c r="JR39" s="93">
        <v>243.46</v>
      </c>
      <c r="JS39" s="93">
        <v>242.62</v>
      </c>
      <c r="JT39" s="93">
        <v>241.79</v>
      </c>
      <c r="JU39" s="93">
        <v>240.96</v>
      </c>
      <c r="JV39" s="93">
        <v>240.13</v>
      </c>
      <c r="JW39" s="93">
        <v>239.29</v>
      </c>
      <c r="JX39" s="93">
        <v>238.47</v>
      </c>
      <c r="JY39" s="93">
        <v>237.64</v>
      </c>
      <c r="JZ39" s="93">
        <v>236.81</v>
      </c>
      <c r="KA39" s="93">
        <v>235.98</v>
      </c>
      <c r="KB39" s="93">
        <v>235.16</v>
      </c>
      <c r="KC39" s="93">
        <v>234.33</v>
      </c>
      <c r="KD39" s="93">
        <v>233.51</v>
      </c>
      <c r="KE39" s="93">
        <v>232.68</v>
      </c>
      <c r="KF39" s="93">
        <v>231.86</v>
      </c>
      <c r="KG39" s="93">
        <v>231.04</v>
      </c>
      <c r="KH39" s="93">
        <v>230.22</v>
      </c>
      <c r="KI39" s="93">
        <v>229.4</v>
      </c>
      <c r="KJ39" s="93">
        <v>228.58</v>
      </c>
      <c r="KK39" s="93">
        <v>227.77</v>
      </c>
      <c r="KL39" s="93">
        <v>226.95</v>
      </c>
      <c r="KM39" s="93">
        <v>226.14</v>
      </c>
      <c r="KN39" s="93">
        <v>225.33</v>
      </c>
      <c r="KO39" s="93">
        <v>224.52</v>
      </c>
      <c r="KP39" s="93">
        <v>223.71</v>
      </c>
      <c r="KQ39" s="93">
        <v>222.9</v>
      </c>
      <c r="KR39" s="93">
        <v>221.81000000000029</v>
      </c>
      <c r="KS39" s="93">
        <v>221.06000000000029</v>
      </c>
      <c r="KT39" s="93">
        <v>220.31000000000029</v>
      </c>
      <c r="KU39" s="93">
        <v>219.56000000000029</v>
      </c>
      <c r="KV39" s="93">
        <v>218.81000000000029</v>
      </c>
      <c r="KW39" s="93">
        <v>218.06000000000029</v>
      </c>
      <c r="KX39" s="93">
        <v>217.31000000000029</v>
      </c>
      <c r="KY39" s="93">
        <v>216.56000000000029</v>
      </c>
      <c r="KZ39" s="93">
        <v>215.81000000000029</v>
      </c>
      <c r="LA39" s="93">
        <v>215.06000000000029</v>
      </c>
      <c r="LB39" s="93">
        <v>214.31000000000029</v>
      </c>
      <c r="LC39" s="93">
        <v>213.56000000000029</v>
      </c>
      <c r="LD39" s="93">
        <v>212.81000000000029</v>
      </c>
      <c r="LE39" s="93">
        <v>212.06000000000029</v>
      </c>
      <c r="LF39" s="93">
        <v>211.31000000000029</v>
      </c>
      <c r="LG39" s="93">
        <v>210.56000000000029</v>
      </c>
      <c r="LH39" s="93">
        <v>209.81000000000029</v>
      </c>
      <c r="LI39" s="93">
        <v>209.06000000000029</v>
      </c>
      <c r="LJ39" s="93">
        <v>208.31000000000029</v>
      </c>
      <c r="LK39" s="93">
        <v>207.56000000000029</v>
      </c>
      <c r="LL39" s="93">
        <v>206.81000000000029</v>
      </c>
      <c r="LM39" s="93">
        <v>206.06000000000029</v>
      </c>
      <c r="LN39" s="93">
        <v>205.31000000000029</v>
      </c>
      <c r="LO39" s="93">
        <v>204.56000000000029</v>
      </c>
      <c r="LP39" s="93">
        <v>203.81000000000029</v>
      </c>
      <c r="LQ39" s="93">
        <v>203.06000000000029</v>
      </c>
      <c r="LR39" s="93">
        <v>202.31000000000029</v>
      </c>
      <c r="LS39" s="93">
        <v>201.56000000000029</v>
      </c>
      <c r="LT39" s="93">
        <v>200.81000000000029</v>
      </c>
      <c r="LU39" s="93">
        <v>200.06000000000029</v>
      </c>
      <c r="LV39" s="93">
        <v>199.31000000000029</v>
      </c>
      <c r="LW39" s="93">
        <v>198.56000000000029</v>
      </c>
      <c r="LX39" s="93">
        <v>197.81000000000029</v>
      </c>
      <c r="LY39" s="93">
        <v>197.06000000000029</v>
      </c>
      <c r="LZ39" s="93">
        <v>196.31000000000029</v>
      </c>
      <c r="MA39" s="93">
        <v>195.56000000000029</v>
      </c>
      <c r="MB39" s="93">
        <v>194.81000000000029</v>
      </c>
      <c r="MC39" s="93">
        <v>194.06000000000029</v>
      </c>
      <c r="MD39" s="93">
        <v>193.31000000000029</v>
      </c>
      <c r="ME39" s="93">
        <v>192.56000000000029</v>
      </c>
      <c r="MF39" s="93">
        <v>191.81000000000029</v>
      </c>
      <c r="MG39" s="93">
        <v>191.06000000000029</v>
      </c>
      <c r="MH39" s="93">
        <v>190.31000000000029</v>
      </c>
      <c r="MI39" s="93">
        <v>189.56000000000029</v>
      </c>
      <c r="MJ39" s="93">
        <v>188.81000000000029</v>
      </c>
      <c r="MK39" s="93">
        <v>188.06000000000029</v>
      </c>
      <c r="ML39" s="93">
        <v>187.31000000000029</v>
      </c>
      <c r="MM39" s="93">
        <v>186.56000000000029</v>
      </c>
      <c r="MN39" s="93">
        <v>185.81000000000029</v>
      </c>
      <c r="MO39" s="93">
        <v>185.06000000000029</v>
      </c>
      <c r="MP39" s="93">
        <v>184.31000000000029</v>
      </c>
      <c r="MQ39" s="93">
        <v>183.56000000000029</v>
      </c>
      <c r="MR39" s="93">
        <v>182.81000000000029</v>
      </c>
      <c r="MS39" s="93">
        <v>182.06000000000029</v>
      </c>
      <c r="MT39" s="93">
        <v>181.31000000000029</v>
      </c>
      <c r="MU39" s="93">
        <v>180.56000000000029</v>
      </c>
      <c r="MV39" s="93">
        <v>179.81000000000029</v>
      </c>
      <c r="MW39" s="93">
        <v>179.06000000000029</v>
      </c>
      <c r="MX39" s="93">
        <v>178.31000000000029</v>
      </c>
      <c r="MY39" s="93">
        <v>177.56000000000029</v>
      </c>
    </row>
    <row r="40" spans="1:363" ht="15.75" x14ac:dyDescent="0.25">
      <c r="A40" s="90" t="s">
        <v>7</v>
      </c>
      <c r="B40" s="95">
        <v>2050</v>
      </c>
      <c r="C40" s="93">
        <v>508.18</v>
      </c>
      <c r="D40" s="93">
        <v>507.16</v>
      </c>
      <c r="E40" s="93">
        <v>506.13</v>
      </c>
      <c r="F40" s="93">
        <v>505.11</v>
      </c>
      <c r="G40" s="93">
        <v>504.08</v>
      </c>
      <c r="H40" s="93">
        <v>503.06</v>
      </c>
      <c r="I40" s="93">
        <v>502.03</v>
      </c>
      <c r="J40" s="93">
        <v>501.01</v>
      </c>
      <c r="K40" s="93">
        <v>499.98</v>
      </c>
      <c r="L40" s="93">
        <v>498.96</v>
      </c>
      <c r="M40" s="93">
        <v>497.93</v>
      </c>
      <c r="N40" s="93">
        <v>496.91</v>
      </c>
      <c r="O40" s="93">
        <v>495.88</v>
      </c>
      <c r="P40" s="93">
        <v>494.86</v>
      </c>
      <c r="Q40" s="93">
        <v>493.83</v>
      </c>
      <c r="R40" s="93">
        <v>492.81</v>
      </c>
      <c r="S40" s="93">
        <v>491.79</v>
      </c>
      <c r="T40" s="93">
        <v>490.76</v>
      </c>
      <c r="U40" s="93">
        <v>489.74</v>
      </c>
      <c r="V40" s="93">
        <v>488.71</v>
      </c>
      <c r="W40" s="93">
        <v>487.69</v>
      </c>
      <c r="X40" s="93">
        <v>486.66</v>
      </c>
      <c r="Y40" s="93">
        <v>485.64</v>
      </c>
      <c r="Z40" s="93">
        <v>484.62</v>
      </c>
      <c r="AA40" s="93">
        <v>483.59</v>
      </c>
      <c r="AB40" s="93">
        <v>482.57</v>
      </c>
      <c r="AC40" s="93">
        <v>481.54</v>
      </c>
      <c r="AD40" s="93">
        <v>480.52</v>
      </c>
      <c r="AE40" s="93">
        <v>479.5</v>
      </c>
      <c r="AF40" s="93">
        <v>478.47</v>
      </c>
      <c r="AG40" s="93">
        <v>477.45</v>
      </c>
      <c r="AH40" s="93">
        <v>476.42</v>
      </c>
      <c r="AI40" s="93">
        <v>475.4</v>
      </c>
      <c r="AJ40" s="93">
        <v>474.38</v>
      </c>
      <c r="AK40" s="93">
        <v>473.35</v>
      </c>
      <c r="AL40" s="93">
        <v>472.33</v>
      </c>
      <c r="AM40" s="93">
        <v>471.3</v>
      </c>
      <c r="AN40" s="93">
        <v>470.28</v>
      </c>
      <c r="AO40" s="93">
        <v>469.26</v>
      </c>
      <c r="AP40" s="93">
        <v>468.24</v>
      </c>
      <c r="AQ40" s="93">
        <v>467.21</v>
      </c>
      <c r="AR40" s="93">
        <v>466.19</v>
      </c>
      <c r="AS40" s="93">
        <v>465.17</v>
      </c>
      <c r="AT40" s="93">
        <v>464.15</v>
      </c>
      <c r="AU40" s="93">
        <v>463.12</v>
      </c>
      <c r="AV40" s="93">
        <v>462.1</v>
      </c>
      <c r="AW40" s="93">
        <v>461.08</v>
      </c>
      <c r="AX40" s="93">
        <v>460.06</v>
      </c>
      <c r="AY40" s="93">
        <v>459.03</v>
      </c>
      <c r="AZ40" s="93">
        <v>458.01</v>
      </c>
      <c r="BA40" s="93">
        <v>456.99</v>
      </c>
      <c r="BB40" s="93">
        <v>455.97</v>
      </c>
      <c r="BC40" s="93">
        <v>454.95</v>
      </c>
      <c r="BD40" s="93">
        <v>453.93</v>
      </c>
      <c r="BE40" s="93">
        <v>452.91</v>
      </c>
      <c r="BF40" s="93">
        <v>451.88</v>
      </c>
      <c r="BG40" s="93">
        <v>450.86</v>
      </c>
      <c r="BH40" s="93">
        <v>449.84</v>
      </c>
      <c r="BI40" s="93">
        <v>448.82</v>
      </c>
      <c r="BJ40" s="93">
        <v>447.8</v>
      </c>
      <c r="BK40" s="93">
        <v>446.78</v>
      </c>
      <c r="BL40" s="93">
        <v>445.76</v>
      </c>
      <c r="BM40" s="93">
        <v>444.74</v>
      </c>
      <c r="BN40" s="93">
        <v>443.72</v>
      </c>
      <c r="BO40" s="93">
        <v>442.7</v>
      </c>
      <c r="BP40" s="93">
        <v>441.69</v>
      </c>
      <c r="BQ40" s="93">
        <v>440.67</v>
      </c>
      <c r="BR40" s="93">
        <v>439.65</v>
      </c>
      <c r="BS40" s="93">
        <v>438.63</v>
      </c>
      <c r="BT40" s="93">
        <v>437.61</v>
      </c>
      <c r="BU40" s="93">
        <v>436.59</v>
      </c>
      <c r="BV40" s="93">
        <v>435.58</v>
      </c>
      <c r="BW40" s="93">
        <v>434.56</v>
      </c>
      <c r="BX40" s="93">
        <v>433.54</v>
      </c>
      <c r="BY40" s="93">
        <v>432.53</v>
      </c>
      <c r="BZ40" s="93">
        <v>431.51</v>
      </c>
      <c r="CA40" s="93">
        <v>430.5</v>
      </c>
      <c r="CB40" s="93">
        <v>429.48</v>
      </c>
      <c r="CC40" s="93">
        <v>428.47</v>
      </c>
      <c r="CD40" s="93">
        <v>427.45</v>
      </c>
      <c r="CE40" s="93">
        <v>426.44</v>
      </c>
      <c r="CF40" s="93">
        <v>425.43</v>
      </c>
      <c r="CG40" s="93">
        <v>424.41</v>
      </c>
      <c r="CH40" s="93">
        <v>423.4</v>
      </c>
      <c r="CI40" s="93">
        <v>422.38</v>
      </c>
      <c r="CJ40" s="93">
        <v>421.37</v>
      </c>
      <c r="CK40" s="93">
        <v>420.36</v>
      </c>
      <c r="CL40" s="93">
        <v>419.35</v>
      </c>
      <c r="CM40" s="93">
        <v>418.35</v>
      </c>
      <c r="CN40" s="93">
        <v>417.34</v>
      </c>
      <c r="CO40" s="93">
        <v>416.33</v>
      </c>
      <c r="CP40" s="93">
        <v>415.32</v>
      </c>
      <c r="CQ40" s="93">
        <v>414.31</v>
      </c>
      <c r="CR40" s="93">
        <v>413.3</v>
      </c>
      <c r="CS40" s="93">
        <v>412.29</v>
      </c>
      <c r="CT40" s="93">
        <v>411.28</v>
      </c>
      <c r="CU40" s="93">
        <v>410.27</v>
      </c>
      <c r="CV40" s="93">
        <v>409.27</v>
      </c>
      <c r="CW40" s="93">
        <v>408.27</v>
      </c>
      <c r="CX40" s="93">
        <v>407.26</v>
      </c>
      <c r="CY40" s="93">
        <v>406.26</v>
      </c>
      <c r="CZ40" s="93">
        <v>405.26</v>
      </c>
      <c r="DA40" s="93">
        <v>404.25</v>
      </c>
      <c r="DB40" s="93">
        <v>403.25</v>
      </c>
      <c r="DC40" s="93">
        <v>402.25</v>
      </c>
      <c r="DD40" s="93">
        <v>401.25</v>
      </c>
      <c r="DE40" s="93">
        <v>400.24</v>
      </c>
      <c r="DF40" s="93">
        <v>399.24</v>
      </c>
      <c r="DG40" s="93">
        <v>398.24</v>
      </c>
      <c r="DH40" s="93">
        <v>397.24</v>
      </c>
      <c r="DI40" s="93">
        <v>396.25</v>
      </c>
      <c r="DJ40" s="93">
        <v>395.25</v>
      </c>
      <c r="DK40" s="93">
        <v>394.26</v>
      </c>
      <c r="DL40" s="93">
        <v>393.26</v>
      </c>
      <c r="DM40" s="93">
        <v>392.27</v>
      </c>
      <c r="DN40" s="93">
        <v>391.27</v>
      </c>
      <c r="DO40" s="93">
        <v>390.28</v>
      </c>
      <c r="DP40" s="93">
        <v>389.28</v>
      </c>
      <c r="DQ40" s="93">
        <v>388.29</v>
      </c>
      <c r="DR40" s="93">
        <v>387.29</v>
      </c>
      <c r="DS40" s="93">
        <v>386.3</v>
      </c>
      <c r="DT40" s="93">
        <v>385.31</v>
      </c>
      <c r="DU40" s="93">
        <v>384.32</v>
      </c>
      <c r="DV40" s="93">
        <v>383.34</v>
      </c>
      <c r="DW40" s="93">
        <v>382.35</v>
      </c>
      <c r="DX40" s="93">
        <v>381.37</v>
      </c>
      <c r="DY40" s="93">
        <v>380.38</v>
      </c>
      <c r="DZ40" s="93">
        <v>379.4</v>
      </c>
      <c r="EA40" s="93">
        <v>378.41</v>
      </c>
      <c r="EB40" s="93">
        <v>377.43</v>
      </c>
      <c r="EC40" s="93">
        <v>376.44</v>
      </c>
      <c r="ED40" s="93">
        <v>375.46</v>
      </c>
      <c r="EE40" s="93">
        <v>374.48</v>
      </c>
      <c r="EF40" s="93">
        <v>373.5</v>
      </c>
      <c r="EG40" s="93">
        <v>372.53</v>
      </c>
      <c r="EH40" s="93">
        <v>371.55</v>
      </c>
      <c r="EI40" s="93">
        <v>370.58</v>
      </c>
      <c r="EJ40" s="93">
        <v>369.61</v>
      </c>
      <c r="EK40" s="93">
        <v>368.63</v>
      </c>
      <c r="EL40" s="93">
        <v>367.66</v>
      </c>
      <c r="EM40" s="93">
        <v>366.69</v>
      </c>
      <c r="EN40" s="93">
        <v>365.72</v>
      </c>
      <c r="EO40" s="93">
        <v>364.75</v>
      </c>
      <c r="EP40" s="93">
        <v>363.78</v>
      </c>
      <c r="EQ40" s="93">
        <v>362.81</v>
      </c>
      <c r="ER40" s="93">
        <v>361.85</v>
      </c>
      <c r="ES40" s="93">
        <v>360.88</v>
      </c>
      <c r="ET40" s="93">
        <v>359.92</v>
      </c>
      <c r="EU40" s="93">
        <v>358.95</v>
      </c>
      <c r="EV40" s="93">
        <v>357.99</v>
      </c>
      <c r="EW40" s="93">
        <v>357.03</v>
      </c>
      <c r="EX40" s="93">
        <v>356.07</v>
      </c>
      <c r="EY40" s="93">
        <v>355.11</v>
      </c>
      <c r="EZ40" s="93">
        <v>354.15</v>
      </c>
      <c r="FA40" s="93">
        <v>353.19</v>
      </c>
      <c r="FB40" s="93">
        <v>352.23</v>
      </c>
      <c r="FC40" s="93">
        <v>351.27</v>
      </c>
      <c r="FD40" s="93">
        <v>350.31</v>
      </c>
      <c r="FE40" s="93">
        <v>349.36</v>
      </c>
      <c r="FF40" s="93">
        <v>348.4</v>
      </c>
      <c r="FG40" s="93">
        <v>347.44</v>
      </c>
      <c r="FH40" s="93">
        <v>346.49</v>
      </c>
      <c r="FI40" s="93">
        <v>345.53</v>
      </c>
      <c r="FJ40" s="93">
        <v>344.58</v>
      </c>
      <c r="FK40" s="93">
        <v>343.63</v>
      </c>
      <c r="FL40" s="93">
        <v>342.67</v>
      </c>
      <c r="FM40" s="93">
        <v>341.72</v>
      </c>
      <c r="FN40" s="93">
        <v>340.77</v>
      </c>
      <c r="FO40" s="93">
        <v>339.82</v>
      </c>
      <c r="FP40" s="93">
        <v>338.87</v>
      </c>
      <c r="FQ40" s="93">
        <v>337.92</v>
      </c>
      <c r="FR40" s="93">
        <v>336.97</v>
      </c>
      <c r="FS40" s="93">
        <v>336.03</v>
      </c>
      <c r="FT40" s="93">
        <v>335.08</v>
      </c>
      <c r="FU40" s="93">
        <v>334.14</v>
      </c>
      <c r="FV40" s="93">
        <v>333.19</v>
      </c>
      <c r="FW40" s="93">
        <v>332.25</v>
      </c>
      <c r="FX40" s="93">
        <v>331.3</v>
      </c>
      <c r="FY40" s="93">
        <v>330.36</v>
      </c>
      <c r="FZ40" s="93">
        <v>329.42</v>
      </c>
      <c r="GA40" s="93">
        <v>328.47</v>
      </c>
      <c r="GB40" s="93">
        <v>327.52999999999997</v>
      </c>
      <c r="GC40" s="93">
        <v>326.60000000000002</v>
      </c>
      <c r="GD40" s="93">
        <v>325.66000000000003</v>
      </c>
      <c r="GE40" s="93">
        <v>324.72000000000003</v>
      </c>
      <c r="GF40" s="93">
        <v>323.77999999999997</v>
      </c>
      <c r="GG40" s="93">
        <v>322.85000000000002</v>
      </c>
      <c r="GH40" s="93">
        <v>321.91000000000003</v>
      </c>
      <c r="GI40" s="93">
        <v>320.98</v>
      </c>
      <c r="GJ40" s="93">
        <v>320.04000000000002</v>
      </c>
      <c r="GK40" s="93">
        <v>319.10000000000002</v>
      </c>
      <c r="GL40" s="93">
        <v>318.18</v>
      </c>
      <c r="GM40" s="93">
        <v>317.25</v>
      </c>
      <c r="GN40" s="93">
        <v>316.32</v>
      </c>
      <c r="GO40" s="93">
        <v>315.39</v>
      </c>
      <c r="GP40" s="93">
        <v>314.45999999999998</v>
      </c>
      <c r="GQ40" s="93">
        <v>313.54000000000002</v>
      </c>
      <c r="GR40" s="93">
        <v>312.60000000000002</v>
      </c>
      <c r="GS40" s="93">
        <v>311.69</v>
      </c>
      <c r="GT40" s="93">
        <v>310.76</v>
      </c>
      <c r="GU40" s="93">
        <v>309.83999999999997</v>
      </c>
      <c r="GV40" s="93">
        <v>308.92</v>
      </c>
      <c r="GW40" s="93">
        <v>308</v>
      </c>
      <c r="GX40" s="93">
        <v>307.07</v>
      </c>
      <c r="GY40" s="93">
        <v>306.17</v>
      </c>
      <c r="GZ40" s="93">
        <v>305.25</v>
      </c>
      <c r="HA40" s="93">
        <v>304.32</v>
      </c>
      <c r="HB40" s="93">
        <v>303.42</v>
      </c>
      <c r="HC40" s="93">
        <v>302.51</v>
      </c>
      <c r="HD40" s="93">
        <v>301.58999999999997</v>
      </c>
      <c r="HE40" s="93">
        <v>300.68</v>
      </c>
      <c r="HF40" s="93">
        <v>299.76</v>
      </c>
      <c r="HG40" s="93">
        <v>298.85000000000002</v>
      </c>
      <c r="HH40" s="93">
        <v>297.95999999999998</v>
      </c>
      <c r="HI40" s="93">
        <v>297.04000000000002</v>
      </c>
      <c r="HJ40" s="93">
        <v>296.14</v>
      </c>
      <c r="HK40" s="93">
        <v>295.24</v>
      </c>
      <c r="HL40" s="93">
        <v>294.33999999999997</v>
      </c>
      <c r="HM40" s="93">
        <v>293.43</v>
      </c>
      <c r="HN40" s="93">
        <v>292.52999999999997</v>
      </c>
      <c r="HO40" s="93">
        <v>291.64</v>
      </c>
      <c r="HP40" s="93">
        <v>290.74</v>
      </c>
      <c r="HQ40" s="93">
        <v>289.83999999999997</v>
      </c>
      <c r="HR40" s="93">
        <v>288.95</v>
      </c>
      <c r="HS40" s="93">
        <v>288.04000000000002</v>
      </c>
      <c r="HT40" s="93">
        <v>287.16000000000003</v>
      </c>
      <c r="HU40" s="93">
        <v>286.26</v>
      </c>
      <c r="HV40" s="93">
        <v>285.37</v>
      </c>
      <c r="HW40" s="93">
        <v>284.48</v>
      </c>
      <c r="HX40" s="93">
        <v>283.58999999999997</v>
      </c>
      <c r="HY40" s="93">
        <v>282.70999999999998</v>
      </c>
      <c r="HZ40" s="93">
        <v>281.82</v>
      </c>
      <c r="IA40" s="93">
        <v>280.93</v>
      </c>
      <c r="IB40" s="93">
        <v>280.04000000000002</v>
      </c>
      <c r="IC40" s="93">
        <v>279.16000000000003</v>
      </c>
      <c r="ID40" s="93">
        <v>278.27999999999997</v>
      </c>
      <c r="IE40" s="93">
        <v>277.39999999999998</v>
      </c>
      <c r="IF40" s="93">
        <v>276.51</v>
      </c>
      <c r="IG40" s="93">
        <v>275.64</v>
      </c>
      <c r="IH40" s="93">
        <v>274.76</v>
      </c>
      <c r="II40" s="93">
        <v>273.88</v>
      </c>
      <c r="IJ40" s="93">
        <v>273.01</v>
      </c>
      <c r="IK40" s="93">
        <v>272.13</v>
      </c>
      <c r="IL40" s="93">
        <v>271.26</v>
      </c>
      <c r="IM40" s="93">
        <v>270.38</v>
      </c>
      <c r="IN40" s="93">
        <v>269.51</v>
      </c>
      <c r="IO40" s="93">
        <v>268.64</v>
      </c>
      <c r="IP40" s="93">
        <v>267.76</v>
      </c>
      <c r="IQ40" s="93">
        <v>266.91000000000003</v>
      </c>
      <c r="IR40" s="93">
        <v>266.04000000000002</v>
      </c>
      <c r="IS40" s="93">
        <v>265.17</v>
      </c>
      <c r="IT40" s="93">
        <v>264.31</v>
      </c>
      <c r="IU40" s="93">
        <v>263.45</v>
      </c>
      <c r="IV40" s="93">
        <v>262.57</v>
      </c>
      <c r="IW40" s="93">
        <v>261.72000000000003</v>
      </c>
      <c r="IX40" s="93">
        <v>260.87</v>
      </c>
      <c r="IY40" s="93">
        <v>260.01</v>
      </c>
      <c r="IZ40" s="93">
        <v>259.14999999999998</v>
      </c>
      <c r="JA40" s="93">
        <v>258.29000000000002</v>
      </c>
      <c r="JB40" s="93">
        <v>257.44</v>
      </c>
      <c r="JC40" s="93">
        <v>256.58999999999997</v>
      </c>
      <c r="JD40" s="93">
        <v>255.74</v>
      </c>
      <c r="JE40" s="93">
        <v>254.89</v>
      </c>
      <c r="JF40" s="93">
        <v>254.04</v>
      </c>
      <c r="JG40" s="93">
        <v>253.19</v>
      </c>
      <c r="JH40" s="93">
        <v>252.34</v>
      </c>
      <c r="JI40" s="93">
        <v>251.5</v>
      </c>
      <c r="JJ40" s="93">
        <v>250.65</v>
      </c>
      <c r="JK40" s="93">
        <v>249.81</v>
      </c>
      <c r="JL40" s="93">
        <v>248.96</v>
      </c>
      <c r="JM40" s="93">
        <v>248.12</v>
      </c>
      <c r="JN40" s="93">
        <v>247.28</v>
      </c>
      <c r="JO40" s="93">
        <v>246.44</v>
      </c>
      <c r="JP40" s="93">
        <v>245.6</v>
      </c>
      <c r="JQ40" s="93">
        <v>244.76</v>
      </c>
      <c r="JR40" s="93">
        <v>243.93</v>
      </c>
      <c r="JS40" s="93">
        <v>243.09</v>
      </c>
      <c r="JT40" s="93">
        <v>242.26</v>
      </c>
      <c r="JU40" s="93">
        <v>241.42</v>
      </c>
      <c r="JV40" s="93">
        <v>240.59</v>
      </c>
      <c r="JW40" s="93">
        <v>239.76</v>
      </c>
      <c r="JX40" s="93">
        <v>238.93</v>
      </c>
      <c r="JY40" s="93">
        <v>238.1</v>
      </c>
      <c r="JZ40" s="93">
        <v>237.27</v>
      </c>
      <c r="KA40" s="93">
        <v>236.44</v>
      </c>
      <c r="KB40" s="93">
        <v>235.62</v>
      </c>
      <c r="KC40" s="93">
        <v>234.79</v>
      </c>
      <c r="KD40" s="93">
        <v>233.97</v>
      </c>
      <c r="KE40" s="93">
        <v>233.14</v>
      </c>
      <c r="KF40" s="93">
        <v>232.32</v>
      </c>
      <c r="KG40" s="93">
        <v>231.5</v>
      </c>
      <c r="KH40" s="93">
        <v>230.68</v>
      </c>
      <c r="KI40" s="93">
        <v>229.86</v>
      </c>
      <c r="KJ40" s="93">
        <v>229.04</v>
      </c>
      <c r="KK40" s="93">
        <v>228.22</v>
      </c>
      <c r="KL40" s="93">
        <v>227.41</v>
      </c>
      <c r="KM40" s="93">
        <v>226.59</v>
      </c>
      <c r="KN40" s="93">
        <v>225.78</v>
      </c>
      <c r="KO40" s="93">
        <v>224.97</v>
      </c>
      <c r="KP40" s="93">
        <v>224.16</v>
      </c>
      <c r="KQ40" s="93">
        <v>223.35</v>
      </c>
      <c r="KR40" s="93">
        <v>222.27000000000029</v>
      </c>
      <c r="KS40" s="93">
        <v>221.52000000000029</v>
      </c>
      <c r="KT40" s="93">
        <v>220.77000000000029</v>
      </c>
      <c r="KU40" s="93">
        <v>220.02000000000029</v>
      </c>
      <c r="KV40" s="93">
        <v>219.27000000000029</v>
      </c>
      <c r="KW40" s="93">
        <v>218.52000000000029</v>
      </c>
      <c r="KX40" s="93">
        <v>217.77000000000029</v>
      </c>
      <c r="KY40" s="93">
        <v>217.02000000000029</v>
      </c>
      <c r="KZ40" s="93">
        <v>216.27000000000029</v>
      </c>
      <c r="LA40" s="93">
        <v>215.52000000000029</v>
      </c>
      <c r="LB40" s="93">
        <v>214.77000000000029</v>
      </c>
      <c r="LC40" s="93">
        <v>214.02000000000029</v>
      </c>
      <c r="LD40" s="93">
        <v>213.27000000000029</v>
      </c>
      <c r="LE40" s="93">
        <v>212.52000000000029</v>
      </c>
      <c r="LF40" s="93">
        <v>211.77000000000029</v>
      </c>
      <c r="LG40" s="93">
        <v>211.02000000000029</v>
      </c>
      <c r="LH40" s="93">
        <v>210.27000000000029</v>
      </c>
      <c r="LI40" s="93">
        <v>209.52000000000029</v>
      </c>
      <c r="LJ40" s="93">
        <v>208.77000000000029</v>
      </c>
      <c r="LK40" s="93">
        <v>208.02000000000029</v>
      </c>
      <c r="LL40" s="93">
        <v>207.27000000000029</v>
      </c>
      <c r="LM40" s="93">
        <v>206.52000000000029</v>
      </c>
      <c r="LN40" s="93">
        <v>205.77000000000029</v>
      </c>
      <c r="LO40" s="93">
        <v>205.02000000000029</v>
      </c>
      <c r="LP40" s="93">
        <v>204.27000000000029</v>
      </c>
      <c r="LQ40" s="93">
        <v>203.52000000000029</v>
      </c>
      <c r="LR40" s="93">
        <v>202.77000000000029</v>
      </c>
      <c r="LS40" s="93">
        <v>202.02000000000029</v>
      </c>
      <c r="LT40" s="93">
        <v>201.27000000000029</v>
      </c>
      <c r="LU40" s="93">
        <v>200.52000000000029</v>
      </c>
      <c r="LV40" s="93">
        <v>199.77000000000029</v>
      </c>
      <c r="LW40" s="93">
        <v>199.02000000000029</v>
      </c>
      <c r="LX40" s="93">
        <v>198.27000000000029</v>
      </c>
      <c r="LY40" s="93">
        <v>197.52000000000029</v>
      </c>
      <c r="LZ40" s="93">
        <v>196.77000000000029</v>
      </c>
      <c r="MA40" s="93">
        <v>196.02000000000029</v>
      </c>
      <c r="MB40" s="93">
        <v>195.27000000000029</v>
      </c>
      <c r="MC40" s="93">
        <v>194.52000000000029</v>
      </c>
      <c r="MD40" s="93">
        <v>193.77000000000029</v>
      </c>
      <c r="ME40" s="93">
        <v>193.02000000000029</v>
      </c>
      <c r="MF40" s="93">
        <v>192.27000000000029</v>
      </c>
      <c r="MG40" s="93">
        <v>191.52000000000029</v>
      </c>
      <c r="MH40" s="93">
        <v>190.77000000000029</v>
      </c>
      <c r="MI40" s="93">
        <v>190.02000000000029</v>
      </c>
      <c r="MJ40" s="93">
        <v>189.27000000000029</v>
      </c>
      <c r="MK40" s="93">
        <v>188.52000000000029</v>
      </c>
      <c r="ML40" s="93">
        <v>187.77000000000029</v>
      </c>
      <c r="MM40" s="93">
        <v>187.02000000000029</v>
      </c>
      <c r="MN40" s="93">
        <v>186.27000000000029</v>
      </c>
      <c r="MO40" s="93">
        <v>185.52000000000029</v>
      </c>
      <c r="MP40" s="93">
        <v>184.77000000000029</v>
      </c>
      <c r="MQ40" s="93">
        <v>184.02000000000029</v>
      </c>
      <c r="MR40" s="93">
        <v>183.27000000000029</v>
      </c>
      <c r="MS40" s="93">
        <v>182.52000000000029</v>
      </c>
      <c r="MT40" s="93">
        <v>181.77000000000029</v>
      </c>
      <c r="MU40" s="93">
        <v>181.02000000000029</v>
      </c>
      <c r="MV40" s="93">
        <v>180.27000000000029</v>
      </c>
      <c r="MW40" s="93">
        <v>179.52000000000029</v>
      </c>
      <c r="MX40" s="93">
        <v>178.77000000000029</v>
      </c>
      <c r="MY40" s="93">
        <v>178.02000000000029</v>
      </c>
    </row>
    <row r="41" spans="1:363" ht="15.75" x14ac:dyDescent="0.25">
      <c r="A41" s="90" t="s">
        <v>7</v>
      </c>
      <c r="B41" s="95">
        <v>2051</v>
      </c>
      <c r="C41" s="93">
        <v>508.73</v>
      </c>
      <c r="D41" s="93">
        <v>507.71</v>
      </c>
      <c r="E41" s="93">
        <v>506.68</v>
      </c>
      <c r="F41" s="93">
        <v>505.66</v>
      </c>
      <c r="G41" s="93">
        <v>504.63</v>
      </c>
      <c r="H41" s="93">
        <v>503.61</v>
      </c>
      <c r="I41" s="93">
        <v>502.58</v>
      </c>
      <c r="J41" s="93">
        <v>501.56</v>
      </c>
      <c r="K41" s="93">
        <v>500.53</v>
      </c>
      <c r="L41" s="93">
        <v>499.51</v>
      </c>
      <c r="M41" s="93">
        <v>498.48</v>
      </c>
      <c r="N41" s="93">
        <v>497.46</v>
      </c>
      <c r="O41" s="93">
        <v>496.43</v>
      </c>
      <c r="P41" s="93">
        <v>495.41</v>
      </c>
      <c r="Q41" s="93">
        <v>494.38</v>
      </c>
      <c r="R41" s="93">
        <v>493.36</v>
      </c>
      <c r="S41" s="93">
        <v>492.33</v>
      </c>
      <c r="T41" s="93">
        <v>491.31</v>
      </c>
      <c r="U41" s="93">
        <v>490.28</v>
      </c>
      <c r="V41" s="93">
        <v>489.26</v>
      </c>
      <c r="W41" s="93">
        <v>488.24</v>
      </c>
      <c r="X41" s="93">
        <v>487.21</v>
      </c>
      <c r="Y41" s="93">
        <v>486.19</v>
      </c>
      <c r="Z41" s="93">
        <v>485.16</v>
      </c>
      <c r="AA41" s="93">
        <v>484.14</v>
      </c>
      <c r="AB41" s="93">
        <v>483.11</v>
      </c>
      <c r="AC41" s="93">
        <v>482.09</v>
      </c>
      <c r="AD41" s="93">
        <v>481.07</v>
      </c>
      <c r="AE41" s="93">
        <v>480.04</v>
      </c>
      <c r="AF41" s="93">
        <v>479.02</v>
      </c>
      <c r="AG41" s="93">
        <v>477.99</v>
      </c>
      <c r="AH41" s="93">
        <v>476.97</v>
      </c>
      <c r="AI41" s="93">
        <v>475.94</v>
      </c>
      <c r="AJ41" s="93">
        <v>474.92</v>
      </c>
      <c r="AK41" s="93">
        <v>473.9</v>
      </c>
      <c r="AL41" s="93">
        <v>472.87</v>
      </c>
      <c r="AM41" s="93">
        <v>471.85</v>
      </c>
      <c r="AN41" s="93">
        <v>470.82</v>
      </c>
      <c r="AO41" s="93">
        <v>469.8</v>
      </c>
      <c r="AP41" s="93">
        <v>468.78</v>
      </c>
      <c r="AQ41" s="93">
        <v>467.76</v>
      </c>
      <c r="AR41" s="93">
        <v>466.73</v>
      </c>
      <c r="AS41" s="93">
        <v>465.71</v>
      </c>
      <c r="AT41" s="93">
        <v>464.69</v>
      </c>
      <c r="AU41" s="93">
        <v>463.66</v>
      </c>
      <c r="AV41" s="93">
        <v>462.64</v>
      </c>
      <c r="AW41" s="93">
        <v>461.62</v>
      </c>
      <c r="AX41" s="93">
        <v>460.6</v>
      </c>
      <c r="AY41" s="93">
        <v>459.57</v>
      </c>
      <c r="AZ41" s="93">
        <v>458.55</v>
      </c>
      <c r="BA41" s="93">
        <v>457.53</v>
      </c>
      <c r="BB41" s="93">
        <v>456.51</v>
      </c>
      <c r="BC41" s="93">
        <v>455.49</v>
      </c>
      <c r="BD41" s="93">
        <v>454.47</v>
      </c>
      <c r="BE41" s="93">
        <v>453.44</v>
      </c>
      <c r="BF41" s="93">
        <v>452.42</v>
      </c>
      <c r="BG41" s="93">
        <v>451.4</v>
      </c>
      <c r="BH41" s="93">
        <v>450.38</v>
      </c>
      <c r="BI41" s="93">
        <v>449.36</v>
      </c>
      <c r="BJ41" s="93">
        <v>448.34</v>
      </c>
      <c r="BK41" s="93">
        <v>447.32</v>
      </c>
      <c r="BL41" s="93">
        <v>446.3</v>
      </c>
      <c r="BM41" s="93">
        <v>445.28</v>
      </c>
      <c r="BN41" s="93">
        <v>444.26</v>
      </c>
      <c r="BO41" s="93">
        <v>443.24</v>
      </c>
      <c r="BP41" s="93">
        <v>442.22</v>
      </c>
      <c r="BQ41" s="93">
        <v>441.2</v>
      </c>
      <c r="BR41" s="93">
        <v>440.18</v>
      </c>
      <c r="BS41" s="93">
        <v>439.17</v>
      </c>
      <c r="BT41" s="93">
        <v>438.15</v>
      </c>
      <c r="BU41" s="93">
        <v>437.13</v>
      </c>
      <c r="BV41" s="93">
        <v>436.11</v>
      </c>
      <c r="BW41" s="93">
        <v>435.09</v>
      </c>
      <c r="BX41" s="93">
        <v>434.08</v>
      </c>
      <c r="BY41" s="93">
        <v>433.06</v>
      </c>
      <c r="BZ41" s="93">
        <v>432.05</v>
      </c>
      <c r="CA41" s="93">
        <v>431.03</v>
      </c>
      <c r="CB41" s="93">
        <v>430.02</v>
      </c>
      <c r="CC41" s="93">
        <v>429</v>
      </c>
      <c r="CD41" s="93">
        <v>427.99</v>
      </c>
      <c r="CE41" s="93">
        <v>426.97</v>
      </c>
      <c r="CF41" s="93">
        <v>425.96</v>
      </c>
      <c r="CG41" s="93">
        <v>424.94</v>
      </c>
      <c r="CH41" s="93">
        <v>423.93</v>
      </c>
      <c r="CI41" s="93">
        <v>422.91</v>
      </c>
      <c r="CJ41" s="93">
        <v>421.9</v>
      </c>
      <c r="CK41" s="93">
        <v>420.89</v>
      </c>
      <c r="CL41" s="93">
        <v>419.88</v>
      </c>
      <c r="CM41" s="93">
        <v>418.87</v>
      </c>
      <c r="CN41" s="93">
        <v>417.86</v>
      </c>
      <c r="CO41" s="93">
        <v>416.85</v>
      </c>
      <c r="CP41" s="93">
        <v>415.85</v>
      </c>
      <c r="CQ41" s="93">
        <v>414.84</v>
      </c>
      <c r="CR41" s="93">
        <v>413.83</v>
      </c>
      <c r="CS41" s="93">
        <v>412.82</v>
      </c>
      <c r="CT41" s="93">
        <v>411.81</v>
      </c>
      <c r="CU41" s="93">
        <v>410.8</v>
      </c>
      <c r="CV41" s="93">
        <v>409.8</v>
      </c>
      <c r="CW41" s="93">
        <v>408.79</v>
      </c>
      <c r="CX41" s="93">
        <v>407.79</v>
      </c>
      <c r="CY41" s="93">
        <v>406.78</v>
      </c>
      <c r="CZ41" s="93">
        <v>405.78</v>
      </c>
      <c r="DA41" s="93">
        <v>404.78</v>
      </c>
      <c r="DB41" s="93">
        <v>403.78</v>
      </c>
      <c r="DC41" s="93">
        <v>402.77</v>
      </c>
      <c r="DD41" s="93">
        <v>401.77</v>
      </c>
      <c r="DE41" s="93">
        <v>400.77</v>
      </c>
      <c r="DF41" s="93">
        <v>399.76</v>
      </c>
      <c r="DG41" s="93">
        <v>398.76</v>
      </c>
      <c r="DH41" s="93">
        <v>397.77</v>
      </c>
      <c r="DI41" s="93">
        <v>396.77</v>
      </c>
      <c r="DJ41" s="93">
        <v>395.77</v>
      </c>
      <c r="DK41" s="93">
        <v>394.78</v>
      </c>
      <c r="DL41" s="93">
        <v>393.78</v>
      </c>
      <c r="DM41" s="93">
        <v>392.79</v>
      </c>
      <c r="DN41" s="93">
        <v>391.79</v>
      </c>
      <c r="DO41" s="93">
        <v>390.79</v>
      </c>
      <c r="DP41" s="93">
        <v>389.8</v>
      </c>
      <c r="DQ41" s="93">
        <v>388.81</v>
      </c>
      <c r="DR41" s="93">
        <v>387.81</v>
      </c>
      <c r="DS41" s="93">
        <v>386.82</v>
      </c>
      <c r="DT41" s="93">
        <v>385.83</v>
      </c>
      <c r="DU41" s="93">
        <v>384.84</v>
      </c>
      <c r="DV41" s="93">
        <v>383.86</v>
      </c>
      <c r="DW41" s="93">
        <v>382.87</v>
      </c>
      <c r="DX41" s="93">
        <v>381.88</v>
      </c>
      <c r="DY41" s="93">
        <v>380.9</v>
      </c>
      <c r="DZ41" s="93">
        <v>379.91</v>
      </c>
      <c r="EA41" s="93">
        <v>378.93</v>
      </c>
      <c r="EB41" s="93">
        <v>377.94</v>
      </c>
      <c r="EC41" s="93">
        <v>376.96</v>
      </c>
      <c r="ED41" s="93">
        <v>375.97</v>
      </c>
      <c r="EE41" s="93">
        <v>374.99</v>
      </c>
      <c r="EF41" s="93">
        <v>374.02</v>
      </c>
      <c r="EG41" s="93">
        <v>373.04</v>
      </c>
      <c r="EH41" s="93">
        <v>372.07</v>
      </c>
      <c r="EI41" s="93">
        <v>371.09</v>
      </c>
      <c r="EJ41" s="93">
        <v>370.12</v>
      </c>
      <c r="EK41" s="93">
        <v>369.15</v>
      </c>
      <c r="EL41" s="93">
        <v>368.18</v>
      </c>
      <c r="EM41" s="93">
        <v>367.2</v>
      </c>
      <c r="EN41" s="93">
        <v>366.23</v>
      </c>
      <c r="EO41" s="93">
        <v>365.26</v>
      </c>
      <c r="EP41" s="93">
        <v>364.29</v>
      </c>
      <c r="EQ41" s="93">
        <v>363.32</v>
      </c>
      <c r="ER41" s="93">
        <v>362.36</v>
      </c>
      <c r="ES41" s="93">
        <v>361.39</v>
      </c>
      <c r="ET41" s="93">
        <v>360.43</v>
      </c>
      <c r="EU41" s="93">
        <v>359.47</v>
      </c>
      <c r="EV41" s="93">
        <v>358.5</v>
      </c>
      <c r="EW41" s="93">
        <v>357.54</v>
      </c>
      <c r="EX41" s="93">
        <v>356.58</v>
      </c>
      <c r="EY41" s="93">
        <v>355.62</v>
      </c>
      <c r="EZ41" s="93">
        <v>354.66</v>
      </c>
      <c r="FA41" s="93">
        <v>353.7</v>
      </c>
      <c r="FB41" s="93">
        <v>352.74</v>
      </c>
      <c r="FC41" s="93">
        <v>351.78</v>
      </c>
      <c r="FD41" s="93">
        <v>350.82</v>
      </c>
      <c r="FE41" s="93">
        <v>349.86</v>
      </c>
      <c r="FF41" s="93">
        <v>348.91</v>
      </c>
      <c r="FG41" s="93">
        <v>347.95</v>
      </c>
      <c r="FH41" s="93">
        <v>347</v>
      </c>
      <c r="FI41" s="93">
        <v>346.04</v>
      </c>
      <c r="FJ41" s="93">
        <v>345.09</v>
      </c>
      <c r="FK41" s="93">
        <v>344.13</v>
      </c>
      <c r="FL41" s="93">
        <v>343.18</v>
      </c>
      <c r="FM41" s="93">
        <v>342.23</v>
      </c>
      <c r="FN41" s="93">
        <v>341.28</v>
      </c>
      <c r="FO41" s="93">
        <v>340.33</v>
      </c>
      <c r="FP41" s="93">
        <v>339.38</v>
      </c>
      <c r="FQ41" s="93">
        <v>338.43</v>
      </c>
      <c r="FR41" s="93">
        <v>337.48</v>
      </c>
      <c r="FS41" s="93">
        <v>336.53</v>
      </c>
      <c r="FT41" s="93">
        <v>335.59</v>
      </c>
      <c r="FU41" s="93">
        <v>334.64</v>
      </c>
      <c r="FV41" s="93">
        <v>333.69</v>
      </c>
      <c r="FW41" s="93">
        <v>332.75</v>
      </c>
      <c r="FX41" s="93">
        <v>331.81</v>
      </c>
      <c r="FY41" s="93">
        <v>330.86</v>
      </c>
      <c r="FZ41" s="93">
        <v>329.92</v>
      </c>
      <c r="GA41" s="93">
        <v>328.98</v>
      </c>
      <c r="GB41" s="93">
        <v>328.04</v>
      </c>
      <c r="GC41" s="93">
        <v>327.10000000000002</v>
      </c>
      <c r="GD41" s="93">
        <v>326.16000000000003</v>
      </c>
      <c r="GE41" s="93">
        <v>325.22000000000003</v>
      </c>
      <c r="GF41" s="93">
        <v>324.27999999999997</v>
      </c>
      <c r="GG41" s="93">
        <v>323.35000000000002</v>
      </c>
      <c r="GH41" s="93">
        <v>322.41000000000003</v>
      </c>
      <c r="GI41" s="93">
        <v>321.48</v>
      </c>
      <c r="GJ41" s="93">
        <v>320.54000000000002</v>
      </c>
      <c r="GK41" s="93">
        <v>319.60000000000002</v>
      </c>
      <c r="GL41" s="93">
        <v>318.68</v>
      </c>
      <c r="GM41" s="93">
        <v>317.75</v>
      </c>
      <c r="GN41" s="93">
        <v>316.82</v>
      </c>
      <c r="GO41" s="93">
        <v>315.89</v>
      </c>
      <c r="GP41" s="93">
        <v>314.95999999999998</v>
      </c>
      <c r="GQ41" s="93">
        <v>314.04000000000002</v>
      </c>
      <c r="GR41" s="93">
        <v>313.10000000000002</v>
      </c>
      <c r="GS41" s="93">
        <v>312.19</v>
      </c>
      <c r="GT41" s="93">
        <v>311.26</v>
      </c>
      <c r="GU41" s="93">
        <v>310.33999999999997</v>
      </c>
      <c r="GV41" s="93">
        <v>309.42</v>
      </c>
      <c r="GW41" s="93">
        <v>308.5</v>
      </c>
      <c r="GX41" s="93">
        <v>307.57</v>
      </c>
      <c r="GY41" s="93">
        <v>306.66000000000003</v>
      </c>
      <c r="GZ41" s="93">
        <v>305.75</v>
      </c>
      <c r="HA41" s="93">
        <v>304.82</v>
      </c>
      <c r="HB41" s="93">
        <v>303.92</v>
      </c>
      <c r="HC41" s="93">
        <v>303</v>
      </c>
      <c r="HD41" s="93">
        <v>302.08999999999997</v>
      </c>
      <c r="HE41" s="93">
        <v>301.18</v>
      </c>
      <c r="HF41" s="93">
        <v>300.26</v>
      </c>
      <c r="HG41" s="93">
        <v>299.35000000000002</v>
      </c>
      <c r="HH41" s="93">
        <v>298.45</v>
      </c>
      <c r="HI41" s="93">
        <v>297.54000000000002</v>
      </c>
      <c r="HJ41" s="93">
        <v>296.64</v>
      </c>
      <c r="HK41" s="93">
        <v>295.73</v>
      </c>
      <c r="HL41" s="93">
        <v>294.82</v>
      </c>
      <c r="HM41" s="93">
        <v>293.93</v>
      </c>
      <c r="HN41" s="93">
        <v>293.02999999999997</v>
      </c>
      <c r="HO41" s="93">
        <v>292.13</v>
      </c>
      <c r="HP41" s="93">
        <v>291.23</v>
      </c>
      <c r="HQ41" s="93">
        <v>290.32</v>
      </c>
      <c r="HR41" s="93">
        <v>289.43</v>
      </c>
      <c r="HS41" s="93">
        <v>288.54000000000002</v>
      </c>
      <c r="HT41" s="93">
        <v>287.64999999999998</v>
      </c>
      <c r="HU41" s="93">
        <v>286.75</v>
      </c>
      <c r="HV41" s="93">
        <v>285.85000000000002</v>
      </c>
      <c r="HW41" s="93">
        <v>284.97000000000003</v>
      </c>
      <c r="HX41" s="93">
        <v>284.07</v>
      </c>
      <c r="HY41" s="93">
        <v>283.19</v>
      </c>
      <c r="HZ41" s="93">
        <v>282.31</v>
      </c>
      <c r="IA41" s="93">
        <v>281.42</v>
      </c>
      <c r="IB41" s="93">
        <v>280.52999999999997</v>
      </c>
      <c r="IC41" s="93">
        <v>279.64999999999998</v>
      </c>
      <c r="ID41" s="93">
        <v>278.76</v>
      </c>
      <c r="IE41" s="93">
        <v>277.88</v>
      </c>
      <c r="IF41" s="93">
        <v>277</v>
      </c>
      <c r="IG41" s="93">
        <v>276.12</v>
      </c>
      <c r="IH41" s="93">
        <v>275.24</v>
      </c>
      <c r="II41" s="93">
        <v>274.35000000000002</v>
      </c>
      <c r="IJ41" s="93">
        <v>273.49</v>
      </c>
      <c r="IK41" s="93">
        <v>272.60000000000002</v>
      </c>
      <c r="IL41" s="93">
        <v>271.74</v>
      </c>
      <c r="IM41" s="93">
        <v>270.87</v>
      </c>
      <c r="IN41" s="93">
        <v>269.99</v>
      </c>
      <c r="IO41" s="93">
        <v>269.12</v>
      </c>
      <c r="IP41" s="93">
        <v>268.25</v>
      </c>
      <c r="IQ41" s="93">
        <v>267.38</v>
      </c>
      <c r="IR41" s="93">
        <v>266.51</v>
      </c>
      <c r="IS41" s="93">
        <v>265.64999999999998</v>
      </c>
      <c r="IT41" s="93">
        <v>264.79000000000002</v>
      </c>
      <c r="IU41" s="93">
        <v>263.92</v>
      </c>
      <c r="IV41" s="93">
        <v>263.06</v>
      </c>
      <c r="IW41" s="93">
        <v>262.2</v>
      </c>
      <c r="IX41" s="93">
        <v>261.33999999999997</v>
      </c>
      <c r="IY41" s="93">
        <v>260.48</v>
      </c>
      <c r="IZ41" s="93">
        <v>259.63</v>
      </c>
      <c r="JA41" s="93">
        <v>258.76</v>
      </c>
      <c r="JB41" s="93">
        <v>257.92</v>
      </c>
      <c r="JC41" s="93">
        <v>257.06</v>
      </c>
      <c r="JD41" s="93">
        <v>256.20999999999998</v>
      </c>
      <c r="JE41" s="93">
        <v>255.36</v>
      </c>
      <c r="JF41" s="93">
        <v>254.51</v>
      </c>
      <c r="JG41" s="93">
        <v>253.66</v>
      </c>
      <c r="JH41" s="93">
        <v>252.81</v>
      </c>
      <c r="JI41" s="93">
        <v>251.97</v>
      </c>
      <c r="JJ41" s="93">
        <v>251.12</v>
      </c>
      <c r="JK41" s="93">
        <v>250.28</v>
      </c>
      <c r="JL41" s="93">
        <v>249.43</v>
      </c>
      <c r="JM41" s="93">
        <v>248.59</v>
      </c>
      <c r="JN41" s="93">
        <v>247.75</v>
      </c>
      <c r="JO41" s="93">
        <v>246.91</v>
      </c>
      <c r="JP41" s="93">
        <v>246.07</v>
      </c>
      <c r="JQ41" s="93">
        <v>245.23</v>
      </c>
      <c r="JR41" s="93">
        <v>244.39</v>
      </c>
      <c r="JS41" s="93">
        <v>243.55</v>
      </c>
      <c r="JT41" s="93">
        <v>242.72</v>
      </c>
      <c r="JU41" s="93">
        <v>241.89</v>
      </c>
      <c r="JV41" s="93">
        <v>241.05</v>
      </c>
      <c r="JW41" s="93">
        <v>240.22</v>
      </c>
      <c r="JX41" s="93">
        <v>239.39</v>
      </c>
      <c r="JY41" s="93">
        <v>238.56</v>
      </c>
      <c r="JZ41" s="93">
        <v>237.73</v>
      </c>
      <c r="KA41" s="93">
        <v>236.9</v>
      </c>
      <c r="KB41" s="93">
        <v>236.08</v>
      </c>
      <c r="KC41" s="93">
        <v>235.25</v>
      </c>
      <c r="KD41" s="93">
        <v>234.42</v>
      </c>
      <c r="KE41" s="93">
        <v>233.6</v>
      </c>
      <c r="KF41" s="93">
        <v>232.78</v>
      </c>
      <c r="KG41" s="93">
        <v>231.95</v>
      </c>
      <c r="KH41" s="93">
        <v>231.13</v>
      </c>
      <c r="KI41" s="93">
        <v>230.31</v>
      </c>
      <c r="KJ41" s="93">
        <v>229.5</v>
      </c>
      <c r="KK41" s="93">
        <v>228.68</v>
      </c>
      <c r="KL41" s="93">
        <v>227.86</v>
      </c>
      <c r="KM41" s="93">
        <v>227.05</v>
      </c>
      <c r="KN41" s="93">
        <v>226.23</v>
      </c>
      <c r="KO41" s="93">
        <v>225.42</v>
      </c>
      <c r="KP41" s="93">
        <v>224.61</v>
      </c>
      <c r="KQ41" s="93">
        <v>223.8</v>
      </c>
      <c r="KR41" s="93">
        <v>222.7300000000003</v>
      </c>
      <c r="KS41" s="93">
        <v>221.9800000000003</v>
      </c>
      <c r="KT41" s="93">
        <v>221.2300000000003</v>
      </c>
      <c r="KU41" s="93">
        <v>220.4800000000003</v>
      </c>
      <c r="KV41" s="93">
        <v>219.7300000000003</v>
      </c>
      <c r="KW41" s="93">
        <v>218.9800000000003</v>
      </c>
      <c r="KX41" s="93">
        <v>218.2300000000003</v>
      </c>
      <c r="KY41" s="93">
        <v>217.4800000000003</v>
      </c>
      <c r="KZ41" s="93">
        <v>216.7300000000003</v>
      </c>
      <c r="LA41" s="93">
        <v>215.9800000000003</v>
      </c>
      <c r="LB41" s="93">
        <v>215.2300000000003</v>
      </c>
      <c r="LC41" s="93">
        <v>214.4800000000003</v>
      </c>
      <c r="LD41" s="93">
        <v>213.7300000000003</v>
      </c>
      <c r="LE41" s="93">
        <v>212.9800000000003</v>
      </c>
      <c r="LF41" s="93">
        <v>212.2300000000003</v>
      </c>
      <c r="LG41" s="93">
        <v>211.4800000000003</v>
      </c>
      <c r="LH41" s="93">
        <v>210.7300000000003</v>
      </c>
      <c r="LI41" s="93">
        <v>209.9800000000003</v>
      </c>
      <c r="LJ41" s="93">
        <v>209.2300000000003</v>
      </c>
      <c r="LK41" s="93">
        <v>208.4800000000003</v>
      </c>
      <c r="LL41" s="93">
        <v>207.7300000000003</v>
      </c>
      <c r="LM41" s="93">
        <v>206.9800000000003</v>
      </c>
      <c r="LN41" s="93">
        <v>206.2300000000003</v>
      </c>
      <c r="LO41" s="93">
        <v>205.4800000000003</v>
      </c>
      <c r="LP41" s="93">
        <v>204.7300000000003</v>
      </c>
      <c r="LQ41" s="93">
        <v>203.9800000000003</v>
      </c>
      <c r="LR41" s="93">
        <v>203.2300000000003</v>
      </c>
      <c r="LS41" s="93">
        <v>202.4800000000003</v>
      </c>
      <c r="LT41" s="93">
        <v>201.7300000000003</v>
      </c>
      <c r="LU41" s="93">
        <v>200.9800000000003</v>
      </c>
      <c r="LV41" s="93">
        <v>200.2300000000003</v>
      </c>
      <c r="LW41" s="93">
        <v>199.4800000000003</v>
      </c>
      <c r="LX41" s="93">
        <v>198.7300000000003</v>
      </c>
      <c r="LY41" s="93">
        <v>197.9800000000003</v>
      </c>
      <c r="LZ41" s="93">
        <v>197.2300000000003</v>
      </c>
      <c r="MA41" s="93">
        <v>196.4800000000003</v>
      </c>
      <c r="MB41" s="93">
        <v>195.7300000000003</v>
      </c>
      <c r="MC41" s="93">
        <v>194.9800000000003</v>
      </c>
      <c r="MD41" s="93">
        <v>194.2300000000003</v>
      </c>
      <c r="ME41" s="93">
        <v>193.4800000000003</v>
      </c>
      <c r="MF41" s="93">
        <v>192.7300000000003</v>
      </c>
      <c r="MG41" s="93">
        <v>191.9800000000003</v>
      </c>
      <c r="MH41" s="93">
        <v>191.2300000000003</v>
      </c>
      <c r="MI41" s="93">
        <v>190.4800000000003</v>
      </c>
      <c r="MJ41" s="93">
        <v>189.7300000000003</v>
      </c>
      <c r="MK41" s="93">
        <v>188.9800000000003</v>
      </c>
      <c r="ML41" s="93">
        <v>188.2300000000003</v>
      </c>
      <c r="MM41" s="93">
        <v>187.4800000000003</v>
      </c>
      <c r="MN41" s="93">
        <v>186.7300000000003</v>
      </c>
      <c r="MO41" s="93">
        <v>185.9800000000003</v>
      </c>
      <c r="MP41" s="93">
        <v>185.2300000000003</v>
      </c>
      <c r="MQ41" s="93">
        <v>184.4800000000003</v>
      </c>
      <c r="MR41" s="93">
        <v>183.7300000000003</v>
      </c>
      <c r="MS41" s="93">
        <v>182.9800000000003</v>
      </c>
      <c r="MT41" s="93">
        <v>182.2300000000003</v>
      </c>
      <c r="MU41" s="93">
        <v>181.4800000000003</v>
      </c>
      <c r="MV41" s="93">
        <v>180.7300000000003</v>
      </c>
      <c r="MW41" s="93">
        <v>179.9800000000003</v>
      </c>
      <c r="MX41" s="93">
        <v>179.2300000000003</v>
      </c>
      <c r="MY41" s="93">
        <v>178.4800000000003</v>
      </c>
    </row>
    <row r="42" spans="1:363" ht="15.75" x14ac:dyDescent="0.25">
      <c r="A42" s="90" t="s">
        <v>7</v>
      </c>
      <c r="B42" s="95">
        <v>2052</v>
      </c>
      <c r="C42" s="93">
        <v>509.28</v>
      </c>
      <c r="D42" s="93">
        <v>508.25</v>
      </c>
      <c r="E42" s="93">
        <v>507.23</v>
      </c>
      <c r="F42" s="93">
        <v>506.2</v>
      </c>
      <c r="G42" s="93">
        <v>505.18</v>
      </c>
      <c r="H42" s="93">
        <v>504.15</v>
      </c>
      <c r="I42" s="93">
        <v>503.13</v>
      </c>
      <c r="J42" s="93">
        <v>502.1</v>
      </c>
      <c r="K42" s="93">
        <v>501.08</v>
      </c>
      <c r="L42" s="93">
        <v>500.05</v>
      </c>
      <c r="M42" s="93">
        <v>499.03</v>
      </c>
      <c r="N42" s="93">
        <v>498</v>
      </c>
      <c r="O42" s="93">
        <v>496.98</v>
      </c>
      <c r="P42" s="93">
        <v>495.95</v>
      </c>
      <c r="Q42" s="93">
        <v>494.93</v>
      </c>
      <c r="R42" s="93">
        <v>493.9</v>
      </c>
      <c r="S42" s="93">
        <v>492.88</v>
      </c>
      <c r="T42" s="93">
        <v>491.85</v>
      </c>
      <c r="U42" s="93">
        <v>490.83</v>
      </c>
      <c r="V42" s="93">
        <v>489.81</v>
      </c>
      <c r="W42" s="93">
        <v>488.78</v>
      </c>
      <c r="X42" s="93">
        <v>487.76</v>
      </c>
      <c r="Y42" s="93">
        <v>486.73</v>
      </c>
      <c r="Z42" s="93">
        <v>485.71</v>
      </c>
      <c r="AA42" s="93">
        <v>484.68</v>
      </c>
      <c r="AB42" s="93">
        <v>483.66</v>
      </c>
      <c r="AC42" s="93">
        <v>482.63</v>
      </c>
      <c r="AD42" s="93">
        <v>481.61</v>
      </c>
      <c r="AE42" s="93">
        <v>480.58</v>
      </c>
      <c r="AF42" s="93">
        <v>479.56</v>
      </c>
      <c r="AG42" s="93">
        <v>478.54</v>
      </c>
      <c r="AH42" s="93">
        <v>477.51</v>
      </c>
      <c r="AI42" s="93">
        <v>476.49</v>
      </c>
      <c r="AJ42" s="93">
        <v>475.46</v>
      </c>
      <c r="AK42" s="93">
        <v>474.44</v>
      </c>
      <c r="AL42" s="93">
        <v>473.41</v>
      </c>
      <c r="AM42" s="93">
        <v>472.39</v>
      </c>
      <c r="AN42" s="93">
        <v>471.37</v>
      </c>
      <c r="AO42" s="93">
        <v>470.34</v>
      </c>
      <c r="AP42" s="93">
        <v>469.32</v>
      </c>
      <c r="AQ42" s="93">
        <v>468.3</v>
      </c>
      <c r="AR42" s="93">
        <v>467.27</v>
      </c>
      <c r="AS42" s="93">
        <v>466.25</v>
      </c>
      <c r="AT42" s="93">
        <v>465.23</v>
      </c>
      <c r="AU42" s="93">
        <v>464.2</v>
      </c>
      <c r="AV42" s="93">
        <v>463.18</v>
      </c>
      <c r="AW42" s="93">
        <v>462.16</v>
      </c>
      <c r="AX42" s="93">
        <v>461.14</v>
      </c>
      <c r="AY42" s="93">
        <v>460.11</v>
      </c>
      <c r="AZ42" s="93">
        <v>459.09</v>
      </c>
      <c r="BA42" s="93">
        <v>458.07</v>
      </c>
      <c r="BB42" s="93">
        <v>457.05</v>
      </c>
      <c r="BC42" s="93">
        <v>456.02</v>
      </c>
      <c r="BD42" s="93">
        <v>455</v>
      </c>
      <c r="BE42" s="93">
        <v>453.98</v>
      </c>
      <c r="BF42" s="93">
        <v>452.96</v>
      </c>
      <c r="BG42" s="93">
        <v>451.94</v>
      </c>
      <c r="BH42" s="93">
        <v>450.92</v>
      </c>
      <c r="BI42" s="93">
        <v>449.9</v>
      </c>
      <c r="BJ42" s="93">
        <v>448.87</v>
      </c>
      <c r="BK42" s="93">
        <v>447.85</v>
      </c>
      <c r="BL42" s="93">
        <v>446.83</v>
      </c>
      <c r="BM42" s="93">
        <v>445.81</v>
      </c>
      <c r="BN42" s="93">
        <v>444.79</v>
      </c>
      <c r="BO42" s="93">
        <v>443.78</v>
      </c>
      <c r="BP42" s="93">
        <v>442.76</v>
      </c>
      <c r="BQ42" s="93">
        <v>441.74</v>
      </c>
      <c r="BR42" s="93">
        <v>440.72</v>
      </c>
      <c r="BS42" s="93">
        <v>439.7</v>
      </c>
      <c r="BT42" s="93">
        <v>438.68</v>
      </c>
      <c r="BU42" s="93">
        <v>437.66</v>
      </c>
      <c r="BV42" s="93">
        <v>436.64</v>
      </c>
      <c r="BW42" s="93">
        <v>435.62</v>
      </c>
      <c r="BX42" s="93">
        <v>434.61</v>
      </c>
      <c r="BY42" s="93">
        <v>433.59</v>
      </c>
      <c r="BZ42" s="93">
        <v>432.58</v>
      </c>
      <c r="CA42" s="93">
        <v>431.56</v>
      </c>
      <c r="CB42" s="93">
        <v>430.55</v>
      </c>
      <c r="CC42" s="93">
        <v>429.53</v>
      </c>
      <c r="CD42" s="93">
        <v>428.52</v>
      </c>
      <c r="CE42" s="93">
        <v>427.5</v>
      </c>
      <c r="CF42" s="93">
        <v>426.49</v>
      </c>
      <c r="CG42" s="93">
        <v>425.47</v>
      </c>
      <c r="CH42" s="93">
        <v>424.46</v>
      </c>
      <c r="CI42" s="93">
        <v>423.44</v>
      </c>
      <c r="CJ42" s="93">
        <v>422.43</v>
      </c>
      <c r="CK42" s="93">
        <v>421.42</v>
      </c>
      <c r="CL42" s="93">
        <v>420.41</v>
      </c>
      <c r="CM42" s="93">
        <v>419.4</v>
      </c>
      <c r="CN42" s="93">
        <v>418.39</v>
      </c>
      <c r="CO42" s="93">
        <v>417.38</v>
      </c>
      <c r="CP42" s="93">
        <v>416.37</v>
      </c>
      <c r="CQ42" s="93">
        <v>415.36</v>
      </c>
      <c r="CR42" s="93">
        <v>414.35</v>
      </c>
      <c r="CS42" s="93">
        <v>413.34</v>
      </c>
      <c r="CT42" s="93">
        <v>412.33</v>
      </c>
      <c r="CU42" s="93">
        <v>411.32</v>
      </c>
      <c r="CV42" s="93">
        <v>410.32</v>
      </c>
      <c r="CW42" s="93">
        <v>409.32</v>
      </c>
      <c r="CX42" s="93">
        <v>408.31</v>
      </c>
      <c r="CY42" s="93">
        <v>407.31</v>
      </c>
      <c r="CZ42" s="93">
        <v>406.3</v>
      </c>
      <c r="DA42" s="93">
        <v>405.3</v>
      </c>
      <c r="DB42" s="93">
        <v>404.3</v>
      </c>
      <c r="DC42" s="93">
        <v>403.29</v>
      </c>
      <c r="DD42" s="93">
        <v>402.29</v>
      </c>
      <c r="DE42" s="93">
        <v>401.29</v>
      </c>
      <c r="DF42" s="93">
        <v>400.29</v>
      </c>
      <c r="DG42" s="93">
        <v>399.28</v>
      </c>
      <c r="DH42" s="93">
        <v>398.29</v>
      </c>
      <c r="DI42" s="93">
        <v>397.29</v>
      </c>
      <c r="DJ42" s="93">
        <v>396.29</v>
      </c>
      <c r="DK42" s="93">
        <v>395.3</v>
      </c>
      <c r="DL42" s="93">
        <v>394.3</v>
      </c>
      <c r="DM42" s="93">
        <v>393.3</v>
      </c>
      <c r="DN42" s="93">
        <v>392.31</v>
      </c>
      <c r="DO42" s="93">
        <v>391.31</v>
      </c>
      <c r="DP42" s="93">
        <v>390.32</v>
      </c>
      <c r="DQ42" s="93">
        <v>389.32</v>
      </c>
      <c r="DR42" s="93">
        <v>388.33</v>
      </c>
      <c r="DS42" s="93">
        <v>387.33</v>
      </c>
      <c r="DT42" s="93">
        <v>386.35</v>
      </c>
      <c r="DU42" s="93">
        <v>385.36</v>
      </c>
      <c r="DV42" s="93">
        <v>384.37</v>
      </c>
      <c r="DW42" s="93">
        <v>383.38</v>
      </c>
      <c r="DX42" s="93">
        <v>382.4</v>
      </c>
      <c r="DY42" s="93">
        <v>381.41</v>
      </c>
      <c r="DZ42" s="93">
        <v>380.43</v>
      </c>
      <c r="EA42" s="93">
        <v>379.44</v>
      </c>
      <c r="EB42" s="93">
        <v>378.46</v>
      </c>
      <c r="EC42" s="93">
        <v>377.47</v>
      </c>
      <c r="ED42" s="93">
        <v>376.49</v>
      </c>
      <c r="EE42" s="93">
        <v>375.51</v>
      </c>
      <c r="EF42" s="93">
        <v>374.53</v>
      </c>
      <c r="EG42" s="93">
        <v>373.55</v>
      </c>
      <c r="EH42" s="93">
        <v>372.58</v>
      </c>
      <c r="EI42" s="93">
        <v>371.61</v>
      </c>
      <c r="EJ42" s="93">
        <v>370.63</v>
      </c>
      <c r="EK42" s="93">
        <v>369.66</v>
      </c>
      <c r="EL42" s="93">
        <v>368.69</v>
      </c>
      <c r="EM42" s="93">
        <v>367.72</v>
      </c>
      <c r="EN42" s="93">
        <v>366.74</v>
      </c>
      <c r="EO42" s="93">
        <v>365.77</v>
      </c>
      <c r="EP42" s="93">
        <v>364.8</v>
      </c>
      <c r="EQ42" s="93">
        <v>363.83</v>
      </c>
      <c r="ER42" s="93">
        <v>362.87</v>
      </c>
      <c r="ES42" s="93">
        <v>361.9</v>
      </c>
      <c r="ET42" s="93">
        <v>360.94</v>
      </c>
      <c r="EU42" s="93">
        <v>359.98</v>
      </c>
      <c r="EV42" s="93">
        <v>359.01</v>
      </c>
      <c r="EW42" s="93">
        <v>358.05</v>
      </c>
      <c r="EX42" s="93">
        <v>357.09</v>
      </c>
      <c r="EY42" s="93">
        <v>356.13</v>
      </c>
      <c r="EZ42" s="93">
        <v>355.17</v>
      </c>
      <c r="FA42" s="93">
        <v>354.21</v>
      </c>
      <c r="FB42" s="93">
        <v>353.25</v>
      </c>
      <c r="FC42" s="93">
        <v>352.29</v>
      </c>
      <c r="FD42" s="93">
        <v>351.33</v>
      </c>
      <c r="FE42" s="93">
        <v>350.37</v>
      </c>
      <c r="FF42" s="93">
        <v>349.42</v>
      </c>
      <c r="FG42" s="93">
        <v>348.46</v>
      </c>
      <c r="FH42" s="93">
        <v>347.5</v>
      </c>
      <c r="FI42" s="93">
        <v>346.55</v>
      </c>
      <c r="FJ42" s="93">
        <v>345.59</v>
      </c>
      <c r="FK42" s="93">
        <v>344.64</v>
      </c>
      <c r="FL42" s="93">
        <v>343.69</v>
      </c>
      <c r="FM42" s="93">
        <v>342.74</v>
      </c>
      <c r="FN42" s="93">
        <v>341.78</v>
      </c>
      <c r="FO42" s="93">
        <v>340.83</v>
      </c>
      <c r="FP42" s="93">
        <v>339.88</v>
      </c>
      <c r="FQ42" s="93">
        <v>338.93</v>
      </c>
      <c r="FR42" s="93">
        <v>337.99</v>
      </c>
      <c r="FS42" s="93">
        <v>337.04</v>
      </c>
      <c r="FT42" s="93">
        <v>336.09</v>
      </c>
      <c r="FU42" s="93">
        <v>335.14</v>
      </c>
      <c r="FV42" s="93">
        <v>334.2</v>
      </c>
      <c r="FW42" s="93">
        <v>333.25</v>
      </c>
      <c r="FX42" s="93">
        <v>332.31</v>
      </c>
      <c r="FY42" s="93">
        <v>331.37</v>
      </c>
      <c r="FZ42" s="93">
        <v>330.42</v>
      </c>
      <c r="GA42" s="93">
        <v>329.48</v>
      </c>
      <c r="GB42" s="93">
        <v>328.54</v>
      </c>
      <c r="GC42" s="93">
        <v>327.60000000000002</v>
      </c>
      <c r="GD42" s="93">
        <v>326.66000000000003</v>
      </c>
      <c r="GE42" s="93">
        <v>325.72000000000003</v>
      </c>
      <c r="GF42" s="93">
        <v>324.79000000000002</v>
      </c>
      <c r="GG42" s="93">
        <v>323.85000000000002</v>
      </c>
      <c r="GH42" s="93">
        <v>322.91000000000003</v>
      </c>
      <c r="GI42" s="93">
        <v>321.98</v>
      </c>
      <c r="GJ42" s="93">
        <v>321.04000000000002</v>
      </c>
      <c r="GK42" s="93">
        <v>320.10000000000002</v>
      </c>
      <c r="GL42" s="93">
        <v>319.18</v>
      </c>
      <c r="GM42" s="93">
        <v>318.25</v>
      </c>
      <c r="GN42" s="93">
        <v>317.32</v>
      </c>
      <c r="GO42" s="93">
        <v>316.39</v>
      </c>
      <c r="GP42" s="93">
        <v>315.45999999999998</v>
      </c>
      <c r="GQ42" s="93">
        <v>314.54000000000002</v>
      </c>
      <c r="GR42" s="93">
        <v>313.60000000000002</v>
      </c>
      <c r="GS42" s="93">
        <v>312.69</v>
      </c>
      <c r="GT42" s="93">
        <v>311.76</v>
      </c>
      <c r="GU42" s="93">
        <v>310.83999999999997</v>
      </c>
      <c r="GV42" s="93">
        <v>309.92</v>
      </c>
      <c r="GW42" s="93">
        <v>309</v>
      </c>
      <c r="GX42" s="93">
        <v>308.07</v>
      </c>
      <c r="GY42" s="93">
        <v>307.16000000000003</v>
      </c>
      <c r="GZ42" s="93">
        <v>306.24</v>
      </c>
      <c r="HA42" s="93">
        <v>305.32</v>
      </c>
      <c r="HB42" s="93">
        <v>304.41000000000003</v>
      </c>
      <c r="HC42" s="93">
        <v>303.5</v>
      </c>
      <c r="HD42" s="93">
        <v>302.57</v>
      </c>
      <c r="HE42" s="93">
        <v>301.67</v>
      </c>
      <c r="HF42" s="93">
        <v>300.76</v>
      </c>
      <c r="HG42" s="93">
        <v>299.85000000000002</v>
      </c>
      <c r="HH42" s="93">
        <v>298.94</v>
      </c>
      <c r="HI42" s="93">
        <v>298.02999999999997</v>
      </c>
      <c r="HJ42" s="93">
        <v>297.13</v>
      </c>
      <c r="HK42" s="93">
        <v>296.22000000000003</v>
      </c>
      <c r="HL42" s="93">
        <v>295.32</v>
      </c>
      <c r="HM42" s="93">
        <v>294.42</v>
      </c>
      <c r="HN42" s="93">
        <v>293.51</v>
      </c>
      <c r="HO42" s="93">
        <v>292.62</v>
      </c>
      <c r="HP42" s="93">
        <v>291.72000000000003</v>
      </c>
      <c r="HQ42" s="93">
        <v>290.82</v>
      </c>
      <c r="HR42" s="93">
        <v>289.92</v>
      </c>
      <c r="HS42" s="93">
        <v>289.02999999999997</v>
      </c>
      <c r="HT42" s="93">
        <v>288.13</v>
      </c>
      <c r="HU42" s="93">
        <v>287.24</v>
      </c>
      <c r="HV42" s="93">
        <v>286.35000000000002</v>
      </c>
      <c r="HW42" s="93">
        <v>285.45999999999998</v>
      </c>
      <c r="HX42" s="93">
        <v>284.57</v>
      </c>
      <c r="HY42" s="93">
        <v>283.68</v>
      </c>
      <c r="HZ42" s="93">
        <v>282.79000000000002</v>
      </c>
      <c r="IA42" s="93">
        <v>281.89999999999998</v>
      </c>
      <c r="IB42" s="93">
        <v>281.01</v>
      </c>
      <c r="IC42" s="93">
        <v>280.13</v>
      </c>
      <c r="ID42" s="93">
        <v>279.25</v>
      </c>
      <c r="IE42" s="93">
        <v>278.37</v>
      </c>
      <c r="IF42" s="93">
        <v>277.49</v>
      </c>
      <c r="IG42" s="93">
        <v>276.60000000000002</v>
      </c>
      <c r="IH42" s="93">
        <v>275.72000000000003</v>
      </c>
      <c r="II42" s="93">
        <v>274.85000000000002</v>
      </c>
      <c r="IJ42" s="93">
        <v>273.97000000000003</v>
      </c>
      <c r="IK42" s="93">
        <v>273.08999999999997</v>
      </c>
      <c r="IL42" s="93">
        <v>272.22000000000003</v>
      </c>
      <c r="IM42" s="93">
        <v>271.35000000000002</v>
      </c>
      <c r="IN42" s="93">
        <v>270.47000000000003</v>
      </c>
      <c r="IO42" s="93">
        <v>269.60000000000002</v>
      </c>
      <c r="IP42" s="93">
        <v>268.73</v>
      </c>
      <c r="IQ42" s="93">
        <v>267.85000000000002</v>
      </c>
      <c r="IR42" s="93">
        <v>266.99</v>
      </c>
      <c r="IS42" s="93">
        <v>266.13</v>
      </c>
      <c r="IT42" s="93">
        <v>265.26</v>
      </c>
      <c r="IU42" s="93">
        <v>264.39999999999998</v>
      </c>
      <c r="IV42" s="93">
        <v>263.54000000000002</v>
      </c>
      <c r="IW42" s="93">
        <v>262.68</v>
      </c>
      <c r="IX42" s="93">
        <v>261.82</v>
      </c>
      <c r="IY42" s="93">
        <v>260.95999999999998</v>
      </c>
      <c r="IZ42" s="93">
        <v>260.10000000000002</v>
      </c>
      <c r="JA42" s="93">
        <v>259.24</v>
      </c>
      <c r="JB42" s="93">
        <v>258.39</v>
      </c>
      <c r="JC42" s="93">
        <v>257.54000000000002</v>
      </c>
      <c r="JD42" s="93">
        <v>256.68</v>
      </c>
      <c r="JE42" s="93">
        <v>255.83</v>
      </c>
      <c r="JF42" s="93">
        <v>254.98</v>
      </c>
      <c r="JG42" s="93">
        <v>254.13</v>
      </c>
      <c r="JH42" s="93">
        <v>253.28</v>
      </c>
      <c r="JI42" s="93">
        <v>252.44</v>
      </c>
      <c r="JJ42" s="93">
        <v>251.59</v>
      </c>
      <c r="JK42" s="93">
        <v>250.74</v>
      </c>
      <c r="JL42" s="93">
        <v>249.9</v>
      </c>
      <c r="JM42" s="93">
        <v>249.06</v>
      </c>
      <c r="JN42" s="93">
        <v>248.21</v>
      </c>
      <c r="JO42" s="93">
        <v>247.37</v>
      </c>
      <c r="JP42" s="93">
        <v>246.53</v>
      </c>
      <c r="JQ42" s="93">
        <v>245.69</v>
      </c>
      <c r="JR42" s="93">
        <v>244.85</v>
      </c>
      <c r="JS42" s="93">
        <v>244.02</v>
      </c>
      <c r="JT42" s="93">
        <v>243.18</v>
      </c>
      <c r="JU42" s="93">
        <v>242.35</v>
      </c>
      <c r="JV42" s="93">
        <v>241.51</v>
      </c>
      <c r="JW42" s="93">
        <v>240.68</v>
      </c>
      <c r="JX42" s="93">
        <v>239.85</v>
      </c>
      <c r="JY42" s="93">
        <v>239.02</v>
      </c>
      <c r="JZ42" s="93">
        <v>238.19</v>
      </c>
      <c r="KA42" s="93">
        <v>237.36</v>
      </c>
      <c r="KB42" s="93">
        <v>236.53</v>
      </c>
      <c r="KC42" s="93">
        <v>235.71</v>
      </c>
      <c r="KD42" s="93">
        <v>234.88</v>
      </c>
      <c r="KE42" s="93">
        <v>234.06</v>
      </c>
      <c r="KF42" s="93">
        <v>233.23</v>
      </c>
      <c r="KG42" s="93">
        <v>232.41</v>
      </c>
      <c r="KH42" s="93">
        <v>231.59</v>
      </c>
      <c r="KI42" s="93">
        <v>230.77</v>
      </c>
      <c r="KJ42" s="93">
        <v>229.95</v>
      </c>
      <c r="KK42" s="93">
        <v>229.13</v>
      </c>
      <c r="KL42" s="93">
        <v>228.31</v>
      </c>
      <c r="KM42" s="93">
        <v>227.5</v>
      </c>
      <c r="KN42" s="93">
        <v>226.68</v>
      </c>
      <c r="KO42" s="93">
        <v>225.87</v>
      </c>
      <c r="KP42" s="93">
        <v>225.06</v>
      </c>
      <c r="KQ42" s="93">
        <v>224.25</v>
      </c>
      <c r="KR42" s="93">
        <v>223.19000000000031</v>
      </c>
      <c r="KS42" s="93">
        <v>222.44000000000031</v>
      </c>
      <c r="KT42" s="93">
        <v>221.69000000000031</v>
      </c>
      <c r="KU42" s="93">
        <v>220.94000000000031</v>
      </c>
      <c r="KV42" s="93">
        <v>220.19000000000031</v>
      </c>
      <c r="KW42" s="93">
        <v>219.44000000000031</v>
      </c>
      <c r="KX42" s="93">
        <v>218.69000000000031</v>
      </c>
      <c r="KY42" s="93">
        <v>217.94000000000031</v>
      </c>
      <c r="KZ42" s="93">
        <v>217.19000000000031</v>
      </c>
      <c r="LA42" s="93">
        <v>216.44000000000031</v>
      </c>
      <c r="LB42" s="93">
        <v>215.69000000000031</v>
      </c>
      <c r="LC42" s="93">
        <v>214.94000000000031</v>
      </c>
      <c r="LD42" s="93">
        <v>214.19000000000031</v>
      </c>
      <c r="LE42" s="93">
        <v>213.44000000000031</v>
      </c>
      <c r="LF42" s="93">
        <v>212.69000000000031</v>
      </c>
      <c r="LG42" s="93">
        <v>211.94000000000031</v>
      </c>
      <c r="LH42" s="93">
        <v>211.19000000000031</v>
      </c>
      <c r="LI42" s="93">
        <v>210.44000000000031</v>
      </c>
      <c r="LJ42" s="93">
        <v>209.69000000000031</v>
      </c>
      <c r="LK42" s="93">
        <v>208.94000000000031</v>
      </c>
      <c r="LL42" s="93">
        <v>208.19000000000031</v>
      </c>
      <c r="LM42" s="93">
        <v>207.44000000000031</v>
      </c>
      <c r="LN42" s="93">
        <v>206.69000000000031</v>
      </c>
      <c r="LO42" s="93">
        <v>205.94000000000031</v>
      </c>
      <c r="LP42" s="93">
        <v>205.19000000000031</v>
      </c>
      <c r="LQ42" s="93">
        <v>204.44000000000031</v>
      </c>
      <c r="LR42" s="93">
        <v>203.69000000000031</v>
      </c>
      <c r="LS42" s="93">
        <v>202.94000000000031</v>
      </c>
      <c r="LT42" s="93">
        <v>202.19000000000031</v>
      </c>
      <c r="LU42" s="93">
        <v>201.44000000000031</v>
      </c>
      <c r="LV42" s="93">
        <v>200.69000000000031</v>
      </c>
      <c r="LW42" s="93">
        <v>199.94000000000031</v>
      </c>
      <c r="LX42" s="93">
        <v>199.19000000000031</v>
      </c>
      <c r="LY42" s="93">
        <v>198.44000000000031</v>
      </c>
      <c r="LZ42" s="93">
        <v>197.69000000000031</v>
      </c>
      <c r="MA42" s="93">
        <v>196.94000000000031</v>
      </c>
      <c r="MB42" s="93">
        <v>196.19000000000031</v>
      </c>
      <c r="MC42" s="93">
        <v>195.44000000000031</v>
      </c>
      <c r="MD42" s="93">
        <v>194.69000000000031</v>
      </c>
      <c r="ME42" s="93">
        <v>193.94000000000031</v>
      </c>
      <c r="MF42" s="93">
        <v>193.19000000000031</v>
      </c>
      <c r="MG42" s="93">
        <v>192.44000000000031</v>
      </c>
      <c r="MH42" s="93">
        <v>191.69000000000031</v>
      </c>
      <c r="MI42" s="93">
        <v>190.94000000000031</v>
      </c>
      <c r="MJ42" s="93">
        <v>190.19000000000031</v>
      </c>
      <c r="MK42" s="93">
        <v>189.44000000000031</v>
      </c>
      <c r="ML42" s="93">
        <v>188.69000000000031</v>
      </c>
      <c r="MM42" s="93">
        <v>187.94000000000031</v>
      </c>
      <c r="MN42" s="93">
        <v>187.19000000000031</v>
      </c>
      <c r="MO42" s="93">
        <v>186.44000000000031</v>
      </c>
      <c r="MP42" s="93">
        <v>185.69000000000031</v>
      </c>
      <c r="MQ42" s="93">
        <v>184.94000000000031</v>
      </c>
      <c r="MR42" s="93">
        <v>184.19000000000031</v>
      </c>
      <c r="MS42" s="93">
        <v>183.44000000000031</v>
      </c>
      <c r="MT42" s="93">
        <v>182.69000000000031</v>
      </c>
      <c r="MU42" s="93">
        <v>181.94000000000031</v>
      </c>
      <c r="MV42" s="93">
        <v>181.19000000000031</v>
      </c>
      <c r="MW42" s="93">
        <v>180.44000000000031</v>
      </c>
      <c r="MX42" s="93">
        <v>179.69000000000031</v>
      </c>
      <c r="MY42" s="93">
        <v>178.94000000000031</v>
      </c>
    </row>
    <row r="43" spans="1:363" ht="15.75" x14ac:dyDescent="0.25">
      <c r="A43" s="90" t="s">
        <v>7</v>
      </c>
      <c r="B43" s="95">
        <v>2053</v>
      </c>
      <c r="C43" s="93">
        <v>509.83</v>
      </c>
      <c r="D43" s="93">
        <v>508.8</v>
      </c>
      <c r="E43" s="93">
        <v>507.78</v>
      </c>
      <c r="F43" s="93">
        <v>506.75</v>
      </c>
      <c r="G43" s="93">
        <v>505.72</v>
      </c>
      <c r="H43" s="93">
        <v>504.7</v>
      </c>
      <c r="I43" s="93">
        <v>503.67</v>
      </c>
      <c r="J43" s="93">
        <v>502.65</v>
      </c>
      <c r="K43" s="93">
        <v>501.62</v>
      </c>
      <c r="L43" s="93">
        <v>500.6</v>
      </c>
      <c r="M43" s="93">
        <v>499.57</v>
      </c>
      <c r="N43" s="93">
        <v>498.55</v>
      </c>
      <c r="O43" s="93">
        <v>497.52</v>
      </c>
      <c r="P43" s="93">
        <v>496.5</v>
      </c>
      <c r="Q43" s="93">
        <v>495.47</v>
      </c>
      <c r="R43" s="93">
        <v>494.45</v>
      </c>
      <c r="S43" s="93">
        <v>493.42</v>
      </c>
      <c r="T43" s="93">
        <v>492.4</v>
      </c>
      <c r="U43" s="93">
        <v>491.37</v>
      </c>
      <c r="V43" s="93">
        <v>490.35</v>
      </c>
      <c r="W43" s="93">
        <v>489.32</v>
      </c>
      <c r="X43" s="93">
        <v>488.3</v>
      </c>
      <c r="Y43" s="93">
        <v>487.27</v>
      </c>
      <c r="Z43" s="93">
        <v>486.25</v>
      </c>
      <c r="AA43" s="93">
        <v>485.23</v>
      </c>
      <c r="AB43" s="93">
        <v>484.2</v>
      </c>
      <c r="AC43" s="93">
        <v>483.18</v>
      </c>
      <c r="AD43" s="93">
        <v>482.15</v>
      </c>
      <c r="AE43" s="93">
        <v>481.13</v>
      </c>
      <c r="AF43" s="93">
        <v>480.1</v>
      </c>
      <c r="AG43" s="93">
        <v>479.08</v>
      </c>
      <c r="AH43" s="93">
        <v>478.05</v>
      </c>
      <c r="AI43" s="93">
        <v>477.03</v>
      </c>
      <c r="AJ43" s="93">
        <v>476</v>
      </c>
      <c r="AK43" s="93">
        <v>474.98</v>
      </c>
      <c r="AL43" s="93">
        <v>473.95</v>
      </c>
      <c r="AM43" s="93">
        <v>472.93</v>
      </c>
      <c r="AN43" s="93">
        <v>471.91</v>
      </c>
      <c r="AO43" s="93">
        <v>470.88</v>
      </c>
      <c r="AP43" s="93">
        <v>469.86</v>
      </c>
      <c r="AQ43" s="93">
        <v>468.84</v>
      </c>
      <c r="AR43" s="93">
        <v>467.81</v>
      </c>
      <c r="AS43" s="93">
        <v>466.79</v>
      </c>
      <c r="AT43" s="93">
        <v>465.77</v>
      </c>
      <c r="AU43" s="93">
        <v>464.74</v>
      </c>
      <c r="AV43" s="93">
        <v>463.72</v>
      </c>
      <c r="AW43" s="93">
        <v>462.7</v>
      </c>
      <c r="AX43" s="93">
        <v>461.67</v>
      </c>
      <c r="AY43" s="93">
        <v>460.65</v>
      </c>
      <c r="AZ43" s="93">
        <v>459.63</v>
      </c>
      <c r="BA43" s="93">
        <v>458.61</v>
      </c>
      <c r="BB43" s="93">
        <v>457.58</v>
      </c>
      <c r="BC43" s="93">
        <v>456.56</v>
      </c>
      <c r="BD43" s="93">
        <v>455.54</v>
      </c>
      <c r="BE43" s="93">
        <v>454.52</v>
      </c>
      <c r="BF43" s="93">
        <v>453.5</v>
      </c>
      <c r="BG43" s="93">
        <v>452.47</v>
      </c>
      <c r="BH43" s="93">
        <v>451.45</v>
      </c>
      <c r="BI43" s="93">
        <v>450.43</v>
      </c>
      <c r="BJ43" s="93">
        <v>449.41</v>
      </c>
      <c r="BK43" s="93">
        <v>448.39</v>
      </c>
      <c r="BL43" s="93">
        <v>447.37</v>
      </c>
      <c r="BM43" s="93">
        <v>446.35</v>
      </c>
      <c r="BN43" s="93">
        <v>445.33</v>
      </c>
      <c r="BO43" s="93">
        <v>444.31</v>
      </c>
      <c r="BP43" s="93">
        <v>443.29</v>
      </c>
      <c r="BQ43" s="93">
        <v>442.27</v>
      </c>
      <c r="BR43" s="93">
        <v>441.25</v>
      </c>
      <c r="BS43" s="93">
        <v>440.23</v>
      </c>
      <c r="BT43" s="93">
        <v>439.21</v>
      </c>
      <c r="BU43" s="93">
        <v>438.19</v>
      </c>
      <c r="BV43" s="93">
        <v>437.17</v>
      </c>
      <c r="BW43" s="93">
        <v>436.16</v>
      </c>
      <c r="BX43" s="93">
        <v>435.14</v>
      </c>
      <c r="BY43" s="93">
        <v>434.12</v>
      </c>
      <c r="BZ43" s="93">
        <v>433.11</v>
      </c>
      <c r="CA43" s="93">
        <v>432.09</v>
      </c>
      <c r="CB43" s="93">
        <v>431.08</v>
      </c>
      <c r="CC43" s="93">
        <v>430.06</v>
      </c>
      <c r="CD43" s="93">
        <v>429.05</v>
      </c>
      <c r="CE43" s="93">
        <v>428.03</v>
      </c>
      <c r="CF43" s="93">
        <v>427.01</v>
      </c>
      <c r="CG43" s="93">
        <v>426</v>
      </c>
      <c r="CH43" s="93">
        <v>424.98</v>
      </c>
      <c r="CI43" s="93">
        <v>423.97</v>
      </c>
      <c r="CJ43" s="93">
        <v>422.96</v>
      </c>
      <c r="CK43" s="93">
        <v>421.95</v>
      </c>
      <c r="CL43" s="93">
        <v>420.94</v>
      </c>
      <c r="CM43" s="93">
        <v>419.93</v>
      </c>
      <c r="CN43" s="93">
        <v>418.92</v>
      </c>
      <c r="CO43" s="93">
        <v>417.91</v>
      </c>
      <c r="CP43" s="93">
        <v>416.9</v>
      </c>
      <c r="CQ43" s="93">
        <v>415.89</v>
      </c>
      <c r="CR43" s="93">
        <v>414.88</v>
      </c>
      <c r="CS43" s="93">
        <v>413.87</v>
      </c>
      <c r="CT43" s="93">
        <v>412.86</v>
      </c>
      <c r="CU43" s="93">
        <v>411.85</v>
      </c>
      <c r="CV43" s="93">
        <v>410.84</v>
      </c>
      <c r="CW43" s="93">
        <v>409.84</v>
      </c>
      <c r="CX43" s="93">
        <v>408.83</v>
      </c>
      <c r="CY43" s="93">
        <v>407.83</v>
      </c>
      <c r="CZ43" s="93">
        <v>406.83</v>
      </c>
      <c r="DA43" s="93">
        <v>405.82</v>
      </c>
      <c r="DB43" s="93">
        <v>404.82</v>
      </c>
      <c r="DC43" s="93">
        <v>403.81</v>
      </c>
      <c r="DD43" s="93">
        <v>402.81</v>
      </c>
      <c r="DE43" s="93">
        <v>401.81</v>
      </c>
      <c r="DF43" s="93">
        <v>400.81</v>
      </c>
      <c r="DG43" s="93">
        <v>399.8</v>
      </c>
      <c r="DH43" s="93">
        <v>398.81</v>
      </c>
      <c r="DI43" s="93">
        <v>397.81</v>
      </c>
      <c r="DJ43" s="93">
        <v>396.81</v>
      </c>
      <c r="DK43" s="93">
        <v>395.81</v>
      </c>
      <c r="DL43" s="93">
        <v>394.82</v>
      </c>
      <c r="DM43" s="93">
        <v>393.82</v>
      </c>
      <c r="DN43" s="93">
        <v>392.83</v>
      </c>
      <c r="DO43" s="93">
        <v>391.83</v>
      </c>
      <c r="DP43" s="93">
        <v>390.83</v>
      </c>
      <c r="DQ43" s="93">
        <v>389.84</v>
      </c>
      <c r="DR43" s="93">
        <v>388.84</v>
      </c>
      <c r="DS43" s="93">
        <v>387.85</v>
      </c>
      <c r="DT43" s="93">
        <v>386.86</v>
      </c>
      <c r="DU43" s="93">
        <v>385.87</v>
      </c>
      <c r="DV43" s="93">
        <v>384.89</v>
      </c>
      <c r="DW43" s="93">
        <v>383.9</v>
      </c>
      <c r="DX43" s="93">
        <v>382.91</v>
      </c>
      <c r="DY43" s="93">
        <v>381.93</v>
      </c>
      <c r="DZ43" s="93">
        <v>380.94</v>
      </c>
      <c r="EA43" s="93">
        <v>379.95</v>
      </c>
      <c r="EB43" s="93">
        <v>378.97</v>
      </c>
      <c r="EC43" s="93">
        <v>377.98</v>
      </c>
      <c r="ED43" s="93">
        <v>377</v>
      </c>
      <c r="EE43" s="93">
        <v>376.02</v>
      </c>
      <c r="EF43" s="93">
        <v>375.04</v>
      </c>
      <c r="EG43" s="93">
        <v>374.07</v>
      </c>
      <c r="EH43" s="93">
        <v>373.09</v>
      </c>
      <c r="EI43" s="93">
        <v>372.12</v>
      </c>
      <c r="EJ43" s="93">
        <v>371.14</v>
      </c>
      <c r="EK43" s="93">
        <v>370.17</v>
      </c>
      <c r="EL43" s="93">
        <v>369.2</v>
      </c>
      <c r="EM43" s="93">
        <v>368.23</v>
      </c>
      <c r="EN43" s="93">
        <v>367.25</v>
      </c>
      <c r="EO43" s="93">
        <v>366.28</v>
      </c>
      <c r="EP43" s="93">
        <v>365.31</v>
      </c>
      <c r="EQ43" s="93">
        <v>364.34</v>
      </c>
      <c r="ER43" s="93">
        <v>363.38</v>
      </c>
      <c r="ES43" s="93">
        <v>362.41</v>
      </c>
      <c r="ET43" s="93">
        <v>361.45</v>
      </c>
      <c r="EU43" s="93">
        <v>360.48</v>
      </c>
      <c r="EV43" s="93">
        <v>359.52</v>
      </c>
      <c r="EW43" s="93">
        <v>358.56</v>
      </c>
      <c r="EX43" s="93">
        <v>357.6</v>
      </c>
      <c r="EY43" s="93">
        <v>356.63</v>
      </c>
      <c r="EZ43" s="93">
        <v>355.67</v>
      </c>
      <c r="FA43" s="93">
        <v>354.71</v>
      </c>
      <c r="FB43" s="93">
        <v>353.75</v>
      </c>
      <c r="FC43" s="93">
        <v>352.79</v>
      </c>
      <c r="FD43" s="93">
        <v>351.84</v>
      </c>
      <c r="FE43" s="93">
        <v>350.88</v>
      </c>
      <c r="FF43" s="93">
        <v>349.92</v>
      </c>
      <c r="FG43" s="93">
        <v>348.97</v>
      </c>
      <c r="FH43" s="93">
        <v>348.01</v>
      </c>
      <c r="FI43" s="93">
        <v>347.05</v>
      </c>
      <c r="FJ43" s="93">
        <v>346.1</v>
      </c>
      <c r="FK43" s="93">
        <v>345.15</v>
      </c>
      <c r="FL43" s="93">
        <v>344.19</v>
      </c>
      <c r="FM43" s="93">
        <v>343.24</v>
      </c>
      <c r="FN43" s="93">
        <v>342.29</v>
      </c>
      <c r="FO43" s="93">
        <v>341.34</v>
      </c>
      <c r="FP43" s="93">
        <v>340.39</v>
      </c>
      <c r="FQ43" s="93">
        <v>339.44</v>
      </c>
      <c r="FR43" s="93">
        <v>338.49</v>
      </c>
      <c r="FS43" s="93">
        <v>337.54</v>
      </c>
      <c r="FT43" s="93">
        <v>336.59</v>
      </c>
      <c r="FU43" s="93">
        <v>335.65</v>
      </c>
      <c r="FV43" s="93">
        <v>334.7</v>
      </c>
      <c r="FW43" s="93">
        <v>333.76</v>
      </c>
      <c r="FX43" s="93">
        <v>332.81</v>
      </c>
      <c r="FY43" s="93">
        <v>331.87</v>
      </c>
      <c r="FZ43" s="93">
        <v>330.92</v>
      </c>
      <c r="GA43" s="93">
        <v>329.98</v>
      </c>
      <c r="GB43" s="93">
        <v>329.04</v>
      </c>
      <c r="GC43" s="93">
        <v>328.1</v>
      </c>
      <c r="GD43" s="93">
        <v>327.16000000000003</v>
      </c>
      <c r="GE43" s="93">
        <v>326.22000000000003</v>
      </c>
      <c r="GF43" s="93">
        <v>325.29000000000002</v>
      </c>
      <c r="GG43" s="93">
        <v>324.35000000000002</v>
      </c>
      <c r="GH43" s="93">
        <v>323.41000000000003</v>
      </c>
      <c r="GI43" s="93">
        <v>322.48</v>
      </c>
      <c r="GJ43" s="93">
        <v>321.54000000000002</v>
      </c>
      <c r="GK43" s="93">
        <v>320.60000000000002</v>
      </c>
      <c r="GL43" s="93">
        <v>319.68</v>
      </c>
      <c r="GM43" s="93">
        <v>318.75</v>
      </c>
      <c r="GN43" s="93">
        <v>317.82</v>
      </c>
      <c r="GO43" s="93">
        <v>316.89</v>
      </c>
      <c r="GP43" s="93">
        <v>315.95999999999998</v>
      </c>
      <c r="GQ43" s="93">
        <v>315.02999999999997</v>
      </c>
      <c r="GR43" s="93">
        <v>314.10000000000002</v>
      </c>
      <c r="GS43" s="93">
        <v>313.18</v>
      </c>
      <c r="GT43" s="93">
        <v>312.26</v>
      </c>
      <c r="GU43" s="93">
        <v>311.33999999999997</v>
      </c>
      <c r="GV43" s="93">
        <v>310.41000000000003</v>
      </c>
      <c r="GW43" s="93">
        <v>309.49</v>
      </c>
      <c r="GX43" s="93">
        <v>308.57</v>
      </c>
      <c r="GY43" s="93">
        <v>307.64999999999998</v>
      </c>
      <c r="GZ43" s="93">
        <v>306.74</v>
      </c>
      <c r="HA43" s="93">
        <v>305.82</v>
      </c>
      <c r="HB43" s="93">
        <v>304.89999999999998</v>
      </c>
      <c r="HC43" s="93">
        <v>303.99</v>
      </c>
      <c r="HD43" s="93">
        <v>303.07</v>
      </c>
      <c r="HE43" s="93">
        <v>302.16000000000003</v>
      </c>
      <c r="HF43" s="93">
        <v>301.25</v>
      </c>
      <c r="HG43" s="93">
        <v>300.33999999999997</v>
      </c>
      <c r="HH43" s="93">
        <v>299.43</v>
      </c>
      <c r="HI43" s="93">
        <v>298.51</v>
      </c>
      <c r="HJ43" s="93">
        <v>297.62</v>
      </c>
      <c r="HK43" s="93">
        <v>296.70999999999998</v>
      </c>
      <c r="HL43" s="93">
        <v>295.81</v>
      </c>
      <c r="HM43" s="93">
        <v>294.91000000000003</v>
      </c>
      <c r="HN43" s="93">
        <v>294</v>
      </c>
      <c r="HO43" s="93">
        <v>293.10000000000002</v>
      </c>
      <c r="HP43" s="93">
        <v>292.20999999999998</v>
      </c>
      <c r="HQ43" s="93">
        <v>291.31</v>
      </c>
      <c r="HR43" s="93">
        <v>290.41000000000003</v>
      </c>
      <c r="HS43" s="93">
        <v>289.51</v>
      </c>
      <c r="HT43" s="93">
        <v>288.62</v>
      </c>
      <c r="HU43" s="93">
        <v>287.73</v>
      </c>
      <c r="HV43" s="93">
        <v>286.82</v>
      </c>
      <c r="HW43" s="93">
        <v>285.94</v>
      </c>
      <c r="HX43" s="93">
        <v>285.04000000000002</v>
      </c>
      <c r="HY43" s="93">
        <v>284.16000000000003</v>
      </c>
      <c r="HZ43" s="93">
        <v>283.27999999999997</v>
      </c>
      <c r="IA43" s="93">
        <v>282.39</v>
      </c>
      <c r="IB43" s="93">
        <v>281.5</v>
      </c>
      <c r="IC43" s="93">
        <v>280.62</v>
      </c>
      <c r="ID43" s="93">
        <v>279.73</v>
      </c>
      <c r="IE43" s="93">
        <v>278.85000000000002</v>
      </c>
      <c r="IF43" s="93">
        <v>277.97000000000003</v>
      </c>
      <c r="IG43" s="93">
        <v>277.08999999999997</v>
      </c>
      <c r="IH43" s="93">
        <v>276.20999999999998</v>
      </c>
      <c r="II43" s="93">
        <v>275.32</v>
      </c>
      <c r="IJ43" s="93">
        <v>274.45</v>
      </c>
      <c r="IK43" s="93">
        <v>273.57</v>
      </c>
      <c r="IL43" s="93">
        <v>272.7</v>
      </c>
      <c r="IM43" s="93">
        <v>271.82</v>
      </c>
      <c r="IN43" s="93">
        <v>270.95</v>
      </c>
      <c r="IO43" s="93">
        <v>270.07</v>
      </c>
      <c r="IP43" s="93">
        <v>269.20999999999998</v>
      </c>
      <c r="IQ43" s="93">
        <v>268.33999999999997</v>
      </c>
      <c r="IR43" s="93">
        <v>267.47000000000003</v>
      </c>
      <c r="IS43" s="93">
        <v>266.60000000000002</v>
      </c>
      <c r="IT43" s="93">
        <v>265.74</v>
      </c>
      <c r="IU43" s="93">
        <v>264.87</v>
      </c>
      <c r="IV43" s="93">
        <v>264.01</v>
      </c>
      <c r="IW43" s="93">
        <v>263.14999999999998</v>
      </c>
      <c r="IX43" s="93">
        <v>262.29000000000002</v>
      </c>
      <c r="IY43" s="93">
        <v>261.43</v>
      </c>
      <c r="IZ43" s="93">
        <v>260.57</v>
      </c>
      <c r="JA43" s="93">
        <v>259.72000000000003</v>
      </c>
      <c r="JB43" s="93">
        <v>258.85000000000002</v>
      </c>
      <c r="JC43" s="93">
        <v>258.01</v>
      </c>
      <c r="JD43" s="93">
        <v>257.14999999999998</v>
      </c>
      <c r="JE43" s="93">
        <v>256.29000000000002</v>
      </c>
      <c r="JF43" s="93">
        <v>255.45</v>
      </c>
      <c r="JG43" s="93">
        <v>254.6</v>
      </c>
      <c r="JH43" s="93">
        <v>253.75</v>
      </c>
      <c r="JI43" s="93">
        <v>252.9</v>
      </c>
      <c r="JJ43" s="93">
        <v>252.06</v>
      </c>
      <c r="JK43" s="93">
        <v>251.21</v>
      </c>
      <c r="JL43" s="93">
        <v>250.37</v>
      </c>
      <c r="JM43" s="93">
        <v>249.52</v>
      </c>
      <c r="JN43" s="93">
        <v>248.68</v>
      </c>
      <c r="JO43" s="93">
        <v>247.84</v>
      </c>
      <c r="JP43" s="93">
        <v>247</v>
      </c>
      <c r="JQ43" s="93">
        <v>246.16</v>
      </c>
      <c r="JR43" s="93">
        <v>245.32</v>
      </c>
      <c r="JS43" s="93">
        <v>244.48</v>
      </c>
      <c r="JT43" s="93">
        <v>243.64</v>
      </c>
      <c r="JU43" s="93">
        <v>242.81</v>
      </c>
      <c r="JV43" s="93">
        <v>241.98</v>
      </c>
      <c r="JW43" s="93">
        <v>241.14</v>
      </c>
      <c r="JX43" s="93">
        <v>240.31</v>
      </c>
      <c r="JY43" s="93">
        <v>239.48</v>
      </c>
      <c r="JZ43" s="93">
        <v>238.65</v>
      </c>
      <c r="KA43" s="93">
        <v>237.82</v>
      </c>
      <c r="KB43" s="93">
        <v>236.99</v>
      </c>
      <c r="KC43" s="93">
        <v>236.16</v>
      </c>
      <c r="KD43" s="93">
        <v>235.34</v>
      </c>
      <c r="KE43" s="93">
        <v>234.51</v>
      </c>
      <c r="KF43" s="93">
        <v>233.69</v>
      </c>
      <c r="KG43" s="93">
        <v>232.86</v>
      </c>
      <c r="KH43" s="93">
        <v>232.04</v>
      </c>
      <c r="KI43" s="93">
        <v>231.22</v>
      </c>
      <c r="KJ43" s="93">
        <v>230.4</v>
      </c>
      <c r="KK43" s="93">
        <v>229.58</v>
      </c>
      <c r="KL43" s="93">
        <v>228.77</v>
      </c>
      <c r="KM43" s="93">
        <v>227.95</v>
      </c>
      <c r="KN43" s="93">
        <v>227.14</v>
      </c>
      <c r="KO43" s="93">
        <v>226.32</v>
      </c>
      <c r="KP43" s="93">
        <v>225.51</v>
      </c>
      <c r="KQ43" s="93">
        <v>224.7</v>
      </c>
      <c r="KR43" s="93">
        <v>223.65000000000032</v>
      </c>
      <c r="KS43" s="93">
        <v>222.90000000000032</v>
      </c>
      <c r="KT43" s="93">
        <v>222.15000000000032</v>
      </c>
      <c r="KU43" s="93">
        <v>221.40000000000032</v>
      </c>
      <c r="KV43" s="93">
        <v>220.65000000000032</v>
      </c>
      <c r="KW43" s="93">
        <v>219.90000000000032</v>
      </c>
      <c r="KX43" s="93">
        <v>219.15000000000032</v>
      </c>
      <c r="KY43" s="93">
        <v>218.40000000000032</v>
      </c>
      <c r="KZ43" s="93">
        <v>217.65000000000032</v>
      </c>
      <c r="LA43" s="93">
        <v>216.90000000000032</v>
      </c>
      <c r="LB43" s="93">
        <v>216.15000000000032</v>
      </c>
      <c r="LC43" s="93">
        <v>215.40000000000032</v>
      </c>
      <c r="LD43" s="93">
        <v>214.65000000000032</v>
      </c>
      <c r="LE43" s="93">
        <v>213.90000000000032</v>
      </c>
      <c r="LF43" s="93">
        <v>213.15000000000032</v>
      </c>
      <c r="LG43" s="93">
        <v>212.40000000000032</v>
      </c>
      <c r="LH43" s="93">
        <v>211.65000000000032</v>
      </c>
      <c r="LI43" s="93">
        <v>210.90000000000032</v>
      </c>
      <c r="LJ43" s="93">
        <v>210.15000000000032</v>
      </c>
      <c r="LK43" s="93">
        <v>209.40000000000032</v>
      </c>
      <c r="LL43" s="93">
        <v>208.65000000000032</v>
      </c>
      <c r="LM43" s="93">
        <v>207.90000000000032</v>
      </c>
      <c r="LN43" s="93">
        <v>207.15000000000032</v>
      </c>
      <c r="LO43" s="93">
        <v>206.40000000000032</v>
      </c>
      <c r="LP43" s="93">
        <v>205.65000000000032</v>
      </c>
      <c r="LQ43" s="93">
        <v>204.90000000000032</v>
      </c>
      <c r="LR43" s="93">
        <v>204.15000000000032</v>
      </c>
      <c r="LS43" s="93">
        <v>203.40000000000032</v>
      </c>
      <c r="LT43" s="93">
        <v>202.65000000000032</v>
      </c>
      <c r="LU43" s="93">
        <v>201.90000000000032</v>
      </c>
      <c r="LV43" s="93">
        <v>201.15000000000032</v>
      </c>
      <c r="LW43" s="93">
        <v>200.40000000000032</v>
      </c>
      <c r="LX43" s="93">
        <v>199.65000000000032</v>
      </c>
      <c r="LY43" s="93">
        <v>198.90000000000032</v>
      </c>
      <c r="LZ43" s="93">
        <v>198.15000000000032</v>
      </c>
      <c r="MA43" s="93">
        <v>197.40000000000032</v>
      </c>
      <c r="MB43" s="93">
        <v>196.65000000000032</v>
      </c>
      <c r="MC43" s="93">
        <v>195.90000000000032</v>
      </c>
      <c r="MD43" s="93">
        <v>195.15000000000032</v>
      </c>
      <c r="ME43" s="93">
        <v>194.40000000000032</v>
      </c>
      <c r="MF43" s="93">
        <v>193.65000000000032</v>
      </c>
      <c r="MG43" s="93">
        <v>192.90000000000032</v>
      </c>
      <c r="MH43" s="93">
        <v>192.15000000000032</v>
      </c>
      <c r="MI43" s="93">
        <v>191.40000000000032</v>
      </c>
      <c r="MJ43" s="93">
        <v>190.65000000000032</v>
      </c>
      <c r="MK43" s="93">
        <v>189.90000000000032</v>
      </c>
      <c r="ML43" s="93">
        <v>189.15000000000032</v>
      </c>
      <c r="MM43" s="93">
        <v>188.40000000000032</v>
      </c>
      <c r="MN43" s="93">
        <v>187.65000000000032</v>
      </c>
      <c r="MO43" s="93">
        <v>186.90000000000032</v>
      </c>
      <c r="MP43" s="93">
        <v>186.15000000000032</v>
      </c>
      <c r="MQ43" s="93">
        <v>185.40000000000032</v>
      </c>
      <c r="MR43" s="93">
        <v>184.65000000000032</v>
      </c>
      <c r="MS43" s="93">
        <v>183.90000000000032</v>
      </c>
      <c r="MT43" s="93">
        <v>183.15000000000032</v>
      </c>
      <c r="MU43" s="93">
        <v>182.40000000000032</v>
      </c>
      <c r="MV43" s="93">
        <v>181.65000000000032</v>
      </c>
      <c r="MW43" s="93">
        <v>180.90000000000032</v>
      </c>
      <c r="MX43" s="93">
        <v>180.15000000000032</v>
      </c>
      <c r="MY43" s="93">
        <v>179.40000000000032</v>
      </c>
    </row>
    <row r="44" spans="1:363" ht="15.75" x14ac:dyDescent="0.25">
      <c r="A44" s="90" t="s">
        <v>7</v>
      </c>
      <c r="B44" s="95">
        <v>2054</v>
      </c>
      <c r="C44" s="93">
        <v>510.37</v>
      </c>
      <c r="D44" s="93">
        <v>509.35</v>
      </c>
      <c r="E44" s="93">
        <v>508.32</v>
      </c>
      <c r="F44" s="93">
        <v>507.29</v>
      </c>
      <c r="G44" s="93">
        <v>506.27</v>
      </c>
      <c r="H44" s="93">
        <v>505.24</v>
      </c>
      <c r="I44" s="93">
        <v>504.22</v>
      </c>
      <c r="J44" s="93">
        <v>503.19</v>
      </c>
      <c r="K44" s="93">
        <v>502.17</v>
      </c>
      <c r="L44" s="93">
        <v>501.14</v>
      </c>
      <c r="M44" s="93">
        <v>500.12</v>
      </c>
      <c r="N44" s="93">
        <v>499.09</v>
      </c>
      <c r="O44" s="93">
        <v>498.07</v>
      </c>
      <c r="P44" s="93">
        <v>497.04</v>
      </c>
      <c r="Q44" s="93">
        <v>496.02</v>
      </c>
      <c r="R44" s="93">
        <v>494.99</v>
      </c>
      <c r="S44" s="93">
        <v>493.97</v>
      </c>
      <c r="T44" s="93">
        <v>492.94</v>
      </c>
      <c r="U44" s="93">
        <v>491.92</v>
      </c>
      <c r="V44" s="93">
        <v>490.89</v>
      </c>
      <c r="W44" s="93">
        <v>489.87</v>
      </c>
      <c r="X44" s="93">
        <v>488.84</v>
      </c>
      <c r="Y44" s="93">
        <v>487.82</v>
      </c>
      <c r="Z44" s="93">
        <v>486.79</v>
      </c>
      <c r="AA44" s="93">
        <v>485.77</v>
      </c>
      <c r="AB44" s="93">
        <v>484.74</v>
      </c>
      <c r="AC44" s="93">
        <v>483.72</v>
      </c>
      <c r="AD44" s="93">
        <v>482.69</v>
      </c>
      <c r="AE44" s="93">
        <v>481.67</v>
      </c>
      <c r="AF44" s="93">
        <v>480.64</v>
      </c>
      <c r="AG44" s="93">
        <v>479.62</v>
      </c>
      <c r="AH44" s="93">
        <v>478.59</v>
      </c>
      <c r="AI44" s="93">
        <v>477.57</v>
      </c>
      <c r="AJ44" s="93">
        <v>476.54</v>
      </c>
      <c r="AK44" s="93">
        <v>475.52</v>
      </c>
      <c r="AL44" s="93">
        <v>474.49</v>
      </c>
      <c r="AM44" s="93">
        <v>473.47</v>
      </c>
      <c r="AN44" s="93">
        <v>472.44</v>
      </c>
      <c r="AO44" s="93">
        <v>471.42</v>
      </c>
      <c r="AP44" s="93">
        <v>470.4</v>
      </c>
      <c r="AQ44" s="93">
        <v>469.37</v>
      </c>
      <c r="AR44" s="93">
        <v>468.35</v>
      </c>
      <c r="AS44" s="93">
        <v>467.33</v>
      </c>
      <c r="AT44" s="93">
        <v>466.3</v>
      </c>
      <c r="AU44" s="93">
        <v>465.28</v>
      </c>
      <c r="AV44" s="93">
        <v>464.26</v>
      </c>
      <c r="AW44" s="93">
        <v>463.23</v>
      </c>
      <c r="AX44" s="93">
        <v>462.21</v>
      </c>
      <c r="AY44" s="93">
        <v>461.19</v>
      </c>
      <c r="AZ44" s="93">
        <v>460.16</v>
      </c>
      <c r="BA44" s="93">
        <v>459.14</v>
      </c>
      <c r="BB44" s="93">
        <v>458.12</v>
      </c>
      <c r="BC44" s="93">
        <v>457.1</v>
      </c>
      <c r="BD44" s="93">
        <v>456.07</v>
      </c>
      <c r="BE44" s="93">
        <v>455.05</v>
      </c>
      <c r="BF44" s="93">
        <v>454.03</v>
      </c>
      <c r="BG44" s="93">
        <v>453.01</v>
      </c>
      <c r="BH44" s="93">
        <v>451.99</v>
      </c>
      <c r="BI44" s="93">
        <v>450.96</v>
      </c>
      <c r="BJ44" s="93">
        <v>449.94</v>
      </c>
      <c r="BK44" s="93">
        <v>448.92</v>
      </c>
      <c r="BL44" s="93">
        <v>447.9</v>
      </c>
      <c r="BM44" s="93">
        <v>446.88</v>
      </c>
      <c r="BN44" s="93">
        <v>445.86</v>
      </c>
      <c r="BO44" s="93">
        <v>444.84</v>
      </c>
      <c r="BP44" s="93">
        <v>443.82</v>
      </c>
      <c r="BQ44" s="93">
        <v>442.8</v>
      </c>
      <c r="BR44" s="93">
        <v>441.78</v>
      </c>
      <c r="BS44" s="93">
        <v>440.76</v>
      </c>
      <c r="BT44" s="93">
        <v>439.74</v>
      </c>
      <c r="BU44" s="93">
        <v>438.72</v>
      </c>
      <c r="BV44" s="93">
        <v>437.7</v>
      </c>
      <c r="BW44" s="93">
        <v>436.69</v>
      </c>
      <c r="BX44" s="93">
        <v>435.67</v>
      </c>
      <c r="BY44" s="93">
        <v>434.65</v>
      </c>
      <c r="BZ44" s="93">
        <v>433.64</v>
      </c>
      <c r="CA44" s="93">
        <v>432.62</v>
      </c>
      <c r="CB44" s="93">
        <v>431.6</v>
      </c>
      <c r="CC44" s="93">
        <v>430.59</v>
      </c>
      <c r="CD44" s="93">
        <v>429.57</v>
      </c>
      <c r="CE44" s="93">
        <v>428.56</v>
      </c>
      <c r="CF44" s="93">
        <v>427.54</v>
      </c>
      <c r="CG44" s="93">
        <v>426.53</v>
      </c>
      <c r="CH44" s="93">
        <v>425.51</v>
      </c>
      <c r="CI44" s="93">
        <v>424.49</v>
      </c>
      <c r="CJ44" s="93">
        <v>423.48</v>
      </c>
      <c r="CK44" s="93">
        <v>422.47</v>
      </c>
      <c r="CL44" s="93">
        <v>421.46</v>
      </c>
      <c r="CM44" s="93">
        <v>420.45</v>
      </c>
      <c r="CN44" s="93">
        <v>419.44</v>
      </c>
      <c r="CO44" s="93">
        <v>418.43</v>
      </c>
      <c r="CP44" s="93">
        <v>417.42</v>
      </c>
      <c r="CQ44" s="93">
        <v>416.41</v>
      </c>
      <c r="CR44" s="93">
        <v>415.4</v>
      </c>
      <c r="CS44" s="93">
        <v>414.39</v>
      </c>
      <c r="CT44" s="93">
        <v>413.38</v>
      </c>
      <c r="CU44" s="93">
        <v>412.37</v>
      </c>
      <c r="CV44" s="93">
        <v>411.36</v>
      </c>
      <c r="CW44" s="93">
        <v>410.36</v>
      </c>
      <c r="CX44" s="93">
        <v>409.36</v>
      </c>
      <c r="CY44" s="93">
        <v>408.35</v>
      </c>
      <c r="CZ44" s="93">
        <v>407.35</v>
      </c>
      <c r="DA44" s="93">
        <v>406.34</v>
      </c>
      <c r="DB44" s="93">
        <v>405.34</v>
      </c>
      <c r="DC44" s="93">
        <v>404.33</v>
      </c>
      <c r="DD44" s="93">
        <v>403.33</v>
      </c>
      <c r="DE44" s="93">
        <v>402.33</v>
      </c>
      <c r="DF44" s="93">
        <v>401.32</v>
      </c>
      <c r="DG44" s="93">
        <v>400.32</v>
      </c>
      <c r="DH44" s="93">
        <v>399.32</v>
      </c>
      <c r="DI44" s="93">
        <v>398.33</v>
      </c>
      <c r="DJ44" s="93">
        <v>397.33</v>
      </c>
      <c r="DK44" s="93">
        <v>396.33</v>
      </c>
      <c r="DL44" s="93">
        <v>395.33</v>
      </c>
      <c r="DM44" s="93">
        <v>394.34</v>
      </c>
      <c r="DN44" s="93">
        <v>393.34</v>
      </c>
      <c r="DO44" s="93">
        <v>392.35</v>
      </c>
      <c r="DP44" s="93">
        <v>391.35</v>
      </c>
      <c r="DQ44" s="93">
        <v>390.35</v>
      </c>
      <c r="DR44" s="93">
        <v>389.36</v>
      </c>
      <c r="DS44" s="93">
        <v>388.36</v>
      </c>
      <c r="DT44" s="93">
        <v>387.38</v>
      </c>
      <c r="DU44" s="93">
        <v>386.39</v>
      </c>
      <c r="DV44" s="93">
        <v>385.4</v>
      </c>
      <c r="DW44" s="93">
        <v>384.41</v>
      </c>
      <c r="DX44" s="93">
        <v>383.43</v>
      </c>
      <c r="DY44" s="93">
        <v>382.44</v>
      </c>
      <c r="DZ44" s="93">
        <v>381.45</v>
      </c>
      <c r="EA44" s="93">
        <v>380.47</v>
      </c>
      <c r="EB44" s="93">
        <v>379.48</v>
      </c>
      <c r="EC44" s="93">
        <v>378.5</v>
      </c>
      <c r="ED44" s="93">
        <v>377.51</v>
      </c>
      <c r="EE44" s="93">
        <v>376.53</v>
      </c>
      <c r="EF44" s="93">
        <v>375.55</v>
      </c>
      <c r="EG44" s="93">
        <v>374.58</v>
      </c>
      <c r="EH44" s="93">
        <v>373.6</v>
      </c>
      <c r="EI44" s="93">
        <v>372.63</v>
      </c>
      <c r="EJ44" s="93">
        <v>371.65</v>
      </c>
      <c r="EK44" s="93">
        <v>370.68</v>
      </c>
      <c r="EL44" s="93">
        <v>369.71</v>
      </c>
      <c r="EM44" s="93">
        <v>368.74</v>
      </c>
      <c r="EN44" s="93">
        <v>367.76</v>
      </c>
      <c r="EO44" s="93">
        <v>366.79</v>
      </c>
      <c r="EP44" s="93">
        <v>365.82</v>
      </c>
      <c r="EQ44" s="93">
        <v>364.85</v>
      </c>
      <c r="ER44" s="93">
        <v>363.88</v>
      </c>
      <c r="ES44" s="93">
        <v>362.92</v>
      </c>
      <c r="ET44" s="93">
        <v>361.96</v>
      </c>
      <c r="EU44" s="93">
        <v>360.99</v>
      </c>
      <c r="EV44" s="93">
        <v>360.03</v>
      </c>
      <c r="EW44" s="93">
        <v>359.07</v>
      </c>
      <c r="EX44" s="93">
        <v>358.1</v>
      </c>
      <c r="EY44" s="93">
        <v>357.14</v>
      </c>
      <c r="EZ44" s="93">
        <v>356.18</v>
      </c>
      <c r="FA44" s="93">
        <v>355.22</v>
      </c>
      <c r="FB44" s="93">
        <v>354.26</v>
      </c>
      <c r="FC44" s="93">
        <v>353.3</v>
      </c>
      <c r="FD44" s="93">
        <v>352.34</v>
      </c>
      <c r="FE44" s="93">
        <v>351.38</v>
      </c>
      <c r="FF44" s="93">
        <v>350.43</v>
      </c>
      <c r="FG44" s="93">
        <v>349.47</v>
      </c>
      <c r="FH44" s="93">
        <v>348.51</v>
      </c>
      <c r="FI44" s="93">
        <v>347.56</v>
      </c>
      <c r="FJ44" s="93">
        <v>346.6</v>
      </c>
      <c r="FK44" s="93">
        <v>345.65</v>
      </c>
      <c r="FL44" s="93">
        <v>344.7</v>
      </c>
      <c r="FM44" s="93">
        <v>343.74</v>
      </c>
      <c r="FN44" s="93">
        <v>342.79</v>
      </c>
      <c r="FO44" s="93">
        <v>341.84</v>
      </c>
      <c r="FP44" s="93">
        <v>340.89</v>
      </c>
      <c r="FQ44" s="93">
        <v>339.94</v>
      </c>
      <c r="FR44" s="93">
        <v>338.99</v>
      </c>
      <c r="FS44" s="93">
        <v>338.04</v>
      </c>
      <c r="FT44" s="93">
        <v>337.1</v>
      </c>
      <c r="FU44" s="93">
        <v>336.15</v>
      </c>
      <c r="FV44" s="93">
        <v>335.2</v>
      </c>
      <c r="FW44" s="93">
        <v>334.26</v>
      </c>
      <c r="FX44" s="93">
        <v>333.31</v>
      </c>
      <c r="FY44" s="93">
        <v>332.37</v>
      </c>
      <c r="FZ44" s="93">
        <v>331.43</v>
      </c>
      <c r="GA44" s="93">
        <v>330.48</v>
      </c>
      <c r="GB44" s="93">
        <v>329.54</v>
      </c>
      <c r="GC44" s="93">
        <v>328.6</v>
      </c>
      <c r="GD44" s="93">
        <v>327.66000000000003</v>
      </c>
      <c r="GE44" s="93">
        <v>326.72000000000003</v>
      </c>
      <c r="GF44" s="93">
        <v>325.77999999999997</v>
      </c>
      <c r="GG44" s="93">
        <v>324.85000000000002</v>
      </c>
      <c r="GH44" s="93">
        <v>323.91000000000003</v>
      </c>
      <c r="GI44" s="93">
        <v>322.98</v>
      </c>
      <c r="GJ44" s="93">
        <v>322.04000000000002</v>
      </c>
      <c r="GK44" s="93">
        <v>321.10000000000002</v>
      </c>
      <c r="GL44" s="93">
        <v>320.17</v>
      </c>
      <c r="GM44" s="93">
        <v>319.24</v>
      </c>
      <c r="GN44" s="93">
        <v>318.31</v>
      </c>
      <c r="GO44" s="93">
        <v>317.38</v>
      </c>
      <c r="GP44" s="93">
        <v>316.45999999999998</v>
      </c>
      <c r="GQ44" s="93">
        <v>315.52999999999997</v>
      </c>
      <c r="GR44" s="93">
        <v>314.60000000000002</v>
      </c>
      <c r="GS44" s="93">
        <v>313.68</v>
      </c>
      <c r="GT44" s="93">
        <v>312.75</v>
      </c>
      <c r="GU44" s="93">
        <v>311.82</v>
      </c>
      <c r="GV44" s="93">
        <v>310.91000000000003</v>
      </c>
      <c r="GW44" s="93">
        <v>309.99</v>
      </c>
      <c r="GX44" s="93">
        <v>309.07</v>
      </c>
      <c r="GY44" s="93">
        <v>308.14999999999998</v>
      </c>
      <c r="GZ44" s="93">
        <v>307.23</v>
      </c>
      <c r="HA44" s="93">
        <v>306.31</v>
      </c>
      <c r="HB44" s="93">
        <v>305.39999999999998</v>
      </c>
      <c r="HC44" s="93">
        <v>304.48</v>
      </c>
      <c r="HD44" s="93">
        <v>303.57</v>
      </c>
      <c r="HE44" s="93">
        <v>302.64999999999998</v>
      </c>
      <c r="HF44" s="93">
        <v>301.74</v>
      </c>
      <c r="HG44" s="93">
        <v>300.82</v>
      </c>
      <c r="HH44" s="93">
        <v>299.92</v>
      </c>
      <c r="HI44" s="93">
        <v>299.01</v>
      </c>
      <c r="HJ44" s="93">
        <v>298.10000000000002</v>
      </c>
      <c r="HK44" s="93">
        <v>297.2</v>
      </c>
      <c r="HL44" s="93">
        <v>296.29000000000002</v>
      </c>
      <c r="HM44" s="93">
        <v>295.39</v>
      </c>
      <c r="HN44" s="93">
        <v>294.49</v>
      </c>
      <c r="HO44" s="93">
        <v>293.58999999999997</v>
      </c>
      <c r="HP44" s="93">
        <v>292.69</v>
      </c>
      <c r="HQ44" s="93">
        <v>291.79000000000002</v>
      </c>
      <c r="HR44" s="93">
        <v>290.89999999999998</v>
      </c>
      <c r="HS44" s="93">
        <v>290</v>
      </c>
      <c r="HT44" s="93">
        <v>289.10000000000002</v>
      </c>
      <c r="HU44" s="93">
        <v>288.20999999999998</v>
      </c>
      <c r="HV44" s="93">
        <v>287.32</v>
      </c>
      <c r="HW44" s="93">
        <v>286.43</v>
      </c>
      <c r="HX44" s="93">
        <v>285.54000000000002</v>
      </c>
      <c r="HY44" s="93">
        <v>284.64999999999998</v>
      </c>
      <c r="HZ44" s="93">
        <v>283.76</v>
      </c>
      <c r="IA44" s="93">
        <v>282.87</v>
      </c>
      <c r="IB44" s="93">
        <v>281.98</v>
      </c>
      <c r="IC44" s="93">
        <v>281.10000000000002</v>
      </c>
      <c r="ID44" s="93">
        <v>280.20999999999998</v>
      </c>
      <c r="IE44" s="93">
        <v>279.32</v>
      </c>
      <c r="IF44" s="93">
        <v>278.45</v>
      </c>
      <c r="IG44" s="93">
        <v>277.57</v>
      </c>
      <c r="IH44" s="93">
        <v>276.69</v>
      </c>
      <c r="II44" s="93">
        <v>275.81</v>
      </c>
      <c r="IJ44" s="93">
        <v>274.93</v>
      </c>
      <c r="IK44" s="93">
        <v>274.04000000000002</v>
      </c>
      <c r="IL44" s="93">
        <v>273.18</v>
      </c>
      <c r="IM44" s="93">
        <v>272.29000000000002</v>
      </c>
      <c r="IN44" s="93">
        <v>271.43</v>
      </c>
      <c r="IO44" s="93">
        <v>270.56</v>
      </c>
      <c r="IP44" s="93">
        <v>269.68</v>
      </c>
      <c r="IQ44" s="93">
        <v>268.81</v>
      </c>
      <c r="IR44" s="93">
        <v>267.95</v>
      </c>
      <c r="IS44" s="93">
        <v>267.07</v>
      </c>
      <c r="IT44" s="93">
        <v>266.20999999999998</v>
      </c>
      <c r="IU44" s="93">
        <v>265.35000000000002</v>
      </c>
      <c r="IV44" s="93">
        <v>264.48</v>
      </c>
      <c r="IW44" s="93">
        <v>263.62</v>
      </c>
      <c r="IX44" s="93">
        <v>262.76</v>
      </c>
      <c r="IY44" s="93">
        <v>261.89999999999998</v>
      </c>
      <c r="IZ44" s="93">
        <v>261.04000000000002</v>
      </c>
      <c r="JA44" s="93">
        <v>260.19</v>
      </c>
      <c r="JB44" s="93">
        <v>259.32</v>
      </c>
      <c r="JC44" s="93">
        <v>258.48</v>
      </c>
      <c r="JD44" s="93">
        <v>257.62</v>
      </c>
      <c r="JE44" s="93">
        <v>256.76</v>
      </c>
      <c r="JF44" s="93">
        <v>255.92</v>
      </c>
      <c r="JG44" s="93">
        <v>255.07</v>
      </c>
      <c r="JH44" s="93">
        <v>254.22</v>
      </c>
      <c r="JI44" s="93">
        <v>253.37</v>
      </c>
      <c r="JJ44" s="93">
        <v>252.52</v>
      </c>
      <c r="JK44" s="93">
        <v>251.68</v>
      </c>
      <c r="JL44" s="93">
        <v>250.83</v>
      </c>
      <c r="JM44" s="93">
        <v>249.99</v>
      </c>
      <c r="JN44" s="93">
        <v>249.14</v>
      </c>
      <c r="JO44" s="93">
        <v>248.3</v>
      </c>
      <c r="JP44" s="93">
        <v>247.46</v>
      </c>
      <c r="JQ44" s="93">
        <v>246.62</v>
      </c>
      <c r="JR44" s="93">
        <v>245.78</v>
      </c>
      <c r="JS44" s="93">
        <v>244.94</v>
      </c>
      <c r="JT44" s="93">
        <v>244.11</v>
      </c>
      <c r="JU44" s="93">
        <v>243.27</v>
      </c>
      <c r="JV44" s="93">
        <v>242.44</v>
      </c>
      <c r="JW44" s="93">
        <v>241.6</v>
      </c>
      <c r="JX44" s="93">
        <v>240.77</v>
      </c>
      <c r="JY44" s="93">
        <v>239.94</v>
      </c>
      <c r="JZ44" s="93">
        <v>239.11</v>
      </c>
      <c r="KA44" s="93">
        <v>238.28</v>
      </c>
      <c r="KB44" s="93">
        <v>237.45</v>
      </c>
      <c r="KC44" s="93">
        <v>236.62</v>
      </c>
      <c r="KD44" s="93">
        <v>235.79</v>
      </c>
      <c r="KE44" s="93">
        <v>234.97</v>
      </c>
      <c r="KF44" s="93">
        <v>234.14</v>
      </c>
      <c r="KG44" s="93">
        <v>233.32</v>
      </c>
      <c r="KH44" s="93">
        <v>232.5</v>
      </c>
      <c r="KI44" s="93">
        <v>231.67</v>
      </c>
      <c r="KJ44" s="93">
        <v>230.85</v>
      </c>
      <c r="KK44" s="93">
        <v>230.03</v>
      </c>
      <c r="KL44" s="93">
        <v>229.22</v>
      </c>
      <c r="KM44" s="93">
        <v>228.4</v>
      </c>
      <c r="KN44" s="93">
        <v>227.58</v>
      </c>
      <c r="KO44" s="93">
        <v>226.77</v>
      </c>
      <c r="KP44" s="93">
        <v>225.96</v>
      </c>
      <c r="KQ44" s="93">
        <v>225.15</v>
      </c>
      <c r="KR44" s="93">
        <v>224.11000000000033</v>
      </c>
      <c r="KS44" s="93">
        <v>223.36000000000033</v>
      </c>
      <c r="KT44" s="93">
        <v>222.61000000000033</v>
      </c>
      <c r="KU44" s="93">
        <v>221.86000000000033</v>
      </c>
      <c r="KV44" s="93">
        <v>221.11000000000033</v>
      </c>
      <c r="KW44" s="93">
        <v>220.36000000000033</v>
      </c>
      <c r="KX44" s="93">
        <v>219.61000000000033</v>
      </c>
      <c r="KY44" s="93">
        <v>218.86000000000033</v>
      </c>
      <c r="KZ44" s="93">
        <v>218.11000000000033</v>
      </c>
      <c r="LA44" s="93">
        <v>217.36000000000033</v>
      </c>
      <c r="LB44" s="93">
        <v>216.61000000000033</v>
      </c>
      <c r="LC44" s="93">
        <v>215.86000000000033</v>
      </c>
      <c r="LD44" s="93">
        <v>215.11000000000033</v>
      </c>
      <c r="LE44" s="93">
        <v>214.36000000000033</v>
      </c>
      <c r="LF44" s="93">
        <v>213.61000000000033</v>
      </c>
      <c r="LG44" s="93">
        <v>212.86000000000033</v>
      </c>
      <c r="LH44" s="93">
        <v>212.11000000000033</v>
      </c>
      <c r="LI44" s="93">
        <v>211.36000000000033</v>
      </c>
      <c r="LJ44" s="93">
        <v>210.61000000000033</v>
      </c>
      <c r="LK44" s="93">
        <v>209.86000000000033</v>
      </c>
      <c r="LL44" s="93">
        <v>209.11000000000033</v>
      </c>
      <c r="LM44" s="93">
        <v>208.36000000000033</v>
      </c>
      <c r="LN44" s="93">
        <v>207.61000000000033</v>
      </c>
      <c r="LO44" s="93">
        <v>206.86000000000033</v>
      </c>
      <c r="LP44" s="93">
        <v>206.11000000000033</v>
      </c>
      <c r="LQ44" s="93">
        <v>205.36000000000033</v>
      </c>
      <c r="LR44" s="93">
        <v>204.61000000000033</v>
      </c>
      <c r="LS44" s="93">
        <v>203.86000000000033</v>
      </c>
      <c r="LT44" s="93">
        <v>203.11000000000033</v>
      </c>
      <c r="LU44" s="93">
        <v>202.36000000000033</v>
      </c>
      <c r="LV44" s="93">
        <v>201.61000000000033</v>
      </c>
      <c r="LW44" s="93">
        <v>200.86000000000033</v>
      </c>
      <c r="LX44" s="93">
        <v>200.11000000000033</v>
      </c>
      <c r="LY44" s="93">
        <v>199.36000000000033</v>
      </c>
      <c r="LZ44" s="93">
        <v>198.61000000000033</v>
      </c>
      <c r="MA44" s="93">
        <v>197.86000000000033</v>
      </c>
      <c r="MB44" s="93">
        <v>197.11000000000033</v>
      </c>
      <c r="MC44" s="93">
        <v>196.36000000000033</v>
      </c>
      <c r="MD44" s="93">
        <v>195.61000000000033</v>
      </c>
      <c r="ME44" s="93">
        <v>194.86000000000033</v>
      </c>
      <c r="MF44" s="93">
        <v>194.11000000000033</v>
      </c>
      <c r="MG44" s="93">
        <v>193.36000000000033</v>
      </c>
      <c r="MH44" s="93">
        <v>192.61000000000033</v>
      </c>
      <c r="MI44" s="93">
        <v>191.86000000000033</v>
      </c>
      <c r="MJ44" s="93">
        <v>191.11000000000033</v>
      </c>
      <c r="MK44" s="93">
        <v>190.36000000000033</v>
      </c>
      <c r="ML44" s="93">
        <v>189.61000000000033</v>
      </c>
      <c r="MM44" s="93">
        <v>188.86000000000033</v>
      </c>
      <c r="MN44" s="93">
        <v>188.11000000000033</v>
      </c>
      <c r="MO44" s="93">
        <v>187.36000000000033</v>
      </c>
      <c r="MP44" s="93">
        <v>186.61000000000033</v>
      </c>
      <c r="MQ44" s="93">
        <v>185.86000000000033</v>
      </c>
      <c r="MR44" s="93">
        <v>185.11000000000033</v>
      </c>
      <c r="MS44" s="93">
        <v>184.36000000000033</v>
      </c>
      <c r="MT44" s="93">
        <v>183.61000000000033</v>
      </c>
      <c r="MU44" s="93">
        <v>182.86000000000033</v>
      </c>
      <c r="MV44" s="93">
        <v>182.11000000000033</v>
      </c>
      <c r="MW44" s="93">
        <v>181.36000000000033</v>
      </c>
      <c r="MX44" s="93">
        <v>180.61000000000033</v>
      </c>
      <c r="MY44" s="93">
        <v>179.86000000000033</v>
      </c>
    </row>
    <row r="45" spans="1:363" ht="15.75" x14ac:dyDescent="0.25">
      <c r="A45" s="90" t="s">
        <v>7</v>
      </c>
      <c r="B45" s="95">
        <v>2055</v>
      </c>
      <c r="C45" s="93">
        <v>510.91</v>
      </c>
      <c r="D45" s="93">
        <v>509.89</v>
      </c>
      <c r="E45" s="93">
        <v>508.86</v>
      </c>
      <c r="F45" s="93">
        <v>507.84</v>
      </c>
      <c r="G45" s="93">
        <v>506.81</v>
      </c>
      <c r="H45" s="93">
        <v>505.79</v>
      </c>
      <c r="I45" s="93">
        <v>504.76</v>
      </c>
      <c r="J45" s="93">
        <v>503.74</v>
      </c>
      <c r="K45" s="93">
        <v>502.71</v>
      </c>
      <c r="L45" s="93">
        <v>501.68</v>
      </c>
      <c r="M45" s="93">
        <v>500.66</v>
      </c>
      <c r="N45" s="93">
        <v>499.63</v>
      </c>
      <c r="O45" s="93">
        <v>498.61</v>
      </c>
      <c r="P45" s="93">
        <v>497.58</v>
      </c>
      <c r="Q45" s="93">
        <v>496.56</v>
      </c>
      <c r="R45" s="93">
        <v>495.53</v>
      </c>
      <c r="S45" s="93">
        <v>494.51</v>
      </c>
      <c r="T45" s="93">
        <v>493.48</v>
      </c>
      <c r="U45" s="93">
        <v>492.46</v>
      </c>
      <c r="V45" s="93">
        <v>491.43</v>
      </c>
      <c r="W45" s="93">
        <v>490.41</v>
      </c>
      <c r="X45" s="93">
        <v>489.38</v>
      </c>
      <c r="Y45" s="93">
        <v>488.36</v>
      </c>
      <c r="Z45" s="93">
        <v>487.33</v>
      </c>
      <c r="AA45" s="93">
        <v>486.31</v>
      </c>
      <c r="AB45" s="93">
        <v>485.28</v>
      </c>
      <c r="AC45" s="93">
        <v>484.26</v>
      </c>
      <c r="AD45" s="93">
        <v>483.23</v>
      </c>
      <c r="AE45" s="93">
        <v>482.21</v>
      </c>
      <c r="AF45" s="93">
        <v>481.18</v>
      </c>
      <c r="AG45" s="93">
        <v>480.16</v>
      </c>
      <c r="AH45" s="93">
        <v>479.13</v>
      </c>
      <c r="AI45" s="93">
        <v>478.11</v>
      </c>
      <c r="AJ45" s="93">
        <v>477.08</v>
      </c>
      <c r="AK45" s="93">
        <v>476.06</v>
      </c>
      <c r="AL45" s="93">
        <v>475.03</v>
      </c>
      <c r="AM45" s="93">
        <v>474.01</v>
      </c>
      <c r="AN45" s="93">
        <v>472.98</v>
      </c>
      <c r="AO45" s="93">
        <v>471.96</v>
      </c>
      <c r="AP45" s="93">
        <v>470.93</v>
      </c>
      <c r="AQ45" s="93">
        <v>469.91</v>
      </c>
      <c r="AR45" s="93">
        <v>468.89</v>
      </c>
      <c r="AS45" s="93">
        <v>467.86</v>
      </c>
      <c r="AT45" s="93">
        <v>466.84</v>
      </c>
      <c r="AU45" s="93">
        <v>465.81</v>
      </c>
      <c r="AV45" s="93">
        <v>464.79</v>
      </c>
      <c r="AW45" s="93">
        <v>463.77</v>
      </c>
      <c r="AX45" s="93">
        <v>462.74</v>
      </c>
      <c r="AY45" s="93">
        <v>461.72</v>
      </c>
      <c r="AZ45" s="93">
        <v>460.7</v>
      </c>
      <c r="BA45" s="93">
        <v>459.67</v>
      </c>
      <c r="BB45" s="93">
        <v>458.65</v>
      </c>
      <c r="BC45" s="93">
        <v>457.63</v>
      </c>
      <c r="BD45" s="93">
        <v>456.61</v>
      </c>
      <c r="BE45" s="93">
        <v>455.58</v>
      </c>
      <c r="BF45" s="93">
        <v>454.56</v>
      </c>
      <c r="BG45" s="93">
        <v>453.54</v>
      </c>
      <c r="BH45" s="93">
        <v>452.52</v>
      </c>
      <c r="BI45" s="93">
        <v>451.5</v>
      </c>
      <c r="BJ45" s="93">
        <v>450.47</v>
      </c>
      <c r="BK45" s="93">
        <v>449.45</v>
      </c>
      <c r="BL45" s="93">
        <v>448.43</v>
      </c>
      <c r="BM45" s="93">
        <v>447.41</v>
      </c>
      <c r="BN45" s="93">
        <v>446.39</v>
      </c>
      <c r="BO45" s="93">
        <v>445.37</v>
      </c>
      <c r="BP45" s="93">
        <v>444.35</v>
      </c>
      <c r="BQ45" s="93">
        <v>443.33</v>
      </c>
      <c r="BR45" s="93">
        <v>442.31</v>
      </c>
      <c r="BS45" s="93">
        <v>441.29</v>
      </c>
      <c r="BT45" s="93">
        <v>440.27</v>
      </c>
      <c r="BU45" s="93">
        <v>439.25</v>
      </c>
      <c r="BV45" s="93">
        <v>438.23</v>
      </c>
      <c r="BW45" s="93">
        <v>437.21</v>
      </c>
      <c r="BX45" s="93">
        <v>436.2</v>
      </c>
      <c r="BY45" s="93">
        <v>435.18</v>
      </c>
      <c r="BZ45" s="93">
        <v>434.16</v>
      </c>
      <c r="CA45" s="93">
        <v>433.15</v>
      </c>
      <c r="CB45" s="93">
        <v>432.13</v>
      </c>
      <c r="CC45" s="93">
        <v>431.11</v>
      </c>
      <c r="CD45" s="93">
        <v>430.1</v>
      </c>
      <c r="CE45" s="93">
        <v>429.08</v>
      </c>
      <c r="CF45" s="93">
        <v>428.07</v>
      </c>
      <c r="CG45" s="93">
        <v>427.05</v>
      </c>
      <c r="CH45" s="93">
        <v>426.04</v>
      </c>
      <c r="CI45" s="93">
        <v>425.02</v>
      </c>
      <c r="CJ45" s="93">
        <v>424.01</v>
      </c>
      <c r="CK45" s="93">
        <v>423</v>
      </c>
      <c r="CL45" s="93">
        <v>421.99</v>
      </c>
      <c r="CM45" s="93">
        <v>420.97</v>
      </c>
      <c r="CN45" s="93">
        <v>419.96</v>
      </c>
      <c r="CO45" s="93">
        <v>418.95</v>
      </c>
      <c r="CP45" s="93">
        <v>417.94</v>
      </c>
      <c r="CQ45" s="93">
        <v>416.93</v>
      </c>
      <c r="CR45" s="93">
        <v>415.92</v>
      </c>
      <c r="CS45" s="93">
        <v>414.91</v>
      </c>
      <c r="CT45" s="93">
        <v>413.9</v>
      </c>
      <c r="CU45" s="93">
        <v>412.89</v>
      </c>
      <c r="CV45" s="93">
        <v>411.88</v>
      </c>
      <c r="CW45" s="93">
        <v>410.88</v>
      </c>
      <c r="CX45" s="93">
        <v>409.87</v>
      </c>
      <c r="CY45" s="93">
        <v>408.87</v>
      </c>
      <c r="CZ45" s="93">
        <v>407.87</v>
      </c>
      <c r="DA45" s="93">
        <v>406.86</v>
      </c>
      <c r="DB45" s="93">
        <v>405.86</v>
      </c>
      <c r="DC45" s="93">
        <v>404.85</v>
      </c>
      <c r="DD45" s="93">
        <v>403.85</v>
      </c>
      <c r="DE45" s="93">
        <v>402.84</v>
      </c>
      <c r="DF45" s="93">
        <v>401.84</v>
      </c>
      <c r="DG45" s="93">
        <v>400.84</v>
      </c>
      <c r="DH45" s="93">
        <v>399.84</v>
      </c>
      <c r="DI45" s="93">
        <v>398.84</v>
      </c>
      <c r="DJ45" s="93">
        <v>397.84</v>
      </c>
      <c r="DK45" s="93">
        <v>396.85</v>
      </c>
      <c r="DL45" s="93">
        <v>395.85</v>
      </c>
      <c r="DM45" s="93">
        <v>394.85</v>
      </c>
      <c r="DN45" s="93">
        <v>393.86</v>
      </c>
      <c r="DO45" s="93">
        <v>392.86</v>
      </c>
      <c r="DP45" s="93">
        <v>391.86</v>
      </c>
      <c r="DQ45" s="93">
        <v>390.87</v>
      </c>
      <c r="DR45" s="93">
        <v>389.87</v>
      </c>
      <c r="DS45" s="93">
        <v>388.88</v>
      </c>
      <c r="DT45" s="93">
        <v>387.89</v>
      </c>
      <c r="DU45" s="93">
        <v>386.9</v>
      </c>
      <c r="DV45" s="93">
        <v>385.91</v>
      </c>
      <c r="DW45" s="93">
        <v>384.92</v>
      </c>
      <c r="DX45" s="93">
        <v>383.94</v>
      </c>
      <c r="DY45" s="93">
        <v>382.95</v>
      </c>
      <c r="DZ45" s="93">
        <v>381.96</v>
      </c>
      <c r="EA45" s="93">
        <v>380.98</v>
      </c>
      <c r="EB45" s="93">
        <v>379.99</v>
      </c>
      <c r="EC45" s="93">
        <v>379.01</v>
      </c>
      <c r="ED45" s="93">
        <v>378.02</v>
      </c>
      <c r="EE45" s="93">
        <v>377.04</v>
      </c>
      <c r="EF45" s="93">
        <v>376.06</v>
      </c>
      <c r="EG45" s="93">
        <v>375.09</v>
      </c>
      <c r="EH45" s="93">
        <v>374.11</v>
      </c>
      <c r="EI45" s="93">
        <v>373.14</v>
      </c>
      <c r="EJ45" s="93">
        <v>372.16</v>
      </c>
      <c r="EK45" s="93">
        <v>371.19</v>
      </c>
      <c r="EL45" s="93">
        <v>370.22</v>
      </c>
      <c r="EM45" s="93">
        <v>369.24</v>
      </c>
      <c r="EN45" s="93">
        <v>368.27</v>
      </c>
      <c r="EO45" s="93">
        <v>367.3</v>
      </c>
      <c r="EP45" s="93">
        <v>366.33</v>
      </c>
      <c r="EQ45" s="93">
        <v>365.36</v>
      </c>
      <c r="ER45" s="93">
        <v>364.39</v>
      </c>
      <c r="ES45" s="93">
        <v>363.43</v>
      </c>
      <c r="ET45" s="93">
        <v>362.46</v>
      </c>
      <c r="EU45" s="93">
        <v>361.5</v>
      </c>
      <c r="EV45" s="93">
        <v>360.53</v>
      </c>
      <c r="EW45" s="93">
        <v>359.57</v>
      </c>
      <c r="EX45" s="93">
        <v>358.61</v>
      </c>
      <c r="EY45" s="93">
        <v>357.65</v>
      </c>
      <c r="EZ45" s="93">
        <v>356.69</v>
      </c>
      <c r="FA45" s="93">
        <v>355.72</v>
      </c>
      <c r="FB45" s="93">
        <v>354.76</v>
      </c>
      <c r="FC45" s="93">
        <v>353.8</v>
      </c>
      <c r="FD45" s="93">
        <v>352.85</v>
      </c>
      <c r="FE45" s="93">
        <v>351.89</v>
      </c>
      <c r="FF45" s="93">
        <v>350.93</v>
      </c>
      <c r="FG45" s="93">
        <v>349.97</v>
      </c>
      <c r="FH45" s="93">
        <v>349.02</v>
      </c>
      <c r="FI45" s="93">
        <v>348.06</v>
      </c>
      <c r="FJ45" s="93">
        <v>347.11</v>
      </c>
      <c r="FK45" s="93">
        <v>346.15</v>
      </c>
      <c r="FL45" s="93">
        <v>345.2</v>
      </c>
      <c r="FM45" s="93">
        <v>344.25</v>
      </c>
      <c r="FN45" s="93">
        <v>343.29</v>
      </c>
      <c r="FO45" s="93">
        <v>342.34</v>
      </c>
      <c r="FP45" s="93">
        <v>341.39</v>
      </c>
      <c r="FQ45" s="93">
        <v>340.44</v>
      </c>
      <c r="FR45" s="93">
        <v>339.49</v>
      </c>
      <c r="FS45" s="93">
        <v>338.55</v>
      </c>
      <c r="FT45" s="93">
        <v>337.6</v>
      </c>
      <c r="FU45" s="93">
        <v>336.65</v>
      </c>
      <c r="FV45" s="93">
        <v>335.7</v>
      </c>
      <c r="FW45" s="93">
        <v>334.76</v>
      </c>
      <c r="FX45" s="93">
        <v>333.81</v>
      </c>
      <c r="FY45" s="93">
        <v>332.87</v>
      </c>
      <c r="FZ45" s="93">
        <v>331.93</v>
      </c>
      <c r="GA45" s="93">
        <v>330.98</v>
      </c>
      <c r="GB45" s="93">
        <v>330.04</v>
      </c>
      <c r="GC45" s="93">
        <v>329.1</v>
      </c>
      <c r="GD45" s="93">
        <v>328.16</v>
      </c>
      <c r="GE45" s="93">
        <v>327.22000000000003</v>
      </c>
      <c r="GF45" s="93">
        <v>326.27999999999997</v>
      </c>
      <c r="GG45" s="93">
        <v>325.35000000000002</v>
      </c>
      <c r="GH45" s="93">
        <v>324.41000000000003</v>
      </c>
      <c r="GI45" s="93">
        <v>323.47000000000003</v>
      </c>
      <c r="GJ45" s="93">
        <v>322.54000000000002</v>
      </c>
      <c r="GK45" s="93">
        <v>321.60000000000002</v>
      </c>
      <c r="GL45" s="93">
        <v>320.67</v>
      </c>
      <c r="GM45" s="93">
        <v>319.74</v>
      </c>
      <c r="GN45" s="93">
        <v>318.81</v>
      </c>
      <c r="GO45" s="93">
        <v>317.88</v>
      </c>
      <c r="GP45" s="93">
        <v>316.95</v>
      </c>
      <c r="GQ45" s="93">
        <v>316.01</v>
      </c>
      <c r="GR45" s="93">
        <v>315.10000000000002</v>
      </c>
      <c r="GS45" s="93">
        <v>314.17</v>
      </c>
      <c r="GT45" s="93">
        <v>313.25</v>
      </c>
      <c r="GU45" s="93">
        <v>312.32</v>
      </c>
      <c r="GV45" s="93">
        <v>311.39999999999998</v>
      </c>
      <c r="GW45" s="93">
        <v>310.48</v>
      </c>
      <c r="GX45" s="93">
        <v>309.56</v>
      </c>
      <c r="GY45" s="93">
        <v>308.64</v>
      </c>
      <c r="GZ45" s="93">
        <v>307.72000000000003</v>
      </c>
      <c r="HA45" s="93">
        <v>306.79000000000002</v>
      </c>
      <c r="HB45" s="93">
        <v>305.89</v>
      </c>
      <c r="HC45" s="93">
        <v>304.97000000000003</v>
      </c>
      <c r="HD45" s="93">
        <v>304.06</v>
      </c>
      <c r="HE45" s="93">
        <v>303.14</v>
      </c>
      <c r="HF45" s="93">
        <v>302.23</v>
      </c>
      <c r="HG45" s="93">
        <v>301.32</v>
      </c>
      <c r="HH45" s="93">
        <v>300.41000000000003</v>
      </c>
      <c r="HI45" s="93">
        <v>299.5</v>
      </c>
      <c r="HJ45" s="93">
        <v>298.60000000000002</v>
      </c>
      <c r="HK45" s="93">
        <v>297.69</v>
      </c>
      <c r="HL45" s="93">
        <v>296.79000000000002</v>
      </c>
      <c r="HM45" s="93">
        <v>295.88</v>
      </c>
      <c r="HN45" s="93">
        <v>294.98</v>
      </c>
      <c r="HO45" s="93">
        <v>294.07</v>
      </c>
      <c r="HP45" s="93">
        <v>293.18</v>
      </c>
      <c r="HQ45" s="93">
        <v>292.27999999999997</v>
      </c>
      <c r="HR45" s="93">
        <v>291.38</v>
      </c>
      <c r="HS45" s="93">
        <v>290.49</v>
      </c>
      <c r="HT45" s="93">
        <v>289.58999999999997</v>
      </c>
      <c r="HU45" s="93">
        <v>288.7</v>
      </c>
      <c r="HV45" s="93">
        <v>287.79000000000002</v>
      </c>
      <c r="HW45" s="93">
        <v>286.91000000000003</v>
      </c>
      <c r="HX45" s="93">
        <v>286.01</v>
      </c>
      <c r="HY45" s="93">
        <v>285.13</v>
      </c>
      <c r="HZ45" s="93">
        <v>284.24</v>
      </c>
      <c r="IA45" s="93">
        <v>283.35000000000002</v>
      </c>
      <c r="IB45" s="93">
        <v>282.47000000000003</v>
      </c>
      <c r="IC45" s="93">
        <v>281.57</v>
      </c>
      <c r="ID45" s="93">
        <v>280.69</v>
      </c>
      <c r="IE45" s="93">
        <v>279.81</v>
      </c>
      <c r="IF45" s="93">
        <v>278.93</v>
      </c>
      <c r="IG45" s="93">
        <v>278.04000000000002</v>
      </c>
      <c r="IH45" s="93">
        <v>277.16000000000003</v>
      </c>
      <c r="II45" s="93">
        <v>276.27999999999997</v>
      </c>
      <c r="IJ45" s="93">
        <v>275.41000000000003</v>
      </c>
      <c r="IK45" s="93">
        <v>274.52999999999997</v>
      </c>
      <c r="IL45" s="93">
        <v>273.64999999999998</v>
      </c>
      <c r="IM45" s="93">
        <v>272.77999999999997</v>
      </c>
      <c r="IN45" s="93">
        <v>271.89999999999998</v>
      </c>
      <c r="IO45" s="93">
        <v>271.02999999999997</v>
      </c>
      <c r="IP45" s="93">
        <v>270.16000000000003</v>
      </c>
      <c r="IQ45" s="93">
        <v>269.29000000000002</v>
      </c>
      <c r="IR45" s="93">
        <v>268.42</v>
      </c>
      <c r="IS45" s="93">
        <v>267.54000000000002</v>
      </c>
      <c r="IT45" s="93">
        <v>266.69</v>
      </c>
      <c r="IU45" s="93">
        <v>265.82</v>
      </c>
      <c r="IV45" s="93">
        <v>264.95999999999998</v>
      </c>
      <c r="IW45" s="93">
        <v>264.08999999999997</v>
      </c>
      <c r="IX45" s="93">
        <v>263.23</v>
      </c>
      <c r="IY45" s="93">
        <v>262.37</v>
      </c>
      <c r="IZ45" s="93">
        <v>261.51</v>
      </c>
      <c r="JA45" s="93">
        <v>260.66000000000003</v>
      </c>
      <c r="JB45" s="93">
        <v>259.79000000000002</v>
      </c>
      <c r="JC45" s="93">
        <v>258.95</v>
      </c>
      <c r="JD45" s="93">
        <v>258.08999999999997</v>
      </c>
      <c r="JE45" s="93">
        <v>257.24</v>
      </c>
      <c r="JF45" s="93">
        <v>256.39</v>
      </c>
      <c r="JG45" s="93">
        <v>255.53</v>
      </c>
      <c r="JH45" s="93">
        <v>254.68</v>
      </c>
      <c r="JI45" s="93">
        <v>253.84</v>
      </c>
      <c r="JJ45" s="93">
        <v>252.99</v>
      </c>
      <c r="JK45" s="93">
        <v>252.14</v>
      </c>
      <c r="JL45" s="93">
        <v>251.3</v>
      </c>
      <c r="JM45" s="93">
        <v>250.45</v>
      </c>
      <c r="JN45" s="93">
        <v>249.61</v>
      </c>
      <c r="JO45" s="93">
        <v>248.76</v>
      </c>
      <c r="JP45" s="93">
        <v>247.92</v>
      </c>
      <c r="JQ45" s="93">
        <v>247.08</v>
      </c>
      <c r="JR45" s="93">
        <v>246.24</v>
      </c>
      <c r="JS45" s="93">
        <v>245.4</v>
      </c>
      <c r="JT45" s="93">
        <v>244.57</v>
      </c>
      <c r="JU45" s="93">
        <v>243.73</v>
      </c>
      <c r="JV45" s="93">
        <v>242.89</v>
      </c>
      <c r="JW45" s="93">
        <v>242.06</v>
      </c>
      <c r="JX45" s="93">
        <v>241.23</v>
      </c>
      <c r="JY45" s="93">
        <v>240.39</v>
      </c>
      <c r="JZ45" s="93">
        <v>239.56</v>
      </c>
      <c r="KA45" s="93">
        <v>238.73</v>
      </c>
      <c r="KB45" s="93">
        <v>237.9</v>
      </c>
      <c r="KC45" s="93">
        <v>237.08</v>
      </c>
      <c r="KD45" s="93">
        <v>236.25</v>
      </c>
      <c r="KE45" s="93">
        <v>235.42</v>
      </c>
      <c r="KF45" s="93">
        <v>234.6</v>
      </c>
      <c r="KG45" s="93">
        <v>233.77</v>
      </c>
      <c r="KH45" s="93">
        <v>232.95</v>
      </c>
      <c r="KI45" s="93">
        <v>232.13</v>
      </c>
      <c r="KJ45" s="93">
        <v>231.3</v>
      </c>
      <c r="KK45" s="93">
        <v>230.49</v>
      </c>
      <c r="KL45" s="93">
        <v>229.67</v>
      </c>
      <c r="KM45" s="93">
        <v>228.85</v>
      </c>
      <c r="KN45" s="93">
        <v>228.03</v>
      </c>
      <c r="KO45" s="93">
        <v>227.22</v>
      </c>
      <c r="KP45" s="93">
        <v>226.41</v>
      </c>
      <c r="KQ45" s="93">
        <v>225.6</v>
      </c>
      <c r="KR45" s="93">
        <v>224.57000000000033</v>
      </c>
      <c r="KS45" s="93">
        <v>223.82000000000033</v>
      </c>
      <c r="KT45" s="93">
        <v>223.07000000000033</v>
      </c>
      <c r="KU45" s="93">
        <v>222.32000000000033</v>
      </c>
      <c r="KV45" s="93">
        <v>221.57000000000033</v>
      </c>
      <c r="KW45" s="93">
        <v>220.82000000000033</v>
      </c>
      <c r="KX45" s="93">
        <v>220.07000000000033</v>
      </c>
      <c r="KY45" s="93">
        <v>219.32000000000033</v>
      </c>
      <c r="KZ45" s="93">
        <v>218.57000000000033</v>
      </c>
      <c r="LA45" s="93">
        <v>217.82000000000033</v>
      </c>
      <c r="LB45" s="93">
        <v>217.07000000000033</v>
      </c>
      <c r="LC45" s="93">
        <v>216.32000000000033</v>
      </c>
      <c r="LD45" s="93">
        <v>215.57000000000033</v>
      </c>
      <c r="LE45" s="93">
        <v>214.82000000000033</v>
      </c>
      <c r="LF45" s="93">
        <v>214.07000000000033</v>
      </c>
      <c r="LG45" s="93">
        <v>213.32000000000033</v>
      </c>
      <c r="LH45" s="93">
        <v>212.57000000000033</v>
      </c>
      <c r="LI45" s="93">
        <v>211.82000000000033</v>
      </c>
      <c r="LJ45" s="93">
        <v>211.07000000000033</v>
      </c>
      <c r="LK45" s="93">
        <v>210.32000000000033</v>
      </c>
      <c r="LL45" s="93">
        <v>209.57000000000033</v>
      </c>
      <c r="LM45" s="93">
        <v>208.82000000000033</v>
      </c>
      <c r="LN45" s="93">
        <v>208.07000000000033</v>
      </c>
      <c r="LO45" s="93">
        <v>207.32000000000033</v>
      </c>
      <c r="LP45" s="93">
        <v>206.57000000000033</v>
      </c>
      <c r="LQ45" s="93">
        <v>205.82000000000033</v>
      </c>
      <c r="LR45" s="93">
        <v>205.07000000000033</v>
      </c>
      <c r="LS45" s="93">
        <v>204.32000000000033</v>
      </c>
      <c r="LT45" s="93">
        <v>203.57000000000033</v>
      </c>
      <c r="LU45" s="93">
        <v>202.82000000000033</v>
      </c>
      <c r="LV45" s="93">
        <v>202.07000000000033</v>
      </c>
      <c r="LW45" s="93">
        <v>201.32000000000033</v>
      </c>
      <c r="LX45" s="93">
        <v>200.57000000000033</v>
      </c>
      <c r="LY45" s="93">
        <v>199.82000000000033</v>
      </c>
      <c r="LZ45" s="93">
        <v>199.07000000000033</v>
      </c>
      <c r="MA45" s="93">
        <v>198.32000000000033</v>
      </c>
      <c r="MB45" s="93">
        <v>197.57000000000033</v>
      </c>
      <c r="MC45" s="93">
        <v>196.82000000000033</v>
      </c>
      <c r="MD45" s="93">
        <v>196.07000000000033</v>
      </c>
      <c r="ME45" s="93">
        <v>195.32000000000033</v>
      </c>
      <c r="MF45" s="93">
        <v>194.57000000000033</v>
      </c>
      <c r="MG45" s="93">
        <v>193.82000000000033</v>
      </c>
      <c r="MH45" s="93">
        <v>193.07000000000033</v>
      </c>
      <c r="MI45" s="93">
        <v>192.32000000000033</v>
      </c>
      <c r="MJ45" s="93">
        <v>191.57000000000033</v>
      </c>
      <c r="MK45" s="93">
        <v>190.82000000000033</v>
      </c>
      <c r="ML45" s="93">
        <v>190.07000000000033</v>
      </c>
      <c r="MM45" s="93">
        <v>189.32000000000033</v>
      </c>
      <c r="MN45" s="93">
        <v>188.57000000000033</v>
      </c>
      <c r="MO45" s="93">
        <v>187.82000000000033</v>
      </c>
      <c r="MP45" s="93">
        <v>187.07000000000033</v>
      </c>
      <c r="MQ45" s="93">
        <v>186.32000000000033</v>
      </c>
      <c r="MR45" s="93">
        <v>185.57000000000033</v>
      </c>
      <c r="MS45" s="93">
        <v>184.82000000000033</v>
      </c>
      <c r="MT45" s="93">
        <v>184.07000000000033</v>
      </c>
      <c r="MU45" s="93">
        <v>183.32000000000033</v>
      </c>
      <c r="MV45" s="93">
        <v>182.57000000000033</v>
      </c>
      <c r="MW45" s="93">
        <v>181.82000000000033</v>
      </c>
      <c r="MX45" s="93">
        <v>181.07000000000033</v>
      </c>
      <c r="MY45" s="93">
        <v>180.32000000000033</v>
      </c>
    </row>
    <row r="46" spans="1:363" ht="15.75" x14ac:dyDescent="0.25">
      <c r="A46" s="90" t="s">
        <v>7</v>
      </c>
      <c r="B46" s="95">
        <v>2056</v>
      </c>
      <c r="C46" s="93">
        <v>511.46</v>
      </c>
      <c r="D46" s="93">
        <v>510.43</v>
      </c>
      <c r="E46" s="93">
        <v>509.4</v>
      </c>
      <c r="F46" s="93">
        <v>508.38</v>
      </c>
      <c r="G46" s="93">
        <v>507.35</v>
      </c>
      <c r="H46" s="93">
        <v>506.33</v>
      </c>
      <c r="I46" s="93">
        <v>505.3</v>
      </c>
      <c r="J46" s="93">
        <v>504.28</v>
      </c>
      <c r="K46" s="93">
        <v>503.25</v>
      </c>
      <c r="L46" s="93">
        <v>502.22</v>
      </c>
      <c r="M46" s="93">
        <v>501.2</v>
      </c>
      <c r="N46" s="93">
        <v>500.17</v>
      </c>
      <c r="O46" s="93">
        <v>499.15</v>
      </c>
      <c r="P46" s="93">
        <v>498.12</v>
      </c>
      <c r="Q46" s="93">
        <v>497.1</v>
      </c>
      <c r="R46" s="93">
        <v>496.07</v>
      </c>
      <c r="S46" s="93">
        <v>495.05</v>
      </c>
      <c r="T46" s="93">
        <v>494.02</v>
      </c>
      <c r="U46" s="93">
        <v>493</v>
      </c>
      <c r="V46" s="93">
        <v>491.97</v>
      </c>
      <c r="W46" s="93">
        <v>490.94</v>
      </c>
      <c r="X46" s="93">
        <v>489.92</v>
      </c>
      <c r="Y46" s="93">
        <v>488.89</v>
      </c>
      <c r="Z46" s="93">
        <v>487.87</v>
      </c>
      <c r="AA46" s="93">
        <v>486.84</v>
      </c>
      <c r="AB46" s="93">
        <v>485.82</v>
      </c>
      <c r="AC46" s="93">
        <v>484.79</v>
      </c>
      <c r="AD46" s="93">
        <v>483.77</v>
      </c>
      <c r="AE46" s="93">
        <v>482.74</v>
      </c>
      <c r="AF46" s="93">
        <v>481.72</v>
      </c>
      <c r="AG46" s="93">
        <v>480.69</v>
      </c>
      <c r="AH46" s="93">
        <v>479.67</v>
      </c>
      <c r="AI46" s="93">
        <v>478.64</v>
      </c>
      <c r="AJ46" s="93">
        <v>477.62</v>
      </c>
      <c r="AK46" s="93">
        <v>476.59</v>
      </c>
      <c r="AL46" s="93">
        <v>475.57</v>
      </c>
      <c r="AM46" s="93">
        <v>474.54</v>
      </c>
      <c r="AN46" s="93">
        <v>473.52</v>
      </c>
      <c r="AO46" s="93">
        <v>472.49</v>
      </c>
      <c r="AP46" s="93">
        <v>471.47</v>
      </c>
      <c r="AQ46" s="93">
        <v>470.44</v>
      </c>
      <c r="AR46" s="93">
        <v>469.42</v>
      </c>
      <c r="AS46" s="93">
        <v>468.4</v>
      </c>
      <c r="AT46" s="93">
        <v>467.37</v>
      </c>
      <c r="AU46" s="93">
        <v>466.35</v>
      </c>
      <c r="AV46" s="93">
        <v>465.32</v>
      </c>
      <c r="AW46" s="93">
        <v>464.3</v>
      </c>
      <c r="AX46" s="93">
        <v>463.28</v>
      </c>
      <c r="AY46" s="93">
        <v>462.25</v>
      </c>
      <c r="AZ46" s="93">
        <v>461.23</v>
      </c>
      <c r="BA46" s="93">
        <v>460.21</v>
      </c>
      <c r="BB46" s="93">
        <v>459.18</v>
      </c>
      <c r="BC46" s="93">
        <v>458.16</v>
      </c>
      <c r="BD46" s="93">
        <v>457.14</v>
      </c>
      <c r="BE46" s="93">
        <v>456.12</v>
      </c>
      <c r="BF46" s="93">
        <v>455.09</v>
      </c>
      <c r="BG46" s="93">
        <v>454.07</v>
      </c>
      <c r="BH46" s="93">
        <v>453.05</v>
      </c>
      <c r="BI46" s="93">
        <v>452.03</v>
      </c>
      <c r="BJ46" s="93">
        <v>451</v>
      </c>
      <c r="BK46" s="93">
        <v>449.98</v>
      </c>
      <c r="BL46" s="93">
        <v>448.96</v>
      </c>
      <c r="BM46" s="93">
        <v>447.94</v>
      </c>
      <c r="BN46" s="93">
        <v>446.92</v>
      </c>
      <c r="BO46" s="93">
        <v>445.9</v>
      </c>
      <c r="BP46" s="93">
        <v>444.88</v>
      </c>
      <c r="BQ46" s="93">
        <v>443.86</v>
      </c>
      <c r="BR46" s="93">
        <v>442.84</v>
      </c>
      <c r="BS46" s="93">
        <v>441.82</v>
      </c>
      <c r="BT46" s="93">
        <v>440.8</v>
      </c>
      <c r="BU46" s="93">
        <v>439.78</v>
      </c>
      <c r="BV46" s="93">
        <v>438.76</v>
      </c>
      <c r="BW46" s="93">
        <v>437.74</v>
      </c>
      <c r="BX46" s="93">
        <v>436.72</v>
      </c>
      <c r="BY46" s="93">
        <v>435.71</v>
      </c>
      <c r="BZ46" s="93">
        <v>434.69</v>
      </c>
      <c r="CA46" s="93">
        <v>433.67</v>
      </c>
      <c r="CB46" s="93">
        <v>432.66</v>
      </c>
      <c r="CC46" s="93">
        <v>431.64</v>
      </c>
      <c r="CD46" s="93">
        <v>430.62</v>
      </c>
      <c r="CE46" s="93">
        <v>429.61</v>
      </c>
      <c r="CF46" s="93">
        <v>428.59</v>
      </c>
      <c r="CG46" s="93">
        <v>427.57</v>
      </c>
      <c r="CH46" s="93">
        <v>426.56</v>
      </c>
      <c r="CI46" s="93">
        <v>425.54</v>
      </c>
      <c r="CJ46" s="93">
        <v>424.53</v>
      </c>
      <c r="CK46" s="93">
        <v>423.52</v>
      </c>
      <c r="CL46" s="93">
        <v>422.51</v>
      </c>
      <c r="CM46" s="93">
        <v>421.5</v>
      </c>
      <c r="CN46" s="93">
        <v>420.49</v>
      </c>
      <c r="CO46" s="93">
        <v>419.47</v>
      </c>
      <c r="CP46" s="93">
        <v>418.46</v>
      </c>
      <c r="CQ46" s="93">
        <v>417.45</v>
      </c>
      <c r="CR46" s="93">
        <v>416.44</v>
      </c>
      <c r="CS46" s="93">
        <v>415.43</v>
      </c>
      <c r="CT46" s="93">
        <v>414.42</v>
      </c>
      <c r="CU46" s="93">
        <v>413.41</v>
      </c>
      <c r="CV46" s="93">
        <v>412.4</v>
      </c>
      <c r="CW46" s="93">
        <v>411.4</v>
      </c>
      <c r="CX46" s="93">
        <v>410.39</v>
      </c>
      <c r="CY46" s="93">
        <v>409.39</v>
      </c>
      <c r="CZ46" s="93">
        <v>408.38</v>
      </c>
      <c r="DA46" s="93">
        <v>407.38</v>
      </c>
      <c r="DB46" s="93">
        <v>406.37</v>
      </c>
      <c r="DC46" s="93">
        <v>405.37</v>
      </c>
      <c r="DD46" s="93">
        <v>404.37</v>
      </c>
      <c r="DE46" s="93">
        <v>403.36</v>
      </c>
      <c r="DF46" s="93">
        <v>402.36</v>
      </c>
      <c r="DG46" s="93">
        <v>401.35</v>
      </c>
      <c r="DH46" s="93">
        <v>400.35</v>
      </c>
      <c r="DI46" s="93">
        <v>399.36</v>
      </c>
      <c r="DJ46" s="93">
        <v>398.36</v>
      </c>
      <c r="DK46" s="93">
        <v>397.36</v>
      </c>
      <c r="DL46" s="93">
        <v>396.36</v>
      </c>
      <c r="DM46" s="93">
        <v>395.37</v>
      </c>
      <c r="DN46" s="93">
        <v>394.37</v>
      </c>
      <c r="DO46" s="93">
        <v>393.37</v>
      </c>
      <c r="DP46" s="93">
        <v>392.38</v>
      </c>
      <c r="DQ46" s="93">
        <v>391.38</v>
      </c>
      <c r="DR46" s="93">
        <v>390.38</v>
      </c>
      <c r="DS46" s="93">
        <v>389.39</v>
      </c>
      <c r="DT46" s="93">
        <v>388.4</v>
      </c>
      <c r="DU46" s="93">
        <v>387.41</v>
      </c>
      <c r="DV46" s="93">
        <v>386.42</v>
      </c>
      <c r="DW46" s="93">
        <v>385.44</v>
      </c>
      <c r="DX46" s="93">
        <v>384.45</v>
      </c>
      <c r="DY46" s="93">
        <v>383.46</v>
      </c>
      <c r="DZ46" s="93">
        <v>382.47</v>
      </c>
      <c r="EA46" s="93">
        <v>381.49</v>
      </c>
      <c r="EB46" s="93">
        <v>380.5</v>
      </c>
      <c r="EC46" s="93">
        <v>379.52</v>
      </c>
      <c r="ED46" s="93">
        <v>378.53</v>
      </c>
      <c r="EE46" s="93">
        <v>377.55</v>
      </c>
      <c r="EF46" s="93">
        <v>376.57</v>
      </c>
      <c r="EG46" s="93">
        <v>375.59</v>
      </c>
      <c r="EH46" s="93">
        <v>374.62</v>
      </c>
      <c r="EI46" s="93">
        <v>373.64</v>
      </c>
      <c r="EJ46" s="93">
        <v>372.67</v>
      </c>
      <c r="EK46" s="93">
        <v>371.7</v>
      </c>
      <c r="EL46" s="93">
        <v>370.72</v>
      </c>
      <c r="EM46" s="93">
        <v>369.75</v>
      </c>
      <c r="EN46" s="93">
        <v>368.78</v>
      </c>
      <c r="EO46" s="93">
        <v>367.81</v>
      </c>
      <c r="EP46" s="93">
        <v>366.83</v>
      </c>
      <c r="EQ46" s="93">
        <v>365.86</v>
      </c>
      <c r="ER46" s="93">
        <v>364.9</v>
      </c>
      <c r="ES46" s="93">
        <v>363.93</v>
      </c>
      <c r="ET46" s="93">
        <v>362.97</v>
      </c>
      <c r="EU46" s="93">
        <v>362</v>
      </c>
      <c r="EV46" s="93">
        <v>361.04</v>
      </c>
      <c r="EW46" s="93">
        <v>360.08</v>
      </c>
      <c r="EX46" s="93">
        <v>359.11</v>
      </c>
      <c r="EY46" s="93">
        <v>358.15</v>
      </c>
      <c r="EZ46" s="93">
        <v>357.19</v>
      </c>
      <c r="FA46" s="93">
        <v>356.23</v>
      </c>
      <c r="FB46" s="93">
        <v>355.27</v>
      </c>
      <c r="FC46" s="93">
        <v>354.31</v>
      </c>
      <c r="FD46" s="93">
        <v>353.35</v>
      </c>
      <c r="FE46" s="93">
        <v>352.39</v>
      </c>
      <c r="FF46" s="93">
        <v>351.43</v>
      </c>
      <c r="FG46" s="93">
        <v>350.48</v>
      </c>
      <c r="FH46" s="93">
        <v>349.52</v>
      </c>
      <c r="FI46" s="93">
        <v>348.57</v>
      </c>
      <c r="FJ46" s="93">
        <v>347.61</v>
      </c>
      <c r="FK46" s="93">
        <v>346.66</v>
      </c>
      <c r="FL46" s="93">
        <v>345.7</v>
      </c>
      <c r="FM46" s="93">
        <v>344.75</v>
      </c>
      <c r="FN46" s="93">
        <v>343.8</v>
      </c>
      <c r="FO46" s="93">
        <v>342.84</v>
      </c>
      <c r="FP46" s="93">
        <v>341.89</v>
      </c>
      <c r="FQ46" s="93">
        <v>340.94</v>
      </c>
      <c r="FR46" s="93">
        <v>339.99</v>
      </c>
      <c r="FS46" s="93">
        <v>339.05</v>
      </c>
      <c r="FT46" s="93">
        <v>338.1</v>
      </c>
      <c r="FU46" s="93">
        <v>337.15</v>
      </c>
      <c r="FV46" s="93">
        <v>336.2</v>
      </c>
      <c r="FW46" s="93">
        <v>335.26</v>
      </c>
      <c r="FX46" s="93">
        <v>334.31</v>
      </c>
      <c r="FY46" s="93">
        <v>333.37</v>
      </c>
      <c r="FZ46" s="93">
        <v>332.42</v>
      </c>
      <c r="GA46" s="93">
        <v>331.48</v>
      </c>
      <c r="GB46" s="93">
        <v>330.54</v>
      </c>
      <c r="GC46" s="93">
        <v>329.6</v>
      </c>
      <c r="GD46" s="93">
        <v>328.66</v>
      </c>
      <c r="GE46" s="93">
        <v>327.72</v>
      </c>
      <c r="GF46" s="93">
        <v>326.77999999999997</v>
      </c>
      <c r="GG46" s="93">
        <v>325.83999999999997</v>
      </c>
      <c r="GH46" s="93">
        <v>324.91000000000003</v>
      </c>
      <c r="GI46" s="93">
        <v>323.97000000000003</v>
      </c>
      <c r="GJ46" s="93">
        <v>323.02999999999997</v>
      </c>
      <c r="GK46" s="93">
        <v>322.10000000000002</v>
      </c>
      <c r="GL46" s="93">
        <v>321.17</v>
      </c>
      <c r="GM46" s="93">
        <v>320.23</v>
      </c>
      <c r="GN46" s="93">
        <v>319.29000000000002</v>
      </c>
      <c r="GO46" s="93">
        <v>318.37</v>
      </c>
      <c r="GP46" s="93">
        <v>317.45</v>
      </c>
      <c r="GQ46" s="93">
        <v>316.51</v>
      </c>
      <c r="GR46" s="93">
        <v>315.58999999999997</v>
      </c>
      <c r="GS46" s="93">
        <v>314.67</v>
      </c>
      <c r="GT46" s="93">
        <v>313.74</v>
      </c>
      <c r="GU46" s="93">
        <v>312.82</v>
      </c>
      <c r="GV46" s="93">
        <v>311.89</v>
      </c>
      <c r="GW46" s="93">
        <v>310.97000000000003</v>
      </c>
      <c r="GX46" s="93">
        <v>310.04000000000002</v>
      </c>
      <c r="GY46" s="93">
        <v>309.13</v>
      </c>
      <c r="GZ46" s="93">
        <v>308.20999999999998</v>
      </c>
      <c r="HA46" s="93">
        <v>307.29000000000002</v>
      </c>
      <c r="HB46" s="93">
        <v>306.38</v>
      </c>
      <c r="HC46" s="93">
        <v>305.45999999999998</v>
      </c>
      <c r="HD46" s="93">
        <v>304.54000000000002</v>
      </c>
      <c r="HE46" s="93">
        <v>303.63</v>
      </c>
      <c r="HF46" s="93">
        <v>302.72000000000003</v>
      </c>
      <c r="HG46" s="93">
        <v>301.81</v>
      </c>
      <c r="HH46" s="93">
        <v>300.89999999999998</v>
      </c>
      <c r="HI46" s="93">
        <v>299.99</v>
      </c>
      <c r="HJ46" s="93">
        <v>299.07</v>
      </c>
      <c r="HK46" s="93">
        <v>298.18</v>
      </c>
      <c r="HL46" s="93">
        <v>297.26</v>
      </c>
      <c r="HM46" s="93">
        <v>296.37</v>
      </c>
      <c r="HN46" s="93">
        <v>295.47000000000003</v>
      </c>
      <c r="HO46" s="93">
        <v>294.56</v>
      </c>
      <c r="HP46" s="93">
        <v>293.66000000000003</v>
      </c>
      <c r="HQ46" s="93">
        <v>292.76</v>
      </c>
      <c r="HR46" s="93">
        <v>291.87</v>
      </c>
      <c r="HS46" s="93">
        <v>290.97000000000003</v>
      </c>
      <c r="HT46" s="93">
        <v>290.07</v>
      </c>
      <c r="HU46" s="93">
        <v>289.18</v>
      </c>
      <c r="HV46" s="93">
        <v>288.29000000000002</v>
      </c>
      <c r="HW46" s="93">
        <v>287.39</v>
      </c>
      <c r="HX46" s="93">
        <v>286.5</v>
      </c>
      <c r="HY46" s="93">
        <v>285.60000000000002</v>
      </c>
      <c r="HZ46" s="93">
        <v>284.72000000000003</v>
      </c>
      <c r="IA46" s="93">
        <v>283.82</v>
      </c>
      <c r="IB46" s="93">
        <v>282.95</v>
      </c>
      <c r="IC46" s="93">
        <v>282.06</v>
      </c>
      <c r="ID46" s="93">
        <v>281.17</v>
      </c>
      <c r="IE46" s="93">
        <v>280.29000000000002</v>
      </c>
      <c r="IF46" s="93">
        <v>279.41000000000003</v>
      </c>
      <c r="IG46" s="93">
        <v>278.51</v>
      </c>
      <c r="IH46" s="93">
        <v>277.64</v>
      </c>
      <c r="II46" s="93">
        <v>276.76</v>
      </c>
      <c r="IJ46" s="93">
        <v>275.88</v>
      </c>
      <c r="IK46" s="93">
        <v>275.01</v>
      </c>
      <c r="IL46" s="93">
        <v>274.13</v>
      </c>
      <c r="IM46" s="93">
        <v>273.25</v>
      </c>
      <c r="IN46" s="93">
        <v>272.38</v>
      </c>
      <c r="IO46" s="93">
        <v>271.51</v>
      </c>
      <c r="IP46" s="93">
        <v>270.63</v>
      </c>
      <c r="IQ46" s="93">
        <v>269.76</v>
      </c>
      <c r="IR46" s="93">
        <v>268.89</v>
      </c>
      <c r="IS46" s="93">
        <v>268.01</v>
      </c>
      <c r="IT46" s="93">
        <v>267.16000000000003</v>
      </c>
      <c r="IU46" s="93">
        <v>266.29000000000002</v>
      </c>
      <c r="IV46" s="93">
        <v>265.43</v>
      </c>
      <c r="IW46" s="93">
        <v>264.57</v>
      </c>
      <c r="IX46" s="93">
        <v>263.7</v>
      </c>
      <c r="IY46" s="93">
        <v>262.83999999999997</v>
      </c>
      <c r="IZ46" s="93">
        <v>261.98</v>
      </c>
      <c r="JA46" s="93">
        <v>261.13</v>
      </c>
      <c r="JB46" s="93">
        <v>260.26</v>
      </c>
      <c r="JC46" s="93">
        <v>259.41000000000003</v>
      </c>
      <c r="JD46" s="93">
        <v>258.56</v>
      </c>
      <c r="JE46" s="93">
        <v>257.7</v>
      </c>
      <c r="JF46" s="93">
        <v>256.85000000000002</v>
      </c>
      <c r="JG46" s="93">
        <v>256</v>
      </c>
      <c r="JH46" s="93">
        <v>255.15</v>
      </c>
      <c r="JI46" s="93">
        <v>254.3</v>
      </c>
      <c r="JJ46" s="93">
        <v>253.45</v>
      </c>
      <c r="JK46" s="93">
        <v>252.61</v>
      </c>
      <c r="JL46" s="93">
        <v>251.76</v>
      </c>
      <c r="JM46" s="93">
        <v>250.91</v>
      </c>
      <c r="JN46" s="93">
        <v>250.07</v>
      </c>
      <c r="JO46" s="93">
        <v>249.23</v>
      </c>
      <c r="JP46" s="93">
        <v>248.38</v>
      </c>
      <c r="JQ46" s="93">
        <v>247.54</v>
      </c>
      <c r="JR46" s="93">
        <v>246.7</v>
      </c>
      <c r="JS46" s="93">
        <v>245.86</v>
      </c>
      <c r="JT46" s="93">
        <v>245.02</v>
      </c>
      <c r="JU46" s="93">
        <v>244.19</v>
      </c>
      <c r="JV46" s="93">
        <v>243.35</v>
      </c>
      <c r="JW46" s="93">
        <v>242.52</v>
      </c>
      <c r="JX46" s="93">
        <v>241.68</v>
      </c>
      <c r="JY46" s="93">
        <v>240.85</v>
      </c>
      <c r="JZ46" s="93">
        <v>240.02</v>
      </c>
      <c r="KA46" s="93">
        <v>239.19</v>
      </c>
      <c r="KB46" s="93">
        <v>238.36</v>
      </c>
      <c r="KC46" s="93">
        <v>237.53</v>
      </c>
      <c r="KD46" s="93">
        <v>236.7</v>
      </c>
      <c r="KE46" s="93">
        <v>235.87</v>
      </c>
      <c r="KF46" s="93">
        <v>235.05</v>
      </c>
      <c r="KG46" s="93">
        <v>234.22</v>
      </c>
      <c r="KH46" s="93">
        <v>233.4</v>
      </c>
      <c r="KI46" s="93">
        <v>232.58</v>
      </c>
      <c r="KJ46" s="93">
        <v>231.75</v>
      </c>
      <c r="KK46" s="93">
        <v>230.93</v>
      </c>
      <c r="KL46" s="93">
        <v>230.12</v>
      </c>
      <c r="KM46" s="93">
        <v>229.3</v>
      </c>
      <c r="KN46" s="93">
        <v>228.48</v>
      </c>
      <c r="KO46" s="93">
        <v>227.67</v>
      </c>
      <c r="KP46" s="93">
        <v>226.85</v>
      </c>
      <c r="KQ46" s="93">
        <v>226.04</v>
      </c>
      <c r="KR46" s="93">
        <v>225.03000000000034</v>
      </c>
      <c r="KS46" s="93">
        <v>224.28000000000034</v>
      </c>
      <c r="KT46" s="93">
        <v>223.53000000000034</v>
      </c>
      <c r="KU46" s="93">
        <v>222.78000000000034</v>
      </c>
      <c r="KV46" s="93">
        <v>222.03000000000034</v>
      </c>
      <c r="KW46" s="93">
        <v>221.28000000000034</v>
      </c>
      <c r="KX46" s="93">
        <v>220.53000000000034</v>
      </c>
      <c r="KY46" s="93">
        <v>219.78000000000034</v>
      </c>
      <c r="KZ46" s="93">
        <v>219.03000000000034</v>
      </c>
      <c r="LA46" s="93">
        <v>218.28000000000034</v>
      </c>
      <c r="LB46" s="93">
        <v>217.53000000000034</v>
      </c>
      <c r="LC46" s="93">
        <v>216.78000000000034</v>
      </c>
      <c r="LD46" s="93">
        <v>216.03000000000034</v>
      </c>
      <c r="LE46" s="93">
        <v>215.28000000000034</v>
      </c>
      <c r="LF46" s="93">
        <v>214.53000000000034</v>
      </c>
      <c r="LG46" s="93">
        <v>213.78000000000034</v>
      </c>
      <c r="LH46" s="93">
        <v>213.03000000000034</v>
      </c>
      <c r="LI46" s="93">
        <v>212.28000000000034</v>
      </c>
      <c r="LJ46" s="93">
        <v>211.53000000000034</v>
      </c>
      <c r="LK46" s="93">
        <v>210.78000000000034</v>
      </c>
      <c r="LL46" s="93">
        <v>210.03000000000034</v>
      </c>
      <c r="LM46" s="93">
        <v>209.28000000000034</v>
      </c>
      <c r="LN46" s="93">
        <v>208.53000000000034</v>
      </c>
      <c r="LO46" s="93">
        <v>207.78000000000034</v>
      </c>
      <c r="LP46" s="93">
        <v>207.03000000000034</v>
      </c>
      <c r="LQ46" s="93">
        <v>206.28000000000034</v>
      </c>
      <c r="LR46" s="93">
        <v>205.53000000000034</v>
      </c>
      <c r="LS46" s="93">
        <v>204.78000000000034</v>
      </c>
      <c r="LT46" s="93">
        <v>204.03000000000034</v>
      </c>
      <c r="LU46" s="93">
        <v>203.28000000000034</v>
      </c>
      <c r="LV46" s="93">
        <v>202.53000000000034</v>
      </c>
      <c r="LW46" s="93">
        <v>201.78000000000034</v>
      </c>
      <c r="LX46" s="93">
        <v>201.03000000000034</v>
      </c>
      <c r="LY46" s="93">
        <v>200.28000000000034</v>
      </c>
      <c r="LZ46" s="93">
        <v>199.53000000000034</v>
      </c>
      <c r="MA46" s="93">
        <v>198.78000000000034</v>
      </c>
      <c r="MB46" s="93">
        <v>198.03000000000034</v>
      </c>
      <c r="MC46" s="93">
        <v>197.28000000000034</v>
      </c>
      <c r="MD46" s="93">
        <v>196.53000000000034</v>
      </c>
      <c r="ME46" s="93">
        <v>195.78000000000034</v>
      </c>
      <c r="MF46" s="93">
        <v>195.03000000000034</v>
      </c>
      <c r="MG46" s="93">
        <v>194.28000000000034</v>
      </c>
      <c r="MH46" s="93">
        <v>193.53000000000034</v>
      </c>
      <c r="MI46" s="93">
        <v>192.78000000000034</v>
      </c>
      <c r="MJ46" s="93">
        <v>192.03000000000034</v>
      </c>
      <c r="MK46" s="93">
        <v>191.28000000000034</v>
      </c>
      <c r="ML46" s="93">
        <v>190.53000000000034</v>
      </c>
      <c r="MM46" s="93">
        <v>189.78000000000034</v>
      </c>
      <c r="MN46" s="93">
        <v>189.03000000000034</v>
      </c>
      <c r="MO46" s="93">
        <v>188.28000000000034</v>
      </c>
      <c r="MP46" s="93">
        <v>187.53000000000034</v>
      </c>
      <c r="MQ46" s="93">
        <v>186.78000000000034</v>
      </c>
      <c r="MR46" s="93">
        <v>186.03000000000034</v>
      </c>
      <c r="MS46" s="93">
        <v>185.28000000000034</v>
      </c>
      <c r="MT46" s="93">
        <v>184.53000000000034</v>
      </c>
      <c r="MU46" s="93">
        <v>183.78000000000034</v>
      </c>
      <c r="MV46" s="93">
        <v>183.03000000000034</v>
      </c>
      <c r="MW46" s="93">
        <v>182.28000000000034</v>
      </c>
      <c r="MX46" s="93">
        <v>181.53000000000034</v>
      </c>
      <c r="MY46" s="93">
        <v>180.78000000000034</v>
      </c>
    </row>
    <row r="47" spans="1:363" ht="15.75" x14ac:dyDescent="0.25">
      <c r="A47" s="90" t="s">
        <v>7</v>
      </c>
      <c r="B47" s="95">
        <v>2057</v>
      </c>
      <c r="C47" s="93">
        <v>512</v>
      </c>
      <c r="D47" s="93">
        <v>510.97</v>
      </c>
      <c r="E47" s="93">
        <v>509.94</v>
      </c>
      <c r="F47" s="93">
        <v>508.92</v>
      </c>
      <c r="G47" s="93">
        <v>507.89</v>
      </c>
      <c r="H47" s="93">
        <v>506.87</v>
      </c>
      <c r="I47" s="93">
        <v>505.84</v>
      </c>
      <c r="J47" s="93">
        <v>504.81</v>
      </c>
      <c r="K47" s="93">
        <v>503.79</v>
      </c>
      <c r="L47" s="93">
        <v>502.76</v>
      </c>
      <c r="M47" s="93">
        <v>501.74</v>
      </c>
      <c r="N47" s="93">
        <v>500.71</v>
      </c>
      <c r="O47" s="93">
        <v>499.69</v>
      </c>
      <c r="P47" s="93">
        <v>498.66</v>
      </c>
      <c r="Q47" s="93">
        <v>497.64</v>
      </c>
      <c r="R47" s="93">
        <v>496.61</v>
      </c>
      <c r="S47" s="93">
        <v>495.58</v>
      </c>
      <c r="T47" s="93">
        <v>494.56</v>
      </c>
      <c r="U47" s="93">
        <v>493.53</v>
      </c>
      <c r="V47" s="93">
        <v>492.51</v>
      </c>
      <c r="W47" s="93">
        <v>491.48</v>
      </c>
      <c r="X47" s="93">
        <v>490.46</v>
      </c>
      <c r="Y47" s="93">
        <v>489.43</v>
      </c>
      <c r="Z47" s="93">
        <v>488.41</v>
      </c>
      <c r="AA47" s="93">
        <v>487.38</v>
      </c>
      <c r="AB47" s="93">
        <v>486.35</v>
      </c>
      <c r="AC47" s="93">
        <v>485.33</v>
      </c>
      <c r="AD47" s="93">
        <v>484.3</v>
      </c>
      <c r="AE47" s="93">
        <v>483.28</v>
      </c>
      <c r="AF47" s="93">
        <v>482.25</v>
      </c>
      <c r="AG47" s="93">
        <v>481.23</v>
      </c>
      <c r="AH47" s="93">
        <v>480.2</v>
      </c>
      <c r="AI47" s="93">
        <v>479.18</v>
      </c>
      <c r="AJ47" s="93">
        <v>478.15</v>
      </c>
      <c r="AK47" s="93">
        <v>477.13</v>
      </c>
      <c r="AL47" s="93">
        <v>476.1</v>
      </c>
      <c r="AM47" s="93">
        <v>475.07</v>
      </c>
      <c r="AN47" s="93">
        <v>474.05</v>
      </c>
      <c r="AO47" s="93">
        <v>473.03</v>
      </c>
      <c r="AP47" s="93">
        <v>472</v>
      </c>
      <c r="AQ47" s="93">
        <v>470.98</v>
      </c>
      <c r="AR47" s="93">
        <v>469.95</v>
      </c>
      <c r="AS47" s="93">
        <v>468.93</v>
      </c>
      <c r="AT47" s="93">
        <v>467.9</v>
      </c>
      <c r="AU47" s="93">
        <v>466.88</v>
      </c>
      <c r="AV47" s="93">
        <v>465.86</v>
      </c>
      <c r="AW47" s="93">
        <v>464.83</v>
      </c>
      <c r="AX47" s="93">
        <v>463.81</v>
      </c>
      <c r="AY47" s="93">
        <v>462.78</v>
      </c>
      <c r="AZ47" s="93">
        <v>461.76</v>
      </c>
      <c r="BA47" s="93">
        <v>460.74</v>
      </c>
      <c r="BB47" s="93">
        <v>459.71</v>
      </c>
      <c r="BC47" s="93">
        <v>458.69</v>
      </c>
      <c r="BD47" s="93">
        <v>457.67</v>
      </c>
      <c r="BE47" s="93">
        <v>456.65</v>
      </c>
      <c r="BF47" s="93">
        <v>455.62</v>
      </c>
      <c r="BG47" s="93">
        <v>454.6</v>
      </c>
      <c r="BH47" s="93">
        <v>453.58</v>
      </c>
      <c r="BI47" s="93">
        <v>452.55</v>
      </c>
      <c r="BJ47" s="93">
        <v>451.53</v>
      </c>
      <c r="BK47" s="93">
        <v>450.51</v>
      </c>
      <c r="BL47" s="93">
        <v>449.49</v>
      </c>
      <c r="BM47" s="93">
        <v>448.47</v>
      </c>
      <c r="BN47" s="93">
        <v>447.45</v>
      </c>
      <c r="BO47" s="93">
        <v>446.43</v>
      </c>
      <c r="BP47" s="93">
        <v>445.41</v>
      </c>
      <c r="BQ47" s="93">
        <v>444.39</v>
      </c>
      <c r="BR47" s="93">
        <v>443.37</v>
      </c>
      <c r="BS47" s="93">
        <v>442.35</v>
      </c>
      <c r="BT47" s="93">
        <v>441.33</v>
      </c>
      <c r="BU47" s="93">
        <v>440.31</v>
      </c>
      <c r="BV47" s="93">
        <v>439.29</v>
      </c>
      <c r="BW47" s="93">
        <v>438.27</v>
      </c>
      <c r="BX47" s="93">
        <v>437.25</v>
      </c>
      <c r="BY47" s="93">
        <v>436.23</v>
      </c>
      <c r="BZ47" s="93">
        <v>435.21</v>
      </c>
      <c r="CA47" s="93">
        <v>434.2</v>
      </c>
      <c r="CB47" s="93">
        <v>433.18</v>
      </c>
      <c r="CC47" s="93">
        <v>432.16</v>
      </c>
      <c r="CD47" s="93">
        <v>431.15</v>
      </c>
      <c r="CE47" s="93">
        <v>430.13</v>
      </c>
      <c r="CF47" s="93">
        <v>429.11</v>
      </c>
      <c r="CG47" s="93">
        <v>428.1</v>
      </c>
      <c r="CH47" s="93">
        <v>427.08</v>
      </c>
      <c r="CI47" s="93">
        <v>426.06</v>
      </c>
      <c r="CJ47" s="93">
        <v>425.05</v>
      </c>
      <c r="CK47" s="93">
        <v>424.04</v>
      </c>
      <c r="CL47" s="93">
        <v>423.03</v>
      </c>
      <c r="CM47" s="93">
        <v>422.02</v>
      </c>
      <c r="CN47" s="93">
        <v>421.01</v>
      </c>
      <c r="CO47" s="93">
        <v>419.99</v>
      </c>
      <c r="CP47" s="93">
        <v>418.98</v>
      </c>
      <c r="CQ47" s="93">
        <v>417.97</v>
      </c>
      <c r="CR47" s="93">
        <v>416.96</v>
      </c>
      <c r="CS47" s="93">
        <v>415.95</v>
      </c>
      <c r="CT47" s="93">
        <v>414.94</v>
      </c>
      <c r="CU47" s="93">
        <v>413.93</v>
      </c>
      <c r="CV47" s="93">
        <v>412.92</v>
      </c>
      <c r="CW47" s="93">
        <v>411.92</v>
      </c>
      <c r="CX47" s="93">
        <v>410.91</v>
      </c>
      <c r="CY47" s="93">
        <v>409.91</v>
      </c>
      <c r="CZ47" s="93">
        <v>408.9</v>
      </c>
      <c r="DA47" s="93">
        <v>407.89</v>
      </c>
      <c r="DB47" s="93">
        <v>406.89</v>
      </c>
      <c r="DC47" s="93">
        <v>405.89</v>
      </c>
      <c r="DD47" s="93">
        <v>404.88</v>
      </c>
      <c r="DE47" s="93">
        <v>403.88</v>
      </c>
      <c r="DF47" s="93">
        <v>402.87</v>
      </c>
      <c r="DG47" s="93">
        <v>401.87</v>
      </c>
      <c r="DH47" s="93">
        <v>400.87</v>
      </c>
      <c r="DI47" s="93">
        <v>399.87</v>
      </c>
      <c r="DJ47" s="93">
        <v>398.87</v>
      </c>
      <c r="DK47" s="93">
        <v>397.87</v>
      </c>
      <c r="DL47" s="93">
        <v>396.88</v>
      </c>
      <c r="DM47" s="93">
        <v>395.88</v>
      </c>
      <c r="DN47" s="93">
        <v>394.88</v>
      </c>
      <c r="DO47" s="93">
        <v>393.89</v>
      </c>
      <c r="DP47" s="93">
        <v>392.89</v>
      </c>
      <c r="DQ47" s="93">
        <v>391.89</v>
      </c>
      <c r="DR47" s="93">
        <v>390.9</v>
      </c>
      <c r="DS47" s="93">
        <v>389.9</v>
      </c>
      <c r="DT47" s="93">
        <v>388.91</v>
      </c>
      <c r="DU47" s="93">
        <v>387.92</v>
      </c>
      <c r="DV47" s="93">
        <v>386.93</v>
      </c>
      <c r="DW47" s="93">
        <v>385.95</v>
      </c>
      <c r="DX47" s="93">
        <v>384.96</v>
      </c>
      <c r="DY47" s="93">
        <v>383.97</v>
      </c>
      <c r="DZ47" s="93">
        <v>382.98</v>
      </c>
      <c r="EA47" s="93">
        <v>382</v>
      </c>
      <c r="EB47" s="93">
        <v>381.01</v>
      </c>
      <c r="EC47" s="93">
        <v>380.02</v>
      </c>
      <c r="ED47" s="93">
        <v>379.04</v>
      </c>
      <c r="EE47" s="93">
        <v>378.05</v>
      </c>
      <c r="EF47" s="93">
        <v>377.08</v>
      </c>
      <c r="EG47" s="93">
        <v>376.1</v>
      </c>
      <c r="EH47" s="93">
        <v>375.13</v>
      </c>
      <c r="EI47" s="93">
        <v>374.15</v>
      </c>
      <c r="EJ47" s="93">
        <v>373.18</v>
      </c>
      <c r="EK47" s="93">
        <v>372.2</v>
      </c>
      <c r="EL47" s="93">
        <v>371.23</v>
      </c>
      <c r="EM47" s="93">
        <v>370.26</v>
      </c>
      <c r="EN47" s="93">
        <v>369.28</v>
      </c>
      <c r="EO47" s="93">
        <v>368.31</v>
      </c>
      <c r="EP47" s="93">
        <v>367.34</v>
      </c>
      <c r="EQ47" s="93">
        <v>366.37</v>
      </c>
      <c r="ER47" s="93">
        <v>365.4</v>
      </c>
      <c r="ES47" s="93">
        <v>364.44</v>
      </c>
      <c r="ET47" s="93">
        <v>363.47</v>
      </c>
      <c r="EU47" s="93">
        <v>362.51</v>
      </c>
      <c r="EV47" s="93">
        <v>361.54</v>
      </c>
      <c r="EW47" s="93">
        <v>360.58</v>
      </c>
      <c r="EX47" s="93">
        <v>359.62</v>
      </c>
      <c r="EY47" s="93">
        <v>358.66</v>
      </c>
      <c r="EZ47" s="93">
        <v>357.69</v>
      </c>
      <c r="FA47" s="93">
        <v>356.73</v>
      </c>
      <c r="FB47" s="93">
        <v>355.77</v>
      </c>
      <c r="FC47" s="93">
        <v>354.81</v>
      </c>
      <c r="FD47" s="93">
        <v>353.85</v>
      </c>
      <c r="FE47" s="93">
        <v>352.89</v>
      </c>
      <c r="FF47" s="93">
        <v>351.94</v>
      </c>
      <c r="FG47" s="93">
        <v>350.98</v>
      </c>
      <c r="FH47" s="93">
        <v>350.02</v>
      </c>
      <c r="FI47" s="93">
        <v>349.07</v>
      </c>
      <c r="FJ47" s="93">
        <v>348.11</v>
      </c>
      <c r="FK47" s="93">
        <v>347.16</v>
      </c>
      <c r="FL47" s="93">
        <v>346.2</v>
      </c>
      <c r="FM47" s="93">
        <v>345.25</v>
      </c>
      <c r="FN47" s="93">
        <v>344.3</v>
      </c>
      <c r="FO47" s="93">
        <v>343.34</v>
      </c>
      <c r="FP47" s="93">
        <v>342.39</v>
      </c>
      <c r="FQ47" s="93">
        <v>341.44</v>
      </c>
      <c r="FR47" s="93">
        <v>340.49</v>
      </c>
      <c r="FS47" s="93">
        <v>339.54</v>
      </c>
      <c r="FT47" s="93">
        <v>338.6</v>
      </c>
      <c r="FU47" s="93">
        <v>337.65</v>
      </c>
      <c r="FV47" s="93">
        <v>336.7</v>
      </c>
      <c r="FW47" s="93">
        <v>335.76</v>
      </c>
      <c r="FX47" s="93">
        <v>334.81</v>
      </c>
      <c r="FY47" s="93">
        <v>333.87</v>
      </c>
      <c r="FZ47" s="93">
        <v>332.92</v>
      </c>
      <c r="GA47" s="93">
        <v>331.98</v>
      </c>
      <c r="GB47" s="93">
        <v>331.04</v>
      </c>
      <c r="GC47" s="93">
        <v>330.09</v>
      </c>
      <c r="GD47" s="93">
        <v>329.15</v>
      </c>
      <c r="GE47" s="93">
        <v>328.21</v>
      </c>
      <c r="GF47" s="93">
        <v>327.27999999999997</v>
      </c>
      <c r="GG47" s="93">
        <v>326.33999999999997</v>
      </c>
      <c r="GH47" s="93">
        <v>325.39999999999998</v>
      </c>
      <c r="GI47" s="93">
        <v>324.45999999999998</v>
      </c>
      <c r="GJ47" s="93">
        <v>323.52999999999997</v>
      </c>
      <c r="GK47" s="93">
        <v>322.58999999999997</v>
      </c>
      <c r="GL47" s="93">
        <v>321.66000000000003</v>
      </c>
      <c r="GM47" s="93">
        <v>320.73</v>
      </c>
      <c r="GN47" s="93">
        <v>319.79000000000002</v>
      </c>
      <c r="GO47" s="93">
        <v>318.87</v>
      </c>
      <c r="GP47" s="93">
        <v>317.94</v>
      </c>
      <c r="GQ47" s="93">
        <v>317.01</v>
      </c>
      <c r="GR47" s="93">
        <v>316.07</v>
      </c>
      <c r="GS47" s="93">
        <v>315.16000000000003</v>
      </c>
      <c r="GT47" s="93">
        <v>314.23</v>
      </c>
      <c r="GU47" s="93">
        <v>313.31</v>
      </c>
      <c r="GV47" s="93">
        <v>312.38</v>
      </c>
      <c r="GW47" s="93">
        <v>311.45999999999998</v>
      </c>
      <c r="GX47" s="93">
        <v>310.54000000000002</v>
      </c>
      <c r="GY47" s="93">
        <v>309.62</v>
      </c>
      <c r="GZ47" s="93">
        <v>308.7</v>
      </c>
      <c r="HA47" s="93">
        <v>307.77999999999997</v>
      </c>
      <c r="HB47" s="93">
        <v>306.87</v>
      </c>
      <c r="HC47" s="93">
        <v>305.95</v>
      </c>
      <c r="HD47" s="93">
        <v>305.04000000000002</v>
      </c>
      <c r="HE47" s="93">
        <v>304.12</v>
      </c>
      <c r="HF47" s="93">
        <v>303.20999999999998</v>
      </c>
      <c r="HG47" s="93">
        <v>302.29000000000002</v>
      </c>
      <c r="HH47" s="93">
        <v>301.39</v>
      </c>
      <c r="HI47" s="93">
        <v>300.48</v>
      </c>
      <c r="HJ47" s="93">
        <v>299.57</v>
      </c>
      <c r="HK47" s="93">
        <v>298.66000000000003</v>
      </c>
      <c r="HL47" s="93">
        <v>297.76</v>
      </c>
      <c r="HM47" s="93">
        <v>296.85000000000002</v>
      </c>
      <c r="HN47" s="93">
        <v>295.95</v>
      </c>
      <c r="HO47" s="93">
        <v>295.04000000000002</v>
      </c>
      <c r="HP47" s="93">
        <v>294.14999999999998</v>
      </c>
      <c r="HQ47" s="93">
        <v>293.25</v>
      </c>
      <c r="HR47" s="93">
        <v>292.35000000000002</v>
      </c>
      <c r="HS47" s="93">
        <v>291.45</v>
      </c>
      <c r="HT47" s="93">
        <v>290.56</v>
      </c>
      <c r="HU47" s="93">
        <v>289.66000000000003</v>
      </c>
      <c r="HV47" s="93">
        <v>288.76</v>
      </c>
      <c r="HW47" s="93">
        <v>287.87</v>
      </c>
      <c r="HX47" s="93">
        <v>286.98</v>
      </c>
      <c r="HY47" s="93">
        <v>286.08999999999997</v>
      </c>
      <c r="HZ47" s="93">
        <v>285.2</v>
      </c>
      <c r="IA47" s="93">
        <v>284.31</v>
      </c>
      <c r="IB47" s="93">
        <v>283.43</v>
      </c>
      <c r="IC47" s="93">
        <v>282.54000000000002</v>
      </c>
      <c r="ID47" s="93">
        <v>281.64999999999998</v>
      </c>
      <c r="IE47" s="93">
        <v>280.76</v>
      </c>
      <c r="IF47" s="93">
        <v>279.88</v>
      </c>
      <c r="IG47" s="93">
        <v>279</v>
      </c>
      <c r="IH47" s="93">
        <v>278.12</v>
      </c>
      <c r="II47" s="93">
        <v>277.24</v>
      </c>
      <c r="IJ47" s="93">
        <v>276.35000000000002</v>
      </c>
      <c r="IK47" s="93">
        <v>275.48</v>
      </c>
      <c r="IL47" s="93">
        <v>274.60000000000002</v>
      </c>
      <c r="IM47" s="93">
        <v>273.73</v>
      </c>
      <c r="IN47" s="93">
        <v>272.85000000000002</v>
      </c>
      <c r="IO47" s="93">
        <v>271.98</v>
      </c>
      <c r="IP47" s="93">
        <v>271.10000000000002</v>
      </c>
      <c r="IQ47" s="93">
        <v>270.24</v>
      </c>
      <c r="IR47" s="93">
        <v>269.37</v>
      </c>
      <c r="IS47" s="93">
        <v>268.5</v>
      </c>
      <c r="IT47" s="93">
        <v>267.63</v>
      </c>
      <c r="IU47" s="93">
        <v>266.76</v>
      </c>
      <c r="IV47" s="93">
        <v>265.89999999999998</v>
      </c>
      <c r="IW47" s="93">
        <v>265.02999999999997</v>
      </c>
      <c r="IX47" s="93">
        <v>264.17</v>
      </c>
      <c r="IY47" s="93">
        <v>263.31</v>
      </c>
      <c r="IZ47" s="93">
        <v>262.45</v>
      </c>
      <c r="JA47" s="93">
        <v>261.58999999999997</v>
      </c>
      <c r="JB47" s="93">
        <v>260.74</v>
      </c>
      <c r="JC47" s="93">
        <v>259.88</v>
      </c>
      <c r="JD47" s="93">
        <v>259.02999999999997</v>
      </c>
      <c r="JE47" s="93">
        <v>258.17</v>
      </c>
      <c r="JF47" s="93">
        <v>257.32</v>
      </c>
      <c r="JG47" s="93">
        <v>256.47000000000003</v>
      </c>
      <c r="JH47" s="93">
        <v>255.61</v>
      </c>
      <c r="JI47" s="93">
        <v>254.76</v>
      </c>
      <c r="JJ47" s="93">
        <v>253.92</v>
      </c>
      <c r="JK47" s="93">
        <v>253.07</v>
      </c>
      <c r="JL47" s="93">
        <v>252.22</v>
      </c>
      <c r="JM47" s="93">
        <v>251.38</v>
      </c>
      <c r="JN47" s="93">
        <v>250.53</v>
      </c>
      <c r="JO47" s="93">
        <v>249.69</v>
      </c>
      <c r="JP47" s="93">
        <v>248.84</v>
      </c>
      <c r="JQ47" s="93">
        <v>248</v>
      </c>
      <c r="JR47" s="93">
        <v>247.16</v>
      </c>
      <c r="JS47" s="93">
        <v>246.32</v>
      </c>
      <c r="JT47" s="93">
        <v>245.48</v>
      </c>
      <c r="JU47" s="93">
        <v>244.65</v>
      </c>
      <c r="JV47" s="93">
        <v>243.81</v>
      </c>
      <c r="JW47" s="93">
        <v>242.97</v>
      </c>
      <c r="JX47" s="93">
        <v>242.14</v>
      </c>
      <c r="JY47" s="93">
        <v>241.31</v>
      </c>
      <c r="JZ47" s="93">
        <v>240.47</v>
      </c>
      <c r="KA47" s="93">
        <v>239.64</v>
      </c>
      <c r="KB47" s="93">
        <v>238.81</v>
      </c>
      <c r="KC47" s="93">
        <v>237.98</v>
      </c>
      <c r="KD47" s="93">
        <v>237.15</v>
      </c>
      <c r="KE47" s="93">
        <v>236.33</v>
      </c>
      <c r="KF47" s="93">
        <v>235.5</v>
      </c>
      <c r="KG47" s="93">
        <v>234.67</v>
      </c>
      <c r="KH47" s="93">
        <v>233.85</v>
      </c>
      <c r="KI47" s="93">
        <v>233.03</v>
      </c>
      <c r="KJ47" s="93">
        <v>232.2</v>
      </c>
      <c r="KK47" s="93">
        <v>231.38</v>
      </c>
      <c r="KL47" s="93">
        <v>230.56</v>
      </c>
      <c r="KM47" s="93">
        <v>229.74</v>
      </c>
      <c r="KN47" s="93">
        <v>228.93</v>
      </c>
      <c r="KO47" s="93">
        <v>228.11</v>
      </c>
      <c r="KP47" s="93">
        <v>227.3</v>
      </c>
      <c r="KQ47" s="93">
        <v>226.49</v>
      </c>
      <c r="KR47" s="93">
        <v>225.49000000000035</v>
      </c>
      <c r="KS47" s="93">
        <v>224.74000000000035</v>
      </c>
      <c r="KT47" s="93">
        <v>223.99000000000035</v>
      </c>
      <c r="KU47" s="93">
        <v>223.24000000000035</v>
      </c>
      <c r="KV47" s="93">
        <v>222.49000000000035</v>
      </c>
      <c r="KW47" s="93">
        <v>221.74000000000035</v>
      </c>
      <c r="KX47" s="93">
        <v>220.99000000000035</v>
      </c>
      <c r="KY47" s="93">
        <v>220.24000000000035</v>
      </c>
      <c r="KZ47" s="93">
        <v>219.49000000000035</v>
      </c>
      <c r="LA47" s="93">
        <v>218.74000000000035</v>
      </c>
      <c r="LB47" s="93">
        <v>217.99000000000035</v>
      </c>
      <c r="LC47" s="93">
        <v>217.24000000000035</v>
      </c>
      <c r="LD47" s="93">
        <v>216.49000000000035</v>
      </c>
      <c r="LE47" s="93">
        <v>215.74000000000035</v>
      </c>
      <c r="LF47" s="93">
        <v>214.99000000000035</v>
      </c>
      <c r="LG47" s="93">
        <v>214.24000000000035</v>
      </c>
      <c r="LH47" s="93">
        <v>213.49000000000035</v>
      </c>
      <c r="LI47" s="93">
        <v>212.74000000000035</v>
      </c>
      <c r="LJ47" s="93">
        <v>211.99000000000035</v>
      </c>
      <c r="LK47" s="93">
        <v>211.24000000000035</v>
      </c>
      <c r="LL47" s="93">
        <v>210.49000000000035</v>
      </c>
      <c r="LM47" s="93">
        <v>209.74000000000035</v>
      </c>
      <c r="LN47" s="93">
        <v>208.99000000000035</v>
      </c>
      <c r="LO47" s="93">
        <v>208.24000000000035</v>
      </c>
      <c r="LP47" s="93">
        <v>207.49000000000035</v>
      </c>
      <c r="LQ47" s="93">
        <v>206.74000000000035</v>
      </c>
      <c r="LR47" s="93">
        <v>205.99000000000035</v>
      </c>
      <c r="LS47" s="93">
        <v>205.24000000000035</v>
      </c>
      <c r="LT47" s="93">
        <v>204.49000000000035</v>
      </c>
      <c r="LU47" s="93">
        <v>203.74000000000035</v>
      </c>
      <c r="LV47" s="93">
        <v>202.99000000000035</v>
      </c>
      <c r="LW47" s="93">
        <v>202.24000000000035</v>
      </c>
      <c r="LX47" s="93">
        <v>201.49000000000035</v>
      </c>
      <c r="LY47" s="93">
        <v>200.74000000000035</v>
      </c>
      <c r="LZ47" s="93">
        <v>199.99000000000035</v>
      </c>
      <c r="MA47" s="93">
        <v>199.24000000000035</v>
      </c>
      <c r="MB47" s="93">
        <v>198.49000000000035</v>
      </c>
      <c r="MC47" s="93">
        <v>197.74000000000035</v>
      </c>
      <c r="MD47" s="93">
        <v>196.99000000000035</v>
      </c>
      <c r="ME47" s="93">
        <v>196.24000000000035</v>
      </c>
      <c r="MF47" s="93">
        <v>195.49000000000035</v>
      </c>
      <c r="MG47" s="93">
        <v>194.74000000000035</v>
      </c>
      <c r="MH47" s="93">
        <v>193.99000000000035</v>
      </c>
      <c r="MI47" s="93">
        <v>193.24000000000035</v>
      </c>
      <c r="MJ47" s="93">
        <v>192.49000000000035</v>
      </c>
      <c r="MK47" s="93">
        <v>191.74000000000035</v>
      </c>
      <c r="ML47" s="93">
        <v>190.99000000000035</v>
      </c>
      <c r="MM47" s="93">
        <v>190.24000000000035</v>
      </c>
      <c r="MN47" s="93">
        <v>189.49000000000035</v>
      </c>
      <c r="MO47" s="93">
        <v>188.74000000000035</v>
      </c>
      <c r="MP47" s="93">
        <v>187.99000000000035</v>
      </c>
      <c r="MQ47" s="93">
        <v>187.24000000000035</v>
      </c>
      <c r="MR47" s="93">
        <v>186.49000000000035</v>
      </c>
      <c r="MS47" s="93">
        <v>185.74000000000035</v>
      </c>
      <c r="MT47" s="93">
        <v>184.99000000000035</v>
      </c>
      <c r="MU47" s="93">
        <v>184.24000000000035</v>
      </c>
      <c r="MV47" s="93">
        <v>183.49000000000035</v>
      </c>
      <c r="MW47" s="93">
        <v>182.74000000000035</v>
      </c>
      <c r="MX47" s="93">
        <v>181.99000000000035</v>
      </c>
      <c r="MY47" s="93">
        <v>181.24000000000035</v>
      </c>
    </row>
    <row r="48" spans="1:363" ht="15.75" x14ac:dyDescent="0.25">
      <c r="A48" s="90" t="s">
        <v>7</v>
      </c>
      <c r="B48" s="95">
        <v>2058</v>
      </c>
      <c r="C48" s="93">
        <v>512.53</v>
      </c>
      <c r="D48" s="93">
        <v>511.51</v>
      </c>
      <c r="E48" s="93">
        <v>510.48</v>
      </c>
      <c r="F48" s="93">
        <v>509.46</v>
      </c>
      <c r="G48" s="93">
        <v>508.43</v>
      </c>
      <c r="H48" s="93">
        <v>507.4</v>
      </c>
      <c r="I48" s="93">
        <v>506.38</v>
      </c>
      <c r="J48" s="93">
        <v>505.35</v>
      </c>
      <c r="K48" s="93">
        <v>504.33</v>
      </c>
      <c r="L48" s="93">
        <v>503.3</v>
      </c>
      <c r="M48" s="93">
        <v>502.27</v>
      </c>
      <c r="N48" s="93">
        <v>501.25</v>
      </c>
      <c r="O48" s="93">
        <v>500.22</v>
      </c>
      <c r="P48" s="93">
        <v>499.2</v>
      </c>
      <c r="Q48" s="93">
        <v>498.17</v>
      </c>
      <c r="R48" s="93">
        <v>497.15</v>
      </c>
      <c r="S48" s="93">
        <v>496.12</v>
      </c>
      <c r="T48" s="93">
        <v>495.09</v>
      </c>
      <c r="U48" s="93">
        <v>494.07</v>
      </c>
      <c r="V48" s="93">
        <v>493.04</v>
      </c>
      <c r="W48" s="93">
        <v>492.02</v>
      </c>
      <c r="X48" s="93">
        <v>490.99</v>
      </c>
      <c r="Y48" s="93">
        <v>489.97</v>
      </c>
      <c r="Z48" s="93">
        <v>488.94</v>
      </c>
      <c r="AA48" s="93">
        <v>487.91</v>
      </c>
      <c r="AB48" s="93">
        <v>486.89</v>
      </c>
      <c r="AC48" s="93">
        <v>485.86</v>
      </c>
      <c r="AD48" s="93">
        <v>484.84</v>
      </c>
      <c r="AE48" s="93">
        <v>483.81</v>
      </c>
      <c r="AF48" s="93">
        <v>482.79</v>
      </c>
      <c r="AG48" s="93">
        <v>481.76</v>
      </c>
      <c r="AH48" s="93">
        <v>480.73</v>
      </c>
      <c r="AI48" s="93">
        <v>479.71</v>
      </c>
      <c r="AJ48" s="93">
        <v>478.68</v>
      </c>
      <c r="AK48" s="93">
        <v>477.66</v>
      </c>
      <c r="AL48" s="93">
        <v>476.63</v>
      </c>
      <c r="AM48" s="93">
        <v>475.61</v>
      </c>
      <c r="AN48" s="93">
        <v>474.58</v>
      </c>
      <c r="AO48" s="93">
        <v>473.56</v>
      </c>
      <c r="AP48" s="93">
        <v>472.53</v>
      </c>
      <c r="AQ48" s="93">
        <v>471.51</v>
      </c>
      <c r="AR48" s="93">
        <v>470.48</v>
      </c>
      <c r="AS48" s="93">
        <v>469.46</v>
      </c>
      <c r="AT48" s="93">
        <v>468.44</v>
      </c>
      <c r="AU48" s="93">
        <v>467.41</v>
      </c>
      <c r="AV48" s="93">
        <v>466.39</v>
      </c>
      <c r="AW48" s="93">
        <v>465.36</v>
      </c>
      <c r="AX48" s="93">
        <v>464.34</v>
      </c>
      <c r="AY48" s="93">
        <v>463.31</v>
      </c>
      <c r="AZ48" s="93">
        <v>462.29</v>
      </c>
      <c r="BA48" s="93">
        <v>461.27</v>
      </c>
      <c r="BB48" s="93">
        <v>460.24</v>
      </c>
      <c r="BC48" s="93">
        <v>459.22</v>
      </c>
      <c r="BD48" s="93">
        <v>458.2</v>
      </c>
      <c r="BE48" s="93">
        <v>457.17</v>
      </c>
      <c r="BF48" s="93">
        <v>456.15</v>
      </c>
      <c r="BG48" s="93">
        <v>455.13</v>
      </c>
      <c r="BH48" s="93">
        <v>454.1</v>
      </c>
      <c r="BI48" s="93">
        <v>453.08</v>
      </c>
      <c r="BJ48" s="93">
        <v>452.06</v>
      </c>
      <c r="BK48" s="93">
        <v>451.04</v>
      </c>
      <c r="BL48" s="93">
        <v>450.01</v>
      </c>
      <c r="BM48" s="93">
        <v>448.99</v>
      </c>
      <c r="BN48" s="93">
        <v>447.97</v>
      </c>
      <c r="BO48" s="93">
        <v>446.95</v>
      </c>
      <c r="BP48" s="93">
        <v>445.93</v>
      </c>
      <c r="BQ48" s="93">
        <v>444.91</v>
      </c>
      <c r="BR48" s="93">
        <v>443.89</v>
      </c>
      <c r="BS48" s="93">
        <v>442.87</v>
      </c>
      <c r="BT48" s="93">
        <v>441.85</v>
      </c>
      <c r="BU48" s="93">
        <v>440.83</v>
      </c>
      <c r="BV48" s="93">
        <v>439.81</v>
      </c>
      <c r="BW48" s="93">
        <v>438.79</v>
      </c>
      <c r="BX48" s="93">
        <v>437.77</v>
      </c>
      <c r="BY48" s="93">
        <v>436.75</v>
      </c>
      <c r="BZ48" s="93">
        <v>435.74</v>
      </c>
      <c r="CA48" s="93">
        <v>434.72</v>
      </c>
      <c r="CB48" s="93">
        <v>433.7</v>
      </c>
      <c r="CC48" s="93">
        <v>432.69</v>
      </c>
      <c r="CD48" s="93">
        <v>431.67</v>
      </c>
      <c r="CE48" s="93">
        <v>430.65</v>
      </c>
      <c r="CF48" s="93">
        <v>429.63</v>
      </c>
      <c r="CG48" s="93">
        <v>428.62</v>
      </c>
      <c r="CH48" s="93">
        <v>427.6</v>
      </c>
      <c r="CI48" s="93">
        <v>426.58</v>
      </c>
      <c r="CJ48" s="93">
        <v>425.57</v>
      </c>
      <c r="CK48" s="93">
        <v>424.56</v>
      </c>
      <c r="CL48" s="93">
        <v>423.55</v>
      </c>
      <c r="CM48" s="93">
        <v>422.54</v>
      </c>
      <c r="CN48" s="93">
        <v>421.52</v>
      </c>
      <c r="CO48" s="93">
        <v>420.51</v>
      </c>
      <c r="CP48" s="93">
        <v>419.5</v>
      </c>
      <c r="CQ48" s="93">
        <v>418.49</v>
      </c>
      <c r="CR48" s="93">
        <v>417.48</v>
      </c>
      <c r="CS48" s="93">
        <v>416.47</v>
      </c>
      <c r="CT48" s="93">
        <v>415.46</v>
      </c>
      <c r="CU48" s="93">
        <v>414.44</v>
      </c>
      <c r="CV48" s="93">
        <v>413.44</v>
      </c>
      <c r="CW48" s="93">
        <v>412.43</v>
      </c>
      <c r="CX48" s="93">
        <v>411.43</v>
      </c>
      <c r="CY48" s="93">
        <v>410.42</v>
      </c>
      <c r="CZ48" s="93">
        <v>409.42</v>
      </c>
      <c r="DA48" s="93">
        <v>408.41</v>
      </c>
      <c r="DB48" s="93">
        <v>407.4</v>
      </c>
      <c r="DC48" s="93">
        <v>406.4</v>
      </c>
      <c r="DD48" s="93">
        <v>405.39</v>
      </c>
      <c r="DE48" s="93">
        <v>404.39</v>
      </c>
      <c r="DF48" s="93">
        <v>403.39</v>
      </c>
      <c r="DG48" s="93">
        <v>402.38</v>
      </c>
      <c r="DH48" s="93">
        <v>401.38</v>
      </c>
      <c r="DI48" s="93">
        <v>400.38</v>
      </c>
      <c r="DJ48" s="93">
        <v>399.38</v>
      </c>
      <c r="DK48" s="93">
        <v>398.39</v>
      </c>
      <c r="DL48" s="93">
        <v>397.39</v>
      </c>
      <c r="DM48" s="93">
        <v>396.39</v>
      </c>
      <c r="DN48" s="93">
        <v>395.39</v>
      </c>
      <c r="DO48" s="93">
        <v>394.4</v>
      </c>
      <c r="DP48" s="93">
        <v>393.4</v>
      </c>
      <c r="DQ48" s="93">
        <v>392.4</v>
      </c>
      <c r="DR48" s="93">
        <v>391.41</v>
      </c>
      <c r="DS48" s="93">
        <v>390.41</v>
      </c>
      <c r="DT48" s="93">
        <v>389.42</v>
      </c>
      <c r="DU48" s="93">
        <v>388.43</v>
      </c>
      <c r="DV48" s="93">
        <v>387.44</v>
      </c>
      <c r="DW48" s="93">
        <v>386.45</v>
      </c>
      <c r="DX48" s="93">
        <v>385.47</v>
      </c>
      <c r="DY48" s="93">
        <v>384.48</v>
      </c>
      <c r="DZ48" s="93">
        <v>383.49</v>
      </c>
      <c r="EA48" s="93">
        <v>382.5</v>
      </c>
      <c r="EB48" s="93">
        <v>381.52</v>
      </c>
      <c r="EC48" s="93">
        <v>380.53</v>
      </c>
      <c r="ED48" s="93">
        <v>379.55</v>
      </c>
      <c r="EE48" s="93">
        <v>378.56</v>
      </c>
      <c r="EF48" s="93">
        <v>377.58</v>
      </c>
      <c r="EG48" s="93">
        <v>376.61</v>
      </c>
      <c r="EH48" s="93">
        <v>375.63</v>
      </c>
      <c r="EI48" s="93">
        <v>374.66</v>
      </c>
      <c r="EJ48" s="93">
        <v>373.68</v>
      </c>
      <c r="EK48" s="93">
        <v>372.71</v>
      </c>
      <c r="EL48" s="93">
        <v>371.73</v>
      </c>
      <c r="EM48" s="93">
        <v>370.76</v>
      </c>
      <c r="EN48" s="93">
        <v>369.79</v>
      </c>
      <c r="EO48" s="93">
        <v>368.82</v>
      </c>
      <c r="EP48" s="93">
        <v>367.84</v>
      </c>
      <c r="EQ48" s="93">
        <v>366.87</v>
      </c>
      <c r="ER48" s="93">
        <v>365.91</v>
      </c>
      <c r="ES48" s="93">
        <v>364.94</v>
      </c>
      <c r="ET48" s="93">
        <v>363.98</v>
      </c>
      <c r="EU48" s="93">
        <v>363.01</v>
      </c>
      <c r="EV48" s="93">
        <v>362.05</v>
      </c>
      <c r="EW48" s="93">
        <v>361.08</v>
      </c>
      <c r="EX48" s="93">
        <v>360.12</v>
      </c>
      <c r="EY48" s="93">
        <v>359.16</v>
      </c>
      <c r="EZ48" s="93">
        <v>358.2</v>
      </c>
      <c r="FA48" s="93">
        <v>357.23</v>
      </c>
      <c r="FB48" s="93">
        <v>356.27</v>
      </c>
      <c r="FC48" s="93">
        <v>355.31</v>
      </c>
      <c r="FD48" s="93">
        <v>354.35</v>
      </c>
      <c r="FE48" s="93">
        <v>353.4</v>
      </c>
      <c r="FF48" s="93">
        <v>352.44</v>
      </c>
      <c r="FG48" s="93">
        <v>351.48</v>
      </c>
      <c r="FH48" s="93">
        <v>350.52</v>
      </c>
      <c r="FI48" s="93">
        <v>349.57</v>
      </c>
      <c r="FJ48" s="93">
        <v>348.61</v>
      </c>
      <c r="FK48" s="93">
        <v>347.66</v>
      </c>
      <c r="FL48" s="93">
        <v>346.7</v>
      </c>
      <c r="FM48" s="93">
        <v>345.75</v>
      </c>
      <c r="FN48" s="93">
        <v>344.8</v>
      </c>
      <c r="FO48" s="93">
        <v>343.84</v>
      </c>
      <c r="FP48" s="93">
        <v>342.89</v>
      </c>
      <c r="FQ48" s="93">
        <v>341.94</v>
      </c>
      <c r="FR48" s="93">
        <v>340.99</v>
      </c>
      <c r="FS48" s="93">
        <v>340.04</v>
      </c>
      <c r="FT48" s="93">
        <v>339.09</v>
      </c>
      <c r="FU48" s="93">
        <v>338.15</v>
      </c>
      <c r="FV48" s="93">
        <v>337.2</v>
      </c>
      <c r="FW48" s="93">
        <v>336.25</v>
      </c>
      <c r="FX48" s="93">
        <v>335.31</v>
      </c>
      <c r="FY48" s="93">
        <v>334.36</v>
      </c>
      <c r="FZ48" s="93">
        <v>333.42</v>
      </c>
      <c r="GA48" s="93">
        <v>332.47</v>
      </c>
      <c r="GB48" s="93">
        <v>331.53</v>
      </c>
      <c r="GC48" s="93">
        <v>330.59</v>
      </c>
      <c r="GD48" s="93">
        <v>329.65</v>
      </c>
      <c r="GE48" s="93">
        <v>328.71</v>
      </c>
      <c r="GF48" s="93">
        <v>327.77</v>
      </c>
      <c r="GG48" s="93">
        <v>326.82</v>
      </c>
      <c r="GH48" s="93">
        <v>325.89</v>
      </c>
      <c r="GI48" s="93">
        <v>324.95999999999998</v>
      </c>
      <c r="GJ48" s="93">
        <v>324.01</v>
      </c>
      <c r="GK48" s="93">
        <v>323.08999999999997</v>
      </c>
      <c r="GL48" s="93">
        <v>322.14999999999998</v>
      </c>
      <c r="GM48" s="93">
        <v>321.22000000000003</v>
      </c>
      <c r="GN48" s="93">
        <v>320.29000000000002</v>
      </c>
      <c r="GO48" s="93">
        <v>319.35000000000002</v>
      </c>
      <c r="GP48" s="93">
        <v>318.43</v>
      </c>
      <c r="GQ48" s="93">
        <v>317.5</v>
      </c>
      <c r="GR48" s="93">
        <v>316.57</v>
      </c>
      <c r="GS48" s="93">
        <v>315.64999999999998</v>
      </c>
      <c r="GT48" s="93">
        <v>314.72000000000003</v>
      </c>
      <c r="GU48" s="93">
        <v>313.79000000000002</v>
      </c>
      <c r="GV48" s="93">
        <v>312.87</v>
      </c>
      <c r="GW48" s="93">
        <v>311.95</v>
      </c>
      <c r="GX48" s="93">
        <v>311.02999999999997</v>
      </c>
      <c r="GY48" s="93">
        <v>310.10000000000002</v>
      </c>
      <c r="GZ48" s="93">
        <v>309.19</v>
      </c>
      <c r="HA48" s="93">
        <v>308.26</v>
      </c>
      <c r="HB48" s="93">
        <v>307.35000000000002</v>
      </c>
      <c r="HC48" s="93">
        <v>306.44</v>
      </c>
      <c r="HD48" s="93">
        <v>305.51</v>
      </c>
      <c r="HE48" s="93">
        <v>304.60000000000002</v>
      </c>
      <c r="HF48" s="93">
        <v>303.7</v>
      </c>
      <c r="HG48" s="93">
        <v>302.77999999999997</v>
      </c>
      <c r="HH48" s="93">
        <v>301.87</v>
      </c>
      <c r="HI48" s="93">
        <v>300.95999999999998</v>
      </c>
      <c r="HJ48" s="93">
        <v>300.04000000000002</v>
      </c>
      <c r="HK48" s="93">
        <v>299.14999999999998</v>
      </c>
      <c r="HL48" s="93">
        <v>298.24</v>
      </c>
      <c r="HM48" s="93">
        <v>297.33999999999997</v>
      </c>
      <c r="HN48" s="93">
        <v>296.43</v>
      </c>
      <c r="HO48" s="93">
        <v>295.52999999999997</v>
      </c>
      <c r="HP48" s="93">
        <v>294.63</v>
      </c>
      <c r="HQ48" s="93">
        <v>293.73</v>
      </c>
      <c r="HR48" s="93">
        <v>292.82</v>
      </c>
      <c r="HS48" s="93">
        <v>291.94</v>
      </c>
      <c r="HT48" s="93">
        <v>291.04000000000002</v>
      </c>
      <c r="HU48" s="93">
        <v>290.14</v>
      </c>
      <c r="HV48" s="93">
        <v>289.25</v>
      </c>
      <c r="HW48" s="93">
        <v>288.35000000000002</v>
      </c>
      <c r="HX48" s="93">
        <v>287.45999999999998</v>
      </c>
      <c r="HY48" s="93">
        <v>286.57</v>
      </c>
      <c r="HZ48" s="93">
        <v>285.68</v>
      </c>
      <c r="IA48" s="93">
        <v>284.79000000000002</v>
      </c>
      <c r="IB48" s="93">
        <v>283.89999999999998</v>
      </c>
      <c r="IC48" s="93">
        <v>283.01</v>
      </c>
      <c r="ID48" s="93">
        <v>282.13</v>
      </c>
      <c r="IE48" s="93">
        <v>281.24</v>
      </c>
      <c r="IF48" s="93">
        <v>280.35000000000002</v>
      </c>
      <c r="IG48" s="93">
        <v>279.48</v>
      </c>
      <c r="IH48" s="93">
        <v>278.58999999999997</v>
      </c>
      <c r="II48" s="93">
        <v>277.70999999999998</v>
      </c>
      <c r="IJ48" s="93">
        <v>276.82</v>
      </c>
      <c r="IK48" s="93">
        <v>275.95999999999998</v>
      </c>
      <c r="IL48" s="93">
        <v>275.07</v>
      </c>
      <c r="IM48" s="93">
        <v>274.2</v>
      </c>
      <c r="IN48" s="93">
        <v>273.32</v>
      </c>
      <c r="IO48" s="93">
        <v>272.45</v>
      </c>
      <c r="IP48" s="93">
        <v>271.57</v>
      </c>
      <c r="IQ48" s="93">
        <v>270.70999999999998</v>
      </c>
      <c r="IR48" s="93">
        <v>269.83999999999997</v>
      </c>
      <c r="IS48" s="93">
        <v>268.97000000000003</v>
      </c>
      <c r="IT48" s="93">
        <v>268.10000000000002</v>
      </c>
      <c r="IU48" s="93">
        <v>267.23</v>
      </c>
      <c r="IV48" s="93">
        <v>266.37</v>
      </c>
      <c r="IW48" s="93">
        <v>265.5</v>
      </c>
      <c r="IX48" s="93">
        <v>264.64</v>
      </c>
      <c r="IY48" s="93">
        <v>263.77999999999997</v>
      </c>
      <c r="IZ48" s="93">
        <v>262.92</v>
      </c>
      <c r="JA48" s="93">
        <v>262.06</v>
      </c>
      <c r="JB48" s="93">
        <v>261.2</v>
      </c>
      <c r="JC48" s="93">
        <v>260.35000000000002</v>
      </c>
      <c r="JD48" s="93">
        <v>259.49</v>
      </c>
      <c r="JE48" s="93">
        <v>258.64</v>
      </c>
      <c r="JF48" s="93">
        <v>257.77999999999997</v>
      </c>
      <c r="JG48" s="93">
        <v>256.93</v>
      </c>
      <c r="JH48" s="93">
        <v>256.07</v>
      </c>
      <c r="JI48" s="93">
        <v>255.23</v>
      </c>
      <c r="JJ48" s="93">
        <v>254.38</v>
      </c>
      <c r="JK48" s="93">
        <v>253.53</v>
      </c>
      <c r="JL48" s="93">
        <v>252.68</v>
      </c>
      <c r="JM48" s="93">
        <v>251.84</v>
      </c>
      <c r="JN48" s="93">
        <v>250.99</v>
      </c>
      <c r="JO48" s="93">
        <v>250.15</v>
      </c>
      <c r="JP48" s="93">
        <v>249.3</v>
      </c>
      <c r="JQ48" s="93">
        <v>248.46</v>
      </c>
      <c r="JR48" s="93">
        <v>247.62</v>
      </c>
      <c r="JS48" s="93">
        <v>246.78</v>
      </c>
      <c r="JT48" s="93">
        <v>245.94</v>
      </c>
      <c r="JU48" s="93">
        <v>245.1</v>
      </c>
      <c r="JV48" s="93">
        <v>244.26</v>
      </c>
      <c r="JW48" s="93">
        <v>243.43</v>
      </c>
      <c r="JX48" s="93">
        <v>242.59</v>
      </c>
      <c r="JY48" s="93">
        <v>241.76</v>
      </c>
      <c r="JZ48" s="93">
        <v>240.93</v>
      </c>
      <c r="KA48" s="93">
        <v>240.1</v>
      </c>
      <c r="KB48" s="93">
        <v>239.26</v>
      </c>
      <c r="KC48" s="93">
        <v>238.43</v>
      </c>
      <c r="KD48" s="93">
        <v>237.6</v>
      </c>
      <c r="KE48" s="93">
        <v>236.78</v>
      </c>
      <c r="KF48" s="93">
        <v>235.95</v>
      </c>
      <c r="KG48" s="93">
        <v>235.12</v>
      </c>
      <c r="KH48" s="93">
        <v>234.3</v>
      </c>
      <c r="KI48" s="93">
        <v>233.47</v>
      </c>
      <c r="KJ48" s="93">
        <v>232.65</v>
      </c>
      <c r="KK48" s="93">
        <v>231.83</v>
      </c>
      <c r="KL48" s="93">
        <v>231.01</v>
      </c>
      <c r="KM48" s="93">
        <v>230.19</v>
      </c>
      <c r="KN48" s="93">
        <v>229.37</v>
      </c>
      <c r="KO48" s="93">
        <v>228.56</v>
      </c>
      <c r="KP48" s="93">
        <v>227.74</v>
      </c>
      <c r="KQ48" s="93">
        <v>226.93</v>
      </c>
      <c r="KR48" s="93">
        <v>225.95000000000036</v>
      </c>
      <c r="KS48" s="93">
        <v>225.20000000000036</v>
      </c>
      <c r="KT48" s="93">
        <v>224.45000000000036</v>
      </c>
      <c r="KU48" s="93">
        <v>223.70000000000036</v>
      </c>
      <c r="KV48" s="93">
        <v>222.95000000000036</v>
      </c>
      <c r="KW48" s="93">
        <v>222.20000000000036</v>
      </c>
      <c r="KX48" s="93">
        <v>221.45000000000036</v>
      </c>
      <c r="KY48" s="93">
        <v>220.70000000000036</v>
      </c>
      <c r="KZ48" s="93">
        <v>219.95000000000036</v>
      </c>
      <c r="LA48" s="93">
        <v>219.20000000000036</v>
      </c>
      <c r="LB48" s="93">
        <v>218.45000000000036</v>
      </c>
      <c r="LC48" s="93">
        <v>217.70000000000036</v>
      </c>
      <c r="LD48" s="93">
        <v>216.95000000000036</v>
      </c>
      <c r="LE48" s="93">
        <v>216.20000000000036</v>
      </c>
      <c r="LF48" s="93">
        <v>215.45000000000036</v>
      </c>
      <c r="LG48" s="93">
        <v>214.70000000000036</v>
      </c>
      <c r="LH48" s="93">
        <v>213.95000000000036</v>
      </c>
      <c r="LI48" s="93">
        <v>213.20000000000036</v>
      </c>
      <c r="LJ48" s="93">
        <v>212.45000000000036</v>
      </c>
      <c r="LK48" s="93">
        <v>211.70000000000036</v>
      </c>
      <c r="LL48" s="93">
        <v>210.95000000000036</v>
      </c>
      <c r="LM48" s="93">
        <v>210.20000000000036</v>
      </c>
      <c r="LN48" s="93">
        <v>209.45000000000036</v>
      </c>
      <c r="LO48" s="93">
        <v>208.70000000000036</v>
      </c>
      <c r="LP48" s="93">
        <v>207.95000000000036</v>
      </c>
      <c r="LQ48" s="93">
        <v>207.20000000000036</v>
      </c>
      <c r="LR48" s="93">
        <v>206.45000000000036</v>
      </c>
      <c r="LS48" s="93">
        <v>205.70000000000036</v>
      </c>
      <c r="LT48" s="93">
        <v>204.95000000000036</v>
      </c>
      <c r="LU48" s="93">
        <v>204.20000000000036</v>
      </c>
      <c r="LV48" s="93">
        <v>203.45000000000036</v>
      </c>
      <c r="LW48" s="93">
        <v>202.70000000000036</v>
      </c>
      <c r="LX48" s="93">
        <v>201.95000000000036</v>
      </c>
      <c r="LY48" s="93">
        <v>201.20000000000036</v>
      </c>
      <c r="LZ48" s="93">
        <v>200.45000000000036</v>
      </c>
      <c r="MA48" s="93">
        <v>199.70000000000036</v>
      </c>
      <c r="MB48" s="93">
        <v>198.95000000000036</v>
      </c>
      <c r="MC48" s="93">
        <v>198.20000000000036</v>
      </c>
      <c r="MD48" s="93">
        <v>197.45000000000036</v>
      </c>
      <c r="ME48" s="93">
        <v>196.70000000000036</v>
      </c>
      <c r="MF48" s="93">
        <v>195.95000000000036</v>
      </c>
      <c r="MG48" s="93">
        <v>195.20000000000036</v>
      </c>
      <c r="MH48" s="93">
        <v>194.45000000000036</v>
      </c>
      <c r="MI48" s="93">
        <v>193.70000000000036</v>
      </c>
      <c r="MJ48" s="93">
        <v>192.95000000000036</v>
      </c>
      <c r="MK48" s="93">
        <v>192.20000000000036</v>
      </c>
      <c r="ML48" s="93">
        <v>191.45000000000036</v>
      </c>
      <c r="MM48" s="93">
        <v>190.70000000000036</v>
      </c>
      <c r="MN48" s="93">
        <v>189.95000000000036</v>
      </c>
      <c r="MO48" s="93">
        <v>189.20000000000036</v>
      </c>
      <c r="MP48" s="93">
        <v>188.45000000000036</v>
      </c>
      <c r="MQ48" s="93">
        <v>187.70000000000036</v>
      </c>
      <c r="MR48" s="93">
        <v>186.95000000000036</v>
      </c>
      <c r="MS48" s="93">
        <v>186.20000000000036</v>
      </c>
      <c r="MT48" s="93">
        <v>185.45000000000036</v>
      </c>
      <c r="MU48" s="93">
        <v>184.70000000000036</v>
      </c>
      <c r="MV48" s="93">
        <v>183.95000000000036</v>
      </c>
      <c r="MW48" s="93">
        <v>183.20000000000036</v>
      </c>
      <c r="MX48" s="93">
        <v>182.45000000000036</v>
      </c>
      <c r="MY48" s="93">
        <v>181.70000000000036</v>
      </c>
    </row>
    <row r="49" spans="1:363" ht="15.75" x14ac:dyDescent="0.25">
      <c r="A49" s="90" t="s">
        <v>7</v>
      </c>
      <c r="B49" s="95">
        <v>2059</v>
      </c>
      <c r="C49" s="93">
        <v>513.07000000000005</v>
      </c>
      <c r="D49" s="93">
        <v>512.03</v>
      </c>
      <c r="E49" s="93">
        <v>511.02</v>
      </c>
      <c r="F49" s="93">
        <v>509.99</v>
      </c>
      <c r="G49" s="93">
        <v>508.97</v>
      </c>
      <c r="H49" s="93">
        <v>507.94</v>
      </c>
      <c r="I49" s="93">
        <v>506.91</v>
      </c>
      <c r="J49" s="93">
        <v>505.89</v>
      </c>
      <c r="K49" s="93">
        <v>504.86</v>
      </c>
      <c r="L49" s="93">
        <v>503.84</v>
      </c>
      <c r="M49" s="93">
        <v>502.81</v>
      </c>
      <c r="N49" s="93">
        <v>501.78</v>
      </c>
      <c r="O49" s="93">
        <v>500.76</v>
      </c>
      <c r="P49" s="93">
        <v>499.73</v>
      </c>
      <c r="Q49" s="93">
        <v>498.71</v>
      </c>
      <c r="R49" s="93">
        <v>497.68</v>
      </c>
      <c r="S49" s="93">
        <v>496.65</v>
      </c>
      <c r="T49" s="93">
        <v>495.63</v>
      </c>
      <c r="U49" s="93">
        <v>494.6</v>
      </c>
      <c r="V49" s="93">
        <v>493.58</v>
      </c>
      <c r="W49" s="93">
        <v>492.55</v>
      </c>
      <c r="X49" s="93">
        <v>491.52</v>
      </c>
      <c r="Y49" s="93">
        <v>490.5</v>
      </c>
      <c r="Z49" s="93">
        <v>489.47</v>
      </c>
      <c r="AA49" s="93">
        <v>488.45</v>
      </c>
      <c r="AB49" s="93">
        <v>487.42</v>
      </c>
      <c r="AC49" s="93">
        <v>486.39</v>
      </c>
      <c r="AD49" s="93">
        <v>485.37</v>
      </c>
      <c r="AE49" s="93">
        <v>484.34</v>
      </c>
      <c r="AF49" s="93">
        <v>483.32</v>
      </c>
      <c r="AG49" s="93">
        <v>482.29</v>
      </c>
      <c r="AH49" s="93">
        <v>481.27</v>
      </c>
      <c r="AI49" s="93">
        <v>480.24</v>
      </c>
      <c r="AJ49" s="93">
        <v>479.21</v>
      </c>
      <c r="AK49" s="93">
        <v>478.19</v>
      </c>
      <c r="AL49" s="93">
        <v>477.16</v>
      </c>
      <c r="AM49" s="93">
        <v>476.14</v>
      </c>
      <c r="AN49" s="93">
        <v>475.11</v>
      </c>
      <c r="AO49" s="93">
        <v>474.09</v>
      </c>
      <c r="AP49" s="93">
        <v>473.06</v>
      </c>
      <c r="AQ49" s="93">
        <v>472.04</v>
      </c>
      <c r="AR49" s="93">
        <v>471.01</v>
      </c>
      <c r="AS49" s="93">
        <v>469.99</v>
      </c>
      <c r="AT49" s="93">
        <v>468.96</v>
      </c>
      <c r="AU49" s="93">
        <v>467.94</v>
      </c>
      <c r="AV49" s="93">
        <v>466.91</v>
      </c>
      <c r="AW49" s="93">
        <v>465.89</v>
      </c>
      <c r="AX49" s="93">
        <v>464.87</v>
      </c>
      <c r="AY49" s="93">
        <v>463.84</v>
      </c>
      <c r="AZ49" s="93">
        <v>462.82</v>
      </c>
      <c r="BA49" s="93">
        <v>461.79</v>
      </c>
      <c r="BB49" s="93">
        <v>460.77</v>
      </c>
      <c r="BC49" s="93">
        <v>459.75</v>
      </c>
      <c r="BD49" s="93">
        <v>458.72</v>
      </c>
      <c r="BE49" s="93">
        <v>457.7</v>
      </c>
      <c r="BF49" s="93">
        <v>456.68</v>
      </c>
      <c r="BG49" s="93">
        <v>455.65</v>
      </c>
      <c r="BH49" s="93">
        <v>454.63</v>
      </c>
      <c r="BI49" s="93">
        <v>453.61</v>
      </c>
      <c r="BJ49" s="93">
        <v>452.58</v>
      </c>
      <c r="BK49" s="93">
        <v>451.56</v>
      </c>
      <c r="BL49" s="93">
        <v>450.54</v>
      </c>
      <c r="BM49" s="93">
        <v>449.52</v>
      </c>
      <c r="BN49" s="93">
        <v>448.5</v>
      </c>
      <c r="BO49" s="93">
        <v>447.48</v>
      </c>
      <c r="BP49" s="93">
        <v>446.46</v>
      </c>
      <c r="BQ49" s="93">
        <v>445.44</v>
      </c>
      <c r="BR49" s="93">
        <v>444.41</v>
      </c>
      <c r="BS49" s="93">
        <v>443.39</v>
      </c>
      <c r="BT49" s="93">
        <v>442.37</v>
      </c>
      <c r="BU49" s="93">
        <v>441.35</v>
      </c>
      <c r="BV49" s="93">
        <v>440.33</v>
      </c>
      <c r="BW49" s="93">
        <v>439.31</v>
      </c>
      <c r="BX49" s="93">
        <v>438.29</v>
      </c>
      <c r="BY49" s="93">
        <v>437.28</v>
      </c>
      <c r="BZ49" s="93">
        <v>436.26</v>
      </c>
      <c r="CA49" s="93">
        <v>435.24</v>
      </c>
      <c r="CB49" s="93">
        <v>434.22</v>
      </c>
      <c r="CC49" s="93">
        <v>433.21</v>
      </c>
      <c r="CD49" s="93">
        <v>432.19</v>
      </c>
      <c r="CE49" s="93">
        <v>431.17</v>
      </c>
      <c r="CF49" s="93">
        <v>430.15</v>
      </c>
      <c r="CG49" s="93">
        <v>429.14</v>
      </c>
      <c r="CH49" s="93">
        <v>428.12</v>
      </c>
      <c r="CI49" s="93">
        <v>427.1</v>
      </c>
      <c r="CJ49" s="93">
        <v>426.09</v>
      </c>
      <c r="CK49" s="93">
        <v>425.08</v>
      </c>
      <c r="CL49" s="93">
        <v>424.07</v>
      </c>
      <c r="CM49" s="93">
        <v>423.05</v>
      </c>
      <c r="CN49" s="93">
        <v>422.04</v>
      </c>
      <c r="CO49" s="93">
        <v>421.03</v>
      </c>
      <c r="CP49" s="93">
        <v>420.02</v>
      </c>
      <c r="CQ49" s="93">
        <v>419.01</v>
      </c>
      <c r="CR49" s="93">
        <v>417.99</v>
      </c>
      <c r="CS49" s="93">
        <v>416.98</v>
      </c>
      <c r="CT49" s="93">
        <v>415.97</v>
      </c>
      <c r="CU49" s="93">
        <v>414.96</v>
      </c>
      <c r="CV49" s="93">
        <v>413.95</v>
      </c>
      <c r="CW49" s="93">
        <v>412.95</v>
      </c>
      <c r="CX49" s="93">
        <v>411.94</v>
      </c>
      <c r="CY49" s="93">
        <v>410.94</v>
      </c>
      <c r="CZ49" s="93">
        <v>409.93</v>
      </c>
      <c r="DA49" s="93">
        <v>408.92</v>
      </c>
      <c r="DB49" s="93">
        <v>407.92</v>
      </c>
      <c r="DC49" s="93">
        <v>406.91</v>
      </c>
      <c r="DD49" s="93">
        <v>405.91</v>
      </c>
      <c r="DE49" s="93">
        <v>404.9</v>
      </c>
      <c r="DF49" s="93">
        <v>403.9</v>
      </c>
      <c r="DG49" s="93">
        <v>402.89</v>
      </c>
      <c r="DH49" s="93">
        <v>401.89</v>
      </c>
      <c r="DI49" s="93">
        <v>400.89</v>
      </c>
      <c r="DJ49" s="93">
        <v>399.9</v>
      </c>
      <c r="DK49" s="93">
        <v>398.9</v>
      </c>
      <c r="DL49" s="93">
        <v>397.9</v>
      </c>
      <c r="DM49" s="93">
        <v>396.9</v>
      </c>
      <c r="DN49" s="93">
        <v>395.9</v>
      </c>
      <c r="DO49" s="93">
        <v>394.91</v>
      </c>
      <c r="DP49" s="93">
        <v>393.91</v>
      </c>
      <c r="DQ49" s="93">
        <v>392.91</v>
      </c>
      <c r="DR49" s="93">
        <v>391.91</v>
      </c>
      <c r="DS49" s="93">
        <v>390.92</v>
      </c>
      <c r="DT49" s="93">
        <v>389.93</v>
      </c>
      <c r="DU49" s="93">
        <v>388.94</v>
      </c>
      <c r="DV49" s="93">
        <v>387.95</v>
      </c>
      <c r="DW49" s="93">
        <v>386.96</v>
      </c>
      <c r="DX49" s="93">
        <v>385.97</v>
      </c>
      <c r="DY49" s="93">
        <v>384.99</v>
      </c>
      <c r="DZ49" s="93">
        <v>384</v>
      </c>
      <c r="EA49" s="93">
        <v>383.01</v>
      </c>
      <c r="EB49" s="93">
        <v>382.02</v>
      </c>
      <c r="EC49" s="93">
        <v>381.04</v>
      </c>
      <c r="ED49" s="93">
        <v>380.05</v>
      </c>
      <c r="EE49" s="93">
        <v>379.07</v>
      </c>
      <c r="EF49" s="93">
        <v>378.09</v>
      </c>
      <c r="EG49" s="93">
        <v>377.11</v>
      </c>
      <c r="EH49" s="93">
        <v>376.14</v>
      </c>
      <c r="EI49" s="93">
        <v>375.16</v>
      </c>
      <c r="EJ49" s="93">
        <v>374.19</v>
      </c>
      <c r="EK49" s="93">
        <v>373.21</v>
      </c>
      <c r="EL49" s="93">
        <v>372.24</v>
      </c>
      <c r="EM49" s="93">
        <v>371.26</v>
      </c>
      <c r="EN49" s="93">
        <v>370.29</v>
      </c>
      <c r="EO49" s="93">
        <v>369.32</v>
      </c>
      <c r="EP49" s="93">
        <v>368.35</v>
      </c>
      <c r="EQ49" s="93">
        <v>367.37</v>
      </c>
      <c r="ER49" s="93">
        <v>366.41</v>
      </c>
      <c r="ES49" s="93">
        <v>365.44</v>
      </c>
      <c r="ET49" s="93">
        <v>364.48</v>
      </c>
      <c r="EU49" s="93">
        <v>363.51</v>
      </c>
      <c r="EV49" s="93">
        <v>362.55</v>
      </c>
      <c r="EW49" s="93">
        <v>361.58</v>
      </c>
      <c r="EX49" s="93">
        <v>360.62</v>
      </c>
      <c r="EY49" s="93">
        <v>359.66</v>
      </c>
      <c r="EZ49" s="93">
        <v>358.7</v>
      </c>
      <c r="FA49" s="93">
        <v>357.73</v>
      </c>
      <c r="FB49" s="93">
        <v>356.77</v>
      </c>
      <c r="FC49" s="93">
        <v>355.81</v>
      </c>
      <c r="FD49" s="93">
        <v>354.85</v>
      </c>
      <c r="FE49" s="93">
        <v>353.89</v>
      </c>
      <c r="FF49" s="93">
        <v>352.94</v>
      </c>
      <c r="FG49" s="93">
        <v>351.98</v>
      </c>
      <c r="FH49" s="93">
        <v>351.02</v>
      </c>
      <c r="FI49" s="93">
        <v>350.07</v>
      </c>
      <c r="FJ49" s="93">
        <v>349.11</v>
      </c>
      <c r="FK49" s="93">
        <v>348.15</v>
      </c>
      <c r="FL49" s="93">
        <v>347.2</v>
      </c>
      <c r="FM49" s="93">
        <v>346.25</v>
      </c>
      <c r="FN49" s="93">
        <v>345.29</v>
      </c>
      <c r="FO49" s="93">
        <v>344.34</v>
      </c>
      <c r="FP49" s="93">
        <v>343.39</v>
      </c>
      <c r="FQ49" s="93">
        <v>342.44</v>
      </c>
      <c r="FR49" s="93">
        <v>341.49</v>
      </c>
      <c r="FS49" s="93">
        <v>340.54</v>
      </c>
      <c r="FT49" s="93">
        <v>339.59</v>
      </c>
      <c r="FU49" s="93">
        <v>338.64</v>
      </c>
      <c r="FV49" s="93">
        <v>337.69</v>
      </c>
      <c r="FW49" s="93">
        <v>336.75</v>
      </c>
      <c r="FX49" s="93">
        <v>335.8</v>
      </c>
      <c r="FY49" s="93">
        <v>334.86</v>
      </c>
      <c r="FZ49" s="93">
        <v>333.91</v>
      </c>
      <c r="GA49" s="93">
        <v>332.97</v>
      </c>
      <c r="GB49" s="93">
        <v>332.03</v>
      </c>
      <c r="GC49" s="93">
        <v>331.08</v>
      </c>
      <c r="GD49" s="93">
        <v>330.14</v>
      </c>
      <c r="GE49" s="93">
        <v>329.2</v>
      </c>
      <c r="GF49" s="93">
        <v>328.26</v>
      </c>
      <c r="GG49" s="93">
        <v>327.32</v>
      </c>
      <c r="GH49" s="93">
        <v>326.39</v>
      </c>
      <c r="GI49" s="93">
        <v>325.45</v>
      </c>
      <c r="GJ49" s="93">
        <v>324.51</v>
      </c>
      <c r="GK49" s="93">
        <v>323.57</v>
      </c>
      <c r="GL49" s="93">
        <v>322.64999999999998</v>
      </c>
      <c r="GM49" s="93">
        <v>321.70999999999998</v>
      </c>
      <c r="GN49" s="93">
        <v>320.77999999999997</v>
      </c>
      <c r="GO49" s="93">
        <v>319.85000000000002</v>
      </c>
      <c r="GP49" s="93">
        <v>318.92</v>
      </c>
      <c r="GQ49" s="93">
        <v>317.99</v>
      </c>
      <c r="GR49" s="93">
        <v>317.06</v>
      </c>
      <c r="GS49" s="93">
        <v>316.14</v>
      </c>
      <c r="GT49" s="93">
        <v>315.20999999999998</v>
      </c>
      <c r="GU49" s="93">
        <v>314.29000000000002</v>
      </c>
      <c r="GV49" s="93">
        <v>313.35000000000002</v>
      </c>
      <c r="GW49" s="93">
        <v>312.44</v>
      </c>
      <c r="GX49" s="93">
        <v>311.51</v>
      </c>
      <c r="GY49" s="93">
        <v>310.60000000000002</v>
      </c>
      <c r="GZ49" s="93">
        <v>309.68</v>
      </c>
      <c r="HA49" s="93">
        <v>308.76</v>
      </c>
      <c r="HB49" s="93">
        <v>307.83999999999997</v>
      </c>
      <c r="HC49" s="93">
        <v>306.93</v>
      </c>
      <c r="HD49" s="93">
        <v>306.01</v>
      </c>
      <c r="HE49" s="93">
        <v>305.10000000000002</v>
      </c>
      <c r="HF49" s="93">
        <v>304.18</v>
      </c>
      <c r="HG49" s="93">
        <v>303.26</v>
      </c>
      <c r="HH49" s="93">
        <v>302.35000000000002</v>
      </c>
      <c r="HI49" s="93">
        <v>301.45</v>
      </c>
      <c r="HJ49" s="93">
        <v>300.54000000000002</v>
      </c>
      <c r="HK49" s="93">
        <v>299.63</v>
      </c>
      <c r="HL49" s="93">
        <v>298.73</v>
      </c>
      <c r="HM49" s="93">
        <v>297.82</v>
      </c>
      <c r="HN49" s="93">
        <v>296.92</v>
      </c>
      <c r="HO49" s="93">
        <v>296.01</v>
      </c>
      <c r="HP49" s="93">
        <v>295.10000000000002</v>
      </c>
      <c r="HQ49" s="93">
        <v>294.20999999999998</v>
      </c>
      <c r="HR49" s="93">
        <v>293.31</v>
      </c>
      <c r="HS49" s="93">
        <v>292.42</v>
      </c>
      <c r="HT49" s="93">
        <v>291.51</v>
      </c>
      <c r="HU49" s="93">
        <v>290.62</v>
      </c>
      <c r="HV49" s="93">
        <v>289.73</v>
      </c>
      <c r="HW49" s="93">
        <v>288.82</v>
      </c>
      <c r="HX49" s="93">
        <v>287.94</v>
      </c>
      <c r="HY49" s="93">
        <v>287.04000000000002</v>
      </c>
      <c r="HZ49" s="93">
        <v>286.16000000000003</v>
      </c>
      <c r="IA49" s="93">
        <v>285.26</v>
      </c>
      <c r="IB49" s="93">
        <v>284.38</v>
      </c>
      <c r="IC49" s="93">
        <v>283.49</v>
      </c>
      <c r="ID49" s="93">
        <v>282.60000000000002</v>
      </c>
      <c r="IE49" s="93">
        <v>281.72000000000003</v>
      </c>
      <c r="IF49" s="93">
        <v>280.83999999999997</v>
      </c>
      <c r="IG49" s="93">
        <v>279.95</v>
      </c>
      <c r="IH49" s="93">
        <v>279.07</v>
      </c>
      <c r="II49" s="93">
        <v>278.19</v>
      </c>
      <c r="IJ49" s="93">
        <v>277.31</v>
      </c>
      <c r="IK49" s="93">
        <v>276.43</v>
      </c>
      <c r="IL49" s="93">
        <v>275.54000000000002</v>
      </c>
      <c r="IM49" s="93">
        <v>274.67</v>
      </c>
      <c r="IN49" s="93">
        <v>273.79000000000002</v>
      </c>
      <c r="IO49" s="93">
        <v>272.92</v>
      </c>
      <c r="IP49" s="93">
        <v>272.04000000000002</v>
      </c>
      <c r="IQ49" s="93">
        <v>271.18</v>
      </c>
      <c r="IR49" s="93">
        <v>270.31</v>
      </c>
      <c r="IS49" s="93">
        <v>269.44</v>
      </c>
      <c r="IT49" s="93">
        <v>268.57</v>
      </c>
      <c r="IU49" s="93">
        <v>267.7</v>
      </c>
      <c r="IV49" s="93">
        <v>266.83999999999997</v>
      </c>
      <c r="IW49" s="93">
        <v>265.97000000000003</v>
      </c>
      <c r="IX49" s="93">
        <v>265.10000000000002</v>
      </c>
      <c r="IY49" s="93">
        <v>264.25</v>
      </c>
      <c r="IZ49" s="93">
        <v>263.39</v>
      </c>
      <c r="JA49" s="93">
        <v>262.52999999999997</v>
      </c>
      <c r="JB49" s="93">
        <v>261.67</v>
      </c>
      <c r="JC49" s="93">
        <v>260.81</v>
      </c>
      <c r="JD49" s="93">
        <v>259.95</v>
      </c>
      <c r="JE49" s="93">
        <v>259.10000000000002</v>
      </c>
      <c r="JF49" s="93">
        <v>258.24</v>
      </c>
      <c r="JG49" s="93">
        <v>257.39</v>
      </c>
      <c r="JH49" s="93">
        <v>256.54000000000002</v>
      </c>
      <c r="JI49" s="93">
        <v>255.69</v>
      </c>
      <c r="JJ49" s="93">
        <v>254.84</v>
      </c>
      <c r="JK49" s="93">
        <v>253.99</v>
      </c>
      <c r="JL49" s="93">
        <v>253.14</v>
      </c>
      <c r="JM49" s="93">
        <v>252.3</v>
      </c>
      <c r="JN49" s="93">
        <v>251.45</v>
      </c>
      <c r="JO49" s="93">
        <v>250.6</v>
      </c>
      <c r="JP49" s="93">
        <v>249.76</v>
      </c>
      <c r="JQ49" s="93">
        <v>248.92</v>
      </c>
      <c r="JR49" s="93">
        <v>248.08</v>
      </c>
      <c r="JS49" s="93">
        <v>247.23</v>
      </c>
      <c r="JT49" s="93">
        <v>246.4</v>
      </c>
      <c r="JU49" s="93">
        <v>245.56</v>
      </c>
      <c r="JV49" s="93">
        <v>244.72</v>
      </c>
      <c r="JW49" s="93">
        <v>243.88</v>
      </c>
      <c r="JX49" s="93">
        <v>243.05</v>
      </c>
      <c r="JY49" s="93">
        <v>242.21</v>
      </c>
      <c r="JZ49" s="93">
        <v>241.38</v>
      </c>
      <c r="KA49" s="93">
        <v>240.55</v>
      </c>
      <c r="KB49" s="93">
        <v>239.72</v>
      </c>
      <c r="KC49" s="93">
        <v>238.88</v>
      </c>
      <c r="KD49" s="93">
        <v>238.06</v>
      </c>
      <c r="KE49" s="93">
        <v>237.23</v>
      </c>
      <c r="KF49" s="93">
        <v>236.4</v>
      </c>
      <c r="KG49" s="93">
        <v>235.57</v>
      </c>
      <c r="KH49" s="93">
        <v>234.75</v>
      </c>
      <c r="KI49" s="93">
        <v>233.92</v>
      </c>
      <c r="KJ49" s="93">
        <v>233.1</v>
      </c>
      <c r="KK49" s="93">
        <v>232.28</v>
      </c>
      <c r="KL49" s="93">
        <v>231.46</v>
      </c>
      <c r="KM49" s="93">
        <v>230.64</v>
      </c>
      <c r="KN49" s="93">
        <v>229.82</v>
      </c>
      <c r="KO49" s="93">
        <v>229</v>
      </c>
      <c r="KP49" s="93">
        <v>228.19</v>
      </c>
      <c r="KQ49" s="93">
        <v>227.37</v>
      </c>
      <c r="KR49" s="93">
        <v>226.41000000000037</v>
      </c>
      <c r="KS49" s="93">
        <v>225.66000000000037</v>
      </c>
      <c r="KT49" s="93">
        <v>224.91000000000037</v>
      </c>
      <c r="KU49" s="93">
        <v>224.16000000000037</v>
      </c>
      <c r="KV49" s="93">
        <v>223.41000000000037</v>
      </c>
      <c r="KW49" s="93">
        <v>222.66000000000037</v>
      </c>
      <c r="KX49" s="93">
        <v>221.91000000000037</v>
      </c>
      <c r="KY49" s="93">
        <v>221.16000000000037</v>
      </c>
      <c r="KZ49" s="93">
        <v>220.41000000000037</v>
      </c>
      <c r="LA49" s="93">
        <v>219.66000000000037</v>
      </c>
      <c r="LB49" s="93">
        <v>218.91000000000037</v>
      </c>
      <c r="LC49" s="93">
        <v>218.16000000000037</v>
      </c>
      <c r="LD49" s="93">
        <v>217.41000000000037</v>
      </c>
      <c r="LE49" s="93">
        <v>216.66000000000037</v>
      </c>
      <c r="LF49" s="93">
        <v>215.91000000000037</v>
      </c>
      <c r="LG49" s="93">
        <v>215.16000000000037</v>
      </c>
      <c r="LH49" s="93">
        <v>214.41000000000037</v>
      </c>
      <c r="LI49" s="93">
        <v>213.66000000000037</v>
      </c>
      <c r="LJ49" s="93">
        <v>212.91000000000037</v>
      </c>
      <c r="LK49" s="93">
        <v>212.16000000000037</v>
      </c>
      <c r="LL49" s="93">
        <v>211.41000000000037</v>
      </c>
      <c r="LM49" s="93">
        <v>210.66000000000037</v>
      </c>
      <c r="LN49" s="93">
        <v>209.91000000000037</v>
      </c>
      <c r="LO49" s="93">
        <v>209.16000000000037</v>
      </c>
      <c r="LP49" s="93">
        <v>208.41000000000037</v>
      </c>
      <c r="LQ49" s="93">
        <v>207.66000000000037</v>
      </c>
      <c r="LR49" s="93">
        <v>206.91000000000037</v>
      </c>
      <c r="LS49" s="93">
        <v>206.16000000000037</v>
      </c>
      <c r="LT49" s="93">
        <v>205.41000000000037</v>
      </c>
      <c r="LU49" s="93">
        <v>204.66000000000037</v>
      </c>
      <c r="LV49" s="93">
        <v>203.91000000000037</v>
      </c>
      <c r="LW49" s="93">
        <v>203.16000000000037</v>
      </c>
      <c r="LX49" s="93">
        <v>202.41000000000037</v>
      </c>
      <c r="LY49" s="93">
        <v>201.66000000000037</v>
      </c>
      <c r="LZ49" s="93">
        <v>200.91000000000037</v>
      </c>
      <c r="MA49" s="93">
        <v>200.16000000000037</v>
      </c>
      <c r="MB49" s="93">
        <v>199.41000000000037</v>
      </c>
      <c r="MC49" s="93">
        <v>198.66000000000037</v>
      </c>
      <c r="MD49" s="93">
        <v>197.91000000000037</v>
      </c>
      <c r="ME49" s="93">
        <v>197.16000000000037</v>
      </c>
      <c r="MF49" s="93">
        <v>196.41000000000037</v>
      </c>
      <c r="MG49" s="93">
        <v>195.66000000000037</v>
      </c>
      <c r="MH49" s="93">
        <v>194.91000000000037</v>
      </c>
      <c r="MI49" s="93">
        <v>194.16000000000037</v>
      </c>
      <c r="MJ49" s="93">
        <v>193.41000000000037</v>
      </c>
      <c r="MK49" s="93">
        <v>192.66000000000037</v>
      </c>
      <c r="ML49" s="93">
        <v>191.91000000000037</v>
      </c>
      <c r="MM49" s="93">
        <v>191.16000000000037</v>
      </c>
      <c r="MN49" s="93">
        <v>190.41000000000037</v>
      </c>
      <c r="MO49" s="93">
        <v>189.66000000000037</v>
      </c>
      <c r="MP49" s="93">
        <v>188.91000000000037</v>
      </c>
      <c r="MQ49" s="93">
        <v>188.16000000000037</v>
      </c>
      <c r="MR49" s="93">
        <v>187.41000000000037</v>
      </c>
      <c r="MS49" s="93">
        <v>186.66000000000037</v>
      </c>
      <c r="MT49" s="93">
        <v>185.91000000000037</v>
      </c>
      <c r="MU49" s="93">
        <v>185.16000000000037</v>
      </c>
      <c r="MV49" s="93">
        <v>184.41000000000037</v>
      </c>
      <c r="MW49" s="93">
        <v>183.66000000000037</v>
      </c>
      <c r="MX49" s="93">
        <v>182.91000000000037</v>
      </c>
      <c r="MY49" s="93">
        <v>182.16000000000037</v>
      </c>
    </row>
    <row r="50" spans="1:363" ht="15.75" x14ac:dyDescent="0.25">
      <c r="A50" s="90" t="s">
        <v>7</v>
      </c>
      <c r="B50" s="95">
        <v>2060</v>
      </c>
      <c r="C50" s="93">
        <v>513.59</v>
      </c>
      <c r="D50" s="93">
        <v>512.58000000000004</v>
      </c>
      <c r="E50" s="93">
        <v>511.55</v>
      </c>
      <c r="F50" s="93">
        <v>510.53</v>
      </c>
      <c r="G50" s="93">
        <v>509.5</v>
      </c>
      <c r="H50" s="93">
        <v>508.47</v>
      </c>
      <c r="I50" s="93">
        <v>507.45</v>
      </c>
      <c r="J50" s="93">
        <v>506.42</v>
      </c>
      <c r="K50" s="93">
        <v>505.39</v>
      </c>
      <c r="L50" s="93">
        <v>504.37</v>
      </c>
      <c r="M50" s="93">
        <v>503.34</v>
      </c>
      <c r="N50" s="93">
        <v>502.32</v>
      </c>
      <c r="O50" s="93">
        <v>501.29</v>
      </c>
      <c r="P50" s="93">
        <v>500.26</v>
      </c>
      <c r="Q50" s="93">
        <v>499.24</v>
      </c>
      <c r="R50" s="93">
        <v>498.21</v>
      </c>
      <c r="S50" s="93">
        <v>497.19</v>
      </c>
      <c r="T50" s="93">
        <v>496.16</v>
      </c>
      <c r="U50" s="93">
        <v>495.13</v>
      </c>
      <c r="V50" s="93">
        <v>494.11</v>
      </c>
      <c r="W50" s="93">
        <v>493.08</v>
      </c>
      <c r="X50" s="93">
        <v>492.06</v>
      </c>
      <c r="Y50" s="93">
        <v>491.03</v>
      </c>
      <c r="Z50" s="93">
        <v>490</v>
      </c>
      <c r="AA50" s="93">
        <v>488.98</v>
      </c>
      <c r="AB50" s="93">
        <v>487.95</v>
      </c>
      <c r="AC50" s="93">
        <v>486.93</v>
      </c>
      <c r="AD50" s="93">
        <v>485.9</v>
      </c>
      <c r="AE50" s="93">
        <v>484.87</v>
      </c>
      <c r="AF50" s="93">
        <v>483.85</v>
      </c>
      <c r="AG50" s="93">
        <v>482.82</v>
      </c>
      <c r="AH50" s="93">
        <v>481.8</v>
      </c>
      <c r="AI50" s="93">
        <v>480.77</v>
      </c>
      <c r="AJ50" s="93">
        <v>479.74</v>
      </c>
      <c r="AK50" s="93">
        <v>478.72</v>
      </c>
      <c r="AL50" s="93">
        <v>477.69</v>
      </c>
      <c r="AM50" s="93">
        <v>476.67</v>
      </c>
      <c r="AN50" s="93">
        <v>475.64</v>
      </c>
      <c r="AO50" s="93">
        <v>474.62</v>
      </c>
      <c r="AP50" s="93">
        <v>473.59</v>
      </c>
      <c r="AQ50" s="93">
        <v>472.57</v>
      </c>
      <c r="AR50" s="93">
        <v>471.54</v>
      </c>
      <c r="AS50" s="93">
        <v>470.52</v>
      </c>
      <c r="AT50" s="93">
        <v>469.49</v>
      </c>
      <c r="AU50" s="93">
        <v>468.47</v>
      </c>
      <c r="AV50" s="93">
        <v>467.44</v>
      </c>
      <c r="AW50" s="93">
        <v>466.42</v>
      </c>
      <c r="AX50" s="93">
        <v>465.39</v>
      </c>
      <c r="AY50" s="93">
        <v>464.37</v>
      </c>
      <c r="AZ50" s="93">
        <v>463.34</v>
      </c>
      <c r="BA50" s="93">
        <v>462.32</v>
      </c>
      <c r="BB50" s="93">
        <v>461.3</v>
      </c>
      <c r="BC50" s="93">
        <v>460.27</v>
      </c>
      <c r="BD50" s="93">
        <v>459.25</v>
      </c>
      <c r="BE50" s="93">
        <v>458.23</v>
      </c>
      <c r="BF50" s="93">
        <v>457.2</v>
      </c>
      <c r="BG50" s="93">
        <v>456.18</v>
      </c>
      <c r="BH50" s="93">
        <v>455.16</v>
      </c>
      <c r="BI50" s="93">
        <v>454.13</v>
      </c>
      <c r="BJ50" s="93">
        <v>453.11</v>
      </c>
      <c r="BK50" s="93">
        <v>452.08</v>
      </c>
      <c r="BL50" s="93">
        <v>451.06</v>
      </c>
      <c r="BM50" s="93">
        <v>450.04</v>
      </c>
      <c r="BN50" s="93">
        <v>449.02</v>
      </c>
      <c r="BO50" s="93">
        <v>448</v>
      </c>
      <c r="BP50" s="93">
        <v>446.98</v>
      </c>
      <c r="BQ50" s="93">
        <v>445.96</v>
      </c>
      <c r="BR50" s="93">
        <v>444.94</v>
      </c>
      <c r="BS50" s="93">
        <v>443.92</v>
      </c>
      <c r="BT50" s="93">
        <v>442.89</v>
      </c>
      <c r="BU50" s="93">
        <v>441.87</v>
      </c>
      <c r="BV50" s="93">
        <v>440.85</v>
      </c>
      <c r="BW50" s="93">
        <v>439.83</v>
      </c>
      <c r="BX50" s="93">
        <v>438.81</v>
      </c>
      <c r="BY50" s="93">
        <v>437.8</v>
      </c>
      <c r="BZ50" s="93">
        <v>436.78</v>
      </c>
      <c r="CA50" s="93">
        <v>435.76</v>
      </c>
      <c r="CB50" s="93">
        <v>434.74</v>
      </c>
      <c r="CC50" s="93">
        <v>433.73</v>
      </c>
      <c r="CD50" s="93">
        <v>432.71</v>
      </c>
      <c r="CE50" s="93">
        <v>431.69</v>
      </c>
      <c r="CF50" s="93">
        <v>430.67</v>
      </c>
      <c r="CG50" s="93">
        <v>429.66</v>
      </c>
      <c r="CH50" s="93">
        <v>428.64</v>
      </c>
      <c r="CI50" s="93">
        <v>427.62</v>
      </c>
      <c r="CJ50" s="93">
        <v>426.61</v>
      </c>
      <c r="CK50" s="93">
        <v>425.6</v>
      </c>
      <c r="CL50" s="93">
        <v>424.58</v>
      </c>
      <c r="CM50" s="93">
        <v>423.57</v>
      </c>
      <c r="CN50" s="93">
        <v>422.56</v>
      </c>
      <c r="CO50" s="93">
        <v>421.55</v>
      </c>
      <c r="CP50" s="93">
        <v>420.53</v>
      </c>
      <c r="CQ50" s="93">
        <v>419.52</v>
      </c>
      <c r="CR50" s="93">
        <v>418.51</v>
      </c>
      <c r="CS50" s="93">
        <v>417.5</v>
      </c>
      <c r="CT50" s="93">
        <v>416.49</v>
      </c>
      <c r="CU50" s="93">
        <v>415.47</v>
      </c>
      <c r="CV50" s="93">
        <v>414.47</v>
      </c>
      <c r="CW50" s="93">
        <v>413.46</v>
      </c>
      <c r="CX50" s="93">
        <v>412.45</v>
      </c>
      <c r="CY50" s="93">
        <v>411.45</v>
      </c>
      <c r="CZ50" s="93">
        <v>410.44</v>
      </c>
      <c r="DA50" s="93">
        <v>409.44</v>
      </c>
      <c r="DB50" s="93">
        <v>408.43</v>
      </c>
      <c r="DC50" s="93">
        <v>407.42</v>
      </c>
      <c r="DD50" s="93">
        <v>406.42</v>
      </c>
      <c r="DE50" s="93">
        <v>405.41</v>
      </c>
      <c r="DF50" s="93">
        <v>404.41</v>
      </c>
      <c r="DG50" s="93">
        <v>403.4</v>
      </c>
      <c r="DH50" s="93">
        <v>402.4</v>
      </c>
      <c r="DI50" s="93">
        <v>401.4</v>
      </c>
      <c r="DJ50" s="93">
        <v>400.41</v>
      </c>
      <c r="DK50" s="93">
        <v>399.41</v>
      </c>
      <c r="DL50" s="93">
        <v>398.41</v>
      </c>
      <c r="DM50" s="93">
        <v>397.41</v>
      </c>
      <c r="DN50" s="93">
        <v>396.41</v>
      </c>
      <c r="DO50" s="93">
        <v>395.41</v>
      </c>
      <c r="DP50" s="93">
        <v>394.42</v>
      </c>
      <c r="DQ50" s="93">
        <v>393.42</v>
      </c>
      <c r="DR50" s="93">
        <v>392.42</v>
      </c>
      <c r="DS50" s="93">
        <v>391.43</v>
      </c>
      <c r="DT50" s="93">
        <v>390.44</v>
      </c>
      <c r="DU50" s="93">
        <v>389.45</v>
      </c>
      <c r="DV50" s="93">
        <v>388.46</v>
      </c>
      <c r="DW50" s="93">
        <v>387.47</v>
      </c>
      <c r="DX50" s="93">
        <v>386.48</v>
      </c>
      <c r="DY50" s="93">
        <v>385.49</v>
      </c>
      <c r="DZ50" s="93">
        <v>384.5</v>
      </c>
      <c r="EA50" s="93">
        <v>383.52</v>
      </c>
      <c r="EB50" s="93">
        <v>382.53</v>
      </c>
      <c r="EC50" s="93">
        <v>381.54</v>
      </c>
      <c r="ED50" s="93">
        <v>380.56</v>
      </c>
      <c r="EE50" s="93">
        <v>379.57</v>
      </c>
      <c r="EF50" s="93">
        <v>378.59</v>
      </c>
      <c r="EG50" s="93">
        <v>377.62</v>
      </c>
      <c r="EH50" s="93">
        <v>376.64</v>
      </c>
      <c r="EI50" s="93">
        <v>375.66</v>
      </c>
      <c r="EJ50" s="93">
        <v>374.69</v>
      </c>
      <c r="EK50" s="93">
        <v>373.71</v>
      </c>
      <c r="EL50" s="93">
        <v>372.74</v>
      </c>
      <c r="EM50" s="93">
        <v>371.77</v>
      </c>
      <c r="EN50" s="93">
        <v>370.79</v>
      </c>
      <c r="EO50" s="93">
        <v>369.82</v>
      </c>
      <c r="EP50" s="93">
        <v>368.85</v>
      </c>
      <c r="EQ50" s="93">
        <v>367.88</v>
      </c>
      <c r="ER50" s="93">
        <v>366.91</v>
      </c>
      <c r="ES50" s="93">
        <v>365.94</v>
      </c>
      <c r="ET50" s="93">
        <v>364.98</v>
      </c>
      <c r="EU50" s="93">
        <v>364.01</v>
      </c>
      <c r="EV50" s="93">
        <v>363.05</v>
      </c>
      <c r="EW50" s="93">
        <v>362.08</v>
      </c>
      <c r="EX50" s="93">
        <v>361.12</v>
      </c>
      <c r="EY50" s="93">
        <v>360.16</v>
      </c>
      <c r="EZ50" s="93">
        <v>359.2</v>
      </c>
      <c r="FA50" s="93">
        <v>358.23</v>
      </c>
      <c r="FB50" s="93">
        <v>357.27</v>
      </c>
      <c r="FC50" s="93">
        <v>356.31</v>
      </c>
      <c r="FD50" s="93">
        <v>355.35</v>
      </c>
      <c r="FE50" s="93">
        <v>354.39</v>
      </c>
      <c r="FF50" s="93">
        <v>353.44</v>
      </c>
      <c r="FG50" s="93">
        <v>352.48</v>
      </c>
      <c r="FH50" s="93">
        <v>351.52</v>
      </c>
      <c r="FI50" s="93">
        <v>350.56</v>
      </c>
      <c r="FJ50" s="93">
        <v>349.61</v>
      </c>
      <c r="FK50" s="93">
        <v>348.65</v>
      </c>
      <c r="FL50" s="93">
        <v>347.7</v>
      </c>
      <c r="FM50" s="93">
        <v>346.74</v>
      </c>
      <c r="FN50" s="93">
        <v>345.79</v>
      </c>
      <c r="FO50" s="93">
        <v>344.84</v>
      </c>
      <c r="FP50" s="93">
        <v>343.89</v>
      </c>
      <c r="FQ50" s="93">
        <v>342.93</v>
      </c>
      <c r="FR50" s="93">
        <v>341.98</v>
      </c>
      <c r="FS50" s="93">
        <v>341.03</v>
      </c>
      <c r="FT50" s="93">
        <v>340.09</v>
      </c>
      <c r="FU50" s="93">
        <v>339.14</v>
      </c>
      <c r="FV50" s="93">
        <v>338.19</v>
      </c>
      <c r="FW50" s="93">
        <v>337.24</v>
      </c>
      <c r="FX50" s="93">
        <v>336.3</v>
      </c>
      <c r="FY50" s="93">
        <v>335.35</v>
      </c>
      <c r="FZ50" s="93">
        <v>334.41</v>
      </c>
      <c r="GA50" s="93">
        <v>333.46</v>
      </c>
      <c r="GB50" s="93">
        <v>332.52</v>
      </c>
      <c r="GC50" s="93">
        <v>331.58</v>
      </c>
      <c r="GD50" s="93">
        <v>330.64</v>
      </c>
      <c r="GE50" s="93">
        <v>329.7</v>
      </c>
      <c r="GF50" s="93">
        <v>328.76</v>
      </c>
      <c r="GG50" s="93">
        <v>327.82</v>
      </c>
      <c r="GH50" s="93">
        <v>326.88</v>
      </c>
      <c r="GI50" s="93">
        <v>325.94</v>
      </c>
      <c r="GJ50" s="93">
        <v>325.01</v>
      </c>
      <c r="GK50" s="93">
        <v>324.07</v>
      </c>
      <c r="GL50" s="93">
        <v>323.14</v>
      </c>
      <c r="GM50" s="93">
        <v>322.2</v>
      </c>
      <c r="GN50" s="93">
        <v>321.26</v>
      </c>
      <c r="GO50" s="93">
        <v>320.33999999999997</v>
      </c>
      <c r="GP50" s="93">
        <v>319.41000000000003</v>
      </c>
      <c r="GQ50" s="93">
        <v>318.48</v>
      </c>
      <c r="GR50" s="93">
        <v>317.54000000000002</v>
      </c>
      <c r="GS50" s="93">
        <v>316.63</v>
      </c>
      <c r="GT50" s="93">
        <v>315.7</v>
      </c>
      <c r="GU50" s="93">
        <v>314.77999999999997</v>
      </c>
      <c r="GV50" s="93">
        <v>313.85000000000002</v>
      </c>
      <c r="GW50" s="93">
        <v>312.93</v>
      </c>
      <c r="GX50" s="93">
        <v>312.01</v>
      </c>
      <c r="GY50" s="93">
        <v>311.07</v>
      </c>
      <c r="GZ50" s="93">
        <v>310.16000000000003</v>
      </c>
      <c r="HA50" s="93">
        <v>309.25</v>
      </c>
      <c r="HB50" s="93">
        <v>308.32</v>
      </c>
      <c r="HC50" s="93">
        <v>307.41000000000003</v>
      </c>
      <c r="HD50" s="93">
        <v>306.5</v>
      </c>
      <c r="HE50" s="93">
        <v>305.57</v>
      </c>
      <c r="HF50" s="93">
        <v>304.67</v>
      </c>
      <c r="HG50" s="93">
        <v>303.75</v>
      </c>
      <c r="HH50" s="93">
        <v>302.83999999999997</v>
      </c>
      <c r="HI50" s="93">
        <v>301.93</v>
      </c>
      <c r="HJ50" s="93">
        <v>301.01</v>
      </c>
      <c r="HK50" s="93">
        <v>300.10000000000002</v>
      </c>
      <c r="HL50" s="93">
        <v>299.20999999999998</v>
      </c>
      <c r="HM50" s="93">
        <v>298.29000000000002</v>
      </c>
      <c r="HN50" s="93">
        <v>297.39999999999998</v>
      </c>
      <c r="HO50" s="93">
        <v>296.5</v>
      </c>
      <c r="HP50" s="93">
        <v>295.58999999999997</v>
      </c>
      <c r="HQ50" s="93">
        <v>294.69</v>
      </c>
      <c r="HR50" s="93">
        <v>293.79000000000002</v>
      </c>
      <c r="HS50" s="93">
        <v>292.89999999999998</v>
      </c>
      <c r="HT50" s="93">
        <v>292</v>
      </c>
      <c r="HU50" s="93">
        <v>291.10000000000002</v>
      </c>
      <c r="HV50" s="93">
        <v>290.20999999999998</v>
      </c>
      <c r="HW50" s="93">
        <v>289.31</v>
      </c>
      <c r="HX50" s="93">
        <v>288.42</v>
      </c>
      <c r="HY50" s="93">
        <v>287.52999999999997</v>
      </c>
      <c r="HZ50" s="93">
        <v>286.64</v>
      </c>
      <c r="IA50" s="93">
        <v>285.75</v>
      </c>
      <c r="IB50" s="93">
        <v>284.85000000000002</v>
      </c>
      <c r="IC50" s="93">
        <v>283.97000000000003</v>
      </c>
      <c r="ID50" s="93">
        <v>283.07</v>
      </c>
      <c r="IE50" s="93">
        <v>282.2</v>
      </c>
      <c r="IF50" s="93">
        <v>281.31</v>
      </c>
      <c r="IG50" s="93">
        <v>280.43</v>
      </c>
      <c r="IH50" s="93">
        <v>279.54000000000002</v>
      </c>
      <c r="II50" s="93">
        <v>278.66000000000003</v>
      </c>
      <c r="IJ50" s="93">
        <v>277.77999999999997</v>
      </c>
      <c r="IK50" s="93">
        <v>276.89999999999998</v>
      </c>
      <c r="IL50" s="93">
        <v>276.01</v>
      </c>
      <c r="IM50" s="93">
        <v>275.14999999999998</v>
      </c>
      <c r="IN50" s="93">
        <v>274.26</v>
      </c>
      <c r="IO50" s="93">
        <v>273.39</v>
      </c>
      <c r="IP50" s="93">
        <v>272.51</v>
      </c>
      <c r="IQ50" s="93">
        <v>271.64999999999998</v>
      </c>
      <c r="IR50" s="93">
        <v>270.77999999999997</v>
      </c>
      <c r="IS50" s="93">
        <v>269.91000000000003</v>
      </c>
      <c r="IT50" s="93">
        <v>269.04000000000002</v>
      </c>
      <c r="IU50" s="93">
        <v>268.17</v>
      </c>
      <c r="IV50" s="93">
        <v>267.29000000000002</v>
      </c>
      <c r="IW50" s="93">
        <v>266.44</v>
      </c>
      <c r="IX50" s="93">
        <v>265.57</v>
      </c>
      <c r="IY50" s="93">
        <v>264.70999999999998</v>
      </c>
      <c r="IZ50" s="93">
        <v>263.85000000000002</v>
      </c>
      <c r="JA50" s="93">
        <v>262.99</v>
      </c>
      <c r="JB50" s="93">
        <v>262.13</v>
      </c>
      <c r="JC50" s="93">
        <v>261.26</v>
      </c>
      <c r="JD50" s="93">
        <v>260.42</v>
      </c>
      <c r="JE50" s="93">
        <v>259.56</v>
      </c>
      <c r="JF50" s="93">
        <v>258.70999999999998</v>
      </c>
      <c r="JG50" s="93">
        <v>257.85000000000002</v>
      </c>
      <c r="JH50" s="93">
        <v>257</v>
      </c>
      <c r="JI50" s="93">
        <v>256.14999999999998</v>
      </c>
      <c r="JJ50" s="93">
        <v>255.3</v>
      </c>
      <c r="JK50" s="93">
        <v>254.45</v>
      </c>
      <c r="JL50" s="93">
        <v>253.6</v>
      </c>
      <c r="JM50" s="93">
        <v>252.75</v>
      </c>
      <c r="JN50" s="93">
        <v>251.91</v>
      </c>
      <c r="JO50" s="93">
        <v>251.06</v>
      </c>
      <c r="JP50" s="93">
        <v>250.22</v>
      </c>
      <c r="JQ50" s="93">
        <v>249.37</v>
      </c>
      <c r="JR50" s="93">
        <v>248.53</v>
      </c>
      <c r="JS50" s="93">
        <v>247.69</v>
      </c>
      <c r="JT50" s="93">
        <v>246.85</v>
      </c>
      <c r="JU50" s="93">
        <v>246.01</v>
      </c>
      <c r="JV50" s="93">
        <v>245.17</v>
      </c>
      <c r="JW50" s="93">
        <v>244.34</v>
      </c>
      <c r="JX50" s="93">
        <v>243.5</v>
      </c>
      <c r="JY50" s="93">
        <v>242.67</v>
      </c>
      <c r="JZ50" s="93">
        <v>241.83</v>
      </c>
      <c r="KA50" s="93">
        <v>241</v>
      </c>
      <c r="KB50" s="93">
        <v>240.17</v>
      </c>
      <c r="KC50" s="93">
        <v>239.33</v>
      </c>
      <c r="KD50" s="93">
        <v>238.5</v>
      </c>
      <c r="KE50" s="93">
        <v>237.67</v>
      </c>
      <c r="KF50" s="93">
        <v>236.85</v>
      </c>
      <c r="KG50" s="93">
        <v>236.02</v>
      </c>
      <c r="KH50" s="93">
        <v>235.19</v>
      </c>
      <c r="KI50" s="93">
        <v>234.37</v>
      </c>
      <c r="KJ50" s="93">
        <v>233.54</v>
      </c>
      <c r="KK50" s="93">
        <v>232.72</v>
      </c>
      <c r="KL50" s="93">
        <v>231.9</v>
      </c>
      <c r="KM50" s="93">
        <v>231.08</v>
      </c>
      <c r="KN50" s="93">
        <v>230.26</v>
      </c>
      <c r="KO50" s="93">
        <v>229.44</v>
      </c>
      <c r="KP50" s="93">
        <v>228.63</v>
      </c>
      <c r="KQ50" s="93">
        <v>227.81</v>
      </c>
      <c r="KR50" s="93">
        <v>226.87000000000037</v>
      </c>
      <c r="KS50" s="93">
        <v>226.12000000000037</v>
      </c>
      <c r="KT50" s="93">
        <v>225.37000000000037</v>
      </c>
      <c r="KU50" s="93">
        <v>224.62000000000037</v>
      </c>
      <c r="KV50" s="93">
        <v>223.87000000000037</v>
      </c>
      <c r="KW50" s="93">
        <v>223.12000000000037</v>
      </c>
      <c r="KX50" s="93">
        <v>222.37000000000037</v>
      </c>
      <c r="KY50" s="93">
        <v>221.62000000000037</v>
      </c>
      <c r="KZ50" s="93">
        <v>220.87000000000037</v>
      </c>
      <c r="LA50" s="93">
        <v>220.12000000000037</v>
      </c>
      <c r="LB50" s="93">
        <v>219.37000000000037</v>
      </c>
      <c r="LC50" s="93">
        <v>218.62000000000037</v>
      </c>
      <c r="LD50" s="93">
        <v>217.87000000000037</v>
      </c>
      <c r="LE50" s="93">
        <v>217.12000000000037</v>
      </c>
      <c r="LF50" s="93">
        <v>216.37000000000037</v>
      </c>
      <c r="LG50" s="93">
        <v>215.62000000000037</v>
      </c>
      <c r="LH50" s="93">
        <v>214.87000000000037</v>
      </c>
      <c r="LI50" s="93">
        <v>214.12000000000037</v>
      </c>
      <c r="LJ50" s="93">
        <v>213.37000000000037</v>
      </c>
      <c r="LK50" s="93">
        <v>212.62000000000037</v>
      </c>
      <c r="LL50" s="93">
        <v>211.87000000000037</v>
      </c>
      <c r="LM50" s="93">
        <v>211.12000000000037</v>
      </c>
      <c r="LN50" s="93">
        <v>210.37000000000037</v>
      </c>
      <c r="LO50" s="93">
        <v>209.62000000000037</v>
      </c>
      <c r="LP50" s="93">
        <v>208.87000000000037</v>
      </c>
      <c r="LQ50" s="93">
        <v>208.12000000000037</v>
      </c>
      <c r="LR50" s="93">
        <v>207.37000000000037</v>
      </c>
      <c r="LS50" s="93">
        <v>206.62000000000037</v>
      </c>
      <c r="LT50" s="93">
        <v>205.87000000000037</v>
      </c>
      <c r="LU50" s="93">
        <v>205.12000000000037</v>
      </c>
      <c r="LV50" s="93">
        <v>204.37000000000037</v>
      </c>
      <c r="LW50" s="93">
        <v>203.62000000000037</v>
      </c>
      <c r="LX50" s="93">
        <v>202.87000000000037</v>
      </c>
      <c r="LY50" s="93">
        <v>202.12000000000037</v>
      </c>
      <c r="LZ50" s="93">
        <v>201.37000000000037</v>
      </c>
      <c r="MA50" s="93">
        <v>200.62000000000037</v>
      </c>
      <c r="MB50" s="93">
        <v>199.87000000000037</v>
      </c>
      <c r="MC50" s="93">
        <v>199.12000000000037</v>
      </c>
      <c r="MD50" s="93">
        <v>198.37000000000037</v>
      </c>
      <c r="ME50" s="93">
        <v>197.62000000000037</v>
      </c>
      <c r="MF50" s="93">
        <v>196.87000000000037</v>
      </c>
      <c r="MG50" s="93">
        <v>196.12000000000037</v>
      </c>
      <c r="MH50" s="93">
        <v>195.37000000000037</v>
      </c>
      <c r="MI50" s="93">
        <v>194.62000000000037</v>
      </c>
      <c r="MJ50" s="93">
        <v>193.87000000000037</v>
      </c>
      <c r="MK50" s="93">
        <v>193.12000000000037</v>
      </c>
      <c r="ML50" s="93">
        <v>192.37000000000037</v>
      </c>
      <c r="MM50" s="93">
        <v>191.62000000000037</v>
      </c>
      <c r="MN50" s="93">
        <v>190.87000000000037</v>
      </c>
      <c r="MO50" s="93">
        <v>190.12000000000037</v>
      </c>
      <c r="MP50" s="93">
        <v>189.37000000000037</v>
      </c>
      <c r="MQ50" s="93">
        <v>188.62000000000037</v>
      </c>
      <c r="MR50" s="93">
        <v>187.87000000000037</v>
      </c>
      <c r="MS50" s="93">
        <v>187.12000000000037</v>
      </c>
      <c r="MT50" s="93">
        <v>186.37000000000037</v>
      </c>
      <c r="MU50" s="93">
        <v>185.62000000000037</v>
      </c>
      <c r="MV50" s="93">
        <v>184.87000000000037</v>
      </c>
      <c r="MW50" s="93">
        <v>184.12000000000037</v>
      </c>
      <c r="MX50" s="93">
        <v>183.37000000000037</v>
      </c>
      <c r="MY50" s="93">
        <v>182.62000000000037</v>
      </c>
    </row>
    <row r="51" spans="1:363" ht="15.75" x14ac:dyDescent="0.25">
      <c r="A51" s="90" t="s">
        <v>7</v>
      </c>
      <c r="B51" s="95">
        <v>2061</v>
      </c>
      <c r="C51" s="93">
        <v>514.14</v>
      </c>
      <c r="D51" s="93">
        <v>513.11</v>
      </c>
      <c r="E51" s="93">
        <v>512.08000000000004</v>
      </c>
      <c r="F51" s="93">
        <v>511.06</v>
      </c>
      <c r="G51" s="93">
        <v>510.03</v>
      </c>
      <c r="H51" s="93">
        <v>509.01</v>
      </c>
      <c r="I51" s="93">
        <v>507.98</v>
      </c>
      <c r="J51" s="93">
        <v>506.95</v>
      </c>
      <c r="K51" s="93">
        <v>505.93</v>
      </c>
      <c r="L51" s="93">
        <v>504.9</v>
      </c>
      <c r="M51" s="93">
        <v>503.87</v>
      </c>
      <c r="N51" s="93">
        <v>502.85</v>
      </c>
      <c r="O51" s="93">
        <v>501.82</v>
      </c>
      <c r="P51" s="93">
        <v>500.8</v>
      </c>
      <c r="Q51" s="93">
        <v>499.77</v>
      </c>
      <c r="R51" s="93">
        <v>498.74</v>
      </c>
      <c r="S51" s="93">
        <v>497.72</v>
      </c>
      <c r="T51" s="93">
        <v>496.69</v>
      </c>
      <c r="U51" s="93">
        <v>495.66</v>
      </c>
      <c r="V51" s="93">
        <v>494.64</v>
      </c>
      <c r="W51" s="93">
        <v>493.61</v>
      </c>
      <c r="X51" s="93">
        <v>492.59</v>
      </c>
      <c r="Y51" s="93">
        <v>491.56</v>
      </c>
      <c r="Z51" s="93">
        <v>490.53</v>
      </c>
      <c r="AA51" s="93">
        <v>489.51</v>
      </c>
      <c r="AB51" s="93">
        <v>488.48</v>
      </c>
      <c r="AC51" s="93">
        <v>487.45</v>
      </c>
      <c r="AD51" s="93">
        <v>486.43</v>
      </c>
      <c r="AE51" s="93">
        <v>485.4</v>
      </c>
      <c r="AF51" s="93">
        <v>484.38</v>
      </c>
      <c r="AG51" s="93">
        <v>483.35</v>
      </c>
      <c r="AH51" s="93">
        <v>482.32</v>
      </c>
      <c r="AI51" s="93">
        <v>481.3</v>
      </c>
      <c r="AJ51" s="93">
        <v>480.27</v>
      </c>
      <c r="AK51" s="93">
        <v>479.25</v>
      </c>
      <c r="AL51" s="93">
        <v>478.22</v>
      </c>
      <c r="AM51" s="93">
        <v>477.19</v>
      </c>
      <c r="AN51" s="93">
        <v>476.17</v>
      </c>
      <c r="AO51" s="93">
        <v>475.14</v>
      </c>
      <c r="AP51" s="93">
        <v>474.12</v>
      </c>
      <c r="AQ51" s="93">
        <v>473.09</v>
      </c>
      <c r="AR51" s="93">
        <v>472.07</v>
      </c>
      <c r="AS51" s="93">
        <v>471.04</v>
      </c>
      <c r="AT51" s="93">
        <v>470.02</v>
      </c>
      <c r="AU51" s="93">
        <v>468.99</v>
      </c>
      <c r="AV51" s="93">
        <v>467.97</v>
      </c>
      <c r="AW51" s="93">
        <v>466.94</v>
      </c>
      <c r="AX51" s="93">
        <v>465.92</v>
      </c>
      <c r="AY51" s="93">
        <v>464.89</v>
      </c>
      <c r="AZ51" s="93">
        <v>463.87</v>
      </c>
      <c r="BA51" s="93">
        <v>462.85</v>
      </c>
      <c r="BB51" s="93">
        <v>461.82</v>
      </c>
      <c r="BC51" s="93">
        <v>460.8</v>
      </c>
      <c r="BD51" s="93">
        <v>459.77</v>
      </c>
      <c r="BE51" s="93">
        <v>458.75</v>
      </c>
      <c r="BF51" s="93">
        <v>457.73</v>
      </c>
      <c r="BG51" s="93">
        <v>456.7</v>
      </c>
      <c r="BH51" s="93">
        <v>455.68</v>
      </c>
      <c r="BI51" s="93">
        <v>454.65</v>
      </c>
      <c r="BJ51" s="93">
        <v>453.63</v>
      </c>
      <c r="BK51" s="93">
        <v>452.61</v>
      </c>
      <c r="BL51" s="93">
        <v>451.59</v>
      </c>
      <c r="BM51" s="93">
        <v>450.56</v>
      </c>
      <c r="BN51" s="93">
        <v>449.54</v>
      </c>
      <c r="BO51" s="93">
        <v>448.52</v>
      </c>
      <c r="BP51" s="93">
        <v>447.5</v>
      </c>
      <c r="BQ51" s="93">
        <v>446.48</v>
      </c>
      <c r="BR51" s="93">
        <v>445.46</v>
      </c>
      <c r="BS51" s="93">
        <v>444.44</v>
      </c>
      <c r="BT51" s="93">
        <v>443.42</v>
      </c>
      <c r="BU51" s="93">
        <v>442.39</v>
      </c>
      <c r="BV51" s="93">
        <v>441.37</v>
      </c>
      <c r="BW51" s="93">
        <v>440.35</v>
      </c>
      <c r="BX51" s="93">
        <v>439.33</v>
      </c>
      <c r="BY51" s="93">
        <v>438.32</v>
      </c>
      <c r="BZ51" s="93">
        <v>437.3</v>
      </c>
      <c r="CA51" s="93">
        <v>436.28</v>
      </c>
      <c r="CB51" s="93">
        <v>435.26</v>
      </c>
      <c r="CC51" s="93">
        <v>434.24</v>
      </c>
      <c r="CD51" s="93">
        <v>433.23</v>
      </c>
      <c r="CE51" s="93">
        <v>432.21</v>
      </c>
      <c r="CF51" s="93">
        <v>431.19</v>
      </c>
      <c r="CG51" s="93">
        <v>430.17</v>
      </c>
      <c r="CH51" s="93">
        <v>429.16</v>
      </c>
      <c r="CI51" s="93">
        <v>428.14</v>
      </c>
      <c r="CJ51" s="93">
        <v>427.13</v>
      </c>
      <c r="CK51" s="93">
        <v>426.11</v>
      </c>
      <c r="CL51" s="93">
        <v>425.1</v>
      </c>
      <c r="CM51" s="93">
        <v>424.09</v>
      </c>
      <c r="CN51" s="93">
        <v>423.07</v>
      </c>
      <c r="CO51" s="93">
        <v>422.06</v>
      </c>
      <c r="CP51" s="93">
        <v>421.05</v>
      </c>
      <c r="CQ51" s="93">
        <v>420.04</v>
      </c>
      <c r="CR51" s="93">
        <v>419.02</v>
      </c>
      <c r="CS51" s="93">
        <v>418.01</v>
      </c>
      <c r="CT51" s="93">
        <v>417</v>
      </c>
      <c r="CU51" s="93">
        <v>415.99</v>
      </c>
      <c r="CV51" s="93">
        <v>414.98</v>
      </c>
      <c r="CW51" s="93">
        <v>413.97</v>
      </c>
      <c r="CX51" s="93">
        <v>412.97</v>
      </c>
      <c r="CY51" s="93">
        <v>411.96</v>
      </c>
      <c r="CZ51" s="93">
        <v>410.95</v>
      </c>
      <c r="DA51" s="93">
        <v>409.95</v>
      </c>
      <c r="DB51" s="93">
        <v>408.94</v>
      </c>
      <c r="DC51" s="93">
        <v>407.94</v>
      </c>
      <c r="DD51" s="93">
        <v>406.93</v>
      </c>
      <c r="DE51" s="93">
        <v>405.92</v>
      </c>
      <c r="DF51" s="93">
        <v>404.92</v>
      </c>
      <c r="DG51" s="93">
        <v>403.91</v>
      </c>
      <c r="DH51" s="93">
        <v>402.91</v>
      </c>
      <c r="DI51" s="93">
        <v>401.91</v>
      </c>
      <c r="DJ51" s="93">
        <v>400.91</v>
      </c>
      <c r="DK51" s="93">
        <v>399.92</v>
      </c>
      <c r="DL51" s="93">
        <v>398.92</v>
      </c>
      <c r="DM51" s="93">
        <v>397.92</v>
      </c>
      <c r="DN51" s="93">
        <v>396.92</v>
      </c>
      <c r="DO51" s="93">
        <v>395.92</v>
      </c>
      <c r="DP51" s="93">
        <v>394.92</v>
      </c>
      <c r="DQ51" s="93">
        <v>393.93</v>
      </c>
      <c r="DR51" s="93">
        <v>392.93</v>
      </c>
      <c r="DS51" s="93">
        <v>391.93</v>
      </c>
      <c r="DT51" s="93">
        <v>390.94</v>
      </c>
      <c r="DU51" s="93">
        <v>389.95</v>
      </c>
      <c r="DV51" s="93">
        <v>388.96</v>
      </c>
      <c r="DW51" s="93">
        <v>387.97</v>
      </c>
      <c r="DX51" s="93">
        <v>386.98</v>
      </c>
      <c r="DY51" s="93">
        <v>386</v>
      </c>
      <c r="DZ51" s="93">
        <v>385.01</v>
      </c>
      <c r="EA51" s="93">
        <v>384.02</v>
      </c>
      <c r="EB51" s="93">
        <v>383.03</v>
      </c>
      <c r="EC51" s="93">
        <v>382.05</v>
      </c>
      <c r="ED51" s="93">
        <v>381.06</v>
      </c>
      <c r="EE51" s="93">
        <v>380.07</v>
      </c>
      <c r="EF51" s="93">
        <v>379.1</v>
      </c>
      <c r="EG51" s="93">
        <v>378.12</v>
      </c>
      <c r="EH51" s="93">
        <v>377.14</v>
      </c>
      <c r="EI51" s="93">
        <v>376.17</v>
      </c>
      <c r="EJ51" s="93">
        <v>375.19</v>
      </c>
      <c r="EK51" s="93">
        <v>374.22</v>
      </c>
      <c r="EL51" s="93">
        <v>373.24</v>
      </c>
      <c r="EM51" s="93">
        <v>372.27</v>
      </c>
      <c r="EN51" s="93">
        <v>371.29</v>
      </c>
      <c r="EO51" s="93">
        <v>370.32</v>
      </c>
      <c r="EP51" s="93">
        <v>369.35</v>
      </c>
      <c r="EQ51" s="93">
        <v>368.38</v>
      </c>
      <c r="ER51" s="93">
        <v>367.41</v>
      </c>
      <c r="ES51" s="93">
        <v>366.44</v>
      </c>
      <c r="ET51" s="93">
        <v>365.48</v>
      </c>
      <c r="EU51" s="93">
        <v>364.51</v>
      </c>
      <c r="EV51" s="93">
        <v>363.55</v>
      </c>
      <c r="EW51" s="93">
        <v>362.58</v>
      </c>
      <c r="EX51" s="93">
        <v>361.62</v>
      </c>
      <c r="EY51" s="93">
        <v>360.66</v>
      </c>
      <c r="EZ51" s="93">
        <v>359.69</v>
      </c>
      <c r="FA51" s="93">
        <v>358.73</v>
      </c>
      <c r="FB51" s="93">
        <v>357.77</v>
      </c>
      <c r="FC51" s="93">
        <v>356.81</v>
      </c>
      <c r="FD51" s="93">
        <v>355.85</v>
      </c>
      <c r="FE51" s="93">
        <v>354.89</v>
      </c>
      <c r="FF51" s="93">
        <v>353.93</v>
      </c>
      <c r="FG51" s="93">
        <v>352.97</v>
      </c>
      <c r="FH51" s="93">
        <v>352.02</v>
      </c>
      <c r="FI51" s="93">
        <v>351.06</v>
      </c>
      <c r="FJ51" s="93">
        <v>350.1</v>
      </c>
      <c r="FK51" s="93">
        <v>349.15</v>
      </c>
      <c r="FL51" s="93">
        <v>348.19</v>
      </c>
      <c r="FM51" s="93">
        <v>347.24</v>
      </c>
      <c r="FN51" s="93">
        <v>346.29</v>
      </c>
      <c r="FO51" s="93">
        <v>345.33</v>
      </c>
      <c r="FP51" s="93">
        <v>344.38</v>
      </c>
      <c r="FQ51" s="93">
        <v>343.43</v>
      </c>
      <c r="FR51" s="93">
        <v>342.48</v>
      </c>
      <c r="FS51" s="93">
        <v>341.53</v>
      </c>
      <c r="FT51" s="93">
        <v>340.58</v>
      </c>
      <c r="FU51" s="93">
        <v>339.63</v>
      </c>
      <c r="FV51" s="93">
        <v>338.68</v>
      </c>
      <c r="FW51" s="93">
        <v>337.74</v>
      </c>
      <c r="FX51" s="93">
        <v>336.79</v>
      </c>
      <c r="FY51" s="93">
        <v>335.84</v>
      </c>
      <c r="FZ51" s="93">
        <v>334.9</v>
      </c>
      <c r="GA51" s="93">
        <v>333.95</v>
      </c>
      <c r="GB51" s="93">
        <v>333.01</v>
      </c>
      <c r="GC51" s="93">
        <v>332.07</v>
      </c>
      <c r="GD51" s="93">
        <v>331.13</v>
      </c>
      <c r="GE51" s="93">
        <v>330.19</v>
      </c>
      <c r="GF51" s="93">
        <v>329.25</v>
      </c>
      <c r="GG51" s="93">
        <v>328.31</v>
      </c>
      <c r="GH51" s="93">
        <v>327.37</v>
      </c>
      <c r="GI51" s="93">
        <v>326.43</v>
      </c>
      <c r="GJ51" s="93">
        <v>325.5</v>
      </c>
      <c r="GK51" s="93">
        <v>324.56</v>
      </c>
      <c r="GL51" s="93">
        <v>323.63</v>
      </c>
      <c r="GM51" s="93">
        <v>322.69</v>
      </c>
      <c r="GN51" s="93">
        <v>321.76</v>
      </c>
      <c r="GO51" s="93">
        <v>320.82</v>
      </c>
      <c r="GP51" s="93">
        <v>319.89999999999998</v>
      </c>
      <c r="GQ51" s="93">
        <v>318.97000000000003</v>
      </c>
      <c r="GR51" s="93">
        <v>318.04000000000002</v>
      </c>
      <c r="GS51" s="93">
        <v>317.10000000000002</v>
      </c>
      <c r="GT51" s="93">
        <v>316.19</v>
      </c>
      <c r="GU51" s="93">
        <v>315.26</v>
      </c>
      <c r="GV51" s="93">
        <v>314.33999999999997</v>
      </c>
      <c r="GW51" s="93">
        <v>313.41000000000003</v>
      </c>
      <c r="GX51" s="93">
        <v>312.49</v>
      </c>
      <c r="GY51" s="93">
        <v>311.57</v>
      </c>
      <c r="GZ51" s="93">
        <v>310.64999999999998</v>
      </c>
      <c r="HA51" s="93">
        <v>309.73</v>
      </c>
      <c r="HB51" s="93">
        <v>308.81</v>
      </c>
      <c r="HC51" s="93">
        <v>307.89999999999998</v>
      </c>
      <c r="HD51" s="93">
        <v>306.98</v>
      </c>
      <c r="HE51" s="93">
        <v>306.06</v>
      </c>
      <c r="HF51" s="93">
        <v>305.14999999999998</v>
      </c>
      <c r="HG51" s="93">
        <v>304.24</v>
      </c>
      <c r="HH51" s="93">
        <v>303.32</v>
      </c>
      <c r="HI51" s="93">
        <v>302.41000000000003</v>
      </c>
      <c r="HJ51" s="93">
        <v>301.5</v>
      </c>
      <c r="HK51" s="93">
        <v>300.60000000000002</v>
      </c>
      <c r="HL51" s="93">
        <v>299.69</v>
      </c>
      <c r="HM51" s="93">
        <v>298.77999999999997</v>
      </c>
      <c r="HN51" s="93">
        <v>297.88</v>
      </c>
      <c r="HO51" s="93">
        <v>296.98</v>
      </c>
      <c r="HP51" s="93">
        <v>296.07</v>
      </c>
      <c r="HQ51" s="93">
        <v>295.17</v>
      </c>
      <c r="HR51" s="93">
        <v>294.26</v>
      </c>
      <c r="HS51" s="93">
        <v>293.37</v>
      </c>
      <c r="HT51" s="93">
        <v>292.48</v>
      </c>
      <c r="HU51" s="93">
        <v>291.57</v>
      </c>
      <c r="HV51" s="93">
        <v>290.68</v>
      </c>
      <c r="HW51" s="93">
        <v>289.79000000000002</v>
      </c>
      <c r="HX51" s="93">
        <v>288.89999999999998</v>
      </c>
      <c r="HY51" s="93">
        <v>288</v>
      </c>
      <c r="HZ51" s="93">
        <v>287.10000000000002</v>
      </c>
      <c r="IA51" s="93">
        <v>286.22000000000003</v>
      </c>
      <c r="IB51" s="93">
        <v>285.32</v>
      </c>
      <c r="IC51" s="93">
        <v>284.44</v>
      </c>
      <c r="ID51" s="93">
        <v>283.56</v>
      </c>
      <c r="IE51" s="93">
        <v>282.67</v>
      </c>
      <c r="IF51" s="93">
        <v>281.77999999999997</v>
      </c>
      <c r="IG51" s="93">
        <v>280.89999999999998</v>
      </c>
      <c r="IH51" s="93">
        <v>280.01</v>
      </c>
      <c r="II51" s="93">
        <v>279.13</v>
      </c>
      <c r="IJ51" s="93">
        <v>278.25</v>
      </c>
      <c r="IK51" s="93">
        <v>277.37</v>
      </c>
      <c r="IL51" s="93">
        <v>276.49</v>
      </c>
      <c r="IM51" s="93">
        <v>275.62</v>
      </c>
      <c r="IN51" s="93">
        <v>274.74</v>
      </c>
      <c r="IO51" s="93">
        <v>273.85000000000002</v>
      </c>
      <c r="IP51" s="93">
        <v>272.99</v>
      </c>
      <c r="IQ51" s="93">
        <v>272.12</v>
      </c>
      <c r="IR51" s="93">
        <v>271.24</v>
      </c>
      <c r="IS51" s="93">
        <v>270.37</v>
      </c>
      <c r="IT51" s="93">
        <v>269.5</v>
      </c>
      <c r="IU51" s="93">
        <v>268.64</v>
      </c>
      <c r="IV51" s="93">
        <v>267.76</v>
      </c>
      <c r="IW51" s="93">
        <v>266.89999999999998</v>
      </c>
      <c r="IX51" s="93">
        <v>266.04000000000002</v>
      </c>
      <c r="IY51" s="93">
        <v>265.18</v>
      </c>
      <c r="IZ51" s="93">
        <v>264.32</v>
      </c>
      <c r="JA51" s="93">
        <v>263.45999999999998</v>
      </c>
      <c r="JB51" s="93">
        <v>262.60000000000002</v>
      </c>
      <c r="JC51" s="93">
        <v>261.74</v>
      </c>
      <c r="JD51" s="93">
        <v>260.88</v>
      </c>
      <c r="JE51" s="93">
        <v>260.01</v>
      </c>
      <c r="JF51" s="93">
        <v>259.17</v>
      </c>
      <c r="JG51" s="93">
        <v>258.31</v>
      </c>
      <c r="JH51" s="93">
        <v>257.45999999999998</v>
      </c>
      <c r="JI51" s="93">
        <v>256.60000000000002</v>
      </c>
      <c r="JJ51" s="93">
        <v>255.76</v>
      </c>
      <c r="JK51" s="93">
        <v>254.91</v>
      </c>
      <c r="JL51" s="93">
        <v>254.06</v>
      </c>
      <c r="JM51" s="93">
        <v>253.21</v>
      </c>
      <c r="JN51" s="93">
        <v>252.36</v>
      </c>
      <c r="JO51" s="93">
        <v>251.52</v>
      </c>
      <c r="JP51" s="93">
        <v>250.67</v>
      </c>
      <c r="JQ51" s="93">
        <v>249.83</v>
      </c>
      <c r="JR51" s="93">
        <v>248.99</v>
      </c>
      <c r="JS51" s="93">
        <v>248.14</v>
      </c>
      <c r="JT51" s="93">
        <v>247.3</v>
      </c>
      <c r="JU51" s="93">
        <v>246.46</v>
      </c>
      <c r="JV51" s="93">
        <v>245.63</v>
      </c>
      <c r="JW51" s="93">
        <v>244.79</v>
      </c>
      <c r="JX51" s="93">
        <v>243.95</v>
      </c>
      <c r="JY51" s="93">
        <v>243.12</v>
      </c>
      <c r="JZ51" s="93">
        <v>242.28</v>
      </c>
      <c r="KA51" s="93">
        <v>241.45</v>
      </c>
      <c r="KB51" s="93">
        <v>240.62</v>
      </c>
      <c r="KC51" s="93">
        <v>239.78</v>
      </c>
      <c r="KD51" s="93">
        <v>238.95</v>
      </c>
      <c r="KE51" s="93">
        <v>238.12</v>
      </c>
      <c r="KF51" s="93">
        <v>237.29</v>
      </c>
      <c r="KG51" s="93">
        <v>236.47</v>
      </c>
      <c r="KH51" s="93">
        <v>235.64</v>
      </c>
      <c r="KI51" s="93">
        <v>234.81</v>
      </c>
      <c r="KJ51" s="93">
        <v>233.99</v>
      </c>
      <c r="KK51" s="93">
        <v>233.17</v>
      </c>
      <c r="KL51" s="93">
        <v>232.34</v>
      </c>
      <c r="KM51" s="93">
        <v>231.52</v>
      </c>
      <c r="KN51" s="93">
        <v>230.7</v>
      </c>
      <c r="KO51" s="93">
        <v>229.89</v>
      </c>
      <c r="KP51" s="93">
        <v>229.07</v>
      </c>
      <c r="KQ51" s="93">
        <v>228.25</v>
      </c>
      <c r="KR51" s="93">
        <v>227.33000000000038</v>
      </c>
      <c r="KS51" s="93">
        <v>226.58000000000038</v>
      </c>
      <c r="KT51" s="93">
        <v>225.83000000000038</v>
      </c>
      <c r="KU51" s="93">
        <v>225.08000000000038</v>
      </c>
      <c r="KV51" s="93">
        <v>224.33000000000038</v>
      </c>
      <c r="KW51" s="93">
        <v>223.58000000000038</v>
      </c>
      <c r="KX51" s="93">
        <v>222.83000000000038</v>
      </c>
      <c r="KY51" s="93">
        <v>222.08000000000038</v>
      </c>
      <c r="KZ51" s="93">
        <v>221.33000000000038</v>
      </c>
      <c r="LA51" s="93">
        <v>220.58000000000038</v>
      </c>
      <c r="LB51" s="93">
        <v>219.83000000000038</v>
      </c>
      <c r="LC51" s="93">
        <v>219.08000000000038</v>
      </c>
      <c r="LD51" s="93">
        <v>218.33000000000038</v>
      </c>
      <c r="LE51" s="93">
        <v>217.58000000000038</v>
      </c>
      <c r="LF51" s="93">
        <v>216.83000000000038</v>
      </c>
      <c r="LG51" s="93">
        <v>216.08000000000038</v>
      </c>
      <c r="LH51" s="93">
        <v>215.33000000000038</v>
      </c>
      <c r="LI51" s="93">
        <v>214.58000000000038</v>
      </c>
      <c r="LJ51" s="93">
        <v>213.83000000000038</v>
      </c>
      <c r="LK51" s="93">
        <v>213.08000000000038</v>
      </c>
      <c r="LL51" s="93">
        <v>212.33000000000038</v>
      </c>
      <c r="LM51" s="93">
        <v>211.58000000000038</v>
      </c>
      <c r="LN51" s="93">
        <v>210.83000000000038</v>
      </c>
      <c r="LO51" s="93">
        <v>210.08000000000038</v>
      </c>
      <c r="LP51" s="93">
        <v>209.33000000000038</v>
      </c>
      <c r="LQ51" s="93">
        <v>208.58000000000038</v>
      </c>
      <c r="LR51" s="93">
        <v>207.83000000000038</v>
      </c>
      <c r="LS51" s="93">
        <v>207.08000000000038</v>
      </c>
      <c r="LT51" s="93">
        <v>206.33000000000038</v>
      </c>
      <c r="LU51" s="93">
        <v>205.58000000000038</v>
      </c>
      <c r="LV51" s="93">
        <v>204.83000000000038</v>
      </c>
      <c r="LW51" s="93">
        <v>204.08000000000038</v>
      </c>
      <c r="LX51" s="93">
        <v>203.33000000000038</v>
      </c>
      <c r="LY51" s="93">
        <v>202.58000000000038</v>
      </c>
      <c r="LZ51" s="93">
        <v>201.83000000000038</v>
      </c>
      <c r="MA51" s="93">
        <v>201.08000000000038</v>
      </c>
      <c r="MB51" s="93">
        <v>200.33000000000038</v>
      </c>
      <c r="MC51" s="93">
        <v>199.58000000000038</v>
      </c>
      <c r="MD51" s="93">
        <v>198.83000000000038</v>
      </c>
      <c r="ME51" s="93">
        <v>198.08000000000038</v>
      </c>
      <c r="MF51" s="93">
        <v>197.33000000000038</v>
      </c>
      <c r="MG51" s="93">
        <v>196.58000000000038</v>
      </c>
      <c r="MH51" s="93">
        <v>195.83000000000038</v>
      </c>
      <c r="MI51" s="93">
        <v>195.08000000000038</v>
      </c>
      <c r="MJ51" s="93">
        <v>194.33000000000038</v>
      </c>
      <c r="MK51" s="93">
        <v>193.58000000000038</v>
      </c>
      <c r="ML51" s="93">
        <v>192.83000000000038</v>
      </c>
      <c r="MM51" s="93">
        <v>192.08000000000038</v>
      </c>
      <c r="MN51" s="93">
        <v>191.33000000000038</v>
      </c>
      <c r="MO51" s="93">
        <v>190.58000000000038</v>
      </c>
      <c r="MP51" s="93">
        <v>189.83000000000038</v>
      </c>
      <c r="MQ51" s="93">
        <v>189.08000000000038</v>
      </c>
      <c r="MR51" s="93">
        <v>188.33000000000038</v>
      </c>
      <c r="MS51" s="93">
        <v>187.58000000000038</v>
      </c>
      <c r="MT51" s="93">
        <v>186.83000000000038</v>
      </c>
      <c r="MU51" s="93">
        <v>186.08000000000038</v>
      </c>
      <c r="MV51" s="93">
        <v>185.33000000000038</v>
      </c>
      <c r="MW51" s="93">
        <v>184.58000000000038</v>
      </c>
      <c r="MX51" s="93">
        <v>183.83000000000038</v>
      </c>
      <c r="MY51" s="93">
        <v>183.08000000000038</v>
      </c>
    </row>
    <row r="52" spans="1:363" ht="15.75" x14ac:dyDescent="0.25">
      <c r="A52" s="90" t="s">
        <v>7</v>
      </c>
      <c r="B52" s="95">
        <v>2062</v>
      </c>
      <c r="C52" s="93">
        <v>514.66999999999996</v>
      </c>
      <c r="D52" s="93">
        <v>513.64</v>
      </c>
      <c r="E52" s="93">
        <v>512.62</v>
      </c>
      <c r="F52" s="93">
        <v>511.59</v>
      </c>
      <c r="G52" s="93">
        <v>510.56</v>
      </c>
      <c r="H52" s="93">
        <v>509.54</v>
      </c>
      <c r="I52" s="93">
        <v>508.51</v>
      </c>
      <c r="J52" s="93">
        <v>507.48</v>
      </c>
      <c r="K52" s="93">
        <v>506.46</v>
      </c>
      <c r="L52" s="93">
        <v>505.43</v>
      </c>
      <c r="M52" s="93">
        <v>504.4</v>
      </c>
      <c r="N52" s="93">
        <v>503.38</v>
      </c>
      <c r="O52" s="93">
        <v>502.35</v>
      </c>
      <c r="P52" s="93">
        <v>501.32</v>
      </c>
      <c r="Q52" s="93">
        <v>500.3</v>
      </c>
      <c r="R52" s="93">
        <v>499.27</v>
      </c>
      <c r="S52" s="93">
        <v>498.25</v>
      </c>
      <c r="T52" s="93">
        <v>497.22</v>
      </c>
      <c r="U52" s="93">
        <v>496.19</v>
      </c>
      <c r="V52" s="93">
        <v>495.17</v>
      </c>
      <c r="W52" s="93">
        <v>494.14</v>
      </c>
      <c r="X52" s="93">
        <v>493.11</v>
      </c>
      <c r="Y52" s="93">
        <v>492.09</v>
      </c>
      <c r="Z52" s="93">
        <v>491.06</v>
      </c>
      <c r="AA52" s="93">
        <v>490.03</v>
      </c>
      <c r="AB52" s="93">
        <v>489.01</v>
      </c>
      <c r="AC52" s="93">
        <v>487.98</v>
      </c>
      <c r="AD52" s="93">
        <v>486.96</v>
      </c>
      <c r="AE52" s="93">
        <v>485.93</v>
      </c>
      <c r="AF52" s="93">
        <v>484.9</v>
      </c>
      <c r="AG52" s="93">
        <v>483.88</v>
      </c>
      <c r="AH52" s="93">
        <v>482.85</v>
      </c>
      <c r="AI52" s="93">
        <v>481.82</v>
      </c>
      <c r="AJ52" s="93">
        <v>480.8</v>
      </c>
      <c r="AK52" s="93">
        <v>479.77</v>
      </c>
      <c r="AL52" s="93">
        <v>478.75</v>
      </c>
      <c r="AM52" s="93">
        <v>477.72</v>
      </c>
      <c r="AN52" s="93">
        <v>476.69</v>
      </c>
      <c r="AO52" s="93">
        <v>475.67</v>
      </c>
      <c r="AP52" s="93">
        <v>474.64</v>
      </c>
      <c r="AQ52" s="93">
        <v>473.62</v>
      </c>
      <c r="AR52" s="93">
        <v>472.59</v>
      </c>
      <c r="AS52" s="93">
        <v>471.57</v>
      </c>
      <c r="AT52" s="93">
        <v>470.54</v>
      </c>
      <c r="AU52" s="93">
        <v>469.52</v>
      </c>
      <c r="AV52" s="93">
        <v>468.49</v>
      </c>
      <c r="AW52" s="93">
        <v>467.47</v>
      </c>
      <c r="AX52" s="93">
        <v>466.44</v>
      </c>
      <c r="AY52" s="93">
        <v>465.42</v>
      </c>
      <c r="AZ52" s="93">
        <v>464.39</v>
      </c>
      <c r="BA52" s="93">
        <v>463.37</v>
      </c>
      <c r="BB52" s="93">
        <v>462.34</v>
      </c>
      <c r="BC52" s="93">
        <v>461.32</v>
      </c>
      <c r="BD52" s="93">
        <v>460.3</v>
      </c>
      <c r="BE52" s="93">
        <v>459.27</v>
      </c>
      <c r="BF52" s="93">
        <v>458.25</v>
      </c>
      <c r="BG52" s="93">
        <v>457.22</v>
      </c>
      <c r="BH52" s="93">
        <v>456.2</v>
      </c>
      <c r="BI52" s="93">
        <v>455.18</v>
      </c>
      <c r="BJ52" s="93">
        <v>454.15</v>
      </c>
      <c r="BK52" s="93">
        <v>453.13</v>
      </c>
      <c r="BL52" s="93">
        <v>452.11</v>
      </c>
      <c r="BM52" s="93">
        <v>451.08</v>
      </c>
      <c r="BN52" s="93">
        <v>450.06</v>
      </c>
      <c r="BO52" s="93">
        <v>449.04</v>
      </c>
      <c r="BP52" s="93">
        <v>448.02</v>
      </c>
      <c r="BQ52" s="93">
        <v>447</v>
      </c>
      <c r="BR52" s="93">
        <v>445.98</v>
      </c>
      <c r="BS52" s="93">
        <v>444.96</v>
      </c>
      <c r="BT52" s="93">
        <v>443.93</v>
      </c>
      <c r="BU52" s="93">
        <v>442.91</v>
      </c>
      <c r="BV52" s="93">
        <v>441.89</v>
      </c>
      <c r="BW52" s="93">
        <v>440.87</v>
      </c>
      <c r="BX52" s="93">
        <v>439.85</v>
      </c>
      <c r="BY52" s="93">
        <v>438.83</v>
      </c>
      <c r="BZ52" s="93">
        <v>437.81</v>
      </c>
      <c r="CA52" s="93">
        <v>436.8</v>
      </c>
      <c r="CB52" s="93">
        <v>435.78</v>
      </c>
      <c r="CC52" s="93">
        <v>434.76</v>
      </c>
      <c r="CD52" s="93">
        <v>433.74</v>
      </c>
      <c r="CE52" s="93">
        <v>432.72</v>
      </c>
      <c r="CF52" s="93">
        <v>431.71</v>
      </c>
      <c r="CG52" s="93">
        <v>430.69</v>
      </c>
      <c r="CH52" s="93">
        <v>429.67</v>
      </c>
      <c r="CI52" s="93">
        <v>428.65</v>
      </c>
      <c r="CJ52" s="93">
        <v>427.64</v>
      </c>
      <c r="CK52" s="93">
        <v>426.63</v>
      </c>
      <c r="CL52" s="93">
        <v>425.61</v>
      </c>
      <c r="CM52" s="93">
        <v>424.6</v>
      </c>
      <c r="CN52" s="93">
        <v>423.59</v>
      </c>
      <c r="CO52" s="93">
        <v>422.57</v>
      </c>
      <c r="CP52" s="93">
        <v>421.56</v>
      </c>
      <c r="CQ52" s="93">
        <v>420.55</v>
      </c>
      <c r="CR52" s="93">
        <v>419.54</v>
      </c>
      <c r="CS52" s="93">
        <v>418.52</v>
      </c>
      <c r="CT52" s="93">
        <v>417.51</v>
      </c>
      <c r="CU52" s="93">
        <v>416.5</v>
      </c>
      <c r="CV52" s="93">
        <v>415.49</v>
      </c>
      <c r="CW52" s="93">
        <v>414.48</v>
      </c>
      <c r="CX52" s="93">
        <v>413.48</v>
      </c>
      <c r="CY52" s="93">
        <v>412.47</v>
      </c>
      <c r="CZ52" s="93">
        <v>411.46</v>
      </c>
      <c r="DA52" s="93">
        <v>410.46</v>
      </c>
      <c r="DB52" s="93">
        <v>409.45</v>
      </c>
      <c r="DC52" s="93">
        <v>408.45</v>
      </c>
      <c r="DD52" s="93">
        <v>407.44</v>
      </c>
      <c r="DE52" s="93">
        <v>406.43</v>
      </c>
      <c r="DF52" s="93">
        <v>405.43</v>
      </c>
      <c r="DG52" s="93">
        <v>404.42</v>
      </c>
      <c r="DH52" s="93">
        <v>403.42</v>
      </c>
      <c r="DI52" s="93">
        <v>402.42</v>
      </c>
      <c r="DJ52" s="93">
        <v>401.42</v>
      </c>
      <c r="DK52" s="93">
        <v>400.42</v>
      </c>
      <c r="DL52" s="93">
        <v>399.42</v>
      </c>
      <c r="DM52" s="93">
        <v>398.42</v>
      </c>
      <c r="DN52" s="93">
        <v>397.43</v>
      </c>
      <c r="DO52" s="93">
        <v>396.43</v>
      </c>
      <c r="DP52" s="93">
        <v>395.43</v>
      </c>
      <c r="DQ52" s="93">
        <v>394.43</v>
      </c>
      <c r="DR52" s="93">
        <v>393.43</v>
      </c>
      <c r="DS52" s="93">
        <v>392.44</v>
      </c>
      <c r="DT52" s="93">
        <v>391.45</v>
      </c>
      <c r="DU52" s="93">
        <v>390.46</v>
      </c>
      <c r="DV52" s="93">
        <v>389.47</v>
      </c>
      <c r="DW52" s="93">
        <v>388.48</v>
      </c>
      <c r="DX52" s="93">
        <v>387.49</v>
      </c>
      <c r="DY52" s="93">
        <v>386.5</v>
      </c>
      <c r="DZ52" s="93">
        <v>385.51</v>
      </c>
      <c r="EA52" s="93">
        <v>384.52</v>
      </c>
      <c r="EB52" s="93">
        <v>383.53</v>
      </c>
      <c r="EC52" s="93">
        <v>382.55</v>
      </c>
      <c r="ED52" s="93">
        <v>381.56</v>
      </c>
      <c r="EE52" s="93">
        <v>380.57</v>
      </c>
      <c r="EF52" s="93">
        <v>379.6</v>
      </c>
      <c r="EG52" s="93">
        <v>378.62</v>
      </c>
      <c r="EH52" s="93">
        <v>377.64</v>
      </c>
      <c r="EI52" s="93">
        <v>376.67</v>
      </c>
      <c r="EJ52" s="93">
        <v>375.69</v>
      </c>
      <c r="EK52" s="93">
        <v>374.72</v>
      </c>
      <c r="EL52" s="93">
        <v>373.74</v>
      </c>
      <c r="EM52" s="93">
        <v>372.77</v>
      </c>
      <c r="EN52" s="93">
        <v>371.79</v>
      </c>
      <c r="EO52" s="93">
        <v>370.82</v>
      </c>
      <c r="EP52" s="93">
        <v>369.85</v>
      </c>
      <c r="EQ52" s="93">
        <v>368.88</v>
      </c>
      <c r="ER52" s="93">
        <v>367.91</v>
      </c>
      <c r="ES52" s="93">
        <v>366.94</v>
      </c>
      <c r="ET52" s="93">
        <v>365.98</v>
      </c>
      <c r="EU52" s="93">
        <v>365.01</v>
      </c>
      <c r="EV52" s="93">
        <v>364.05</v>
      </c>
      <c r="EW52" s="93">
        <v>363.08</v>
      </c>
      <c r="EX52" s="93">
        <v>362.12</v>
      </c>
      <c r="EY52" s="93">
        <v>361.15</v>
      </c>
      <c r="EZ52" s="93">
        <v>360.19</v>
      </c>
      <c r="FA52" s="93">
        <v>359.23</v>
      </c>
      <c r="FB52" s="93">
        <v>358.27</v>
      </c>
      <c r="FC52" s="93">
        <v>357.31</v>
      </c>
      <c r="FD52" s="93">
        <v>356.35</v>
      </c>
      <c r="FE52" s="93">
        <v>355.39</v>
      </c>
      <c r="FF52" s="93">
        <v>354.43</v>
      </c>
      <c r="FG52" s="93">
        <v>353.47</v>
      </c>
      <c r="FH52" s="93">
        <v>352.51</v>
      </c>
      <c r="FI52" s="93">
        <v>351.56</v>
      </c>
      <c r="FJ52" s="93">
        <v>350.6</v>
      </c>
      <c r="FK52" s="93">
        <v>349.64</v>
      </c>
      <c r="FL52" s="93">
        <v>348.69</v>
      </c>
      <c r="FM52" s="93">
        <v>347.73</v>
      </c>
      <c r="FN52" s="93">
        <v>346.78</v>
      </c>
      <c r="FO52" s="93">
        <v>345.83</v>
      </c>
      <c r="FP52" s="93">
        <v>344.88</v>
      </c>
      <c r="FQ52" s="93">
        <v>343.92</v>
      </c>
      <c r="FR52" s="93">
        <v>342.97</v>
      </c>
      <c r="FS52" s="93">
        <v>342.02</v>
      </c>
      <c r="FT52" s="93">
        <v>341.07</v>
      </c>
      <c r="FU52" s="93">
        <v>340.12</v>
      </c>
      <c r="FV52" s="93">
        <v>339.18</v>
      </c>
      <c r="FW52" s="93">
        <v>338.23</v>
      </c>
      <c r="FX52" s="93">
        <v>337.28</v>
      </c>
      <c r="FY52" s="93">
        <v>336.34</v>
      </c>
      <c r="FZ52" s="93">
        <v>335.39</v>
      </c>
      <c r="GA52" s="93">
        <v>334.45</v>
      </c>
      <c r="GB52" s="93">
        <v>333.5</v>
      </c>
      <c r="GC52" s="93">
        <v>332.56</v>
      </c>
      <c r="GD52" s="93">
        <v>331.62</v>
      </c>
      <c r="GE52" s="93">
        <v>330.68</v>
      </c>
      <c r="GF52" s="93">
        <v>329.74</v>
      </c>
      <c r="GG52" s="93">
        <v>328.8</v>
      </c>
      <c r="GH52" s="93">
        <v>327.86</v>
      </c>
      <c r="GI52" s="93">
        <v>326.92</v>
      </c>
      <c r="GJ52" s="93">
        <v>325.99</v>
      </c>
      <c r="GK52" s="93">
        <v>325.04000000000002</v>
      </c>
      <c r="GL52" s="93">
        <v>324.10000000000002</v>
      </c>
      <c r="GM52" s="93">
        <v>323.18</v>
      </c>
      <c r="GN52" s="93">
        <v>322.25</v>
      </c>
      <c r="GO52" s="93">
        <v>321.32</v>
      </c>
      <c r="GP52" s="93">
        <v>320.39</v>
      </c>
      <c r="GQ52" s="93">
        <v>319.45999999999998</v>
      </c>
      <c r="GR52" s="93">
        <v>318.52999999999997</v>
      </c>
      <c r="GS52" s="93">
        <v>317.60000000000002</v>
      </c>
      <c r="GT52" s="93">
        <v>316.67</v>
      </c>
      <c r="GU52" s="93">
        <v>315.75</v>
      </c>
      <c r="GV52" s="93">
        <v>314.82</v>
      </c>
      <c r="GW52" s="93">
        <v>313.89999999999998</v>
      </c>
      <c r="GX52" s="93">
        <v>312.98</v>
      </c>
      <c r="GY52" s="93">
        <v>312.04000000000002</v>
      </c>
      <c r="GZ52" s="93">
        <v>311.13</v>
      </c>
      <c r="HA52" s="93">
        <v>310.20999999999998</v>
      </c>
      <c r="HB52" s="93">
        <v>309.29000000000002</v>
      </c>
      <c r="HC52" s="93">
        <v>308.38</v>
      </c>
      <c r="HD52" s="93">
        <v>307.45999999999998</v>
      </c>
      <c r="HE52" s="93">
        <v>306.54000000000002</v>
      </c>
      <c r="HF52" s="93">
        <v>305.63</v>
      </c>
      <c r="HG52" s="93">
        <v>304.72000000000003</v>
      </c>
      <c r="HH52" s="93">
        <v>303.81</v>
      </c>
      <c r="HI52" s="93">
        <v>302.89999999999998</v>
      </c>
      <c r="HJ52" s="93">
        <v>301.99</v>
      </c>
      <c r="HK52" s="93">
        <v>301.07</v>
      </c>
      <c r="HL52" s="93">
        <v>300.17</v>
      </c>
      <c r="HM52" s="93">
        <v>299.26</v>
      </c>
      <c r="HN52" s="93">
        <v>298.35000000000002</v>
      </c>
      <c r="HO52" s="93">
        <v>297.45999999999998</v>
      </c>
      <c r="HP52" s="93">
        <v>296.54000000000002</v>
      </c>
      <c r="HQ52" s="93">
        <v>295.64999999999998</v>
      </c>
      <c r="HR52" s="93">
        <v>294.75</v>
      </c>
      <c r="HS52" s="93">
        <v>293.85000000000002</v>
      </c>
      <c r="HT52" s="93">
        <v>292.95</v>
      </c>
      <c r="HU52" s="93">
        <v>292.06</v>
      </c>
      <c r="HV52" s="93">
        <v>291.16000000000003</v>
      </c>
      <c r="HW52" s="93">
        <v>290.26</v>
      </c>
      <c r="HX52" s="93">
        <v>289.37</v>
      </c>
      <c r="HY52" s="93">
        <v>288.48</v>
      </c>
      <c r="HZ52" s="93">
        <v>287.58999999999997</v>
      </c>
      <c r="IA52" s="93">
        <v>286.7</v>
      </c>
      <c r="IB52" s="93">
        <v>285.81</v>
      </c>
      <c r="IC52" s="93">
        <v>284.92</v>
      </c>
      <c r="ID52" s="93">
        <v>284.02999999999997</v>
      </c>
      <c r="IE52" s="93">
        <v>283.14</v>
      </c>
      <c r="IF52" s="93">
        <v>282.26</v>
      </c>
      <c r="IG52" s="93">
        <v>281.37</v>
      </c>
      <c r="IH52" s="93">
        <v>280.49</v>
      </c>
      <c r="II52" s="93">
        <v>279.60000000000002</v>
      </c>
      <c r="IJ52" s="93">
        <v>278.72000000000003</v>
      </c>
      <c r="IK52" s="93">
        <v>277.83999999999997</v>
      </c>
      <c r="IL52" s="93">
        <v>276.95999999999998</v>
      </c>
      <c r="IM52" s="93">
        <v>276.07</v>
      </c>
      <c r="IN52" s="93">
        <v>275.20999999999998</v>
      </c>
      <c r="IO52" s="93">
        <v>274.32</v>
      </c>
      <c r="IP52" s="93">
        <v>273.45999999999998</v>
      </c>
      <c r="IQ52" s="93">
        <v>272.57</v>
      </c>
      <c r="IR52" s="93">
        <v>271.70999999999998</v>
      </c>
      <c r="IS52" s="93">
        <v>270.83999999999997</v>
      </c>
      <c r="IT52" s="93">
        <v>269.97000000000003</v>
      </c>
      <c r="IU52" s="93">
        <v>269.10000000000002</v>
      </c>
      <c r="IV52" s="93">
        <v>268.23</v>
      </c>
      <c r="IW52" s="93">
        <v>267.37</v>
      </c>
      <c r="IX52" s="93">
        <v>266.5</v>
      </c>
      <c r="IY52" s="93">
        <v>265.64</v>
      </c>
      <c r="IZ52" s="93">
        <v>264.77999999999997</v>
      </c>
      <c r="JA52" s="93">
        <v>263.92</v>
      </c>
      <c r="JB52" s="93">
        <v>263.06</v>
      </c>
      <c r="JC52" s="93">
        <v>262.2</v>
      </c>
      <c r="JD52" s="93">
        <v>261.33999999999997</v>
      </c>
      <c r="JE52" s="93">
        <v>260.48</v>
      </c>
      <c r="JF52" s="93">
        <v>259.63</v>
      </c>
      <c r="JG52" s="93">
        <v>258.76</v>
      </c>
      <c r="JH52" s="93">
        <v>257.92</v>
      </c>
      <c r="JI52" s="93">
        <v>257.07</v>
      </c>
      <c r="JJ52" s="93">
        <v>256.22000000000003</v>
      </c>
      <c r="JK52" s="93">
        <v>255.37</v>
      </c>
      <c r="JL52" s="93">
        <v>254.52</v>
      </c>
      <c r="JM52" s="93">
        <v>253.67</v>
      </c>
      <c r="JN52" s="93">
        <v>252.82</v>
      </c>
      <c r="JO52" s="93">
        <v>251.97</v>
      </c>
      <c r="JP52" s="93">
        <v>251.13</v>
      </c>
      <c r="JQ52" s="93">
        <v>250.28</v>
      </c>
      <c r="JR52" s="93">
        <v>249.44</v>
      </c>
      <c r="JS52" s="93">
        <v>248.6</v>
      </c>
      <c r="JT52" s="93">
        <v>247.76</v>
      </c>
      <c r="JU52" s="93">
        <v>246.92</v>
      </c>
      <c r="JV52" s="93">
        <v>246.08</v>
      </c>
      <c r="JW52" s="93">
        <v>245.24</v>
      </c>
      <c r="JX52" s="93">
        <v>244.4</v>
      </c>
      <c r="JY52" s="93">
        <v>243.57</v>
      </c>
      <c r="JZ52" s="93">
        <v>242.73</v>
      </c>
      <c r="KA52" s="93">
        <v>241.9</v>
      </c>
      <c r="KB52" s="93">
        <v>241.06</v>
      </c>
      <c r="KC52" s="93">
        <v>240.23</v>
      </c>
      <c r="KD52" s="93">
        <v>239.4</v>
      </c>
      <c r="KE52" s="93">
        <v>238.57</v>
      </c>
      <c r="KF52" s="93">
        <v>237.74</v>
      </c>
      <c r="KG52" s="93">
        <v>236.91</v>
      </c>
      <c r="KH52" s="93">
        <v>236.08</v>
      </c>
      <c r="KI52" s="93">
        <v>235.26</v>
      </c>
      <c r="KJ52" s="93">
        <v>234.43</v>
      </c>
      <c r="KK52" s="93">
        <v>233.61</v>
      </c>
      <c r="KL52" s="93">
        <v>232.79</v>
      </c>
      <c r="KM52" s="93">
        <v>231.97</v>
      </c>
      <c r="KN52" s="93">
        <v>231.15</v>
      </c>
      <c r="KO52" s="93">
        <v>230.33</v>
      </c>
      <c r="KP52" s="93">
        <v>229.51</v>
      </c>
      <c r="KQ52" s="93">
        <v>228.69</v>
      </c>
      <c r="KR52" s="93">
        <v>227.79000000000039</v>
      </c>
      <c r="KS52" s="93">
        <v>227.04000000000039</v>
      </c>
      <c r="KT52" s="93">
        <v>226.29000000000039</v>
      </c>
      <c r="KU52" s="93">
        <v>225.54000000000039</v>
      </c>
      <c r="KV52" s="93">
        <v>224.79000000000039</v>
      </c>
      <c r="KW52" s="93">
        <v>224.04000000000039</v>
      </c>
      <c r="KX52" s="93">
        <v>223.29000000000039</v>
      </c>
      <c r="KY52" s="93">
        <v>222.54000000000039</v>
      </c>
      <c r="KZ52" s="93">
        <v>221.79000000000039</v>
      </c>
      <c r="LA52" s="93">
        <v>221.04000000000039</v>
      </c>
      <c r="LB52" s="93">
        <v>220.29000000000039</v>
      </c>
      <c r="LC52" s="93">
        <v>219.54000000000039</v>
      </c>
      <c r="LD52" s="93">
        <v>218.79000000000039</v>
      </c>
      <c r="LE52" s="93">
        <v>218.04000000000039</v>
      </c>
      <c r="LF52" s="93">
        <v>217.29000000000039</v>
      </c>
      <c r="LG52" s="93">
        <v>216.54000000000039</v>
      </c>
      <c r="LH52" s="93">
        <v>215.79000000000039</v>
      </c>
      <c r="LI52" s="93">
        <v>215.04000000000039</v>
      </c>
      <c r="LJ52" s="93">
        <v>214.29000000000039</v>
      </c>
      <c r="LK52" s="93">
        <v>213.54000000000039</v>
      </c>
      <c r="LL52" s="93">
        <v>212.79000000000039</v>
      </c>
      <c r="LM52" s="93">
        <v>212.04000000000039</v>
      </c>
      <c r="LN52" s="93">
        <v>211.29000000000039</v>
      </c>
      <c r="LO52" s="93">
        <v>210.54000000000039</v>
      </c>
      <c r="LP52" s="93">
        <v>209.79000000000039</v>
      </c>
      <c r="LQ52" s="93">
        <v>209.04000000000039</v>
      </c>
      <c r="LR52" s="93">
        <v>208.29000000000039</v>
      </c>
      <c r="LS52" s="93">
        <v>207.54000000000039</v>
      </c>
      <c r="LT52" s="93">
        <v>206.79000000000039</v>
      </c>
      <c r="LU52" s="93">
        <v>206.04000000000039</v>
      </c>
      <c r="LV52" s="93">
        <v>205.29000000000039</v>
      </c>
      <c r="LW52" s="93">
        <v>204.54000000000039</v>
      </c>
      <c r="LX52" s="93">
        <v>203.79000000000039</v>
      </c>
      <c r="LY52" s="93">
        <v>203.04000000000039</v>
      </c>
      <c r="LZ52" s="93">
        <v>202.29000000000039</v>
      </c>
      <c r="MA52" s="93">
        <v>201.54000000000039</v>
      </c>
      <c r="MB52" s="93">
        <v>200.79000000000039</v>
      </c>
      <c r="MC52" s="93">
        <v>200.04000000000039</v>
      </c>
      <c r="MD52" s="93">
        <v>199.29000000000039</v>
      </c>
      <c r="ME52" s="93">
        <v>198.54000000000039</v>
      </c>
      <c r="MF52" s="93">
        <v>197.79000000000039</v>
      </c>
      <c r="MG52" s="93">
        <v>197.04000000000039</v>
      </c>
      <c r="MH52" s="93">
        <v>196.29000000000039</v>
      </c>
      <c r="MI52" s="93">
        <v>195.54000000000039</v>
      </c>
      <c r="MJ52" s="93">
        <v>194.79000000000039</v>
      </c>
      <c r="MK52" s="93">
        <v>194.04000000000039</v>
      </c>
      <c r="ML52" s="93">
        <v>193.29000000000039</v>
      </c>
      <c r="MM52" s="93">
        <v>192.54000000000039</v>
      </c>
      <c r="MN52" s="93">
        <v>191.79000000000039</v>
      </c>
      <c r="MO52" s="93">
        <v>191.04000000000039</v>
      </c>
      <c r="MP52" s="93">
        <v>190.29000000000039</v>
      </c>
      <c r="MQ52" s="93">
        <v>189.54000000000039</v>
      </c>
      <c r="MR52" s="93">
        <v>188.79000000000039</v>
      </c>
      <c r="MS52" s="93">
        <v>188.04000000000039</v>
      </c>
      <c r="MT52" s="93">
        <v>187.29000000000039</v>
      </c>
      <c r="MU52" s="93">
        <v>186.54000000000039</v>
      </c>
      <c r="MV52" s="93">
        <v>185.79000000000039</v>
      </c>
      <c r="MW52" s="93">
        <v>185.04000000000039</v>
      </c>
      <c r="MX52" s="93">
        <v>184.29000000000039</v>
      </c>
      <c r="MY52" s="93">
        <v>183.54000000000039</v>
      </c>
    </row>
    <row r="53" spans="1:363" ht="15.75" x14ac:dyDescent="0.25">
      <c r="A53" s="90" t="s">
        <v>7</v>
      </c>
      <c r="B53" s="95">
        <v>2063</v>
      </c>
      <c r="C53" s="93">
        <v>515.20000000000005</v>
      </c>
      <c r="D53" s="93">
        <v>514.16999999999996</v>
      </c>
      <c r="E53" s="93">
        <v>513.14</v>
      </c>
      <c r="F53" s="93">
        <v>512.12</v>
      </c>
      <c r="G53" s="93">
        <v>511.09</v>
      </c>
      <c r="H53" s="93">
        <v>510.06</v>
      </c>
      <c r="I53" s="93">
        <v>509.04</v>
      </c>
      <c r="J53" s="93">
        <v>508.01</v>
      </c>
      <c r="K53" s="93">
        <v>506.98</v>
      </c>
      <c r="L53" s="93">
        <v>505.96</v>
      </c>
      <c r="M53" s="93">
        <v>504.93</v>
      </c>
      <c r="N53" s="93">
        <v>503.91</v>
      </c>
      <c r="O53" s="93">
        <v>502.88</v>
      </c>
      <c r="P53" s="93">
        <v>501.85</v>
      </c>
      <c r="Q53" s="93">
        <v>500.83</v>
      </c>
      <c r="R53" s="93">
        <v>499.8</v>
      </c>
      <c r="S53" s="93">
        <v>498.77</v>
      </c>
      <c r="T53" s="93">
        <v>497.75</v>
      </c>
      <c r="U53" s="93">
        <v>496.72</v>
      </c>
      <c r="V53" s="93">
        <v>495.69</v>
      </c>
      <c r="W53" s="93">
        <v>494.67</v>
      </c>
      <c r="X53" s="93">
        <v>493.64</v>
      </c>
      <c r="Y53" s="93">
        <v>492.61</v>
      </c>
      <c r="Z53" s="93">
        <v>491.59</v>
      </c>
      <c r="AA53" s="93">
        <v>490.56</v>
      </c>
      <c r="AB53" s="93">
        <v>489.53</v>
      </c>
      <c r="AC53" s="93">
        <v>488.51</v>
      </c>
      <c r="AD53" s="93">
        <v>487.48</v>
      </c>
      <c r="AE53" s="93">
        <v>486.45</v>
      </c>
      <c r="AF53" s="93">
        <v>485.43</v>
      </c>
      <c r="AG53" s="93">
        <v>484.4</v>
      </c>
      <c r="AH53" s="93">
        <v>483.38</v>
      </c>
      <c r="AI53" s="93">
        <v>482.35</v>
      </c>
      <c r="AJ53" s="93">
        <v>481.32</v>
      </c>
      <c r="AK53" s="93">
        <v>480.3</v>
      </c>
      <c r="AL53" s="93">
        <v>479.27</v>
      </c>
      <c r="AM53" s="93">
        <v>478.24</v>
      </c>
      <c r="AN53" s="93">
        <v>477.22</v>
      </c>
      <c r="AO53" s="93">
        <v>476.19</v>
      </c>
      <c r="AP53" s="93">
        <v>475.17</v>
      </c>
      <c r="AQ53" s="93">
        <v>474.14</v>
      </c>
      <c r="AR53" s="93">
        <v>473.12</v>
      </c>
      <c r="AS53" s="93">
        <v>472.09</v>
      </c>
      <c r="AT53" s="93">
        <v>471.06</v>
      </c>
      <c r="AU53" s="93">
        <v>470.04</v>
      </c>
      <c r="AV53" s="93">
        <v>469.01</v>
      </c>
      <c r="AW53" s="93">
        <v>467.99</v>
      </c>
      <c r="AX53" s="93">
        <v>466.96</v>
      </c>
      <c r="AY53" s="93">
        <v>465.94</v>
      </c>
      <c r="AZ53" s="93">
        <v>464.91</v>
      </c>
      <c r="BA53" s="93">
        <v>463.89</v>
      </c>
      <c r="BB53" s="93">
        <v>462.87</v>
      </c>
      <c r="BC53" s="93">
        <v>461.84</v>
      </c>
      <c r="BD53" s="93">
        <v>460.82</v>
      </c>
      <c r="BE53" s="93">
        <v>459.79</v>
      </c>
      <c r="BF53" s="93">
        <v>458.77</v>
      </c>
      <c r="BG53" s="93">
        <v>457.74</v>
      </c>
      <c r="BH53" s="93">
        <v>456.72</v>
      </c>
      <c r="BI53" s="93">
        <v>455.7</v>
      </c>
      <c r="BJ53" s="93">
        <v>454.67</v>
      </c>
      <c r="BK53" s="93">
        <v>453.65</v>
      </c>
      <c r="BL53" s="93">
        <v>452.63</v>
      </c>
      <c r="BM53" s="93">
        <v>451.6</v>
      </c>
      <c r="BN53" s="93">
        <v>450.58</v>
      </c>
      <c r="BO53" s="93">
        <v>449.56</v>
      </c>
      <c r="BP53" s="93">
        <v>448.54</v>
      </c>
      <c r="BQ53" s="93">
        <v>447.52</v>
      </c>
      <c r="BR53" s="93">
        <v>446.49</v>
      </c>
      <c r="BS53" s="93">
        <v>445.47</v>
      </c>
      <c r="BT53" s="93">
        <v>444.45</v>
      </c>
      <c r="BU53" s="93">
        <v>443.43</v>
      </c>
      <c r="BV53" s="93">
        <v>442.41</v>
      </c>
      <c r="BW53" s="93">
        <v>441.39</v>
      </c>
      <c r="BX53" s="93">
        <v>440.37</v>
      </c>
      <c r="BY53" s="93">
        <v>439.35</v>
      </c>
      <c r="BZ53" s="93">
        <v>438.33</v>
      </c>
      <c r="CA53" s="93">
        <v>437.31</v>
      </c>
      <c r="CB53" s="93">
        <v>436.29</v>
      </c>
      <c r="CC53" s="93">
        <v>435.28</v>
      </c>
      <c r="CD53" s="93">
        <v>434.26</v>
      </c>
      <c r="CE53" s="93">
        <v>433.24</v>
      </c>
      <c r="CF53" s="93">
        <v>432.22</v>
      </c>
      <c r="CG53" s="93">
        <v>431.2</v>
      </c>
      <c r="CH53" s="93">
        <v>430.18</v>
      </c>
      <c r="CI53" s="93">
        <v>429.17</v>
      </c>
      <c r="CJ53" s="93">
        <v>428.15</v>
      </c>
      <c r="CK53" s="93">
        <v>427.14</v>
      </c>
      <c r="CL53" s="93">
        <v>426.13</v>
      </c>
      <c r="CM53" s="93">
        <v>425.11</v>
      </c>
      <c r="CN53" s="93">
        <v>424.1</v>
      </c>
      <c r="CO53" s="93">
        <v>423.09</v>
      </c>
      <c r="CP53" s="93">
        <v>422.07</v>
      </c>
      <c r="CQ53" s="93">
        <v>421.06</v>
      </c>
      <c r="CR53" s="93">
        <v>420.05</v>
      </c>
      <c r="CS53" s="93">
        <v>419.03</v>
      </c>
      <c r="CT53" s="93">
        <v>418.02</v>
      </c>
      <c r="CU53" s="93">
        <v>417.01</v>
      </c>
      <c r="CV53" s="93">
        <v>416</v>
      </c>
      <c r="CW53" s="93">
        <v>414.99</v>
      </c>
      <c r="CX53" s="93">
        <v>413.99</v>
      </c>
      <c r="CY53" s="93">
        <v>412.98</v>
      </c>
      <c r="CZ53" s="93">
        <v>411.97</v>
      </c>
      <c r="DA53" s="93">
        <v>410.97</v>
      </c>
      <c r="DB53" s="93">
        <v>409.96</v>
      </c>
      <c r="DC53" s="93">
        <v>408.95</v>
      </c>
      <c r="DD53" s="93">
        <v>407.95</v>
      </c>
      <c r="DE53" s="93">
        <v>406.94</v>
      </c>
      <c r="DF53" s="93">
        <v>405.93</v>
      </c>
      <c r="DG53" s="93">
        <v>404.93</v>
      </c>
      <c r="DH53" s="93">
        <v>403.93</v>
      </c>
      <c r="DI53" s="93">
        <v>402.93</v>
      </c>
      <c r="DJ53" s="93">
        <v>401.93</v>
      </c>
      <c r="DK53" s="93">
        <v>400.93</v>
      </c>
      <c r="DL53" s="93">
        <v>399.93</v>
      </c>
      <c r="DM53" s="93">
        <v>398.93</v>
      </c>
      <c r="DN53" s="93">
        <v>397.93</v>
      </c>
      <c r="DO53" s="93">
        <v>396.93</v>
      </c>
      <c r="DP53" s="93">
        <v>395.93</v>
      </c>
      <c r="DQ53" s="93">
        <v>394.94</v>
      </c>
      <c r="DR53" s="93">
        <v>393.94</v>
      </c>
      <c r="DS53" s="93">
        <v>392.94</v>
      </c>
      <c r="DT53" s="93">
        <v>391.95</v>
      </c>
      <c r="DU53" s="93">
        <v>390.96</v>
      </c>
      <c r="DV53" s="93">
        <v>389.97</v>
      </c>
      <c r="DW53" s="93">
        <v>388.98</v>
      </c>
      <c r="DX53" s="93">
        <v>387.99</v>
      </c>
      <c r="DY53" s="93">
        <v>387</v>
      </c>
      <c r="DZ53" s="93">
        <v>386.01</v>
      </c>
      <c r="EA53" s="93">
        <v>385.02</v>
      </c>
      <c r="EB53" s="93">
        <v>384.04</v>
      </c>
      <c r="EC53" s="93">
        <v>383.05</v>
      </c>
      <c r="ED53" s="93">
        <v>382.06</v>
      </c>
      <c r="EE53" s="93">
        <v>381.08</v>
      </c>
      <c r="EF53" s="93">
        <v>380.1</v>
      </c>
      <c r="EG53" s="93">
        <v>379.12</v>
      </c>
      <c r="EH53" s="93">
        <v>378.14</v>
      </c>
      <c r="EI53" s="93">
        <v>377.17</v>
      </c>
      <c r="EJ53" s="93">
        <v>376.19</v>
      </c>
      <c r="EK53" s="93">
        <v>375.22</v>
      </c>
      <c r="EL53" s="93">
        <v>374.24</v>
      </c>
      <c r="EM53" s="93">
        <v>373.27</v>
      </c>
      <c r="EN53" s="93">
        <v>372.29</v>
      </c>
      <c r="EO53" s="93">
        <v>371.32</v>
      </c>
      <c r="EP53" s="93">
        <v>370.35</v>
      </c>
      <c r="EQ53" s="93">
        <v>369.37</v>
      </c>
      <c r="ER53" s="93">
        <v>368.41</v>
      </c>
      <c r="ES53" s="93">
        <v>367.44</v>
      </c>
      <c r="ET53" s="93">
        <v>366.47</v>
      </c>
      <c r="EU53" s="93">
        <v>365.51</v>
      </c>
      <c r="EV53" s="93">
        <v>364.54</v>
      </c>
      <c r="EW53" s="93">
        <v>363.58</v>
      </c>
      <c r="EX53" s="93">
        <v>362.62</v>
      </c>
      <c r="EY53" s="93">
        <v>361.65</v>
      </c>
      <c r="EZ53" s="93">
        <v>360.69</v>
      </c>
      <c r="FA53" s="93">
        <v>359.73</v>
      </c>
      <c r="FB53" s="93">
        <v>358.76</v>
      </c>
      <c r="FC53" s="93">
        <v>357.8</v>
      </c>
      <c r="FD53" s="93">
        <v>356.84</v>
      </c>
      <c r="FE53" s="93">
        <v>355.88</v>
      </c>
      <c r="FF53" s="93">
        <v>354.92</v>
      </c>
      <c r="FG53" s="93">
        <v>353.97</v>
      </c>
      <c r="FH53" s="93">
        <v>353.01</v>
      </c>
      <c r="FI53" s="93">
        <v>352.05</v>
      </c>
      <c r="FJ53" s="93">
        <v>351.09</v>
      </c>
      <c r="FK53" s="93">
        <v>350.14</v>
      </c>
      <c r="FL53" s="93">
        <v>349.18</v>
      </c>
      <c r="FM53" s="93">
        <v>348.23</v>
      </c>
      <c r="FN53" s="93">
        <v>347.27</v>
      </c>
      <c r="FO53" s="93">
        <v>346.32</v>
      </c>
      <c r="FP53" s="93">
        <v>345.37</v>
      </c>
      <c r="FQ53" s="93">
        <v>344.42</v>
      </c>
      <c r="FR53" s="93">
        <v>343.47</v>
      </c>
      <c r="FS53" s="93">
        <v>342.52</v>
      </c>
      <c r="FT53" s="93">
        <v>341.57</v>
      </c>
      <c r="FU53" s="93">
        <v>340.62</v>
      </c>
      <c r="FV53" s="93">
        <v>339.67</v>
      </c>
      <c r="FW53" s="93">
        <v>338.72</v>
      </c>
      <c r="FX53" s="93">
        <v>337.77</v>
      </c>
      <c r="FY53" s="93">
        <v>336.83</v>
      </c>
      <c r="FZ53" s="93">
        <v>335.88</v>
      </c>
      <c r="GA53" s="93">
        <v>334.94</v>
      </c>
      <c r="GB53" s="93">
        <v>333.99</v>
      </c>
      <c r="GC53" s="93">
        <v>333.05</v>
      </c>
      <c r="GD53" s="93">
        <v>332.11</v>
      </c>
      <c r="GE53" s="93">
        <v>331.17</v>
      </c>
      <c r="GF53" s="93">
        <v>330.23</v>
      </c>
      <c r="GG53" s="93">
        <v>329.29</v>
      </c>
      <c r="GH53" s="93">
        <v>328.35</v>
      </c>
      <c r="GI53" s="93">
        <v>327.41000000000003</v>
      </c>
      <c r="GJ53" s="93">
        <v>326.47000000000003</v>
      </c>
      <c r="GK53" s="93">
        <v>325.54000000000002</v>
      </c>
      <c r="GL53" s="93">
        <v>324.60000000000002</v>
      </c>
      <c r="GM53" s="93">
        <v>323.67</v>
      </c>
      <c r="GN53" s="93">
        <v>322.74</v>
      </c>
      <c r="GO53" s="93">
        <v>321.79000000000002</v>
      </c>
      <c r="GP53" s="93">
        <v>320.87</v>
      </c>
      <c r="GQ53" s="93">
        <v>319.94</v>
      </c>
      <c r="GR53" s="93">
        <v>319.01</v>
      </c>
      <c r="GS53" s="93">
        <v>318.08999999999997</v>
      </c>
      <c r="GT53" s="93">
        <v>317.16000000000003</v>
      </c>
      <c r="GU53" s="93">
        <v>316.23</v>
      </c>
      <c r="GV53" s="93">
        <v>315.31</v>
      </c>
      <c r="GW53" s="93">
        <v>314.38</v>
      </c>
      <c r="GX53" s="93">
        <v>313.45999999999998</v>
      </c>
      <c r="GY53" s="93">
        <v>312.54000000000002</v>
      </c>
      <c r="GZ53" s="93">
        <v>311.62</v>
      </c>
      <c r="HA53" s="93">
        <v>310.7</v>
      </c>
      <c r="HB53" s="93">
        <v>309.77999999999997</v>
      </c>
      <c r="HC53" s="93">
        <v>308.85000000000002</v>
      </c>
      <c r="HD53" s="93">
        <v>307.94</v>
      </c>
      <c r="HE53" s="93">
        <v>307.02999999999997</v>
      </c>
      <c r="HF53" s="93">
        <v>306.10000000000002</v>
      </c>
      <c r="HG53" s="93">
        <v>305.2</v>
      </c>
      <c r="HH53" s="93">
        <v>304.29000000000002</v>
      </c>
      <c r="HI53" s="93">
        <v>303.38</v>
      </c>
      <c r="HJ53" s="93">
        <v>302.47000000000003</v>
      </c>
      <c r="HK53" s="93">
        <v>301.56</v>
      </c>
      <c r="HL53" s="93">
        <v>300.64999999999998</v>
      </c>
      <c r="HM53" s="93">
        <v>299.74</v>
      </c>
      <c r="HN53" s="93">
        <v>298.83999999999997</v>
      </c>
      <c r="HO53" s="93">
        <v>297.93</v>
      </c>
      <c r="HP53" s="93">
        <v>297.02999999999997</v>
      </c>
      <c r="HQ53" s="93">
        <v>296.13</v>
      </c>
      <c r="HR53" s="93">
        <v>295.23</v>
      </c>
      <c r="HS53" s="93">
        <v>294.32</v>
      </c>
      <c r="HT53" s="93">
        <v>293.43</v>
      </c>
      <c r="HU53" s="93">
        <v>292.52999999999997</v>
      </c>
      <c r="HV53" s="93">
        <v>291.64</v>
      </c>
      <c r="HW53" s="93">
        <v>290.74</v>
      </c>
      <c r="HX53" s="93">
        <v>289.85000000000002</v>
      </c>
      <c r="HY53" s="93">
        <v>288.95</v>
      </c>
      <c r="HZ53" s="93">
        <v>288.06</v>
      </c>
      <c r="IA53" s="93">
        <v>287.17</v>
      </c>
      <c r="IB53" s="93">
        <v>286.27999999999997</v>
      </c>
      <c r="IC53" s="93">
        <v>285.39</v>
      </c>
      <c r="ID53" s="93">
        <v>284.5</v>
      </c>
      <c r="IE53" s="93">
        <v>283.60000000000002</v>
      </c>
      <c r="IF53" s="93">
        <v>282.73</v>
      </c>
      <c r="IG53" s="93">
        <v>281.83999999999997</v>
      </c>
      <c r="IH53" s="93">
        <v>280.95999999999998</v>
      </c>
      <c r="II53" s="93">
        <v>280.07</v>
      </c>
      <c r="IJ53" s="93">
        <v>279.19</v>
      </c>
      <c r="IK53" s="93">
        <v>278.31</v>
      </c>
      <c r="IL53" s="93">
        <v>277.43</v>
      </c>
      <c r="IM53" s="93">
        <v>276.54000000000002</v>
      </c>
      <c r="IN53" s="93">
        <v>275.68</v>
      </c>
      <c r="IO53" s="93">
        <v>274.79000000000002</v>
      </c>
      <c r="IP53" s="93">
        <v>273.92</v>
      </c>
      <c r="IQ53" s="93">
        <v>273.04000000000002</v>
      </c>
      <c r="IR53" s="93">
        <v>272.18</v>
      </c>
      <c r="IS53" s="93">
        <v>271.31</v>
      </c>
      <c r="IT53" s="93">
        <v>270.43</v>
      </c>
      <c r="IU53" s="93">
        <v>269.57</v>
      </c>
      <c r="IV53" s="93">
        <v>268.7</v>
      </c>
      <c r="IW53" s="93">
        <v>267.82</v>
      </c>
      <c r="IX53" s="93">
        <v>266.97000000000003</v>
      </c>
      <c r="IY53" s="93">
        <v>266.10000000000002</v>
      </c>
      <c r="IZ53" s="93">
        <v>265.24</v>
      </c>
      <c r="JA53" s="93">
        <v>264.38</v>
      </c>
      <c r="JB53" s="93">
        <v>263.51</v>
      </c>
      <c r="JC53" s="93">
        <v>262.66000000000003</v>
      </c>
      <c r="JD53" s="93">
        <v>261.79000000000002</v>
      </c>
      <c r="JE53" s="93">
        <v>260.94</v>
      </c>
      <c r="JF53" s="93">
        <v>260.08999999999997</v>
      </c>
      <c r="JG53" s="93">
        <v>259.23</v>
      </c>
      <c r="JH53" s="93">
        <v>258.38</v>
      </c>
      <c r="JI53" s="93">
        <v>257.52999999999997</v>
      </c>
      <c r="JJ53" s="93">
        <v>256.67</v>
      </c>
      <c r="JK53" s="93">
        <v>255.82</v>
      </c>
      <c r="JL53" s="93">
        <v>254.97</v>
      </c>
      <c r="JM53" s="93">
        <v>254.12</v>
      </c>
      <c r="JN53" s="93">
        <v>253.28</v>
      </c>
      <c r="JO53" s="93">
        <v>252.43</v>
      </c>
      <c r="JP53" s="93">
        <v>251.58</v>
      </c>
      <c r="JQ53" s="93">
        <v>250.74</v>
      </c>
      <c r="JR53" s="93">
        <v>249.89</v>
      </c>
      <c r="JS53" s="93">
        <v>249.05</v>
      </c>
      <c r="JT53" s="93">
        <v>248.21</v>
      </c>
      <c r="JU53" s="93">
        <v>247.37</v>
      </c>
      <c r="JV53" s="93">
        <v>246.53</v>
      </c>
      <c r="JW53" s="93">
        <v>245.69</v>
      </c>
      <c r="JX53" s="93">
        <v>244.85</v>
      </c>
      <c r="JY53" s="93">
        <v>244.02</v>
      </c>
      <c r="JZ53" s="93">
        <v>243.18</v>
      </c>
      <c r="KA53" s="93">
        <v>242.35</v>
      </c>
      <c r="KB53" s="93">
        <v>241.51</v>
      </c>
      <c r="KC53" s="93">
        <v>240.68</v>
      </c>
      <c r="KD53" s="93">
        <v>239.85</v>
      </c>
      <c r="KE53" s="93">
        <v>239.01</v>
      </c>
      <c r="KF53" s="93">
        <v>238.19</v>
      </c>
      <c r="KG53" s="93">
        <v>237.36</v>
      </c>
      <c r="KH53" s="93">
        <v>236.53</v>
      </c>
      <c r="KI53" s="93">
        <v>235.7</v>
      </c>
      <c r="KJ53" s="93">
        <v>234.88</v>
      </c>
      <c r="KK53" s="93">
        <v>234.05</v>
      </c>
      <c r="KL53" s="93">
        <v>233.23</v>
      </c>
      <c r="KM53" s="93">
        <v>232.41</v>
      </c>
      <c r="KN53" s="93">
        <v>231.59</v>
      </c>
      <c r="KO53" s="93">
        <v>230.77</v>
      </c>
      <c r="KP53" s="93">
        <v>229.95</v>
      </c>
      <c r="KQ53" s="93">
        <v>229.13</v>
      </c>
      <c r="KR53" s="93">
        <v>228.2500000000004</v>
      </c>
      <c r="KS53" s="93">
        <v>227.5000000000004</v>
      </c>
      <c r="KT53" s="93">
        <v>226.7500000000004</v>
      </c>
      <c r="KU53" s="93">
        <v>226.0000000000004</v>
      </c>
      <c r="KV53" s="93">
        <v>225.2500000000004</v>
      </c>
      <c r="KW53" s="93">
        <v>224.5000000000004</v>
      </c>
      <c r="KX53" s="93">
        <v>223.7500000000004</v>
      </c>
      <c r="KY53" s="93">
        <v>223.0000000000004</v>
      </c>
      <c r="KZ53" s="93">
        <v>222.2500000000004</v>
      </c>
      <c r="LA53" s="93">
        <v>221.5000000000004</v>
      </c>
      <c r="LB53" s="93">
        <v>220.7500000000004</v>
      </c>
      <c r="LC53" s="93">
        <v>220.0000000000004</v>
      </c>
      <c r="LD53" s="93">
        <v>219.2500000000004</v>
      </c>
      <c r="LE53" s="93">
        <v>218.5000000000004</v>
      </c>
      <c r="LF53" s="93">
        <v>217.7500000000004</v>
      </c>
      <c r="LG53" s="93">
        <v>217.0000000000004</v>
      </c>
      <c r="LH53" s="93">
        <v>216.2500000000004</v>
      </c>
      <c r="LI53" s="93">
        <v>215.5000000000004</v>
      </c>
      <c r="LJ53" s="93">
        <v>214.7500000000004</v>
      </c>
      <c r="LK53" s="93">
        <v>214.0000000000004</v>
      </c>
      <c r="LL53" s="93">
        <v>213.2500000000004</v>
      </c>
      <c r="LM53" s="93">
        <v>212.5000000000004</v>
      </c>
      <c r="LN53" s="93">
        <v>211.7500000000004</v>
      </c>
      <c r="LO53" s="93">
        <v>211.0000000000004</v>
      </c>
      <c r="LP53" s="93">
        <v>210.2500000000004</v>
      </c>
      <c r="LQ53" s="93">
        <v>209.5000000000004</v>
      </c>
      <c r="LR53" s="93">
        <v>208.7500000000004</v>
      </c>
      <c r="LS53" s="93">
        <v>208.0000000000004</v>
      </c>
      <c r="LT53" s="93">
        <v>207.2500000000004</v>
      </c>
      <c r="LU53" s="93">
        <v>206.5000000000004</v>
      </c>
      <c r="LV53" s="93">
        <v>205.7500000000004</v>
      </c>
      <c r="LW53" s="93">
        <v>205.0000000000004</v>
      </c>
      <c r="LX53" s="93">
        <v>204.2500000000004</v>
      </c>
      <c r="LY53" s="93">
        <v>203.5000000000004</v>
      </c>
      <c r="LZ53" s="93">
        <v>202.7500000000004</v>
      </c>
      <c r="MA53" s="93">
        <v>202.0000000000004</v>
      </c>
      <c r="MB53" s="93">
        <v>201.2500000000004</v>
      </c>
      <c r="MC53" s="93">
        <v>200.5000000000004</v>
      </c>
      <c r="MD53" s="93">
        <v>199.7500000000004</v>
      </c>
      <c r="ME53" s="93">
        <v>199.0000000000004</v>
      </c>
      <c r="MF53" s="93">
        <v>198.2500000000004</v>
      </c>
      <c r="MG53" s="93">
        <v>197.5000000000004</v>
      </c>
      <c r="MH53" s="93">
        <v>196.7500000000004</v>
      </c>
      <c r="MI53" s="93">
        <v>196.0000000000004</v>
      </c>
      <c r="MJ53" s="93">
        <v>195.2500000000004</v>
      </c>
      <c r="MK53" s="93">
        <v>194.5000000000004</v>
      </c>
      <c r="ML53" s="93">
        <v>193.7500000000004</v>
      </c>
      <c r="MM53" s="93">
        <v>193.0000000000004</v>
      </c>
      <c r="MN53" s="93">
        <v>192.2500000000004</v>
      </c>
      <c r="MO53" s="93">
        <v>191.5000000000004</v>
      </c>
      <c r="MP53" s="93">
        <v>190.7500000000004</v>
      </c>
      <c r="MQ53" s="93">
        <v>190.0000000000004</v>
      </c>
      <c r="MR53" s="93">
        <v>189.2500000000004</v>
      </c>
      <c r="MS53" s="93">
        <v>188.5000000000004</v>
      </c>
      <c r="MT53" s="93">
        <v>187.7500000000004</v>
      </c>
      <c r="MU53" s="93">
        <v>187.0000000000004</v>
      </c>
      <c r="MV53" s="93">
        <v>186.2500000000004</v>
      </c>
      <c r="MW53" s="93">
        <v>185.5000000000004</v>
      </c>
      <c r="MX53" s="93">
        <v>184.7500000000004</v>
      </c>
      <c r="MY53" s="93">
        <v>184.0000000000004</v>
      </c>
    </row>
    <row r="54" spans="1:363" ht="15.75" x14ac:dyDescent="0.25">
      <c r="A54" s="90" t="s">
        <v>7</v>
      </c>
      <c r="B54" s="95">
        <v>2064</v>
      </c>
      <c r="C54" s="93">
        <v>515.73</v>
      </c>
      <c r="D54" s="93">
        <v>514.71</v>
      </c>
      <c r="E54" s="93">
        <v>513.67999999999995</v>
      </c>
      <c r="F54" s="93">
        <v>512.66</v>
      </c>
      <c r="G54" s="93">
        <v>511.63</v>
      </c>
      <c r="H54" s="93">
        <v>510.6</v>
      </c>
      <c r="I54" s="93">
        <v>509.58000000000004</v>
      </c>
      <c r="J54" s="93">
        <v>508.55</v>
      </c>
      <c r="K54" s="93">
        <v>507.52000000000004</v>
      </c>
      <c r="L54" s="93">
        <v>506.5</v>
      </c>
      <c r="M54" s="93">
        <v>505.47</v>
      </c>
      <c r="N54" s="93">
        <v>504.45000000000005</v>
      </c>
      <c r="O54" s="93">
        <v>503.42</v>
      </c>
      <c r="P54" s="93">
        <v>502.39000000000004</v>
      </c>
      <c r="Q54" s="93">
        <v>501.37</v>
      </c>
      <c r="R54" s="93">
        <v>500.34000000000003</v>
      </c>
      <c r="S54" s="93">
        <v>499.31</v>
      </c>
      <c r="T54" s="93">
        <v>498.29</v>
      </c>
      <c r="U54" s="93">
        <v>497.26000000000005</v>
      </c>
      <c r="V54" s="93">
        <v>496.23</v>
      </c>
      <c r="W54" s="93">
        <v>495.21000000000004</v>
      </c>
      <c r="X54" s="93">
        <v>494.18</v>
      </c>
      <c r="Y54" s="93">
        <v>493.15000000000003</v>
      </c>
      <c r="Z54" s="93">
        <v>492.13</v>
      </c>
      <c r="AA54" s="93">
        <v>491.1</v>
      </c>
      <c r="AB54" s="93">
        <v>490.07</v>
      </c>
      <c r="AC54" s="93">
        <v>489.05</v>
      </c>
      <c r="AD54" s="93">
        <v>488.02000000000004</v>
      </c>
      <c r="AE54" s="93">
        <v>486.99</v>
      </c>
      <c r="AF54" s="93">
        <v>485.97</v>
      </c>
      <c r="AG54" s="93">
        <v>484.94</v>
      </c>
      <c r="AH54" s="93">
        <v>483.92</v>
      </c>
      <c r="AI54" s="93">
        <v>482.89000000000004</v>
      </c>
      <c r="AJ54" s="93">
        <v>481.86</v>
      </c>
      <c r="AK54" s="93">
        <v>480.84000000000003</v>
      </c>
      <c r="AL54" s="93">
        <v>479.81</v>
      </c>
      <c r="AM54" s="93">
        <v>478.78000000000003</v>
      </c>
      <c r="AN54" s="93">
        <v>477.76000000000005</v>
      </c>
      <c r="AO54" s="93">
        <v>476.73</v>
      </c>
      <c r="AP54" s="93">
        <v>475.71000000000004</v>
      </c>
      <c r="AQ54" s="93">
        <v>474.68</v>
      </c>
      <c r="AR54" s="93">
        <v>473.66</v>
      </c>
      <c r="AS54" s="93">
        <v>472.63</v>
      </c>
      <c r="AT54" s="93">
        <v>471.6</v>
      </c>
      <c r="AU54" s="93">
        <v>470.58000000000004</v>
      </c>
      <c r="AV54" s="93">
        <v>469.55</v>
      </c>
      <c r="AW54" s="93">
        <v>468.53000000000003</v>
      </c>
      <c r="AX54" s="93">
        <v>467.5</v>
      </c>
      <c r="AY54" s="93">
        <v>466.48</v>
      </c>
      <c r="AZ54" s="93">
        <v>465.45000000000005</v>
      </c>
      <c r="BA54" s="93">
        <v>464.43</v>
      </c>
      <c r="BB54" s="93">
        <v>463.41</v>
      </c>
      <c r="BC54" s="93">
        <v>462.38</v>
      </c>
      <c r="BD54" s="93">
        <v>461.36</v>
      </c>
      <c r="BE54" s="93">
        <v>460.33000000000004</v>
      </c>
      <c r="BF54" s="93">
        <v>459.31</v>
      </c>
      <c r="BG54" s="93">
        <v>458.28000000000003</v>
      </c>
      <c r="BH54" s="93">
        <v>457.26000000000005</v>
      </c>
      <c r="BI54" s="93">
        <v>456.24</v>
      </c>
      <c r="BJ54" s="93">
        <v>455.21000000000004</v>
      </c>
      <c r="BK54" s="93">
        <v>454.19</v>
      </c>
      <c r="BL54" s="93">
        <v>453.17</v>
      </c>
      <c r="BM54" s="93">
        <v>452.14000000000004</v>
      </c>
      <c r="BN54" s="93">
        <v>451.12</v>
      </c>
      <c r="BO54" s="93">
        <v>450.1</v>
      </c>
      <c r="BP54" s="93">
        <v>449.08000000000004</v>
      </c>
      <c r="BQ54" s="93">
        <v>448.06</v>
      </c>
      <c r="BR54" s="93">
        <v>447.03000000000003</v>
      </c>
      <c r="BS54" s="93">
        <v>446.01000000000005</v>
      </c>
      <c r="BT54" s="93">
        <v>444.99</v>
      </c>
      <c r="BU54" s="93">
        <v>443.97</v>
      </c>
      <c r="BV54" s="93">
        <v>442.95000000000005</v>
      </c>
      <c r="BW54" s="93">
        <v>441.93</v>
      </c>
      <c r="BX54" s="93">
        <v>440.91</v>
      </c>
      <c r="BY54" s="93">
        <v>439.89000000000004</v>
      </c>
      <c r="BZ54" s="93">
        <v>438.87</v>
      </c>
      <c r="CA54" s="93">
        <v>437.85</v>
      </c>
      <c r="CB54" s="93">
        <v>436.83000000000004</v>
      </c>
      <c r="CC54" s="93">
        <v>435.82</v>
      </c>
      <c r="CD54" s="93">
        <v>434.8</v>
      </c>
      <c r="CE54" s="93">
        <v>433.78000000000003</v>
      </c>
      <c r="CF54" s="93">
        <v>432.76000000000005</v>
      </c>
      <c r="CG54" s="93">
        <v>431.74</v>
      </c>
      <c r="CH54" s="93">
        <v>430.72</v>
      </c>
      <c r="CI54" s="93">
        <v>429.71000000000004</v>
      </c>
      <c r="CJ54" s="93">
        <v>428.69</v>
      </c>
      <c r="CK54" s="93">
        <v>427.68</v>
      </c>
      <c r="CL54" s="93">
        <v>426.67</v>
      </c>
      <c r="CM54" s="93">
        <v>425.65000000000003</v>
      </c>
      <c r="CN54" s="93">
        <v>424.64000000000004</v>
      </c>
      <c r="CO54" s="93">
        <v>423.63</v>
      </c>
      <c r="CP54" s="93">
        <v>422.61</v>
      </c>
      <c r="CQ54" s="93">
        <v>421.6</v>
      </c>
      <c r="CR54" s="93">
        <v>420.59000000000003</v>
      </c>
      <c r="CS54" s="93">
        <v>419.57</v>
      </c>
      <c r="CT54" s="93">
        <v>418.56</v>
      </c>
      <c r="CU54" s="93">
        <v>417.55</v>
      </c>
      <c r="CV54" s="93">
        <v>416.54</v>
      </c>
      <c r="CW54" s="93">
        <v>415.53000000000003</v>
      </c>
      <c r="CX54" s="93">
        <v>414.53000000000003</v>
      </c>
      <c r="CY54" s="93">
        <v>413.52000000000004</v>
      </c>
      <c r="CZ54" s="93">
        <v>412.51000000000005</v>
      </c>
      <c r="DA54" s="93">
        <v>411.51000000000005</v>
      </c>
      <c r="DB54" s="93">
        <v>410.5</v>
      </c>
      <c r="DC54" s="93">
        <v>409.49</v>
      </c>
      <c r="DD54" s="93">
        <v>408.49</v>
      </c>
      <c r="DE54" s="93">
        <v>407.48</v>
      </c>
      <c r="DF54" s="93">
        <v>406.47</v>
      </c>
      <c r="DG54" s="93">
        <v>405.47</v>
      </c>
      <c r="DH54" s="93">
        <v>404.47</v>
      </c>
      <c r="DI54" s="93">
        <v>403.47</v>
      </c>
      <c r="DJ54" s="93">
        <v>402.47</v>
      </c>
      <c r="DK54" s="93">
        <v>401.47</v>
      </c>
      <c r="DL54" s="93">
        <v>400.47</v>
      </c>
      <c r="DM54" s="93">
        <v>399.47</v>
      </c>
      <c r="DN54" s="93">
        <v>398.47</v>
      </c>
      <c r="DO54" s="93">
        <v>397.47</v>
      </c>
      <c r="DP54" s="93">
        <v>396.47</v>
      </c>
      <c r="DQ54" s="93">
        <v>395.48</v>
      </c>
      <c r="DR54" s="93">
        <v>394.48</v>
      </c>
      <c r="DS54" s="93">
        <v>393.48</v>
      </c>
      <c r="DT54" s="93">
        <v>392.49</v>
      </c>
      <c r="DU54" s="93">
        <v>391.5</v>
      </c>
      <c r="DV54" s="93">
        <v>390.51000000000005</v>
      </c>
      <c r="DW54" s="93">
        <v>389.52000000000004</v>
      </c>
      <c r="DX54" s="93">
        <v>388.53000000000003</v>
      </c>
      <c r="DY54" s="93">
        <v>387.54</v>
      </c>
      <c r="DZ54" s="93">
        <v>386.55</v>
      </c>
      <c r="EA54" s="93">
        <v>385.56</v>
      </c>
      <c r="EB54" s="93">
        <v>384.58000000000004</v>
      </c>
      <c r="EC54" s="93">
        <v>383.59000000000003</v>
      </c>
      <c r="ED54" s="93">
        <v>382.6</v>
      </c>
      <c r="EE54" s="93">
        <v>381.62</v>
      </c>
      <c r="EF54" s="93">
        <v>380.64000000000004</v>
      </c>
      <c r="EG54" s="93">
        <v>379.66</v>
      </c>
      <c r="EH54" s="93">
        <v>378.68</v>
      </c>
      <c r="EI54" s="93">
        <v>377.71000000000004</v>
      </c>
      <c r="EJ54" s="93">
        <v>376.73</v>
      </c>
      <c r="EK54" s="93">
        <v>375.76000000000005</v>
      </c>
      <c r="EL54" s="93">
        <v>374.78000000000003</v>
      </c>
      <c r="EM54" s="93">
        <v>373.81</v>
      </c>
      <c r="EN54" s="93">
        <v>372.83000000000004</v>
      </c>
      <c r="EO54" s="93">
        <v>371.86</v>
      </c>
      <c r="EP54" s="93">
        <v>370.89000000000004</v>
      </c>
      <c r="EQ54" s="93">
        <v>369.91</v>
      </c>
      <c r="ER54" s="93">
        <v>368.95000000000005</v>
      </c>
      <c r="ES54" s="93">
        <v>367.98</v>
      </c>
      <c r="ET54" s="93">
        <v>367.01000000000005</v>
      </c>
      <c r="EU54" s="93">
        <v>366.05</v>
      </c>
      <c r="EV54" s="93">
        <v>365.08000000000004</v>
      </c>
      <c r="EW54" s="93">
        <v>364.12</v>
      </c>
      <c r="EX54" s="93">
        <v>363.16</v>
      </c>
      <c r="EY54" s="93">
        <v>362.19</v>
      </c>
      <c r="EZ54" s="93">
        <v>361.23</v>
      </c>
      <c r="FA54" s="93">
        <v>360.27000000000004</v>
      </c>
      <c r="FB54" s="93">
        <v>359.3</v>
      </c>
      <c r="FC54" s="93">
        <v>358.34000000000003</v>
      </c>
      <c r="FD54" s="93">
        <v>357.38</v>
      </c>
      <c r="FE54" s="93">
        <v>356.42</v>
      </c>
      <c r="FF54" s="93">
        <v>355.46000000000004</v>
      </c>
      <c r="FG54" s="93">
        <v>354.51000000000005</v>
      </c>
      <c r="FH54" s="93">
        <v>353.55</v>
      </c>
      <c r="FI54" s="93">
        <v>352.59000000000003</v>
      </c>
      <c r="FJ54" s="93">
        <v>351.63</v>
      </c>
      <c r="FK54" s="93">
        <v>350.68</v>
      </c>
      <c r="FL54" s="93">
        <v>349.72</v>
      </c>
      <c r="FM54" s="93">
        <v>348.77000000000004</v>
      </c>
      <c r="FN54" s="93">
        <v>347.81</v>
      </c>
      <c r="FO54" s="93">
        <v>346.86</v>
      </c>
      <c r="FP54" s="93">
        <v>345.91</v>
      </c>
      <c r="FQ54" s="93">
        <v>344.96000000000004</v>
      </c>
      <c r="FR54" s="93">
        <v>344.01000000000005</v>
      </c>
      <c r="FS54" s="93">
        <v>343.06</v>
      </c>
      <c r="FT54" s="93">
        <v>342.11</v>
      </c>
      <c r="FU54" s="93">
        <v>341.16</v>
      </c>
      <c r="FV54" s="93">
        <v>340.21000000000004</v>
      </c>
      <c r="FW54" s="93">
        <v>339.26000000000005</v>
      </c>
      <c r="FX54" s="93">
        <v>338.31</v>
      </c>
      <c r="FY54" s="93">
        <v>337.37</v>
      </c>
      <c r="FZ54" s="93">
        <v>336.42</v>
      </c>
      <c r="GA54" s="93">
        <v>335.48</v>
      </c>
      <c r="GB54" s="93">
        <v>334.53000000000003</v>
      </c>
      <c r="GC54" s="93">
        <v>333.59000000000003</v>
      </c>
      <c r="GD54" s="93">
        <v>332.65000000000003</v>
      </c>
      <c r="GE54" s="93">
        <v>331.71000000000004</v>
      </c>
      <c r="GF54" s="93">
        <v>330.77000000000004</v>
      </c>
      <c r="GG54" s="93">
        <v>329.83000000000004</v>
      </c>
      <c r="GH54" s="93">
        <v>328.89000000000004</v>
      </c>
      <c r="GI54" s="93">
        <v>327.95000000000005</v>
      </c>
      <c r="GJ54" s="93">
        <v>327.01000000000005</v>
      </c>
      <c r="GK54" s="93">
        <v>326.08000000000004</v>
      </c>
      <c r="GL54" s="93">
        <v>325.14000000000004</v>
      </c>
      <c r="GM54" s="93">
        <v>324.21000000000004</v>
      </c>
      <c r="GN54" s="93">
        <v>323.28000000000003</v>
      </c>
      <c r="GO54" s="93">
        <v>322.33000000000004</v>
      </c>
      <c r="GP54" s="93">
        <v>321.41000000000003</v>
      </c>
      <c r="GQ54" s="93">
        <v>320.48</v>
      </c>
      <c r="GR54" s="93">
        <v>319.55</v>
      </c>
      <c r="GS54" s="93">
        <v>318.63</v>
      </c>
      <c r="GT54" s="93">
        <v>317.70000000000005</v>
      </c>
      <c r="GU54" s="93">
        <v>316.77000000000004</v>
      </c>
      <c r="GV54" s="93">
        <v>315.85000000000002</v>
      </c>
      <c r="GW54" s="93">
        <v>314.92</v>
      </c>
      <c r="GX54" s="93">
        <v>314</v>
      </c>
      <c r="GY54" s="93">
        <v>313.08000000000004</v>
      </c>
      <c r="GZ54" s="93">
        <v>312.16000000000003</v>
      </c>
      <c r="HA54" s="93">
        <v>311.24</v>
      </c>
      <c r="HB54" s="93">
        <v>310.32</v>
      </c>
      <c r="HC54" s="93">
        <v>309.39000000000004</v>
      </c>
      <c r="HD54" s="93">
        <v>308.48</v>
      </c>
      <c r="HE54" s="93">
        <v>307.57</v>
      </c>
      <c r="HF54" s="93">
        <v>306.64000000000004</v>
      </c>
      <c r="HG54" s="93">
        <v>305.74</v>
      </c>
      <c r="HH54" s="93">
        <v>304.83000000000004</v>
      </c>
      <c r="HI54" s="93">
        <v>303.92</v>
      </c>
      <c r="HJ54" s="93">
        <v>303.01000000000005</v>
      </c>
      <c r="HK54" s="93">
        <v>302.10000000000002</v>
      </c>
      <c r="HL54" s="93">
        <v>301.19</v>
      </c>
      <c r="HM54" s="93">
        <v>300.28000000000003</v>
      </c>
      <c r="HN54" s="93">
        <v>299.38</v>
      </c>
      <c r="HO54" s="93">
        <v>298.47000000000003</v>
      </c>
      <c r="HP54" s="93">
        <v>297.57</v>
      </c>
      <c r="HQ54" s="93">
        <v>296.67</v>
      </c>
      <c r="HR54" s="93">
        <v>295.77000000000004</v>
      </c>
      <c r="HS54" s="93">
        <v>294.86</v>
      </c>
      <c r="HT54" s="93">
        <v>293.97000000000003</v>
      </c>
      <c r="HU54" s="93">
        <v>293.07</v>
      </c>
      <c r="HV54" s="93">
        <v>292.18</v>
      </c>
      <c r="HW54" s="93">
        <v>291.28000000000003</v>
      </c>
      <c r="HX54" s="93">
        <v>290.39000000000004</v>
      </c>
      <c r="HY54" s="93">
        <v>289.49</v>
      </c>
      <c r="HZ54" s="93">
        <v>288.60000000000002</v>
      </c>
      <c r="IA54" s="93">
        <v>287.71000000000004</v>
      </c>
      <c r="IB54" s="93">
        <v>286.82</v>
      </c>
      <c r="IC54" s="93">
        <v>285.93</v>
      </c>
      <c r="ID54" s="93">
        <v>285.04000000000002</v>
      </c>
      <c r="IE54" s="93">
        <v>284.14000000000004</v>
      </c>
      <c r="IF54" s="93">
        <v>283.27000000000004</v>
      </c>
      <c r="IG54" s="93">
        <v>282.38</v>
      </c>
      <c r="IH54" s="93">
        <v>281.5</v>
      </c>
      <c r="II54" s="93">
        <v>280.61</v>
      </c>
      <c r="IJ54" s="93">
        <v>279.73</v>
      </c>
      <c r="IK54" s="93">
        <v>278.85000000000002</v>
      </c>
      <c r="IL54" s="93">
        <v>277.97000000000003</v>
      </c>
      <c r="IM54" s="93">
        <v>277.08000000000004</v>
      </c>
      <c r="IN54" s="93">
        <v>276.22000000000003</v>
      </c>
      <c r="IO54" s="93">
        <v>275.33000000000004</v>
      </c>
      <c r="IP54" s="93">
        <v>274.46000000000004</v>
      </c>
      <c r="IQ54" s="93">
        <v>273.58000000000004</v>
      </c>
      <c r="IR54" s="93">
        <v>272.72000000000003</v>
      </c>
      <c r="IS54" s="93">
        <v>271.85000000000002</v>
      </c>
      <c r="IT54" s="93">
        <v>270.97000000000003</v>
      </c>
      <c r="IU54" s="93">
        <v>270.11</v>
      </c>
      <c r="IV54" s="93">
        <v>269.24</v>
      </c>
      <c r="IW54" s="93">
        <v>268.36</v>
      </c>
      <c r="IX54" s="93">
        <v>267.51000000000005</v>
      </c>
      <c r="IY54" s="93">
        <v>266.64000000000004</v>
      </c>
      <c r="IZ54" s="93">
        <v>265.78000000000003</v>
      </c>
      <c r="JA54" s="93">
        <v>264.92</v>
      </c>
      <c r="JB54" s="93">
        <v>264.05</v>
      </c>
      <c r="JC54" s="93">
        <v>263.20000000000005</v>
      </c>
      <c r="JD54" s="93">
        <v>262.33000000000004</v>
      </c>
      <c r="JE54" s="93">
        <v>261.48</v>
      </c>
      <c r="JF54" s="93">
        <v>260.63</v>
      </c>
      <c r="JG54" s="93">
        <v>259.77000000000004</v>
      </c>
      <c r="JH54" s="93">
        <v>258.92</v>
      </c>
      <c r="JI54" s="93">
        <v>258.07</v>
      </c>
      <c r="JJ54" s="93">
        <v>257.21000000000004</v>
      </c>
      <c r="JK54" s="93">
        <v>256.36</v>
      </c>
      <c r="JL54" s="93">
        <v>255.51</v>
      </c>
      <c r="JM54" s="93">
        <v>254.66</v>
      </c>
      <c r="JN54" s="93">
        <v>253.82</v>
      </c>
      <c r="JO54" s="93">
        <v>252.97</v>
      </c>
      <c r="JP54" s="93">
        <v>252.12</v>
      </c>
      <c r="JQ54" s="93">
        <v>251.28</v>
      </c>
      <c r="JR54" s="93">
        <v>250.42999999999998</v>
      </c>
      <c r="JS54" s="93">
        <v>249.59</v>
      </c>
      <c r="JT54" s="93">
        <v>248.75</v>
      </c>
      <c r="JU54" s="93">
        <v>247.91</v>
      </c>
      <c r="JV54" s="93">
        <v>247.07</v>
      </c>
      <c r="JW54" s="93">
        <v>246.23</v>
      </c>
      <c r="JX54" s="93">
        <v>245.39</v>
      </c>
      <c r="JY54" s="93">
        <v>244.56</v>
      </c>
      <c r="JZ54" s="93">
        <v>243.72</v>
      </c>
      <c r="KA54" s="93">
        <v>242.89</v>
      </c>
      <c r="KB54" s="93">
        <v>242.04999999999998</v>
      </c>
      <c r="KC54" s="93">
        <v>241.22</v>
      </c>
      <c r="KD54" s="93">
        <v>240.39</v>
      </c>
      <c r="KE54" s="93">
        <v>239.54999999999998</v>
      </c>
      <c r="KF54" s="93">
        <v>238.73</v>
      </c>
      <c r="KG54" s="93">
        <v>237.9</v>
      </c>
      <c r="KH54" s="93">
        <v>237.07</v>
      </c>
      <c r="KI54" s="93">
        <v>236.23999999999998</v>
      </c>
      <c r="KJ54" s="93">
        <v>235.42</v>
      </c>
      <c r="KK54" s="93">
        <v>234.59</v>
      </c>
      <c r="KL54" s="93">
        <v>233.76999999999998</v>
      </c>
      <c r="KM54" s="93">
        <v>232.95</v>
      </c>
      <c r="KN54" s="93">
        <v>232.13</v>
      </c>
      <c r="KO54" s="93">
        <v>231.31</v>
      </c>
      <c r="KP54" s="93">
        <v>230.48999999999998</v>
      </c>
      <c r="KQ54" s="93">
        <v>229.67</v>
      </c>
      <c r="KR54" s="93">
        <v>228.71000000000041</v>
      </c>
      <c r="KS54" s="93">
        <v>227.96000000000041</v>
      </c>
      <c r="KT54" s="93">
        <v>227.21000000000041</v>
      </c>
      <c r="KU54" s="93">
        <v>226.46000000000041</v>
      </c>
      <c r="KV54" s="93">
        <v>225.71000000000041</v>
      </c>
      <c r="KW54" s="93">
        <v>224.96000000000041</v>
      </c>
      <c r="KX54" s="93">
        <v>224.21000000000041</v>
      </c>
      <c r="KY54" s="93">
        <v>223.46000000000041</v>
      </c>
      <c r="KZ54" s="93">
        <v>222.71000000000041</v>
      </c>
      <c r="LA54" s="93">
        <v>221.96000000000041</v>
      </c>
      <c r="LB54" s="93">
        <v>221.21000000000041</v>
      </c>
      <c r="LC54" s="93">
        <v>220.46000000000041</v>
      </c>
      <c r="LD54" s="93">
        <v>219.71000000000041</v>
      </c>
      <c r="LE54" s="93">
        <v>218.96000000000041</v>
      </c>
      <c r="LF54" s="93">
        <v>218.21000000000041</v>
      </c>
      <c r="LG54" s="93">
        <v>217.46000000000041</v>
      </c>
      <c r="LH54" s="93">
        <v>216.71000000000041</v>
      </c>
      <c r="LI54" s="93">
        <v>215.96000000000041</v>
      </c>
      <c r="LJ54" s="93">
        <v>215.21000000000041</v>
      </c>
      <c r="LK54" s="93">
        <v>214.46000000000041</v>
      </c>
      <c r="LL54" s="93">
        <v>213.71000000000041</v>
      </c>
      <c r="LM54" s="93">
        <v>212.96000000000041</v>
      </c>
      <c r="LN54" s="93">
        <v>212.21000000000041</v>
      </c>
      <c r="LO54" s="93">
        <v>211.46000000000041</v>
      </c>
      <c r="LP54" s="93">
        <v>210.71000000000041</v>
      </c>
      <c r="LQ54" s="93">
        <v>209.96000000000041</v>
      </c>
      <c r="LR54" s="93">
        <v>209.21000000000041</v>
      </c>
      <c r="LS54" s="93">
        <v>208.46000000000041</v>
      </c>
      <c r="LT54" s="93">
        <v>207.71000000000041</v>
      </c>
      <c r="LU54" s="93">
        <v>206.96000000000041</v>
      </c>
      <c r="LV54" s="93">
        <v>206.21000000000041</v>
      </c>
      <c r="LW54" s="93">
        <v>205.46000000000041</v>
      </c>
      <c r="LX54" s="93">
        <v>204.71000000000041</v>
      </c>
      <c r="LY54" s="93">
        <v>203.96000000000041</v>
      </c>
      <c r="LZ54" s="93">
        <v>203.21000000000041</v>
      </c>
      <c r="MA54" s="93">
        <v>202.46000000000041</v>
      </c>
      <c r="MB54" s="93">
        <v>201.71000000000041</v>
      </c>
      <c r="MC54" s="93">
        <v>200.96000000000041</v>
      </c>
      <c r="MD54" s="93">
        <v>200.21000000000041</v>
      </c>
      <c r="ME54" s="93">
        <v>199.46000000000041</v>
      </c>
      <c r="MF54" s="93">
        <v>198.71000000000041</v>
      </c>
      <c r="MG54" s="93">
        <v>197.96000000000041</v>
      </c>
      <c r="MH54" s="93">
        <v>197.21000000000041</v>
      </c>
      <c r="MI54" s="93">
        <v>196.46000000000041</v>
      </c>
      <c r="MJ54" s="93">
        <v>195.71000000000041</v>
      </c>
      <c r="MK54" s="93">
        <v>194.96000000000041</v>
      </c>
      <c r="ML54" s="93">
        <v>194.21000000000041</v>
      </c>
      <c r="MM54" s="93">
        <v>193.46000000000041</v>
      </c>
      <c r="MN54" s="93">
        <v>192.71000000000041</v>
      </c>
      <c r="MO54" s="93">
        <v>191.96000000000041</v>
      </c>
      <c r="MP54" s="93">
        <v>191.21000000000041</v>
      </c>
      <c r="MQ54" s="93">
        <v>190.46000000000041</v>
      </c>
      <c r="MR54" s="93">
        <v>189.71000000000041</v>
      </c>
      <c r="MS54" s="93">
        <v>188.96000000000041</v>
      </c>
      <c r="MT54" s="93">
        <v>188.21000000000041</v>
      </c>
      <c r="MU54" s="93">
        <v>187.46000000000041</v>
      </c>
      <c r="MV54" s="93">
        <v>186.71000000000041</v>
      </c>
      <c r="MW54" s="93">
        <v>185.96000000000041</v>
      </c>
      <c r="MX54" s="93">
        <v>185.21000000000041</v>
      </c>
      <c r="MY54" s="93">
        <v>184.46000000000041</v>
      </c>
    </row>
    <row r="55" spans="1:363" ht="15.75" x14ac:dyDescent="0.25">
      <c r="A55" s="90" t="s">
        <v>7</v>
      </c>
      <c r="B55" s="95">
        <v>2065</v>
      </c>
      <c r="C55" s="93">
        <v>516.26</v>
      </c>
      <c r="D55" s="93">
        <v>515.23</v>
      </c>
      <c r="E55" s="93">
        <v>514.20000000000005</v>
      </c>
      <c r="F55" s="93">
        <v>513.19999999999993</v>
      </c>
      <c r="G55" s="93">
        <v>512.16999999999996</v>
      </c>
      <c r="H55" s="93">
        <v>511.14000000000004</v>
      </c>
      <c r="I55" s="93">
        <v>510.12000000000006</v>
      </c>
      <c r="J55" s="93">
        <v>509.09000000000003</v>
      </c>
      <c r="K55" s="93">
        <v>508.06000000000006</v>
      </c>
      <c r="L55" s="93">
        <v>507.04</v>
      </c>
      <c r="M55" s="93">
        <v>506.01000000000005</v>
      </c>
      <c r="N55" s="93">
        <v>504.99000000000007</v>
      </c>
      <c r="O55" s="93">
        <v>503.96000000000004</v>
      </c>
      <c r="P55" s="93">
        <v>502.93000000000006</v>
      </c>
      <c r="Q55" s="93">
        <v>501.91</v>
      </c>
      <c r="R55" s="93">
        <v>500.88000000000005</v>
      </c>
      <c r="S55" s="93">
        <v>499.85</v>
      </c>
      <c r="T55" s="93">
        <v>498.83000000000004</v>
      </c>
      <c r="U55" s="93">
        <v>497.80000000000007</v>
      </c>
      <c r="V55" s="93">
        <v>496.77000000000004</v>
      </c>
      <c r="W55" s="93">
        <v>495.75000000000006</v>
      </c>
      <c r="X55" s="93">
        <v>494.72</v>
      </c>
      <c r="Y55" s="93">
        <v>493.69000000000005</v>
      </c>
      <c r="Z55" s="93">
        <v>492.67</v>
      </c>
      <c r="AA55" s="93">
        <v>491.64000000000004</v>
      </c>
      <c r="AB55" s="93">
        <v>490.61</v>
      </c>
      <c r="AC55" s="93">
        <v>489.59000000000003</v>
      </c>
      <c r="AD55" s="93">
        <v>488.56000000000006</v>
      </c>
      <c r="AE55" s="93">
        <v>487.53000000000003</v>
      </c>
      <c r="AF55" s="93">
        <v>486.51000000000005</v>
      </c>
      <c r="AG55" s="93">
        <v>485.48</v>
      </c>
      <c r="AH55" s="93">
        <v>484.46000000000004</v>
      </c>
      <c r="AI55" s="93">
        <v>483.43000000000006</v>
      </c>
      <c r="AJ55" s="93">
        <v>482.40000000000003</v>
      </c>
      <c r="AK55" s="93">
        <v>481.38000000000005</v>
      </c>
      <c r="AL55" s="93">
        <v>480.35</v>
      </c>
      <c r="AM55" s="93">
        <v>479.32000000000005</v>
      </c>
      <c r="AN55" s="93">
        <v>478.30000000000007</v>
      </c>
      <c r="AO55" s="93">
        <v>477.27000000000004</v>
      </c>
      <c r="AP55" s="93">
        <v>476.25000000000006</v>
      </c>
      <c r="AQ55" s="93">
        <v>475.22</v>
      </c>
      <c r="AR55" s="93">
        <v>474.20000000000005</v>
      </c>
      <c r="AS55" s="93">
        <v>473.17</v>
      </c>
      <c r="AT55" s="93">
        <v>472.14000000000004</v>
      </c>
      <c r="AU55" s="93">
        <v>471.12000000000006</v>
      </c>
      <c r="AV55" s="93">
        <v>470.09000000000003</v>
      </c>
      <c r="AW55" s="93">
        <v>469.07000000000005</v>
      </c>
      <c r="AX55" s="93">
        <v>468.04</v>
      </c>
      <c r="AY55" s="93">
        <v>467.02000000000004</v>
      </c>
      <c r="AZ55" s="93">
        <v>465.99000000000007</v>
      </c>
      <c r="BA55" s="93">
        <v>464.97</v>
      </c>
      <c r="BB55" s="93">
        <v>463.95000000000005</v>
      </c>
      <c r="BC55" s="93">
        <v>462.92</v>
      </c>
      <c r="BD55" s="93">
        <v>461.90000000000003</v>
      </c>
      <c r="BE55" s="93">
        <v>460.87000000000006</v>
      </c>
      <c r="BF55" s="93">
        <v>459.85</v>
      </c>
      <c r="BG55" s="93">
        <v>458.82000000000005</v>
      </c>
      <c r="BH55" s="93">
        <v>457.80000000000007</v>
      </c>
      <c r="BI55" s="93">
        <v>456.78000000000003</v>
      </c>
      <c r="BJ55" s="93">
        <v>455.75000000000006</v>
      </c>
      <c r="BK55" s="93">
        <v>454.73</v>
      </c>
      <c r="BL55" s="93">
        <v>453.71000000000004</v>
      </c>
      <c r="BM55" s="93">
        <v>452.68000000000006</v>
      </c>
      <c r="BN55" s="93">
        <v>451.66</v>
      </c>
      <c r="BO55" s="93">
        <v>450.64000000000004</v>
      </c>
      <c r="BP55" s="93">
        <v>449.62000000000006</v>
      </c>
      <c r="BQ55" s="93">
        <v>448.6</v>
      </c>
      <c r="BR55" s="93">
        <v>447.57000000000005</v>
      </c>
      <c r="BS55" s="93">
        <v>446.55000000000007</v>
      </c>
      <c r="BT55" s="93">
        <v>445.53000000000003</v>
      </c>
      <c r="BU55" s="93">
        <v>444.51000000000005</v>
      </c>
      <c r="BV55" s="93">
        <v>443.49000000000007</v>
      </c>
      <c r="BW55" s="93">
        <v>442.47</v>
      </c>
      <c r="BX55" s="93">
        <v>441.45000000000005</v>
      </c>
      <c r="BY55" s="93">
        <v>440.43000000000006</v>
      </c>
      <c r="BZ55" s="93">
        <v>439.41</v>
      </c>
      <c r="CA55" s="93">
        <v>438.39000000000004</v>
      </c>
      <c r="CB55" s="93">
        <v>437.37000000000006</v>
      </c>
      <c r="CC55" s="93">
        <v>436.36</v>
      </c>
      <c r="CD55" s="93">
        <v>435.34000000000003</v>
      </c>
      <c r="CE55" s="93">
        <v>434.32000000000005</v>
      </c>
      <c r="CF55" s="93">
        <v>433.30000000000007</v>
      </c>
      <c r="CG55" s="93">
        <v>432.28000000000003</v>
      </c>
      <c r="CH55" s="93">
        <v>431.26000000000005</v>
      </c>
      <c r="CI55" s="93">
        <v>430.25000000000006</v>
      </c>
      <c r="CJ55" s="93">
        <v>429.23</v>
      </c>
      <c r="CK55" s="93">
        <v>428.22</v>
      </c>
      <c r="CL55" s="93">
        <v>427.21000000000004</v>
      </c>
      <c r="CM55" s="93">
        <v>426.19000000000005</v>
      </c>
      <c r="CN55" s="93">
        <v>425.18000000000006</v>
      </c>
      <c r="CO55" s="93">
        <v>424.17</v>
      </c>
      <c r="CP55" s="93">
        <v>423.15000000000003</v>
      </c>
      <c r="CQ55" s="93">
        <v>422.14000000000004</v>
      </c>
      <c r="CR55" s="93">
        <v>421.13000000000005</v>
      </c>
      <c r="CS55" s="93">
        <v>420.11</v>
      </c>
      <c r="CT55" s="93">
        <v>419.1</v>
      </c>
      <c r="CU55" s="93">
        <v>418.09000000000003</v>
      </c>
      <c r="CV55" s="93">
        <v>417.08000000000004</v>
      </c>
      <c r="CW55" s="93">
        <v>416.07000000000005</v>
      </c>
      <c r="CX55" s="93">
        <v>415.07000000000005</v>
      </c>
      <c r="CY55" s="93">
        <v>414.06000000000006</v>
      </c>
      <c r="CZ55" s="93">
        <v>413.05000000000007</v>
      </c>
      <c r="DA55" s="93">
        <v>412.05000000000007</v>
      </c>
      <c r="DB55" s="93">
        <v>411.04</v>
      </c>
      <c r="DC55" s="93">
        <v>410.03000000000003</v>
      </c>
      <c r="DD55" s="93">
        <v>409.03000000000003</v>
      </c>
      <c r="DE55" s="93">
        <v>408.02000000000004</v>
      </c>
      <c r="DF55" s="93">
        <v>407.01000000000005</v>
      </c>
      <c r="DG55" s="93">
        <v>406.01000000000005</v>
      </c>
      <c r="DH55" s="93">
        <v>405.01000000000005</v>
      </c>
      <c r="DI55" s="93">
        <v>404.01000000000005</v>
      </c>
      <c r="DJ55" s="93">
        <v>403.01000000000005</v>
      </c>
      <c r="DK55" s="93">
        <v>402.01000000000005</v>
      </c>
      <c r="DL55" s="93">
        <v>401.01000000000005</v>
      </c>
      <c r="DM55" s="93">
        <v>400.01000000000005</v>
      </c>
      <c r="DN55" s="93">
        <v>399.01000000000005</v>
      </c>
      <c r="DO55" s="93">
        <v>398.01000000000005</v>
      </c>
      <c r="DP55" s="93">
        <v>397.01000000000005</v>
      </c>
      <c r="DQ55" s="93">
        <v>396.02000000000004</v>
      </c>
      <c r="DR55" s="93">
        <v>395.02000000000004</v>
      </c>
      <c r="DS55" s="93">
        <v>394.02000000000004</v>
      </c>
      <c r="DT55" s="93">
        <v>393.03000000000003</v>
      </c>
      <c r="DU55" s="93">
        <v>392.04</v>
      </c>
      <c r="DV55" s="93">
        <v>391.05000000000007</v>
      </c>
      <c r="DW55" s="93">
        <v>390.06000000000006</v>
      </c>
      <c r="DX55" s="93">
        <v>389.07000000000005</v>
      </c>
      <c r="DY55" s="93">
        <v>388.08000000000004</v>
      </c>
      <c r="DZ55" s="93">
        <v>387.09000000000003</v>
      </c>
      <c r="EA55" s="93">
        <v>386.1</v>
      </c>
      <c r="EB55" s="93">
        <v>385.12000000000006</v>
      </c>
      <c r="EC55" s="93">
        <v>384.13000000000005</v>
      </c>
      <c r="ED55" s="93">
        <v>383.14000000000004</v>
      </c>
      <c r="EE55" s="93">
        <v>382.16</v>
      </c>
      <c r="EF55" s="93">
        <v>381.18000000000006</v>
      </c>
      <c r="EG55" s="93">
        <v>380.20000000000005</v>
      </c>
      <c r="EH55" s="93">
        <v>379.22</v>
      </c>
      <c r="EI55" s="93">
        <v>378.25000000000006</v>
      </c>
      <c r="EJ55" s="93">
        <v>377.27000000000004</v>
      </c>
      <c r="EK55" s="93">
        <v>376.30000000000007</v>
      </c>
      <c r="EL55" s="93">
        <v>375.32000000000005</v>
      </c>
      <c r="EM55" s="93">
        <v>374.35</v>
      </c>
      <c r="EN55" s="93">
        <v>373.37000000000006</v>
      </c>
      <c r="EO55" s="93">
        <v>372.40000000000003</v>
      </c>
      <c r="EP55" s="93">
        <v>371.43000000000006</v>
      </c>
      <c r="EQ55" s="93">
        <v>370.45000000000005</v>
      </c>
      <c r="ER55" s="93">
        <v>369.49000000000007</v>
      </c>
      <c r="ES55" s="93">
        <v>368.52000000000004</v>
      </c>
      <c r="ET55" s="93">
        <v>367.55000000000007</v>
      </c>
      <c r="EU55" s="93">
        <v>366.59000000000003</v>
      </c>
      <c r="EV55" s="93">
        <v>365.62000000000006</v>
      </c>
      <c r="EW55" s="93">
        <v>364.66</v>
      </c>
      <c r="EX55" s="93">
        <v>363.70000000000005</v>
      </c>
      <c r="EY55" s="93">
        <v>362.73</v>
      </c>
      <c r="EZ55" s="93">
        <v>361.77000000000004</v>
      </c>
      <c r="FA55" s="93">
        <v>360.81000000000006</v>
      </c>
      <c r="FB55" s="93">
        <v>359.84000000000003</v>
      </c>
      <c r="FC55" s="93">
        <v>358.88000000000005</v>
      </c>
      <c r="FD55" s="93">
        <v>357.92</v>
      </c>
      <c r="FE55" s="93">
        <v>356.96000000000004</v>
      </c>
      <c r="FF55" s="93">
        <v>356.00000000000006</v>
      </c>
      <c r="FG55" s="93">
        <v>355.05000000000007</v>
      </c>
      <c r="FH55" s="93">
        <v>354.09000000000003</v>
      </c>
      <c r="FI55" s="93">
        <v>353.13000000000005</v>
      </c>
      <c r="FJ55" s="93">
        <v>352.17</v>
      </c>
      <c r="FK55" s="93">
        <v>351.22</v>
      </c>
      <c r="FL55" s="93">
        <v>350.26000000000005</v>
      </c>
      <c r="FM55" s="93">
        <v>349.31000000000006</v>
      </c>
      <c r="FN55" s="93">
        <v>348.35</v>
      </c>
      <c r="FO55" s="93">
        <v>347.40000000000003</v>
      </c>
      <c r="FP55" s="93">
        <v>346.45000000000005</v>
      </c>
      <c r="FQ55" s="93">
        <v>345.50000000000006</v>
      </c>
      <c r="FR55" s="93">
        <v>344.55000000000007</v>
      </c>
      <c r="FS55" s="93">
        <v>343.6</v>
      </c>
      <c r="FT55" s="93">
        <v>342.65000000000003</v>
      </c>
      <c r="FU55" s="93">
        <v>341.70000000000005</v>
      </c>
      <c r="FV55" s="93">
        <v>340.75000000000006</v>
      </c>
      <c r="FW55" s="93">
        <v>339.80000000000007</v>
      </c>
      <c r="FX55" s="93">
        <v>338.85</v>
      </c>
      <c r="FY55" s="93">
        <v>337.91</v>
      </c>
      <c r="FZ55" s="93">
        <v>336.96000000000004</v>
      </c>
      <c r="GA55" s="93">
        <v>336.02000000000004</v>
      </c>
      <c r="GB55" s="93">
        <v>335.07000000000005</v>
      </c>
      <c r="GC55" s="93">
        <v>334.13000000000005</v>
      </c>
      <c r="GD55" s="93">
        <v>333.19000000000005</v>
      </c>
      <c r="GE55" s="93">
        <v>332.25000000000006</v>
      </c>
      <c r="GF55" s="93">
        <v>331.31000000000006</v>
      </c>
      <c r="GG55" s="93">
        <v>330.37000000000006</v>
      </c>
      <c r="GH55" s="93">
        <v>329.43000000000006</v>
      </c>
      <c r="GI55" s="93">
        <v>328.49000000000007</v>
      </c>
      <c r="GJ55" s="93">
        <v>327.55000000000007</v>
      </c>
      <c r="GK55" s="93">
        <v>326.62000000000006</v>
      </c>
      <c r="GL55" s="93">
        <v>325.68000000000006</v>
      </c>
      <c r="GM55" s="93">
        <v>324.75000000000006</v>
      </c>
      <c r="GN55" s="93">
        <v>323.82000000000005</v>
      </c>
      <c r="GO55" s="93">
        <v>322.87000000000006</v>
      </c>
      <c r="GP55" s="93">
        <v>321.95000000000005</v>
      </c>
      <c r="GQ55" s="93">
        <v>321.02000000000004</v>
      </c>
      <c r="GR55" s="93">
        <v>320.09000000000003</v>
      </c>
      <c r="GS55" s="93">
        <v>319.17</v>
      </c>
      <c r="GT55" s="93">
        <v>318.24000000000007</v>
      </c>
      <c r="GU55" s="93">
        <v>317.31000000000006</v>
      </c>
      <c r="GV55" s="93">
        <v>316.39000000000004</v>
      </c>
      <c r="GW55" s="93">
        <v>315.46000000000004</v>
      </c>
      <c r="GX55" s="93">
        <v>314.54000000000002</v>
      </c>
      <c r="GY55" s="93">
        <v>313.62000000000006</v>
      </c>
      <c r="GZ55" s="93">
        <v>312.70000000000005</v>
      </c>
      <c r="HA55" s="93">
        <v>311.78000000000003</v>
      </c>
      <c r="HB55" s="93">
        <v>310.86</v>
      </c>
      <c r="HC55" s="93">
        <v>309.93000000000006</v>
      </c>
      <c r="HD55" s="93">
        <v>309.02000000000004</v>
      </c>
      <c r="HE55" s="93">
        <v>308.11</v>
      </c>
      <c r="HF55" s="93">
        <v>307.18000000000006</v>
      </c>
      <c r="HG55" s="93">
        <v>306.28000000000003</v>
      </c>
      <c r="HH55" s="93">
        <v>305.37000000000006</v>
      </c>
      <c r="HI55" s="93">
        <v>304.46000000000004</v>
      </c>
      <c r="HJ55" s="93">
        <v>303.55000000000007</v>
      </c>
      <c r="HK55" s="93">
        <v>302.64000000000004</v>
      </c>
      <c r="HL55" s="93">
        <v>301.73</v>
      </c>
      <c r="HM55" s="93">
        <v>300.82000000000005</v>
      </c>
      <c r="HN55" s="93">
        <v>299.92</v>
      </c>
      <c r="HO55" s="93">
        <v>299.01000000000005</v>
      </c>
      <c r="HP55" s="93">
        <v>298.11</v>
      </c>
      <c r="HQ55" s="93">
        <v>297.21000000000004</v>
      </c>
      <c r="HR55" s="93">
        <v>296.31000000000006</v>
      </c>
      <c r="HS55" s="93">
        <v>295.40000000000003</v>
      </c>
      <c r="HT55" s="93">
        <v>294.51000000000005</v>
      </c>
      <c r="HU55" s="93">
        <v>293.61</v>
      </c>
      <c r="HV55" s="93">
        <v>292.72000000000003</v>
      </c>
      <c r="HW55" s="93">
        <v>291.82000000000005</v>
      </c>
      <c r="HX55" s="93">
        <v>290.93000000000006</v>
      </c>
      <c r="HY55" s="93">
        <v>290.03000000000003</v>
      </c>
      <c r="HZ55" s="93">
        <v>289.14000000000004</v>
      </c>
      <c r="IA55" s="93">
        <v>288.25000000000006</v>
      </c>
      <c r="IB55" s="93">
        <v>287.36</v>
      </c>
      <c r="IC55" s="93">
        <v>286.47000000000003</v>
      </c>
      <c r="ID55" s="93">
        <v>285.58000000000004</v>
      </c>
      <c r="IE55" s="93">
        <v>284.68000000000006</v>
      </c>
      <c r="IF55" s="93">
        <v>283.81000000000006</v>
      </c>
      <c r="IG55" s="93">
        <v>282.92</v>
      </c>
      <c r="IH55" s="93">
        <v>282.04000000000002</v>
      </c>
      <c r="II55" s="93">
        <v>281.15000000000003</v>
      </c>
      <c r="IJ55" s="93">
        <v>280.27000000000004</v>
      </c>
      <c r="IK55" s="93">
        <v>279.39000000000004</v>
      </c>
      <c r="IL55" s="93">
        <v>278.51000000000005</v>
      </c>
      <c r="IM55" s="93">
        <v>277.62000000000006</v>
      </c>
      <c r="IN55" s="93">
        <v>276.76000000000005</v>
      </c>
      <c r="IO55" s="93">
        <v>275.87000000000006</v>
      </c>
      <c r="IP55" s="93">
        <v>275.00000000000006</v>
      </c>
      <c r="IQ55" s="93">
        <v>274.12000000000006</v>
      </c>
      <c r="IR55" s="93">
        <v>273.26000000000005</v>
      </c>
      <c r="IS55" s="93">
        <v>272.39000000000004</v>
      </c>
      <c r="IT55" s="93">
        <v>271.51000000000005</v>
      </c>
      <c r="IU55" s="93">
        <v>270.65000000000003</v>
      </c>
      <c r="IV55" s="93">
        <v>269.78000000000003</v>
      </c>
      <c r="IW55" s="93">
        <v>268.90000000000003</v>
      </c>
      <c r="IX55" s="93">
        <v>268.05000000000007</v>
      </c>
      <c r="IY55" s="93">
        <v>267.18000000000006</v>
      </c>
      <c r="IZ55" s="93">
        <v>266.32000000000005</v>
      </c>
      <c r="JA55" s="93">
        <v>265.46000000000004</v>
      </c>
      <c r="JB55" s="93">
        <v>264.59000000000003</v>
      </c>
      <c r="JC55" s="93">
        <v>263.74000000000007</v>
      </c>
      <c r="JD55" s="93">
        <v>262.87000000000006</v>
      </c>
      <c r="JE55" s="93">
        <v>262.02000000000004</v>
      </c>
      <c r="JF55" s="93">
        <v>261.17</v>
      </c>
      <c r="JG55" s="93">
        <v>260.31000000000006</v>
      </c>
      <c r="JH55" s="93">
        <v>259.46000000000004</v>
      </c>
      <c r="JI55" s="93">
        <v>258.61</v>
      </c>
      <c r="JJ55" s="93">
        <v>257.75000000000006</v>
      </c>
      <c r="JK55" s="93">
        <v>256.90000000000003</v>
      </c>
      <c r="JL55" s="93">
        <v>256.05</v>
      </c>
      <c r="JM55" s="93">
        <v>255.2</v>
      </c>
      <c r="JN55" s="93">
        <v>254.35999999999999</v>
      </c>
      <c r="JO55" s="93">
        <v>253.51</v>
      </c>
      <c r="JP55" s="93">
        <v>252.66</v>
      </c>
      <c r="JQ55" s="93">
        <v>251.82</v>
      </c>
      <c r="JR55" s="93">
        <v>250.96999999999997</v>
      </c>
      <c r="JS55" s="93">
        <v>250.13</v>
      </c>
      <c r="JT55" s="93">
        <v>249.29</v>
      </c>
      <c r="JU55" s="93">
        <v>248.45</v>
      </c>
      <c r="JV55" s="93">
        <v>247.60999999999999</v>
      </c>
      <c r="JW55" s="93">
        <v>246.76999999999998</v>
      </c>
      <c r="JX55" s="93">
        <v>245.92999999999998</v>
      </c>
      <c r="JY55" s="93">
        <v>245.1</v>
      </c>
      <c r="JZ55" s="93">
        <v>244.26</v>
      </c>
      <c r="KA55" s="93">
        <v>243.42999999999998</v>
      </c>
      <c r="KB55" s="93">
        <v>242.58999999999997</v>
      </c>
      <c r="KC55" s="93">
        <v>241.76</v>
      </c>
      <c r="KD55" s="93">
        <v>240.92999999999998</v>
      </c>
      <c r="KE55" s="93">
        <v>240.08999999999997</v>
      </c>
      <c r="KF55" s="93">
        <v>239.26999999999998</v>
      </c>
      <c r="KG55" s="93">
        <v>238.44</v>
      </c>
      <c r="KH55" s="93">
        <v>237.60999999999999</v>
      </c>
      <c r="KI55" s="93">
        <v>236.77999999999997</v>
      </c>
      <c r="KJ55" s="93">
        <v>235.95999999999998</v>
      </c>
      <c r="KK55" s="93">
        <v>235.13</v>
      </c>
      <c r="KL55" s="93">
        <v>234.30999999999997</v>
      </c>
      <c r="KM55" s="93">
        <v>233.48999999999998</v>
      </c>
      <c r="KN55" s="93">
        <v>232.67</v>
      </c>
      <c r="KO55" s="93">
        <v>231.85</v>
      </c>
      <c r="KP55" s="93">
        <v>231.02999999999997</v>
      </c>
      <c r="KQ55" s="93">
        <v>230.20999999999998</v>
      </c>
      <c r="KR55" s="93">
        <v>229.17000000000041</v>
      </c>
      <c r="KS55" s="93">
        <v>228.42000000000041</v>
      </c>
      <c r="KT55" s="93">
        <v>227.67000000000041</v>
      </c>
      <c r="KU55" s="93">
        <v>226.92000000000041</v>
      </c>
      <c r="KV55" s="93">
        <v>226.17000000000041</v>
      </c>
      <c r="KW55" s="93">
        <v>225.42000000000041</v>
      </c>
      <c r="KX55" s="93">
        <v>224.67000000000041</v>
      </c>
      <c r="KY55" s="93">
        <v>223.92000000000041</v>
      </c>
      <c r="KZ55" s="93">
        <v>223.17000000000041</v>
      </c>
      <c r="LA55" s="93">
        <v>222.42000000000041</v>
      </c>
      <c r="LB55" s="93">
        <v>221.67000000000041</v>
      </c>
      <c r="LC55" s="93">
        <v>220.92000000000041</v>
      </c>
      <c r="LD55" s="93">
        <v>220.17000000000041</v>
      </c>
      <c r="LE55" s="93">
        <v>219.42000000000041</v>
      </c>
      <c r="LF55" s="93">
        <v>218.67000000000041</v>
      </c>
      <c r="LG55" s="93">
        <v>217.92000000000041</v>
      </c>
      <c r="LH55" s="93">
        <v>217.17000000000041</v>
      </c>
      <c r="LI55" s="93">
        <v>216.42000000000041</v>
      </c>
      <c r="LJ55" s="93">
        <v>215.67000000000041</v>
      </c>
      <c r="LK55" s="93">
        <v>214.92000000000041</v>
      </c>
      <c r="LL55" s="93">
        <v>214.17000000000041</v>
      </c>
      <c r="LM55" s="93">
        <v>213.42000000000041</v>
      </c>
      <c r="LN55" s="93">
        <v>212.67000000000041</v>
      </c>
      <c r="LO55" s="93">
        <v>211.92000000000041</v>
      </c>
      <c r="LP55" s="93">
        <v>211.17000000000041</v>
      </c>
      <c r="LQ55" s="93">
        <v>210.42000000000041</v>
      </c>
      <c r="LR55" s="93">
        <v>209.67000000000041</v>
      </c>
      <c r="LS55" s="93">
        <v>208.92000000000041</v>
      </c>
      <c r="LT55" s="93">
        <v>208.17000000000041</v>
      </c>
      <c r="LU55" s="93">
        <v>207.42000000000041</v>
      </c>
      <c r="LV55" s="93">
        <v>206.67000000000041</v>
      </c>
      <c r="LW55" s="93">
        <v>205.92000000000041</v>
      </c>
      <c r="LX55" s="93">
        <v>205.17000000000041</v>
      </c>
      <c r="LY55" s="93">
        <v>204.42000000000041</v>
      </c>
      <c r="LZ55" s="93">
        <v>203.67000000000041</v>
      </c>
      <c r="MA55" s="93">
        <v>202.92000000000041</v>
      </c>
      <c r="MB55" s="93">
        <v>202.17000000000041</v>
      </c>
      <c r="MC55" s="93">
        <v>201.42000000000041</v>
      </c>
      <c r="MD55" s="93">
        <v>200.67000000000041</v>
      </c>
      <c r="ME55" s="93">
        <v>199.92000000000041</v>
      </c>
      <c r="MF55" s="93">
        <v>199.17000000000041</v>
      </c>
      <c r="MG55" s="93">
        <v>198.42000000000041</v>
      </c>
      <c r="MH55" s="93">
        <v>197.67000000000041</v>
      </c>
      <c r="MI55" s="93">
        <v>196.92000000000041</v>
      </c>
      <c r="MJ55" s="93">
        <v>196.17000000000041</v>
      </c>
      <c r="MK55" s="93">
        <v>195.42000000000041</v>
      </c>
      <c r="ML55" s="93">
        <v>194.67000000000041</v>
      </c>
      <c r="MM55" s="93">
        <v>193.92000000000041</v>
      </c>
      <c r="MN55" s="93">
        <v>193.17000000000041</v>
      </c>
      <c r="MO55" s="93">
        <v>192.42000000000041</v>
      </c>
      <c r="MP55" s="93">
        <v>191.67000000000041</v>
      </c>
      <c r="MQ55" s="93">
        <v>190.92000000000041</v>
      </c>
      <c r="MR55" s="93">
        <v>190.17000000000041</v>
      </c>
      <c r="MS55" s="93">
        <v>189.42000000000041</v>
      </c>
      <c r="MT55" s="93">
        <v>188.67000000000041</v>
      </c>
      <c r="MU55" s="93">
        <v>187.92000000000041</v>
      </c>
      <c r="MV55" s="93">
        <v>187.17000000000041</v>
      </c>
      <c r="MW55" s="93">
        <v>186.42000000000041</v>
      </c>
      <c r="MX55" s="93">
        <v>185.67000000000041</v>
      </c>
      <c r="MY55" s="93">
        <v>184.92000000000041</v>
      </c>
    </row>
    <row r="56" spans="1:363" ht="15.75" x14ac:dyDescent="0.25">
      <c r="A56" s="90" t="s">
        <v>7</v>
      </c>
      <c r="B56" s="95">
        <v>2066</v>
      </c>
      <c r="C56" s="93">
        <v>516.78</v>
      </c>
      <c r="D56" s="93">
        <v>515.75</v>
      </c>
      <c r="E56" s="93">
        <v>514.72</v>
      </c>
      <c r="F56" s="93">
        <v>513.7399999999999</v>
      </c>
      <c r="G56" s="93">
        <v>512.70999999999992</v>
      </c>
      <c r="H56" s="93">
        <v>511.68000000000006</v>
      </c>
      <c r="I56" s="93">
        <v>510.66000000000008</v>
      </c>
      <c r="J56" s="93">
        <v>509.63000000000005</v>
      </c>
      <c r="K56" s="93">
        <v>508.60000000000008</v>
      </c>
      <c r="L56" s="93">
        <v>507.58000000000004</v>
      </c>
      <c r="M56" s="93">
        <v>506.55000000000007</v>
      </c>
      <c r="N56" s="93">
        <v>505.53000000000009</v>
      </c>
      <c r="O56" s="93">
        <v>504.50000000000006</v>
      </c>
      <c r="P56" s="93">
        <v>503.47000000000008</v>
      </c>
      <c r="Q56" s="93">
        <v>502.45000000000005</v>
      </c>
      <c r="R56" s="93">
        <v>501.42000000000007</v>
      </c>
      <c r="S56" s="93">
        <v>500.39000000000004</v>
      </c>
      <c r="T56" s="93">
        <v>499.37000000000006</v>
      </c>
      <c r="U56" s="93">
        <v>498.34000000000009</v>
      </c>
      <c r="V56" s="93">
        <v>497.31000000000006</v>
      </c>
      <c r="W56" s="93">
        <v>496.29000000000008</v>
      </c>
      <c r="X56" s="93">
        <v>495.26000000000005</v>
      </c>
      <c r="Y56" s="93">
        <v>494.23000000000008</v>
      </c>
      <c r="Z56" s="93">
        <v>493.21000000000004</v>
      </c>
      <c r="AA56" s="93">
        <v>492.18000000000006</v>
      </c>
      <c r="AB56" s="93">
        <v>491.15000000000003</v>
      </c>
      <c r="AC56" s="93">
        <v>490.13000000000005</v>
      </c>
      <c r="AD56" s="93">
        <v>489.10000000000008</v>
      </c>
      <c r="AE56" s="93">
        <v>488.07000000000005</v>
      </c>
      <c r="AF56" s="93">
        <v>487.05000000000007</v>
      </c>
      <c r="AG56" s="93">
        <v>486.02000000000004</v>
      </c>
      <c r="AH56" s="93">
        <v>485.00000000000006</v>
      </c>
      <c r="AI56" s="93">
        <v>483.97000000000008</v>
      </c>
      <c r="AJ56" s="93">
        <v>482.94000000000005</v>
      </c>
      <c r="AK56" s="93">
        <v>481.92000000000007</v>
      </c>
      <c r="AL56" s="93">
        <v>480.89000000000004</v>
      </c>
      <c r="AM56" s="93">
        <v>479.86000000000007</v>
      </c>
      <c r="AN56" s="93">
        <v>478.84000000000009</v>
      </c>
      <c r="AO56" s="93">
        <v>477.81000000000006</v>
      </c>
      <c r="AP56" s="93">
        <v>476.79000000000008</v>
      </c>
      <c r="AQ56" s="93">
        <v>475.76000000000005</v>
      </c>
      <c r="AR56" s="93">
        <v>474.74000000000007</v>
      </c>
      <c r="AS56" s="93">
        <v>473.71000000000004</v>
      </c>
      <c r="AT56" s="93">
        <v>472.68000000000006</v>
      </c>
      <c r="AU56" s="93">
        <v>471.66000000000008</v>
      </c>
      <c r="AV56" s="93">
        <v>470.63000000000005</v>
      </c>
      <c r="AW56" s="93">
        <v>469.61000000000007</v>
      </c>
      <c r="AX56" s="93">
        <v>468.58000000000004</v>
      </c>
      <c r="AY56" s="93">
        <v>467.56000000000006</v>
      </c>
      <c r="AZ56" s="93">
        <v>466.53000000000009</v>
      </c>
      <c r="BA56" s="93">
        <v>465.51000000000005</v>
      </c>
      <c r="BB56" s="93">
        <v>464.49000000000007</v>
      </c>
      <c r="BC56" s="93">
        <v>463.46000000000004</v>
      </c>
      <c r="BD56" s="93">
        <v>462.44000000000005</v>
      </c>
      <c r="BE56" s="93">
        <v>461.41000000000008</v>
      </c>
      <c r="BF56" s="93">
        <v>460.39000000000004</v>
      </c>
      <c r="BG56" s="93">
        <v>459.36000000000007</v>
      </c>
      <c r="BH56" s="93">
        <v>458.34000000000009</v>
      </c>
      <c r="BI56" s="93">
        <v>457.32000000000005</v>
      </c>
      <c r="BJ56" s="93">
        <v>456.29000000000008</v>
      </c>
      <c r="BK56" s="93">
        <v>455.27000000000004</v>
      </c>
      <c r="BL56" s="93">
        <v>454.25000000000006</v>
      </c>
      <c r="BM56" s="93">
        <v>453.22000000000008</v>
      </c>
      <c r="BN56" s="93">
        <v>452.20000000000005</v>
      </c>
      <c r="BO56" s="93">
        <v>451.18000000000006</v>
      </c>
      <c r="BP56" s="93">
        <v>450.16000000000008</v>
      </c>
      <c r="BQ56" s="93">
        <v>449.14000000000004</v>
      </c>
      <c r="BR56" s="93">
        <v>448.11000000000007</v>
      </c>
      <c r="BS56" s="93">
        <v>447.09000000000009</v>
      </c>
      <c r="BT56" s="93">
        <v>446.07000000000005</v>
      </c>
      <c r="BU56" s="93">
        <v>445.05000000000007</v>
      </c>
      <c r="BV56" s="93">
        <v>444.03000000000009</v>
      </c>
      <c r="BW56" s="93">
        <v>443.01000000000005</v>
      </c>
      <c r="BX56" s="93">
        <v>441.99000000000007</v>
      </c>
      <c r="BY56" s="93">
        <v>440.97000000000008</v>
      </c>
      <c r="BZ56" s="93">
        <v>439.95000000000005</v>
      </c>
      <c r="CA56" s="93">
        <v>438.93000000000006</v>
      </c>
      <c r="CB56" s="93">
        <v>437.91000000000008</v>
      </c>
      <c r="CC56" s="93">
        <v>436.90000000000003</v>
      </c>
      <c r="CD56" s="93">
        <v>435.88000000000005</v>
      </c>
      <c r="CE56" s="93">
        <v>434.86000000000007</v>
      </c>
      <c r="CF56" s="93">
        <v>433.84000000000009</v>
      </c>
      <c r="CG56" s="93">
        <v>432.82000000000005</v>
      </c>
      <c r="CH56" s="93">
        <v>431.80000000000007</v>
      </c>
      <c r="CI56" s="93">
        <v>430.79000000000008</v>
      </c>
      <c r="CJ56" s="93">
        <v>429.77000000000004</v>
      </c>
      <c r="CK56" s="93">
        <v>428.76000000000005</v>
      </c>
      <c r="CL56" s="93">
        <v>427.75000000000006</v>
      </c>
      <c r="CM56" s="93">
        <v>426.73000000000008</v>
      </c>
      <c r="CN56" s="93">
        <v>425.72000000000008</v>
      </c>
      <c r="CO56" s="93">
        <v>424.71000000000004</v>
      </c>
      <c r="CP56" s="93">
        <v>423.69000000000005</v>
      </c>
      <c r="CQ56" s="93">
        <v>422.68000000000006</v>
      </c>
      <c r="CR56" s="93">
        <v>421.67000000000007</v>
      </c>
      <c r="CS56" s="93">
        <v>420.65000000000003</v>
      </c>
      <c r="CT56" s="93">
        <v>419.64000000000004</v>
      </c>
      <c r="CU56" s="93">
        <v>418.63000000000005</v>
      </c>
      <c r="CV56" s="93">
        <v>417.62000000000006</v>
      </c>
      <c r="CW56" s="93">
        <v>416.61000000000007</v>
      </c>
      <c r="CX56" s="93">
        <v>415.61000000000007</v>
      </c>
      <c r="CY56" s="93">
        <v>414.60000000000008</v>
      </c>
      <c r="CZ56" s="93">
        <v>413.59000000000009</v>
      </c>
      <c r="DA56" s="93">
        <v>412.59000000000009</v>
      </c>
      <c r="DB56" s="93">
        <v>411.58000000000004</v>
      </c>
      <c r="DC56" s="93">
        <v>410.57000000000005</v>
      </c>
      <c r="DD56" s="93">
        <v>409.57000000000005</v>
      </c>
      <c r="DE56" s="93">
        <v>408.56000000000006</v>
      </c>
      <c r="DF56" s="93">
        <v>407.55000000000007</v>
      </c>
      <c r="DG56" s="93">
        <v>406.55000000000007</v>
      </c>
      <c r="DH56" s="93">
        <v>405.55000000000007</v>
      </c>
      <c r="DI56" s="93">
        <v>404.55000000000007</v>
      </c>
      <c r="DJ56" s="93">
        <v>403.55000000000007</v>
      </c>
      <c r="DK56" s="93">
        <v>402.55000000000007</v>
      </c>
      <c r="DL56" s="93">
        <v>401.55000000000007</v>
      </c>
      <c r="DM56" s="93">
        <v>400.55000000000007</v>
      </c>
      <c r="DN56" s="93">
        <v>399.55000000000007</v>
      </c>
      <c r="DO56" s="93">
        <v>398.55000000000007</v>
      </c>
      <c r="DP56" s="93">
        <v>397.55000000000007</v>
      </c>
      <c r="DQ56" s="93">
        <v>396.56000000000006</v>
      </c>
      <c r="DR56" s="93">
        <v>395.56000000000006</v>
      </c>
      <c r="DS56" s="93">
        <v>394.56000000000006</v>
      </c>
      <c r="DT56" s="93">
        <v>393.57000000000005</v>
      </c>
      <c r="DU56" s="93">
        <v>392.58000000000004</v>
      </c>
      <c r="DV56" s="93">
        <v>391.59000000000009</v>
      </c>
      <c r="DW56" s="93">
        <v>390.60000000000008</v>
      </c>
      <c r="DX56" s="93">
        <v>389.61000000000007</v>
      </c>
      <c r="DY56" s="93">
        <v>388.62000000000006</v>
      </c>
      <c r="DZ56" s="93">
        <v>387.63000000000005</v>
      </c>
      <c r="EA56" s="93">
        <v>386.64000000000004</v>
      </c>
      <c r="EB56" s="93">
        <v>385.66000000000008</v>
      </c>
      <c r="EC56" s="93">
        <v>384.67000000000007</v>
      </c>
      <c r="ED56" s="93">
        <v>383.68000000000006</v>
      </c>
      <c r="EE56" s="93">
        <v>382.70000000000005</v>
      </c>
      <c r="EF56" s="93">
        <v>381.72000000000008</v>
      </c>
      <c r="EG56" s="93">
        <v>380.74000000000007</v>
      </c>
      <c r="EH56" s="93">
        <v>379.76000000000005</v>
      </c>
      <c r="EI56" s="93">
        <v>378.79000000000008</v>
      </c>
      <c r="EJ56" s="93">
        <v>377.81000000000006</v>
      </c>
      <c r="EK56" s="93">
        <v>376.84000000000009</v>
      </c>
      <c r="EL56" s="93">
        <v>375.86000000000007</v>
      </c>
      <c r="EM56" s="93">
        <v>374.89000000000004</v>
      </c>
      <c r="EN56" s="93">
        <v>373.91000000000008</v>
      </c>
      <c r="EO56" s="93">
        <v>372.94000000000005</v>
      </c>
      <c r="EP56" s="93">
        <v>371.97000000000008</v>
      </c>
      <c r="EQ56" s="93">
        <v>370.99000000000007</v>
      </c>
      <c r="ER56" s="93">
        <v>370.03000000000009</v>
      </c>
      <c r="ES56" s="93">
        <v>369.06000000000006</v>
      </c>
      <c r="ET56" s="93">
        <v>368.09000000000009</v>
      </c>
      <c r="EU56" s="93">
        <v>367.13000000000005</v>
      </c>
      <c r="EV56" s="93">
        <v>366.16000000000008</v>
      </c>
      <c r="EW56" s="93">
        <v>365.20000000000005</v>
      </c>
      <c r="EX56" s="93">
        <v>364.24000000000007</v>
      </c>
      <c r="EY56" s="93">
        <v>363.27000000000004</v>
      </c>
      <c r="EZ56" s="93">
        <v>362.31000000000006</v>
      </c>
      <c r="FA56" s="93">
        <v>361.35000000000008</v>
      </c>
      <c r="FB56" s="93">
        <v>360.38000000000005</v>
      </c>
      <c r="FC56" s="93">
        <v>359.42000000000007</v>
      </c>
      <c r="FD56" s="93">
        <v>358.46000000000004</v>
      </c>
      <c r="FE56" s="93">
        <v>357.50000000000006</v>
      </c>
      <c r="FF56" s="93">
        <v>356.54000000000008</v>
      </c>
      <c r="FG56" s="93">
        <v>355.59000000000009</v>
      </c>
      <c r="FH56" s="93">
        <v>354.63000000000005</v>
      </c>
      <c r="FI56" s="93">
        <v>353.67000000000007</v>
      </c>
      <c r="FJ56" s="93">
        <v>352.71000000000004</v>
      </c>
      <c r="FK56" s="93">
        <v>351.76000000000005</v>
      </c>
      <c r="FL56" s="93">
        <v>350.80000000000007</v>
      </c>
      <c r="FM56" s="93">
        <v>349.85000000000008</v>
      </c>
      <c r="FN56" s="93">
        <v>348.89000000000004</v>
      </c>
      <c r="FO56" s="93">
        <v>347.94000000000005</v>
      </c>
      <c r="FP56" s="93">
        <v>346.99000000000007</v>
      </c>
      <c r="FQ56" s="93">
        <v>346.04000000000008</v>
      </c>
      <c r="FR56" s="93">
        <v>345.09000000000009</v>
      </c>
      <c r="FS56" s="93">
        <v>344.14000000000004</v>
      </c>
      <c r="FT56" s="93">
        <v>343.19000000000005</v>
      </c>
      <c r="FU56" s="93">
        <v>342.24000000000007</v>
      </c>
      <c r="FV56" s="93">
        <v>341.29000000000008</v>
      </c>
      <c r="FW56" s="93">
        <v>340.34000000000009</v>
      </c>
      <c r="FX56" s="93">
        <v>339.39000000000004</v>
      </c>
      <c r="FY56" s="93">
        <v>338.45000000000005</v>
      </c>
      <c r="FZ56" s="93">
        <v>337.50000000000006</v>
      </c>
      <c r="GA56" s="93">
        <v>336.56000000000006</v>
      </c>
      <c r="GB56" s="93">
        <v>335.61000000000007</v>
      </c>
      <c r="GC56" s="93">
        <v>334.67000000000007</v>
      </c>
      <c r="GD56" s="93">
        <v>333.73000000000008</v>
      </c>
      <c r="GE56" s="93">
        <v>332.79000000000008</v>
      </c>
      <c r="GF56" s="93">
        <v>331.85000000000008</v>
      </c>
      <c r="GG56" s="93">
        <v>330.91000000000008</v>
      </c>
      <c r="GH56" s="93">
        <v>329.97000000000008</v>
      </c>
      <c r="GI56" s="93">
        <v>329.03000000000009</v>
      </c>
      <c r="GJ56" s="93">
        <v>328.09000000000009</v>
      </c>
      <c r="GK56" s="93">
        <v>327.16000000000008</v>
      </c>
      <c r="GL56" s="93">
        <v>326.22000000000008</v>
      </c>
      <c r="GM56" s="93">
        <v>325.29000000000008</v>
      </c>
      <c r="GN56" s="93">
        <v>324.36000000000007</v>
      </c>
      <c r="GO56" s="93">
        <v>323.41000000000008</v>
      </c>
      <c r="GP56" s="93">
        <v>322.49000000000007</v>
      </c>
      <c r="GQ56" s="93">
        <v>321.56000000000006</v>
      </c>
      <c r="GR56" s="93">
        <v>320.63000000000005</v>
      </c>
      <c r="GS56" s="93">
        <v>319.71000000000004</v>
      </c>
      <c r="GT56" s="93">
        <v>318.78000000000009</v>
      </c>
      <c r="GU56" s="93">
        <v>317.85000000000008</v>
      </c>
      <c r="GV56" s="93">
        <v>316.93000000000006</v>
      </c>
      <c r="GW56" s="93">
        <v>316.00000000000006</v>
      </c>
      <c r="GX56" s="93">
        <v>315.08000000000004</v>
      </c>
      <c r="GY56" s="93">
        <v>314.16000000000008</v>
      </c>
      <c r="GZ56" s="93">
        <v>313.24000000000007</v>
      </c>
      <c r="HA56" s="93">
        <v>312.32000000000005</v>
      </c>
      <c r="HB56" s="93">
        <v>311.40000000000003</v>
      </c>
      <c r="HC56" s="93">
        <v>310.47000000000008</v>
      </c>
      <c r="HD56" s="93">
        <v>309.56000000000006</v>
      </c>
      <c r="HE56" s="93">
        <v>308.65000000000003</v>
      </c>
      <c r="HF56" s="93">
        <v>307.72000000000008</v>
      </c>
      <c r="HG56" s="93">
        <v>306.82000000000005</v>
      </c>
      <c r="HH56" s="93">
        <v>305.91000000000008</v>
      </c>
      <c r="HI56" s="93">
        <v>305.00000000000006</v>
      </c>
      <c r="HJ56" s="93">
        <v>304.09000000000009</v>
      </c>
      <c r="HK56" s="93">
        <v>303.18000000000006</v>
      </c>
      <c r="HL56" s="93">
        <v>302.27000000000004</v>
      </c>
      <c r="HM56" s="93">
        <v>301.36000000000007</v>
      </c>
      <c r="HN56" s="93">
        <v>300.46000000000004</v>
      </c>
      <c r="HO56" s="93">
        <v>299.55000000000007</v>
      </c>
      <c r="HP56" s="93">
        <v>298.65000000000003</v>
      </c>
      <c r="HQ56" s="93">
        <v>297.75000000000006</v>
      </c>
      <c r="HR56" s="93">
        <v>296.85000000000008</v>
      </c>
      <c r="HS56" s="93">
        <v>295.94000000000005</v>
      </c>
      <c r="HT56" s="93">
        <v>295.05000000000007</v>
      </c>
      <c r="HU56" s="93">
        <v>294.15000000000003</v>
      </c>
      <c r="HV56" s="93">
        <v>293.26000000000005</v>
      </c>
      <c r="HW56" s="93">
        <v>292.36000000000007</v>
      </c>
      <c r="HX56" s="93">
        <v>291.47000000000008</v>
      </c>
      <c r="HY56" s="93">
        <v>290.57000000000005</v>
      </c>
      <c r="HZ56" s="93">
        <v>289.68000000000006</v>
      </c>
      <c r="IA56" s="93">
        <v>288.79000000000008</v>
      </c>
      <c r="IB56" s="93">
        <v>287.90000000000003</v>
      </c>
      <c r="IC56" s="93">
        <v>287.01000000000005</v>
      </c>
      <c r="ID56" s="93">
        <v>286.12000000000006</v>
      </c>
      <c r="IE56" s="93">
        <v>285.22000000000008</v>
      </c>
      <c r="IF56" s="93">
        <v>284.35000000000008</v>
      </c>
      <c r="IG56" s="93">
        <v>283.46000000000004</v>
      </c>
      <c r="IH56" s="93">
        <v>282.58000000000004</v>
      </c>
      <c r="II56" s="93">
        <v>281.69000000000005</v>
      </c>
      <c r="IJ56" s="93">
        <v>280.81000000000006</v>
      </c>
      <c r="IK56" s="93">
        <v>279.93000000000006</v>
      </c>
      <c r="IL56" s="93">
        <v>279.05000000000007</v>
      </c>
      <c r="IM56" s="93">
        <v>278.16000000000008</v>
      </c>
      <c r="IN56" s="93">
        <v>277.30000000000007</v>
      </c>
      <c r="IO56" s="93">
        <v>276.41000000000008</v>
      </c>
      <c r="IP56" s="93">
        <v>275.54000000000008</v>
      </c>
      <c r="IQ56" s="93">
        <v>274.66000000000008</v>
      </c>
      <c r="IR56" s="93">
        <v>273.80000000000007</v>
      </c>
      <c r="IS56" s="93">
        <v>272.93000000000006</v>
      </c>
      <c r="IT56" s="93">
        <v>272.05000000000007</v>
      </c>
      <c r="IU56" s="93">
        <v>271.19000000000005</v>
      </c>
      <c r="IV56" s="93">
        <v>270.32000000000005</v>
      </c>
      <c r="IW56" s="93">
        <v>269.44000000000005</v>
      </c>
      <c r="IX56" s="93">
        <v>268.59000000000009</v>
      </c>
      <c r="IY56" s="93">
        <v>267.72000000000008</v>
      </c>
      <c r="IZ56" s="93">
        <v>266.86000000000007</v>
      </c>
      <c r="JA56" s="93">
        <v>266.00000000000006</v>
      </c>
      <c r="JB56" s="93">
        <v>265.13000000000005</v>
      </c>
      <c r="JC56" s="93">
        <v>264.28000000000009</v>
      </c>
      <c r="JD56" s="93">
        <v>263.41000000000008</v>
      </c>
      <c r="JE56" s="93">
        <v>262.56000000000006</v>
      </c>
      <c r="JF56" s="93">
        <v>261.71000000000004</v>
      </c>
      <c r="JG56" s="93">
        <v>260.85000000000008</v>
      </c>
      <c r="JH56" s="93">
        <v>260.00000000000006</v>
      </c>
      <c r="JI56" s="93">
        <v>259.15000000000003</v>
      </c>
      <c r="JJ56" s="93">
        <v>258.29000000000008</v>
      </c>
      <c r="JK56" s="93">
        <v>257.44000000000005</v>
      </c>
      <c r="JL56" s="93">
        <v>256.59000000000003</v>
      </c>
      <c r="JM56" s="93">
        <v>255.73999999999998</v>
      </c>
      <c r="JN56" s="93">
        <v>254.89999999999998</v>
      </c>
      <c r="JO56" s="93">
        <v>254.04999999999998</v>
      </c>
      <c r="JP56" s="93">
        <v>253.2</v>
      </c>
      <c r="JQ56" s="93">
        <v>252.35999999999999</v>
      </c>
      <c r="JR56" s="93">
        <v>251.50999999999996</v>
      </c>
      <c r="JS56" s="93">
        <v>250.67</v>
      </c>
      <c r="JT56" s="93">
        <v>249.82999999999998</v>
      </c>
      <c r="JU56" s="93">
        <v>248.98999999999998</v>
      </c>
      <c r="JV56" s="93">
        <v>248.14999999999998</v>
      </c>
      <c r="JW56" s="93">
        <v>247.30999999999997</v>
      </c>
      <c r="JX56" s="93">
        <v>246.46999999999997</v>
      </c>
      <c r="JY56" s="93">
        <v>245.64</v>
      </c>
      <c r="JZ56" s="93">
        <v>244.79999999999998</v>
      </c>
      <c r="KA56" s="93">
        <v>243.96999999999997</v>
      </c>
      <c r="KB56" s="93">
        <v>243.12999999999997</v>
      </c>
      <c r="KC56" s="93">
        <v>242.29999999999998</v>
      </c>
      <c r="KD56" s="93">
        <v>241.46999999999997</v>
      </c>
      <c r="KE56" s="93">
        <v>240.62999999999997</v>
      </c>
      <c r="KF56" s="93">
        <v>239.80999999999997</v>
      </c>
      <c r="KG56" s="93">
        <v>238.98</v>
      </c>
      <c r="KH56" s="93">
        <v>238.14999999999998</v>
      </c>
      <c r="KI56" s="93">
        <v>237.31999999999996</v>
      </c>
      <c r="KJ56" s="93">
        <v>236.49999999999997</v>
      </c>
      <c r="KK56" s="93">
        <v>235.67</v>
      </c>
      <c r="KL56" s="93">
        <v>234.84999999999997</v>
      </c>
      <c r="KM56" s="93">
        <v>234.02999999999997</v>
      </c>
      <c r="KN56" s="93">
        <v>233.20999999999998</v>
      </c>
      <c r="KO56" s="93">
        <v>232.39</v>
      </c>
      <c r="KP56" s="93">
        <v>231.56999999999996</v>
      </c>
      <c r="KQ56" s="93">
        <v>230.74999999999997</v>
      </c>
      <c r="KR56" s="93">
        <v>229.63000000000042</v>
      </c>
      <c r="KS56" s="93">
        <v>228.88000000000042</v>
      </c>
      <c r="KT56" s="93">
        <v>228.13000000000042</v>
      </c>
      <c r="KU56" s="93">
        <v>227.38000000000042</v>
      </c>
      <c r="KV56" s="93">
        <v>226.63000000000042</v>
      </c>
      <c r="KW56" s="93">
        <v>225.88000000000042</v>
      </c>
      <c r="KX56" s="93">
        <v>225.13000000000042</v>
      </c>
      <c r="KY56" s="93">
        <v>224.38000000000042</v>
      </c>
      <c r="KZ56" s="93">
        <v>223.63000000000042</v>
      </c>
      <c r="LA56" s="93">
        <v>222.88000000000042</v>
      </c>
      <c r="LB56" s="93">
        <v>222.13000000000042</v>
      </c>
      <c r="LC56" s="93">
        <v>221.38000000000042</v>
      </c>
      <c r="LD56" s="93">
        <v>220.63000000000042</v>
      </c>
      <c r="LE56" s="93">
        <v>219.88000000000042</v>
      </c>
      <c r="LF56" s="93">
        <v>219.13000000000042</v>
      </c>
      <c r="LG56" s="93">
        <v>218.38000000000042</v>
      </c>
      <c r="LH56" s="93">
        <v>217.63000000000042</v>
      </c>
      <c r="LI56" s="93">
        <v>216.88000000000042</v>
      </c>
      <c r="LJ56" s="93">
        <v>216.13000000000042</v>
      </c>
      <c r="LK56" s="93">
        <v>215.38000000000042</v>
      </c>
      <c r="LL56" s="93">
        <v>214.63000000000042</v>
      </c>
      <c r="LM56" s="93">
        <v>213.88000000000042</v>
      </c>
      <c r="LN56" s="93">
        <v>213.13000000000042</v>
      </c>
      <c r="LO56" s="93">
        <v>212.38000000000042</v>
      </c>
      <c r="LP56" s="93">
        <v>211.63000000000042</v>
      </c>
      <c r="LQ56" s="93">
        <v>210.88000000000042</v>
      </c>
      <c r="LR56" s="93">
        <v>210.13000000000042</v>
      </c>
      <c r="LS56" s="93">
        <v>209.38000000000042</v>
      </c>
      <c r="LT56" s="93">
        <v>208.63000000000042</v>
      </c>
      <c r="LU56" s="93">
        <v>207.88000000000042</v>
      </c>
      <c r="LV56" s="93">
        <v>207.13000000000042</v>
      </c>
      <c r="LW56" s="93">
        <v>206.38000000000042</v>
      </c>
      <c r="LX56" s="93">
        <v>205.63000000000042</v>
      </c>
      <c r="LY56" s="93">
        <v>204.88000000000042</v>
      </c>
      <c r="LZ56" s="93">
        <v>204.13000000000042</v>
      </c>
      <c r="MA56" s="93">
        <v>203.38000000000042</v>
      </c>
      <c r="MB56" s="93">
        <v>202.63000000000042</v>
      </c>
      <c r="MC56" s="93">
        <v>201.88000000000042</v>
      </c>
      <c r="MD56" s="93">
        <v>201.13000000000042</v>
      </c>
      <c r="ME56" s="93">
        <v>200.38000000000042</v>
      </c>
      <c r="MF56" s="93">
        <v>199.63000000000042</v>
      </c>
      <c r="MG56" s="93">
        <v>198.88000000000042</v>
      </c>
      <c r="MH56" s="93">
        <v>198.13000000000042</v>
      </c>
      <c r="MI56" s="93">
        <v>197.38000000000042</v>
      </c>
      <c r="MJ56" s="93">
        <v>196.63000000000042</v>
      </c>
      <c r="MK56" s="93">
        <v>195.88000000000042</v>
      </c>
      <c r="ML56" s="93">
        <v>195.13000000000042</v>
      </c>
      <c r="MM56" s="93">
        <v>194.38000000000042</v>
      </c>
      <c r="MN56" s="93">
        <v>193.63000000000042</v>
      </c>
      <c r="MO56" s="93">
        <v>192.88000000000042</v>
      </c>
      <c r="MP56" s="93">
        <v>192.13000000000042</v>
      </c>
      <c r="MQ56" s="93">
        <v>191.38000000000042</v>
      </c>
      <c r="MR56" s="93">
        <v>190.63000000000042</v>
      </c>
      <c r="MS56" s="93">
        <v>189.88000000000042</v>
      </c>
      <c r="MT56" s="93">
        <v>189.13000000000042</v>
      </c>
      <c r="MU56" s="93">
        <v>188.38000000000042</v>
      </c>
      <c r="MV56" s="93">
        <v>187.63000000000042</v>
      </c>
      <c r="MW56" s="93">
        <v>186.88000000000042</v>
      </c>
      <c r="MX56" s="93">
        <v>186.13000000000042</v>
      </c>
      <c r="MY56" s="93">
        <v>185.38000000000042</v>
      </c>
    </row>
    <row r="57" spans="1:363" ht="15.75" x14ac:dyDescent="0.25">
      <c r="A57" s="90" t="s">
        <v>7</v>
      </c>
      <c r="B57" s="95">
        <v>2067</v>
      </c>
      <c r="C57" s="93">
        <v>517.29999999999995</v>
      </c>
      <c r="D57" s="93">
        <v>516.27</v>
      </c>
      <c r="E57" s="93">
        <v>515.24</v>
      </c>
      <c r="F57" s="93">
        <v>514.27999999999986</v>
      </c>
      <c r="G57" s="93">
        <v>513.24999999999989</v>
      </c>
      <c r="H57" s="93">
        <v>512.22</v>
      </c>
      <c r="I57" s="93">
        <v>511.2000000000001</v>
      </c>
      <c r="J57" s="93">
        <v>510.17000000000007</v>
      </c>
      <c r="K57" s="93">
        <v>509.1400000000001</v>
      </c>
      <c r="L57" s="93">
        <v>508.12000000000006</v>
      </c>
      <c r="M57" s="93">
        <v>507.09000000000009</v>
      </c>
      <c r="N57" s="93">
        <v>506.07000000000011</v>
      </c>
      <c r="O57" s="93">
        <v>505.04000000000008</v>
      </c>
      <c r="P57" s="93">
        <v>504.0100000000001</v>
      </c>
      <c r="Q57" s="93">
        <v>502.99000000000007</v>
      </c>
      <c r="R57" s="93">
        <v>501.96000000000009</v>
      </c>
      <c r="S57" s="93">
        <v>500.93000000000006</v>
      </c>
      <c r="T57" s="93">
        <v>499.91000000000008</v>
      </c>
      <c r="U57" s="93">
        <v>498.88000000000011</v>
      </c>
      <c r="V57" s="93">
        <v>497.85000000000008</v>
      </c>
      <c r="W57" s="93">
        <v>496.8300000000001</v>
      </c>
      <c r="X57" s="93">
        <v>495.80000000000007</v>
      </c>
      <c r="Y57" s="93">
        <v>494.7700000000001</v>
      </c>
      <c r="Z57" s="93">
        <v>493.75000000000006</v>
      </c>
      <c r="AA57" s="93">
        <v>492.72000000000008</v>
      </c>
      <c r="AB57" s="93">
        <v>491.69000000000005</v>
      </c>
      <c r="AC57" s="93">
        <v>490.67000000000007</v>
      </c>
      <c r="AD57" s="93">
        <v>489.6400000000001</v>
      </c>
      <c r="AE57" s="93">
        <v>488.61000000000007</v>
      </c>
      <c r="AF57" s="93">
        <v>487.59000000000009</v>
      </c>
      <c r="AG57" s="93">
        <v>486.56000000000006</v>
      </c>
      <c r="AH57" s="93">
        <v>485.54000000000008</v>
      </c>
      <c r="AI57" s="93">
        <v>484.5100000000001</v>
      </c>
      <c r="AJ57" s="93">
        <v>483.48000000000008</v>
      </c>
      <c r="AK57" s="93">
        <v>482.46000000000009</v>
      </c>
      <c r="AL57" s="93">
        <v>481.43000000000006</v>
      </c>
      <c r="AM57" s="93">
        <v>480.40000000000009</v>
      </c>
      <c r="AN57" s="93">
        <v>479.38000000000011</v>
      </c>
      <c r="AO57" s="93">
        <v>478.35000000000008</v>
      </c>
      <c r="AP57" s="93">
        <v>477.3300000000001</v>
      </c>
      <c r="AQ57" s="93">
        <v>476.30000000000007</v>
      </c>
      <c r="AR57" s="93">
        <v>475.28000000000009</v>
      </c>
      <c r="AS57" s="93">
        <v>474.25000000000006</v>
      </c>
      <c r="AT57" s="93">
        <v>473.22000000000008</v>
      </c>
      <c r="AU57" s="93">
        <v>472.2000000000001</v>
      </c>
      <c r="AV57" s="93">
        <v>471.17000000000007</v>
      </c>
      <c r="AW57" s="93">
        <v>470.15000000000009</v>
      </c>
      <c r="AX57" s="93">
        <v>469.12000000000006</v>
      </c>
      <c r="AY57" s="93">
        <v>468.10000000000008</v>
      </c>
      <c r="AZ57" s="93">
        <v>467.07000000000011</v>
      </c>
      <c r="BA57" s="93">
        <v>466.05000000000007</v>
      </c>
      <c r="BB57" s="93">
        <v>465.03000000000009</v>
      </c>
      <c r="BC57" s="93">
        <v>464.00000000000006</v>
      </c>
      <c r="BD57" s="93">
        <v>462.98000000000008</v>
      </c>
      <c r="BE57" s="93">
        <v>461.9500000000001</v>
      </c>
      <c r="BF57" s="93">
        <v>460.93000000000006</v>
      </c>
      <c r="BG57" s="93">
        <v>459.90000000000009</v>
      </c>
      <c r="BH57" s="93">
        <v>458.88000000000011</v>
      </c>
      <c r="BI57" s="93">
        <v>457.86000000000007</v>
      </c>
      <c r="BJ57" s="93">
        <v>456.8300000000001</v>
      </c>
      <c r="BK57" s="93">
        <v>455.81000000000006</v>
      </c>
      <c r="BL57" s="93">
        <v>454.79000000000008</v>
      </c>
      <c r="BM57" s="93">
        <v>453.7600000000001</v>
      </c>
      <c r="BN57" s="93">
        <v>452.74000000000007</v>
      </c>
      <c r="BO57" s="93">
        <v>451.72000000000008</v>
      </c>
      <c r="BP57" s="93">
        <v>450.7000000000001</v>
      </c>
      <c r="BQ57" s="93">
        <v>449.68000000000006</v>
      </c>
      <c r="BR57" s="93">
        <v>448.65000000000009</v>
      </c>
      <c r="BS57" s="93">
        <v>447.63000000000011</v>
      </c>
      <c r="BT57" s="93">
        <v>446.61000000000007</v>
      </c>
      <c r="BU57" s="93">
        <v>445.59000000000009</v>
      </c>
      <c r="BV57" s="93">
        <v>444.57000000000011</v>
      </c>
      <c r="BW57" s="93">
        <v>443.55000000000007</v>
      </c>
      <c r="BX57" s="93">
        <v>442.53000000000009</v>
      </c>
      <c r="BY57" s="93">
        <v>441.5100000000001</v>
      </c>
      <c r="BZ57" s="93">
        <v>440.49000000000007</v>
      </c>
      <c r="CA57" s="93">
        <v>439.47000000000008</v>
      </c>
      <c r="CB57" s="93">
        <v>438.4500000000001</v>
      </c>
      <c r="CC57" s="93">
        <v>437.44000000000005</v>
      </c>
      <c r="CD57" s="93">
        <v>436.42000000000007</v>
      </c>
      <c r="CE57" s="93">
        <v>435.40000000000009</v>
      </c>
      <c r="CF57" s="93">
        <v>434.38000000000011</v>
      </c>
      <c r="CG57" s="93">
        <v>433.36000000000007</v>
      </c>
      <c r="CH57" s="93">
        <v>432.34000000000009</v>
      </c>
      <c r="CI57" s="93">
        <v>431.3300000000001</v>
      </c>
      <c r="CJ57" s="93">
        <v>430.31000000000006</v>
      </c>
      <c r="CK57" s="93">
        <v>429.30000000000007</v>
      </c>
      <c r="CL57" s="93">
        <v>428.29000000000008</v>
      </c>
      <c r="CM57" s="93">
        <v>427.2700000000001</v>
      </c>
      <c r="CN57" s="93">
        <v>426.2600000000001</v>
      </c>
      <c r="CO57" s="93">
        <v>425.25000000000006</v>
      </c>
      <c r="CP57" s="93">
        <v>424.23000000000008</v>
      </c>
      <c r="CQ57" s="93">
        <v>423.22000000000008</v>
      </c>
      <c r="CR57" s="93">
        <v>422.21000000000009</v>
      </c>
      <c r="CS57" s="93">
        <v>421.19000000000005</v>
      </c>
      <c r="CT57" s="93">
        <v>420.18000000000006</v>
      </c>
      <c r="CU57" s="93">
        <v>419.17000000000007</v>
      </c>
      <c r="CV57" s="93">
        <v>418.16000000000008</v>
      </c>
      <c r="CW57" s="93">
        <v>417.15000000000009</v>
      </c>
      <c r="CX57" s="93">
        <v>416.15000000000009</v>
      </c>
      <c r="CY57" s="93">
        <v>415.1400000000001</v>
      </c>
      <c r="CZ57" s="93">
        <v>414.13000000000011</v>
      </c>
      <c r="DA57" s="93">
        <v>413.13000000000011</v>
      </c>
      <c r="DB57" s="93">
        <v>412.12000000000006</v>
      </c>
      <c r="DC57" s="93">
        <v>411.11000000000007</v>
      </c>
      <c r="DD57" s="93">
        <v>410.11000000000007</v>
      </c>
      <c r="DE57" s="93">
        <v>409.10000000000008</v>
      </c>
      <c r="DF57" s="93">
        <v>408.09000000000009</v>
      </c>
      <c r="DG57" s="93">
        <v>407.09000000000009</v>
      </c>
      <c r="DH57" s="93">
        <v>406.09000000000009</v>
      </c>
      <c r="DI57" s="93">
        <v>405.09000000000009</v>
      </c>
      <c r="DJ57" s="93">
        <v>404.09000000000009</v>
      </c>
      <c r="DK57" s="93">
        <v>403.09000000000009</v>
      </c>
      <c r="DL57" s="93">
        <v>402.09000000000009</v>
      </c>
      <c r="DM57" s="93">
        <v>401.09000000000009</v>
      </c>
      <c r="DN57" s="93">
        <v>400.09000000000009</v>
      </c>
      <c r="DO57" s="93">
        <v>399.09000000000009</v>
      </c>
      <c r="DP57" s="93">
        <v>398.09000000000009</v>
      </c>
      <c r="DQ57" s="93">
        <v>397.10000000000008</v>
      </c>
      <c r="DR57" s="93">
        <v>396.10000000000008</v>
      </c>
      <c r="DS57" s="93">
        <v>395.10000000000008</v>
      </c>
      <c r="DT57" s="93">
        <v>394.11000000000007</v>
      </c>
      <c r="DU57" s="93">
        <v>393.12000000000006</v>
      </c>
      <c r="DV57" s="93">
        <v>392.13000000000011</v>
      </c>
      <c r="DW57" s="93">
        <v>391.1400000000001</v>
      </c>
      <c r="DX57" s="93">
        <v>390.15000000000009</v>
      </c>
      <c r="DY57" s="93">
        <v>389.16000000000008</v>
      </c>
      <c r="DZ57" s="93">
        <v>388.17000000000007</v>
      </c>
      <c r="EA57" s="93">
        <v>387.18000000000006</v>
      </c>
      <c r="EB57" s="93">
        <v>386.2000000000001</v>
      </c>
      <c r="EC57" s="93">
        <v>385.21000000000009</v>
      </c>
      <c r="ED57" s="93">
        <v>384.22000000000008</v>
      </c>
      <c r="EE57" s="93">
        <v>383.24000000000007</v>
      </c>
      <c r="EF57" s="93">
        <v>382.2600000000001</v>
      </c>
      <c r="EG57" s="93">
        <v>381.28000000000009</v>
      </c>
      <c r="EH57" s="93">
        <v>380.30000000000007</v>
      </c>
      <c r="EI57" s="93">
        <v>379.3300000000001</v>
      </c>
      <c r="EJ57" s="93">
        <v>378.35000000000008</v>
      </c>
      <c r="EK57" s="93">
        <v>377.38000000000011</v>
      </c>
      <c r="EL57" s="93">
        <v>376.40000000000009</v>
      </c>
      <c r="EM57" s="93">
        <v>375.43000000000006</v>
      </c>
      <c r="EN57" s="93">
        <v>374.4500000000001</v>
      </c>
      <c r="EO57" s="93">
        <v>373.48000000000008</v>
      </c>
      <c r="EP57" s="93">
        <v>372.5100000000001</v>
      </c>
      <c r="EQ57" s="93">
        <v>371.53000000000009</v>
      </c>
      <c r="ER57" s="93">
        <v>370.57000000000011</v>
      </c>
      <c r="ES57" s="93">
        <v>369.60000000000008</v>
      </c>
      <c r="ET57" s="93">
        <v>368.63000000000011</v>
      </c>
      <c r="EU57" s="93">
        <v>367.67000000000007</v>
      </c>
      <c r="EV57" s="93">
        <v>366.7000000000001</v>
      </c>
      <c r="EW57" s="93">
        <v>365.74000000000007</v>
      </c>
      <c r="EX57" s="93">
        <v>364.78000000000009</v>
      </c>
      <c r="EY57" s="93">
        <v>363.81000000000006</v>
      </c>
      <c r="EZ57" s="93">
        <v>362.85000000000008</v>
      </c>
      <c r="FA57" s="93">
        <v>361.8900000000001</v>
      </c>
      <c r="FB57" s="93">
        <v>360.92000000000007</v>
      </c>
      <c r="FC57" s="93">
        <v>359.96000000000009</v>
      </c>
      <c r="FD57" s="93">
        <v>359.00000000000006</v>
      </c>
      <c r="FE57" s="93">
        <v>358.04000000000008</v>
      </c>
      <c r="FF57" s="93">
        <v>357.0800000000001</v>
      </c>
      <c r="FG57" s="93">
        <v>356.13000000000011</v>
      </c>
      <c r="FH57" s="93">
        <v>355.17000000000007</v>
      </c>
      <c r="FI57" s="93">
        <v>354.21000000000009</v>
      </c>
      <c r="FJ57" s="93">
        <v>353.25000000000006</v>
      </c>
      <c r="FK57" s="93">
        <v>352.30000000000007</v>
      </c>
      <c r="FL57" s="93">
        <v>351.34000000000009</v>
      </c>
      <c r="FM57" s="93">
        <v>350.3900000000001</v>
      </c>
      <c r="FN57" s="93">
        <v>349.43000000000006</v>
      </c>
      <c r="FO57" s="93">
        <v>348.48000000000008</v>
      </c>
      <c r="FP57" s="93">
        <v>347.53000000000009</v>
      </c>
      <c r="FQ57" s="93">
        <v>346.5800000000001</v>
      </c>
      <c r="FR57" s="93">
        <v>345.63000000000011</v>
      </c>
      <c r="FS57" s="93">
        <v>344.68000000000006</v>
      </c>
      <c r="FT57" s="93">
        <v>343.73000000000008</v>
      </c>
      <c r="FU57" s="93">
        <v>342.78000000000009</v>
      </c>
      <c r="FV57" s="93">
        <v>341.8300000000001</v>
      </c>
      <c r="FW57" s="93">
        <v>340.88000000000011</v>
      </c>
      <c r="FX57" s="93">
        <v>339.93000000000006</v>
      </c>
      <c r="FY57" s="93">
        <v>338.99000000000007</v>
      </c>
      <c r="FZ57" s="93">
        <v>338.04000000000008</v>
      </c>
      <c r="GA57" s="93">
        <v>337.10000000000008</v>
      </c>
      <c r="GB57" s="93">
        <v>336.15000000000009</v>
      </c>
      <c r="GC57" s="93">
        <v>335.21000000000009</v>
      </c>
      <c r="GD57" s="93">
        <v>334.2700000000001</v>
      </c>
      <c r="GE57" s="93">
        <v>333.3300000000001</v>
      </c>
      <c r="GF57" s="93">
        <v>332.3900000000001</v>
      </c>
      <c r="GG57" s="93">
        <v>331.4500000000001</v>
      </c>
      <c r="GH57" s="93">
        <v>330.5100000000001</v>
      </c>
      <c r="GI57" s="93">
        <v>329.57000000000011</v>
      </c>
      <c r="GJ57" s="93">
        <v>328.63000000000011</v>
      </c>
      <c r="GK57" s="93">
        <v>327.7000000000001</v>
      </c>
      <c r="GL57" s="93">
        <v>326.7600000000001</v>
      </c>
      <c r="GM57" s="93">
        <v>325.8300000000001</v>
      </c>
      <c r="GN57" s="93">
        <v>324.90000000000009</v>
      </c>
      <c r="GO57" s="93">
        <v>323.9500000000001</v>
      </c>
      <c r="GP57" s="93">
        <v>323.03000000000009</v>
      </c>
      <c r="GQ57" s="93">
        <v>322.10000000000008</v>
      </c>
      <c r="GR57" s="93">
        <v>321.17000000000007</v>
      </c>
      <c r="GS57" s="93">
        <v>320.25000000000006</v>
      </c>
      <c r="GT57" s="93">
        <v>319.32000000000011</v>
      </c>
      <c r="GU57" s="93">
        <v>318.3900000000001</v>
      </c>
      <c r="GV57" s="93">
        <v>317.47000000000008</v>
      </c>
      <c r="GW57" s="93">
        <v>316.54000000000008</v>
      </c>
      <c r="GX57" s="93">
        <v>315.62000000000006</v>
      </c>
      <c r="GY57" s="93">
        <v>314.7000000000001</v>
      </c>
      <c r="GZ57" s="93">
        <v>313.78000000000009</v>
      </c>
      <c r="HA57" s="93">
        <v>312.86000000000007</v>
      </c>
      <c r="HB57" s="93">
        <v>311.94000000000005</v>
      </c>
      <c r="HC57" s="93">
        <v>311.0100000000001</v>
      </c>
      <c r="HD57" s="93">
        <v>310.10000000000008</v>
      </c>
      <c r="HE57" s="93">
        <v>309.19000000000005</v>
      </c>
      <c r="HF57" s="93">
        <v>308.2600000000001</v>
      </c>
      <c r="HG57" s="93">
        <v>307.36000000000007</v>
      </c>
      <c r="HH57" s="93">
        <v>306.4500000000001</v>
      </c>
      <c r="HI57" s="93">
        <v>305.54000000000008</v>
      </c>
      <c r="HJ57" s="93">
        <v>304.63000000000011</v>
      </c>
      <c r="HK57" s="93">
        <v>303.72000000000008</v>
      </c>
      <c r="HL57" s="93">
        <v>302.81000000000006</v>
      </c>
      <c r="HM57" s="93">
        <v>301.90000000000009</v>
      </c>
      <c r="HN57" s="93">
        <v>301.00000000000006</v>
      </c>
      <c r="HO57" s="93">
        <v>300.09000000000009</v>
      </c>
      <c r="HP57" s="93">
        <v>299.19000000000005</v>
      </c>
      <c r="HQ57" s="93">
        <v>298.29000000000008</v>
      </c>
      <c r="HR57" s="93">
        <v>297.3900000000001</v>
      </c>
      <c r="HS57" s="93">
        <v>296.48000000000008</v>
      </c>
      <c r="HT57" s="93">
        <v>295.59000000000009</v>
      </c>
      <c r="HU57" s="93">
        <v>294.69000000000005</v>
      </c>
      <c r="HV57" s="93">
        <v>293.80000000000007</v>
      </c>
      <c r="HW57" s="93">
        <v>292.90000000000009</v>
      </c>
      <c r="HX57" s="93">
        <v>292.0100000000001</v>
      </c>
      <c r="HY57" s="93">
        <v>291.11000000000007</v>
      </c>
      <c r="HZ57" s="93">
        <v>290.22000000000008</v>
      </c>
      <c r="IA57" s="93">
        <v>289.3300000000001</v>
      </c>
      <c r="IB57" s="93">
        <v>288.44000000000005</v>
      </c>
      <c r="IC57" s="93">
        <v>287.55000000000007</v>
      </c>
      <c r="ID57" s="93">
        <v>286.66000000000008</v>
      </c>
      <c r="IE57" s="93">
        <v>285.7600000000001</v>
      </c>
      <c r="IF57" s="93">
        <v>284.8900000000001</v>
      </c>
      <c r="IG57" s="93">
        <v>284.00000000000006</v>
      </c>
      <c r="IH57" s="93">
        <v>283.12000000000006</v>
      </c>
      <c r="II57" s="93">
        <v>282.23000000000008</v>
      </c>
      <c r="IJ57" s="93">
        <v>281.35000000000008</v>
      </c>
      <c r="IK57" s="93">
        <v>280.47000000000008</v>
      </c>
      <c r="IL57" s="93">
        <v>279.59000000000009</v>
      </c>
      <c r="IM57" s="93">
        <v>278.7000000000001</v>
      </c>
      <c r="IN57" s="93">
        <v>277.84000000000009</v>
      </c>
      <c r="IO57" s="93">
        <v>276.9500000000001</v>
      </c>
      <c r="IP57" s="93">
        <v>276.0800000000001</v>
      </c>
      <c r="IQ57" s="93">
        <v>275.2000000000001</v>
      </c>
      <c r="IR57" s="93">
        <v>274.34000000000009</v>
      </c>
      <c r="IS57" s="93">
        <v>273.47000000000008</v>
      </c>
      <c r="IT57" s="93">
        <v>272.59000000000009</v>
      </c>
      <c r="IU57" s="93">
        <v>271.73000000000008</v>
      </c>
      <c r="IV57" s="93">
        <v>270.86000000000007</v>
      </c>
      <c r="IW57" s="93">
        <v>269.98000000000008</v>
      </c>
      <c r="IX57" s="93">
        <v>269.13000000000011</v>
      </c>
      <c r="IY57" s="93">
        <v>268.2600000000001</v>
      </c>
      <c r="IZ57" s="93">
        <v>267.40000000000009</v>
      </c>
      <c r="JA57" s="93">
        <v>266.54000000000008</v>
      </c>
      <c r="JB57" s="93">
        <v>265.67000000000007</v>
      </c>
      <c r="JC57" s="93">
        <v>264.82000000000011</v>
      </c>
      <c r="JD57" s="93">
        <v>263.9500000000001</v>
      </c>
      <c r="JE57" s="93">
        <v>263.10000000000008</v>
      </c>
      <c r="JF57" s="93">
        <v>262.25000000000006</v>
      </c>
      <c r="JG57" s="93">
        <v>261.3900000000001</v>
      </c>
      <c r="JH57" s="93">
        <v>260.54000000000008</v>
      </c>
      <c r="JI57" s="93">
        <v>259.69000000000005</v>
      </c>
      <c r="JJ57" s="93">
        <v>258.8300000000001</v>
      </c>
      <c r="JK57" s="93">
        <v>257.98000000000008</v>
      </c>
      <c r="JL57" s="93">
        <v>257.13000000000005</v>
      </c>
      <c r="JM57" s="93">
        <v>256.27999999999997</v>
      </c>
      <c r="JN57" s="93">
        <v>255.43999999999997</v>
      </c>
      <c r="JO57" s="93">
        <v>254.58999999999997</v>
      </c>
      <c r="JP57" s="93">
        <v>253.73999999999998</v>
      </c>
      <c r="JQ57" s="93">
        <v>252.89999999999998</v>
      </c>
      <c r="JR57" s="93">
        <v>252.04999999999995</v>
      </c>
      <c r="JS57" s="93">
        <v>251.20999999999998</v>
      </c>
      <c r="JT57" s="93">
        <v>250.36999999999998</v>
      </c>
      <c r="JU57" s="93">
        <v>249.52999999999997</v>
      </c>
      <c r="JV57" s="93">
        <v>248.68999999999997</v>
      </c>
      <c r="JW57" s="93">
        <v>247.84999999999997</v>
      </c>
      <c r="JX57" s="93">
        <v>247.00999999999996</v>
      </c>
      <c r="JY57" s="93">
        <v>246.17999999999998</v>
      </c>
      <c r="JZ57" s="93">
        <v>245.33999999999997</v>
      </c>
      <c r="KA57" s="93">
        <v>244.50999999999996</v>
      </c>
      <c r="KB57" s="93">
        <v>243.66999999999996</v>
      </c>
      <c r="KC57" s="93">
        <v>242.83999999999997</v>
      </c>
      <c r="KD57" s="93">
        <v>242.00999999999996</v>
      </c>
      <c r="KE57" s="93">
        <v>241.16999999999996</v>
      </c>
      <c r="KF57" s="93">
        <v>240.34999999999997</v>
      </c>
      <c r="KG57" s="93">
        <v>239.51999999999998</v>
      </c>
      <c r="KH57" s="93">
        <v>238.68999999999997</v>
      </c>
      <c r="KI57" s="93">
        <v>237.85999999999996</v>
      </c>
      <c r="KJ57" s="93">
        <v>237.03999999999996</v>
      </c>
      <c r="KK57" s="93">
        <v>236.20999999999998</v>
      </c>
      <c r="KL57" s="93">
        <v>235.38999999999996</v>
      </c>
      <c r="KM57" s="93">
        <v>234.56999999999996</v>
      </c>
      <c r="KN57" s="93">
        <v>233.74999999999997</v>
      </c>
      <c r="KO57" s="93">
        <v>232.92999999999998</v>
      </c>
      <c r="KP57" s="93">
        <v>232.10999999999996</v>
      </c>
      <c r="KQ57" s="93">
        <v>231.28999999999996</v>
      </c>
      <c r="KR57" s="93">
        <v>230.09000000000043</v>
      </c>
      <c r="KS57" s="93">
        <v>229.34000000000043</v>
      </c>
      <c r="KT57" s="93">
        <v>228.59000000000043</v>
      </c>
      <c r="KU57" s="93">
        <v>227.84000000000043</v>
      </c>
      <c r="KV57" s="93">
        <v>227.09000000000043</v>
      </c>
      <c r="KW57" s="93">
        <v>226.34000000000043</v>
      </c>
      <c r="KX57" s="93">
        <v>225.59000000000043</v>
      </c>
      <c r="KY57" s="93">
        <v>224.84000000000043</v>
      </c>
      <c r="KZ57" s="93">
        <v>224.09000000000043</v>
      </c>
      <c r="LA57" s="93">
        <v>223.34000000000043</v>
      </c>
      <c r="LB57" s="93">
        <v>222.59000000000043</v>
      </c>
      <c r="LC57" s="93">
        <v>221.84000000000043</v>
      </c>
      <c r="LD57" s="93">
        <v>221.09000000000043</v>
      </c>
      <c r="LE57" s="93">
        <v>220.34000000000043</v>
      </c>
      <c r="LF57" s="93">
        <v>219.59000000000043</v>
      </c>
      <c r="LG57" s="93">
        <v>218.84000000000043</v>
      </c>
      <c r="LH57" s="93">
        <v>218.09000000000043</v>
      </c>
      <c r="LI57" s="93">
        <v>217.34000000000043</v>
      </c>
      <c r="LJ57" s="93">
        <v>216.59000000000043</v>
      </c>
      <c r="LK57" s="93">
        <v>215.84000000000043</v>
      </c>
      <c r="LL57" s="93">
        <v>215.09000000000043</v>
      </c>
      <c r="LM57" s="93">
        <v>214.34000000000043</v>
      </c>
      <c r="LN57" s="93">
        <v>213.59000000000043</v>
      </c>
      <c r="LO57" s="93">
        <v>212.84000000000043</v>
      </c>
      <c r="LP57" s="93">
        <v>212.09000000000043</v>
      </c>
      <c r="LQ57" s="93">
        <v>211.34000000000043</v>
      </c>
      <c r="LR57" s="93">
        <v>210.59000000000043</v>
      </c>
      <c r="LS57" s="93">
        <v>209.84000000000043</v>
      </c>
      <c r="LT57" s="93">
        <v>209.09000000000043</v>
      </c>
      <c r="LU57" s="93">
        <v>208.34000000000043</v>
      </c>
      <c r="LV57" s="93">
        <v>207.59000000000043</v>
      </c>
      <c r="LW57" s="93">
        <v>206.84000000000043</v>
      </c>
      <c r="LX57" s="93">
        <v>206.09000000000043</v>
      </c>
      <c r="LY57" s="93">
        <v>205.34000000000043</v>
      </c>
      <c r="LZ57" s="93">
        <v>204.59000000000043</v>
      </c>
      <c r="MA57" s="93">
        <v>203.84000000000043</v>
      </c>
      <c r="MB57" s="93">
        <v>203.09000000000043</v>
      </c>
      <c r="MC57" s="93">
        <v>202.34000000000043</v>
      </c>
      <c r="MD57" s="93">
        <v>201.59000000000043</v>
      </c>
      <c r="ME57" s="93">
        <v>200.84000000000043</v>
      </c>
      <c r="MF57" s="93">
        <v>200.09000000000043</v>
      </c>
      <c r="MG57" s="93">
        <v>199.34000000000043</v>
      </c>
      <c r="MH57" s="93">
        <v>198.59000000000043</v>
      </c>
      <c r="MI57" s="93">
        <v>197.84000000000043</v>
      </c>
      <c r="MJ57" s="93">
        <v>197.09000000000043</v>
      </c>
      <c r="MK57" s="93">
        <v>196.34000000000043</v>
      </c>
      <c r="ML57" s="93">
        <v>195.59000000000043</v>
      </c>
      <c r="MM57" s="93">
        <v>194.84000000000043</v>
      </c>
      <c r="MN57" s="93">
        <v>194.09000000000043</v>
      </c>
      <c r="MO57" s="93">
        <v>193.34000000000043</v>
      </c>
      <c r="MP57" s="93">
        <v>192.59000000000043</v>
      </c>
      <c r="MQ57" s="93">
        <v>191.84000000000043</v>
      </c>
      <c r="MR57" s="93">
        <v>191.09000000000043</v>
      </c>
      <c r="MS57" s="93">
        <v>190.34000000000043</v>
      </c>
      <c r="MT57" s="93">
        <v>189.59000000000043</v>
      </c>
      <c r="MU57" s="93">
        <v>188.84000000000043</v>
      </c>
      <c r="MV57" s="93">
        <v>188.09000000000043</v>
      </c>
      <c r="MW57" s="93">
        <v>187.34000000000043</v>
      </c>
      <c r="MX57" s="93">
        <v>186.59000000000043</v>
      </c>
      <c r="MY57" s="93">
        <v>185.84000000000043</v>
      </c>
    </row>
    <row r="58" spans="1:363" ht="15.75" x14ac:dyDescent="0.25">
      <c r="A58" s="90" t="s">
        <v>7</v>
      </c>
      <c r="B58" s="95">
        <v>2068</v>
      </c>
      <c r="C58" s="93">
        <v>517.82000000000005</v>
      </c>
      <c r="D58" s="93">
        <v>516.79</v>
      </c>
      <c r="E58" s="93">
        <v>515.76</v>
      </c>
      <c r="F58" s="93">
        <v>514.81999999999982</v>
      </c>
      <c r="G58" s="93">
        <v>513.78999999999985</v>
      </c>
      <c r="H58" s="93">
        <v>512.76</v>
      </c>
      <c r="I58" s="93">
        <v>511.74000000000012</v>
      </c>
      <c r="J58" s="93">
        <v>510.71000000000009</v>
      </c>
      <c r="K58" s="93">
        <v>509.68000000000012</v>
      </c>
      <c r="L58" s="93">
        <v>508.66000000000008</v>
      </c>
      <c r="M58" s="93">
        <v>507.63000000000011</v>
      </c>
      <c r="N58" s="93">
        <v>506.61000000000013</v>
      </c>
      <c r="O58" s="93">
        <v>505.5800000000001</v>
      </c>
      <c r="P58" s="93">
        <v>504.55000000000013</v>
      </c>
      <c r="Q58" s="93">
        <v>503.53000000000009</v>
      </c>
      <c r="R58" s="93">
        <v>502.50000000000011</v>
      </c>
      <c r="S58" s="93">
        <v>501.47000000000008</v>
      </c>
      <c r="T58" s="93">
        <v>500.4500000000001</v>
      </c>
      <c r="U58" s="93">
        <v>499.42000000000013</v>
      </c>
      <c r="V58" s="93">
        <v>498.3900000000001</v>
      </c>
      <c r="W58" s="93">
        <v>497.37000000000012</v>
      </c>
      <c r="X58" s="93">
        <v>496.34000000000009</v>
      </c>
      <c r="Y58" s="93">
        <v>495.31000000000012</v>
      </c>
      <c r="Z58" s="93">
        <v>494.29000000000008</v>
      </c>
      <c r="AA58" s="93">
        <v>493.2600000000001</v>
      </c>
      <c r="AB58" s="93">
        <v>492.23000000000008</v>
      </c>
      <c r="AC58" s="93">
        <v>491.21000000000009</v>
      </c>
      <c r="AD58" s="93">
        <v>490.18000000000012</v>
      </c>
      <c r="AE58" s="93">
        <v>489.15000000000009</v>
      </c>
      <c r="AF58" s="93">
        <v>488.13000000000011</v>
      </c>
      <c r="AG58" s="93">
        <v>487.10000000000008</v>
      </c>
      <c r="AH58" s="93">
        <v>486.0800000000001</v>
      </c>
      <c r="AI58" s="93">
        <v>485.05000000000013</v>
      </c>
      <c r="AJ58" s="93">
        <v>484.0200000000001</v>
      </c>
      <c r="AK58" s="93">
        <v>483.00000000000011</v>
      </c>
      <c r="AL58" s="93">
        <v>481.97000000000008</v>
      </c>
      <c r="AM58" s="93">
        <v>480.94000000000011</v>
      </c>
      <c r="AN58" s="93">
        <v>479.92000000000013</v>
      </c>
      <c r="AO58" s="93">
        <v>478.8900000000001</v>
      </c>
      <c r="AP58" s="93">
        <v>477.87000000000012</v>
      </c>
      <c r="AQ58" s="93">
        <v>476.84000000000009</v>
      </c>
      <c r="AR58" s="93">
        <v>475.82000000000011</v>
      </c>
      <c r="AS58" s="93">
        <v>474.79000000000008</v>
      </c>
      <c r="AT58" s="93">
        <v>473.7600000000001</v>
      </c>
      <c r="AU58" s="93">
        <v>472.74000000000012</v>
      </c>
      <c r="AV58" s="93">
        <v>471.71000000000009</v>
      </c>
      <c r="AW58" s="93">
        <v>470.69000000000011</v>
      </c>
      <c r="AX58" s="93">
        <v>469.66000000000008</v>
      </c>
      <c r="AY58" s="93">
        <v>468.6400000000001</v>
      </c>
      <c r="AZ58" s="93">
        <v>467.61000000000013</v>
      </c>
      <c r="BA58" s="93">
        <v>466.59000000000009</v>
      </c>
      <c r="BB58" s="93">
        <v>465.57000000000011</v>
      </c>
      <c r="BC58" s="93">
        <v>464.54000000000008</v>
      </c>
      <c r="BD58" s="93">
        <v>463.5200000000001</v>
      </c>
      <c r="BE58" s="93">
        <v>462.49000000000012</v>
      </c>
      <c r="BF58" s="93">
        <v>461.47000000000008</v>
      </c>
      <c r="BG58" s="93">
        <v>460.44000000000011</v>
      </c>
      <c r="BH58" s="93">
        <v>459.42000000000013</v>
      </c>
      <c r="BI58" s="93">
        <v>458.40000000000009</v>
      </c>
      <c r="BJ58" s="93">
        <v>457.37000000000012</v>
      </c>
      <c r="BK58" s="93">
        <v>456.35000000000008</v>
      </c>
      <c r="BL58" s="93">
        <v>455.3300000000001</v>
      </c>
      <c r="BM58" s="93">
        <v>454.30000000000013</v>
      </c>
      <c r="BN58" s="93">
        <v>453.28000000000009</v>
      </c>
      <c r="BO58" s="93">
        <v>452.2600000000001</v>
      </c>
      <c r="BP58" s="93">
        <v>451.24000000000012</v>
      </c>
      <c r="BQ58" s="93">
        <v>450.22000000000008</v>
      </c>
      <c r="BR58" s="93">
        <v>449.19000000000011</v>
      </c>
      <c r="BS58" s="93">
        <v>448.17000000000013</v>
      </c>
      <c r="BT58" s="93">
        <v>447.15000000000009</v>
      </c>
      <c r="BU58" s="93">
        <v>446.13000000000011</v>
      </c>
      <c r="BV58" s="93">
        <v>445.11000000000013</v>
      </c>
      <c r="BW58" s="93">
        <v>444.09000000000009</v>
      </c>
      <c r="BX58" s="93">
        <v>443.07000000000011</v>
      </c>
      <c r="BY58" s="93">
        <v>442.05000000000013</v>
      </c>
      <c r="BZ58" s="93">
        <v>441.03000000000009</v>
      </c>
      <c r="CA58" s="93">
        <v>440.0100000000001</v>
      </c>
      <c r="CB58" s="93">
        <v>438.99000000000012</v>
      </c>
      <c r="CC58" s="93">
        <v>437.98000000000008</v>
      </c>
      <c r="CD58" s="93">
        <v>436.96000000000009</v>
      </c>
      <c r="CE58" s="93">
        <v>435.94000000000011</v>
      </c>
      <c r="CF58" s="93">
        <v>434.92000000000013</v>
      </c>
      <c r="CG58" s="93">
        <v>433.90000000000009</v>
      </c>
      <c r="CH58" s="93">
        <v>432.88000000000011</v>
      </c>
      <c r="CI58" s="93">
        <v>431.87000000000012</v>
      </c>
      <c r="CJ58" s="93">
        <v>430.85000000000008</v>
      </c>
      <c r="CK58" s="93">
        <v>429.84000000000009</v>
      </c>
      <c r="CL58" s="93">
        <v>428.8300000000001</v>
      </c>
      <c r="CM58" s="93">
        <v>427.81000000000012</v>
      </c>
      <c r="CN58" s="93">
        <v>426.80000000000013</v>
      </c>
      <c r="CO58" s="93">
        <v>425.79000000000008</v>
      </c>
      <c r="CP58" s="93">
        <v>424.7700000000001</v>
      </c>
      <c r="CQ58" s="93">
        <v>423.7600000000001</v>
      </c>
      <c r="CR58" s="93">
        <v>422.75000000000011</v>
      </c>
      <c r="CS58" s="93">
        <v>421.73000000000008</v>
      </c>
      <c r="CT58" s="93">
        <v>420.72000000000008</v>
      </c>
      <c r="CU58" s="93">
        <v>419.71000000000009</v>
      </c>
      <c r="CV58" s="93">
        <v>418.7000000000001</v>
      </c>
      <c r="CW58" s="93">
        <v>417.69000000000011</v>
      </c>
      <c r="CX58" s="93">
        <v>416.69000000000011</v>
      </c>
      <c r="CY58" s="93">
        <v>415.68000000000012</v>
      </c>
      <c r="CZ58" s="93">
        <v>414.67000000000013</v>
      </c>
      <c r="DA58" s="93">
        <v>413.67000000000013</v>
      </c>
      <c r="DB58" s="93">
        <v>412.66000000000008</v>
      </c>
      <c r="DC58" s="93">
        <v>411.65000000000009</v>
      </c>
      <c r="DD58" s="93">
        <v>410.65000000000009</v>
      </c>
      <c r="DE58" s="93">
        <v>409.6400000000001</v>
      </c>
      <c r="DF58" s="93">
        <v>408.63000000000011</v>
      </c>
      <c r="DG58" s="93">
        <v>407.63000000000011</v>
      </c>
      <c r="DH58" s="93">
        <v>406.63000000000011</v>
      </c>
      <c r="DI58" s="93">
        <v>405.63000000000011</v>
      </c>
      <c r="DJ58" s="93">
        <v>404.63000000000011</v>
      </c>
      <c r="DK58" s="93">
        <v>403.63000000000011</v>
      </c>
      <c r="DL58" s="93">
        <v>402.63000000000011</v>
      </c>
      <c r="DM58" s="93">
        <v>401.63000000000011</v>
      </c>
      <c r="DN58" s="93">
        <v>400.63000000000011</v>
      </c>
      <c r="DO58" s="93">
        <v>399.63000000000011</v>
      </c>
      <c r="DP58" s="93">
        <v>398.63000000000011</v>
      </c>
      <c r="DQ58" s="93">
        <v>397.6400000000001</v>
      </c>
      <c r="DR58" s="93">
        <v>396.6400000000001</v>
      </c>
      <c r="DS58" s="93">
        <v>395.6400000000001</v>
      </c>
      <c r="DT58" s="93">
        <v>394.65000000000009</v>
      </c>
      <c r="DU58" s="93">
        <v>393.66000000000008</v>
      </c>
      <c r="DV58" s="93">
        <v>392.67000000000013</v>
      </c>
      <c r="DW58" s="93">
        <v>391.68000000000012</v>
      </c>
      <c r="DX58" s="93">
        <v>390.69000000000011</v>
      </c>
      <c r="DY58" s="93">
        <v>389.7000000000001</v>
      </c>
      <c r="DZ58" s="93">
        <v>388.71000000000009</v>
      </c>
      <c r="EA58" s="93">
        <v>387.72000000000008</v>
      </c>
      <c r="EB58" s="93">
        <v>386.74000000000012</v>
      </c>
      <c r="EC58" s="93">
        <v>385.75000000000011</v>
      </c>
      <c r="ED58" s="93">
        <v>384.7600000000001</v>
      </c>
      <c r="EE58" s="93">
        <v>383.78000000000009</v>
      </c>
      <c r="EF58" s="93">
        <v>382.80000000000013</v>
      </c>
      <c r="EG58" s="93">
        <v>381.82000000000011</v>
      </c>
      <c r="EH58" s="93">
        <v>380.84000000000009</v>
      </c>
      <c r="EI58" s="93">
        <v>379.87000000000012</v>
      </c>
      <c r="EJ58" s="93">
        <v>378.8900000000001</v>
      </c>
      <c r="EK58" s="93">
        <v>377.92000000000013</v>
      </c>
      <c r="EL58" s="93">
        <v>376.94000000000011</v>
      </c>
      <c r="EM58" s="93">
        <v>375.97000000000008</v>
      </c>
      <c r="EN58" s="93">
        <v>374.99000000000012</v>
      </c>
      <c r="EO58" s="93">
        <v>374.0200000000001</v>
      </c>
      <c r="EP58" s="93">
        <v>373.05000000000013</v>
      </c>
      <c r="EQ58" s="93">
        <v>372.07000000000011</v>
      </c>
      <c r="ER58" s="93">
        <v>371.11000000000013</v>
      </c>
      <c r="ES58" s="93">
        <v>370.1400000000001</v>
      </c>
      <c r="ET58" s="93">
        <v>369.17000000000013</v>
      </c>
      <c r="EU58" s="93">
        <v>368.21000000000009</v>
      </c>
      <c r="EV58" s="93">
        <v>367.24000000000012</v>
      </c>
      <c r="EW58" s="93">
        <v>366.28000000000009</v>
      </c>
      <c r="EX58" s="93">
        <v>365.32000000000011</v>
      </c>
      <c r="EY58" s="93">
        <v>364.35000000000008</v>
      </c>
      <c r="EZ58" s="93">
        <v>363.3900000000001</v>
      </c>
      <c r="FA58" s="93">
        <v>362.43000000000012</v>
      </c>
      <c r="FB58" s="93">
        <v>361.46000000000009</v>
      </c>
      <c r="FC58" s="93">
        <v>360.50000000000011</v>
      </c>
      <c r="FD58" s="93">
        <v>359.54000000000008</v>
      </c>
      <c r="FE58" s="93">
        <v>358.5800000000001</v>
      </c>
      <c r="FF58" s="93">
        <v>357.62000000000012</v>
      </c>
      <c r="FG58" s="93">
        <v>356.67000000000013</v>
      </c>
      <c r="FH58" s="93">
        <v>355.71000000000009</v>
      </c>
      <c r="FI58" s="93">
        <v>354.75000000000011</v>
      </c>
      <c r="FJ58" s="93">
        <v>353.79000000000008</v>
      </c>
      <c r="FK58" s="93">
        <v>352.84000000000009</v>
      </c>
      <c r="FL58" s="93">
        <v>351.88000000000011</v>
      </c>
      <c r="FM58" s="93">
        <v>350.93000000000012</v>
      </c>
      <c r="FN58" s="93">
        <v>349.97000000000008</v>
      </c>
      <c r="FO58" s="93">
        <v>349.0200000000001</v>
      </c>
      <c r="FP58" s="93">
        <v>348.07000000000011</v>
      </c>
      <c r="FQ58" s="93">
        <v>347.12000000000012</v>
      </c>
      <c r="FR58" s="93">
        <v>346.17000000000013</v>
      </c>
      <c r="FS58" s="93">
        <v>345.22000000000008</v>
      </c>
      <c r="FT58" s="93">
        <v>344.2700000000001</v>
      </c>
      <c r="FU58" s="93">
        <v>343.32000000000011</v>
      </c>
      <c r="FV58" s="93">
        <v>342.37000000000012</v>
      </c>
      <c r="FW58" s="93">
        <v>341.42000000000013</v>
      </c>
      <c r="FX58" s="93">
        <v>340.47000000000008</v>
      </c>
      <c r="FY58" s="93">
        <v>339.53000000000009</v>
      </c>
      <c r="FZ58" s="93">
        <v>338.5800000000001</v>
      </c>
      <c r="GA58" s="93">
        <v>337.6400000000001</v>
      </c>
      <c r="GB58" s="93">
        <v>336.69000000000011</v>
      </c>
      <c r="GC58" s="93">
        <v>335.75000000000011</v>
      </c>
      <c r="GD58" s="93">
        <v>334.81000000000012</v>
      </c>
      <c r="GE58" s="93">
        <v>333.87000000000012</v>
      </c>
      <c r="GF58" s="93">
        <v>332.93000000000012</v>
      </c>
      <c r="GG58" s="93">
        <v>331.99000000000012</v>
      </c>
      <c r="GH58" s="93">
        <v>331.05000000000013</v>
      </c>
      <c r="GI58" s="93">
        <v>330.11000000000013</v>
      </c>
      <c r="GJ58" s="93">
        <v>329.17000000000013</v>
      </c>
      <c r="GK58" s="93">
        <v>328.24000000000012</v>
      </c>
      <c r="GL58" s="93">
        <v>327.30000000000013</v>
      </c>
      <c r="GM58" s="93">
        <v>326.37000000000012</v>
      </c>
      <c r="GN58" s="93">
        <v>325.44000000000011</v>
      </c>
      <c r="GO58" s="93">
        <v>324.49000000000012</v>
      </c>
      <c r="GP58" s="93">
        <v>323.57000000000011</v>
      </c>
      <c r="GQ58" s="93">
        <v>322.6400000000001</v>
      </c>
      <c r="GR58" s="93">
        <v>321.71000000000009</v>
      </c>
      <c r="GS58" s="93">
        <v>320.79000000000008</v>
      </c>
      <c r="GT58" s="93">
        <v>319.86000000000013</v>
      </c>
      <c r="GU58" s="93">
        <v>318.93000000000012</v>
      </c>
      <c r="GV58" s="93">
        <v>318.0100000000001</v>
      </c>
      <c r="GW58" s="93">
        <v>317.0800000000001</v>
      </c>
      <c r="GX58" s="93">
        <v>316.16000000000008</v>
      </c>
      <c r="GY58" s="93">
        <v>315.24000000000012</v>
      </c>
      <c r="GZ58" s="93">
        <v>314.32000000000011</v>
      </c>
      <c r="HA58" s="93">
        <v>313.40000000000009</v>
      </c>
      <c r="HB58" s="93">
        <v>312.48000000000008</v>
      </c>
      <c r="HC58" s="93">
        <v>311.55000000000013</v>
      </c>
      <c r="HD58" s="93">
        <v>310.6400000000001</v>
      </c>
      <c r="HE58" s="93">
        <v>309.73000000000008</v>
      </c>
      <c r="HF58" s="93">
        <v>308.80000000000013</v>
      </c>
      <c r="HG58" s="93">
        <v>307.90000000000009</v>
      </c>
      <c r="HH58" s="93">
        <v>306.99000000000012</v>
      </c>
      <c r="HI58" s="93">
        <v>306.0800000000001</v>
      </c>
      <c r="HJ58" s="93">
        <v>305.17000000000013</v>
      </c>
      <c r="HK58" s="93">
        <v>304.2600000000001</v>
      </c>
      <c r="HL58" s="93">
        <v>303.35000000000008</v>
      </c>
      <c r="HM58" s="93">
        <v>302.44000000000011</v>
      </c>
      <c r="HN58" s="93">
        <v>301.54000000000008</v>
      </c>
      <c r="HO58" s="93">
        <v>300.63000000000011</v>
      </c>
      <c r="HP58" s="93">
        <v>299.73000000000008</v>
      </c>
      <c r="HQ58" s="93">
        <v>298.8300000000001</v>
      </c>
      <c r="HR58" s="93">
        <v>297.93000000000012</v>
      </c>
      <c r="HS58" s="93">
        <v>297.0200000000001</v>
      </c>
      <c r="HT58" s="93">
        <v>296.13000000000011</v>
      </c>
      <c r="HU58" s="93">
        <v>295.23000000000008</v>
      </c>
      <c r="HV58" s="93">
        <v>294.34000000000009</v>
      </c>
      <c r="HW58" s="93">
        <v>293.44000000000011</v>
      </c>
      <c r="HX58" s="93">
        <v>292.55000000000013</v>
      </c>
      <c r="HY58" s="93">
        <v>291.65000000000009</v>
      </c>
      <c r="HZ58" s="93">
        <v>290.7600000000001</v>
      </c>
      <c r="IA58" s="93">
        <v>289.87000000000012</v>
      </c>
      <c r="IB58" s="93">
        <v>288.98000000000008</v>
      </c>
      <c r="IC58" s="93">
        <v>288.09000000000009</v>
      </c>
      <c r="ID58" s="93">
        <v>287.2000000000001</v>
      </c>
      <c r="IE58" s="93">
        <v>286.30000000000013</v>
      </c>
      <c r="IF58" s="93">
        <v>285.43000000000012</v>
      </c>
      <c r="IG58" s="93">
        <v>284.54000000000008</v>
      </c>
      <c r="IH58" s="93">
        <v>283.66000000000008</v>
      </c>
      <c r="II58" s="93">
        <v>282.7700000000001</v>
      </c>
      <c r="IJ58" s="93">
        <v>281.8900000000001</v>
      </c>
      <c r="IK58" s="93">
        <v>281.0100000000001</v>
      </c>
      <c r="IL58" s="93">
        <v>280.13000000000011</v>
      </c>
      <c r="IM58" s="93">
        <v>279.24000000000012</v>
      </c>
      <c r="IN58" s="93">
        <v>278.38000000000011</v>
      </c>
      <c r="IO58" s="93">
        <v>277.49000000000012</v>
      </c>
      <c r="IP58" s="93">
        <v>276.62000000000012</v>
      </c>
      <c r="IQ58" s="93">
        <v>275.74000000000012</v>
      </c>
      <c r="IR58" s="93">
        <v>274.88000000000011</v>
      </c>
      <c r="IS58" s="93">
        <v>274.0100000000001</v>
      </c>
      <c r="IT58" s="93">
        <v>273.13000000000011</v>
      </c>
      <c r="IU58" s="93">
        <v>272.2700000000001</v>
      </c>
      <c r="IV58" s="93">
        <v>271.40000000000009</v>
      </c>
      <c r="IW58" s="93">
        <v>270.5200000000001</v>
      </c>
      <c r="IX58" s="93">
        <v>269.67000000000013</v>
      </c>
      <c r="IY58" s="93">
        <v>268.80000000000013</v>
      </c>
      <c r="IZ58" s="93">
        <v>267.94000000000011</v>
      </c>
      <c r="JA58" s="93">
        <v>267.0800000000001</v>
      </c>
      <c r="JB58" s="93">
        <v>266.21000000000009</v>
      </c>
      <c r="JC58" s="93">
        <v>265.36000000000013</v>
      </c>
      <c r="JD58" s="93">
        <v>264.49000000000012</v>
      </c>
      <c r="JE58" s="93">
        <v>263.6400000000001</v>
      </c>
      <c r="JF58" s="93">
        <v>262.79000000000008</v>
      </c>
      <c r="JG58" s="93">
        <v>261.93000000000012</v>
      </c>
      <c r="JH58" s="93">
        <v>261.0800000000001</v>
      </c>
      <c r="JI58" s="93">
        <v>260.23000000000008</v>
      </c>
      <c r="JJ58" s="93">
        <v>259.37000000000012</v>
      </c>
      <c r="JK58" s="93">
        <v>258.5200000000001</v>
      </c>
      <c r="JL58" s="93">
        <v>257.67000000000007</v>
      </c>
      <c r="JM58" s="93">
        <v>256.82</v>
      </c>
      <c r="JN58" s="93">
        <v>255.97999999999996</v>
      </c>
      <c r="JO58" s="93">
        <v>255.12999999999997</v>
      </c>
      <c r="JP58" s="93">
        <v>254.27999999999997</v>
      </c>
      <c r="JQ58" s="93">
        <v>253.43999999999997</v>
      </c>
      <c r="JR58" s="93">
        <v>252.58999999999995</v>
      </c>
      <c r="JS58" s="93">
        <v>251.74999999999997</v>
      </c>
      <c r="JT58" s="93">
        <v>250.90999999999997</v>
      </c>
      <c r="JU58" s="93">
        <v>250.06999999999996</v>
      </c>
      <c r="JV58" s="93">
        <v>249.22999999999996</v>
      </c>
      <c r="JW58" s="93">
        <v>248.38999999999996</v>
      </c>
      <c r="JX58" s="93">
        <v>247.54999999999995</v>
      </c>
      <c r="JY58" s="93">
        <v>246.71999999999997</v>
      </c>
      <c r="JZ58" s="93">
        <v>245.87999999999997</v>
      </c>
      <c r="KA58" s="93">
        <v>245.04999999999995</v>
      </c>
      <c r="KB58" s="93">
        <v>244.20999999999995</v>
      </c>
      <c r="KC58" s="93">
        <v>243.37999999999997</v>
      </c>
      <c r="KD58" s="93">
        <v>242.54999999999995</v>
      </c>
      <c r="KE58" s="93">
        <v>241.70999999999995</v>
      </c>
      <c r="KF58" s="93">
        <v>240.88999999999996</v>
      </c>
      <c r="KG58" s="93">
        <v>240.05999999999997</v>
      </c>
      <c r="KH58" s="93">
        <v>239.22999999999996</v>
      </c>
      <c r="KI58" s="93">
        <v>238.39999999999995</v>
      </c>
      <c r="KJ58" s="93">
        <v>237.57999999999996</v>
      </c>
      <c r="KK58" s="93">
        <v>236.74999999999997</v>
      </c>
      <c r="KL58" s="93">
        <v>235.92999999999995</v>
      </c>
      <c r="KM58" s="93">
        <v>235.10999999999996</v>
      </c>
      <c r="KN58" s="93">
        <v>234.28999999999996</v>
      </c>
      <c r="KO58" s="93">
        <v>233.46999999999997</v>
      </c>
      <c r="KP58" s="93">
        <v>232.64999999999995</v>
      </c>
      <c r="KQ58" s="93">
        <v>231.82999999999996</v>
      </c>
      <c r="KR58" s="93">
        <v>230.55000000000044</v>
      </c>
      <c r="KS58" s="93">
        <v>229.80000000000044</v>
      </c>
      <c r="KT58" s="93">
        <v>229.05000000000044</v>
      </c>
      <c r="KU58" s="93">
        <v>228.30000000000044</v>
      </c>
      <c r="KV58" s="93">
        <v>227.55000000000044</v>
      </c>
      <c r="KW58" s="93">
        <v>226.80000000000044</v>
      </c>
      <c r="KX58" s="93">
        <v>226.05000000000044</v>
      </c>
      <c r="KY58" s="93">
        <v>225.30000000000044</v>
      </c>
      <c r="KZ58" s="93">
        <v>224.55000000000044</v>
      </c>
      <c r="LA58" s="93">
        <v>223.80000000000044</v>
      </c>
      <c r="LB58" s="93">
        <v>223.05000000000044</v>
      </c>
      <c r="LC58" s="93">
        <v>222.30000000000044</v>
      </c>
      <c r="LD58" s="93">
        <v>221.55000000000044</v>
      </c>
      <c r="LE58" s="93">
        <v>220.80000000000044</v>
      </c>
      <c r="LF58" s="93">
        <v>220.05000000000044</v>
      </c>
      <c r="LG58" s="93">
        <v>219.30000000000044</v>
      </c>
      <c r="LH58" s="93">
        <v>218.55000000000044</v>
      </c>
      <c r="LI58" s="93">
        <v>217.80000000000044</v>
      </c>
      <c r="LJ58" s="93">
        <v>217.05000000000044</v>
      </c>
      <c r="LK58" s="93">
        <v>216.30000000000044</v>
      </c>
      <c r="LL58" s="93">
        <v>215.55000000000044</v>
      </c>
      <c r="LM58" s="93">
        <v>214.80000000000044</v>
      </c>
      <c r="LN58" s="93">
        <v>214.05000000000044</v>
      </c>
      <c r="LO58" s="93">
        <v>213.30000000000044</v>
      </c>
      <c r="LP58" s="93">
        <v>212.55000000000044</v>
      </c>
      <c r="LQ58" s="93">
        <v>211.80000000000044</v>
      </c>
      <c r="LR58" s="93">
        <v>211.05000000000044</v>
      </c>
      <c r="LS58" s="93">
        <v>210.30000000000044</v>
      </c>
      <c r="LT58" s="93">
        <v>209.55000000000044</v>
      </c>
      <c r="LU58" s="93">
        <v>208.80000000000044</v>
      </c>
      <c r="LV58" s="93">
        <v>208.05000000000044</v>
      </c>
      <c r="LW58" s="93">
        <v>207.30000000000044</v>
      </c>
      <c r="LX58" s="93">
        <v>206.55000000000044</v>
      </c>
      <c r="LY58" s="93">
        <v>205.80000000000044</v>
      </c>
      <c r="LZ58" s="93">
        <v>205.05000000000044</v>
      </c>
      <c r="MA58" s="93">
        <v>204.30000000000044</v>
      </c>
      <c r="MB58" s="93">
        <v>203.55000000000044</v>
      </c>
      <c r="MC58" s="93">
        <v>202.80000000000044</v>
      </c>
      <c r="MD58" s="93">
        <v>202.05000000000044</v>
      </c>
      <c r="ME58" s="93">
        <v>201.30000000000044</v>
      </c>
      <c r="MF58" s="93">
        <v>200.55000000000044</v>
      </c>
      <c r="MG58" s="93">
        <v>199.80000000000044</v>
      </c>
      <c r="MH58" s="93">
        <v>199.05000000000044</v>
      </c>
      <c r="MI58" s="93">
        <v>198.30000000000044</v>
      </c>
      <c r="MJ58" s="93">
        <v>197.55000000000044</v>
      </c>
      <c r="MK58" s="93">
        <v>196.80000000000044</v>
      </c>
      <c r="ML58" s="93">
        <v>196.05000000000044</v>
      </c>
      <c r="MM58" s="93">
        <v>195.30000000000044</v>
      </c>
      <c r="MN58" s="93">
        <v>194.55000000000044</v>
      </c>
      <c r="MO58" s="93">
        <v>193.80000000000044</v>
      </c>
      <c r="MP58" s="93">
        <v>193.05000000000044</v>
      </c>
      <c r="MQ58" s="93">
        <v>192.30000000000044</v>
      </c>
      <c r="MR58" s="93">
        <v>191.55000000000044</v>
      </c>
      <c r="MS58" s="93">
        <v>190.80000000000044</v>
      </c>
      <c r="MT58" s="93">
        <v>190.05000000000044</v>
      </c>
      <c r="MU58" s="93">
        <v>189.30000000000044</v>
      </c>
      <c r="MV58" s="93">
        <v>188.55000000000044</v>
      </c>
      <c r="MW58" s="93">
        <v>187.80000000000044</v>
      </c>
      <c r="MX58" s="93">
        <v>187.05000000000044</v>
      </c>
      <c r="MY58" s="93">
        <v>186.30000000000044</v>
      </c>
    </row>
    <row r="59" spans="1:363" ht="15.75" x14ac:dyDescent="0.25">
      <c r="A59" s="90" t="s">
        <v>7</v>
      </c>
      <c r="B59" s="95">
        <v>2069</v>
      </c>
      <c r="C59" s="93">
        <v>518.34</v>
      </c>
      <c r="D59" s="93">
        <v>517.30999999999995</v>
      </c>
      <c r="E59" s="93">
        <v>516.28</v>
      </c>
      <c r="F59" s="93">
        <v>515.35999999999979</v>
      </c>
      <c r="G59" s="93">
        <v>514.32999999999981</v>
      </c>
      <c r="H59" s="93">
        <v>513.29999999999995</v>
      </c>
      <c r="I59" s="93">
        <v>512.28000000000009</v>
      </c>
      <c r="J59" s="93">
        <v>511.25000000000011</v>
      </c>
      <c r="K59" s="93">
        <v>510.22000000000014</v>
      </c>
      <c r="L59" s="93">
        <v>509.2000000000001</v>
      </c>
      <c r="M59" s="93">
        <v>508.17000000000013</v>
      </c>
      <c r="N59" s="93">
        <v>507.15000000000015</v>
      </c>
      <c r="O59" s="93">
        <v>506.12000000000012</v>
      </c>
      <c r="P59" s="93">
        <v>505.09000000000015</v>
      </c>
      <c r="Q59" s="93">
        <v>504.07000000000011</v>
      </c>
      <c r="R59" s="93">
        <v>503.04000000000013</v>
      </c>
      <c r="S59" s="93">
        <v>502.0100000000001</v>
      </c>
      <c r="T59" s="93">
        <v>500.99000000000012</v>
      </c>
      <c r="U59" s="93">
        <v>499.96000000000015</v>
      </c>
      <c r="V59" s="93">
        <v>498.93000000000012</v>
      </c>
      <c r="W59" s="93">
        <v>497.91000000000014</v>
      </c>
      <c r="X59" s="93">
        <v>496.88000000000011</v>
      </c>
      <c r="Y59" s="93">
        <v>495.85000000000014</v>
      </c>
      <c r="Z59" s="93">
        <v>494.8300000000001</v>
      </c>
      <c r="AA59" s="93">
        <v>493.80000000000013</v>
      </c>
      <c r="AB59" s="93">
        <v>492.7700000000001</v>
      </c>
      <c r="AC59" s="93">
        <v>491.75000000000011</v>
      </c>
      <c r="AD59" s="93">
        <v>490.72000000000014</v>
      </c>
      <c r="AE59" s="93">
        <v>489.69000000000011</v>
      </c>
      <c r="AF59" s="93">
        <v>488.67000000000013</v>
      </c>
      <c r="AG59" s="93">
        <v>487.6400000000001</v>
      </c>
      <c r="AH59" s="93">
        <v>486.62000000000012</v>
      </c>
      <c r="AI59" s="93">
        <v>485.59000000000015</v>
      </c>
      <c r="AJ59" s="93">
        <v>484.56000000000012</v>
      </c>
      <c r="AK59" s="93">
        <v>483.54000000000013</v>
      </c>
      <c r="AL59" s="93">
        <v>482.5100000000001</v>
      </c>
      <c r="AM59" s="93">
        <v>481.48000000000013</v>
      </c>
      <c r="AN59" s="93">
        <v>480.46000000000015</v>
      </c>
      <c r="AO59" s="93">
        <v>479.43000000000012</v>
      </c>
      <c r="AP59" s="93">
        <v>478.41000000000014</v>
      </c>
      <c r="AQ59" s="93">
        <v>477.38000000000011</v>
      </c>
      <c r="AR59" s="93">
        <v>476.36000000000013</v>
      </c>
      <c r="AS59" s="93">
        <v>475.3300000000001</v>
      </c>
      <c r="AT59" s="93">
        <v>474.30000000000013</v>
      </c>
      <c r="AU59" s="93">
        <v>473.28000000000014</v>
      </c>
      <c r="AV59" s="93">
        <v>472.25000000000011</v>
      </c>
      <c r="AW59" s="93">
        <v>471.23000000000013</v>
      </c>
      <c r="AX59" s="93">
        <v>470.2000000000001</v>
      </c>
      <c r="AY59" s="93">
        <v>469.18000000000012</v>
      </c>
      <c r="AZ59" s="93">
        <v>468.15000000000015</v>
      </c>
      <c r="BA59" s="93">
        <v>467.13000000000011</v>
      </c>
      <c r="BB59" s="93">
        <v>466.11000000000013</v>
      </c>
      <c r="BC59" s="93">
        <v>465.0800000000001</v>
      </c>
      <c r="BD59" s="93">
        <v>464.06000000000012</v>
      </c>
      <c r="BE59" s="93">
        <v>463.03000000000014</v>
      </c>
      <c r="BF59" s="93">
        <v>462.0100000000001</v>
      </c>
      <c r="BG59" s="93">
        <v>460.98000000000013</v>
      </c>
      <c r="BH59" s="93">
        <v>459.96000000000015</v>
      </c>
      <c r="BI59" s="93">
        <v>458.94000000000011</v>
      </c>
      <c r="BJ59" s="93">
        <v>457.91000000000014</v>
      </c>
      <c r="BK59" s="93">
        <v>456.8900000000001</v>
      </c>
      <c r="BL59" s="93">
        <v>455.87000000000012</v>
      </c>
      <c r="BM59" s="93">
        <v>454.84000000000015</v>
      </c>
      <c r="BN59" s="93">
        <v>453.82000000000011</v>
      </c>
      <c r="BO59" s="93">
        <v>452.80000000000013</v>
      </c>
      <c r="BP59" s="93">
        <v>451.78000000000014</v>
      </c>
      <c r="BQ59" s="93">
        <v>450.7600000000001</v>
      </c>
      <c r="BR59" s="93">
        <v>449.73000000000013</v>
      </c>
      <c r="BS59" s="93">
        <v>448.71000000000015</v>
      </c>
      <c r="BT59" s="93">
        <v>447.69000000000011</v>
      </c>
      <c r="BU59" s="93">
        <v>446.67000000000013</v>
      </c>
      <c r="BV59" s="93">
        <v>445.65000000000015</v>
      </c>
      <c r="BW59" s="93">
        <v>444.63000000000011</v>
      </c>
      <c r="BX59" s="93">
        <v>443.61000000000013</v>
      </c>
      <c r="BY59" s="93">
        <v>442.59000000000015</v>
      </c>
      <c r="BZ59" s="93">
        <v>441.57000000000011</v>
      </c>
      <c r="CA59" s="93">
        <v>440.55000000000013</v>
      </c>
      <c r="CB59" s="93">
        <v>439.53000000000014</v>
      </c>
      <c r="CC59" s="93">
        <v>438.5200000000001</v>
      </c>
      <c r="CD59" s="93">
        <v>437.50000000000011</v>
      </c>
      <c r="CE59" s="93">
        <v>436.48000000000013</v>
      </c>
      <c r="CF59" s="93">
        <v>435.46000000000015</v>
      </c>
      <c r="CG59" s="93">
        <v>434.44000000000011</v>
      </c>
      <c r="CH59" s="93">
        <v>433.42000000000013</v>
      </c>
      <c r="CI59" s="93">
        <v>432.41000000000014</v>
      </c>
      <c r="CJ59" s="93">
        <v>431.3900000000001</v>
      </c>
      <c r="CK59" s="93">
        <v>430.38000000000011</v>
      </c>
      <c r="CL59" s="93">
        <v>429.37000000000012</v>
      </c>
      <c r="CM59" s="93">
        <v>428.35000000000014</v>
      </c>
      <c r="CN59" s="93">
        <v>427.34000000000015</v>
      </c>
      <c r="CO59" s="93">
        <v>426.3300000000001</v>
      </c>
      <c r="CP59" s="93">
        <v>425.31000000000012</v>
      </c>
      <c r="CQ59" s="93">
        <v>424.30000000000013</v>
      </c>
      <c r="CR59" s="93">
        <v>423.29000000000013</v>
      </c>
      <c r="CS59" s="93">
        <v>422.2700000000001</v>
      </c>
      <c r="CT59" s="93">
        <v>421.2600000000001</v>
      </c>
      <c r="CU59" s="93">
        <v>420.25000000000011</v>
      </c>
      <c r="CV59" s="93">
        <v>419.24000000000012</v>
      </c>
      <c r="CW59" s="93">
        <v>418.23000000000013</v>
      </c>
      <c r="CX59" s="93">
        <v>417.23000000000013</v>
      </c>
      <c r="CY59" s="93">
        <v>416.22000000000014</v>
      </c>
      <c r="CZ59" s="93">
        <v>415.21000000000015</v>
      </c>
      <c r="DA59" s="93">
        <v>414.21000000000015</v>
      </c>
      <c r="DB59" s="93">
        <v>413.2000000000001</v>
      </c>
      <c r="DC59" s="93">
        <v>412.19000000000011</v>
      </c>
      <c r="DD59" s="93">
        <v>411.19000000000011</v>
      </c>
      <c r="DE59" s="93">
        <v>410.18000000000012</v>
      </c>
      <c r="DF59" s="93">
        <v>409.17000000000013</v>
      </c>
      <c r="DG59" s="93">
        <v>408.17000000000013</v>
      </c>
      <c r="DH59" s="93">
        <v>407.17000000000013</v>
      </c>
      <c r="DI59" s="93">
        <v>406.17000000000013</v>
      </c>
      <c r="DJ59" s="93">
        <v>405.17000000000013</v>
      </c>
      <c r="DK59" s="93">
        <v>404.17000000000013</v>
      </c>
      <c r="DL59" s="93">
        <v>403.17000000000013</v>
      </c>
      <c r="DM59" s="93">
        <v>402.17000000000013</v>
      </c>
      <c r="DN59" s="93">
        <v>401.17000000000013</v>
      </c>
      <c r="DO59" s="93">
        <v>400.17000000000013</v>
      </c>
      <c r="DP59" s="93">
        <v>399.17000000000013</v>
      </c>
      <c r="DQ59" s="93">
        <v>398.18000000000012</v>
      </c>
      <c r="DR59" s="93">
        <v>397.18000000000012</v>
      </c>
      <c r="DS59" s="93">
        <v>396.18000000000012</v>
      </c>
      <c r="DT59" s="93">
        <v>395.19000000000011</v>
      </c>
      <c r="DU59" s="93">
        <v>394.2000000000001</v>
      </c>
      <c r="DV59" s="93">
        <v>393.21000000000015</v>
      </c>
      <c r="DW59" s="93">
        <v>392.22000000000014</v>
      </c>
      <c r="DX59" s="93">
        <v>391.23000000000013</v>
      </c>
      <c r="DY59" s="93">
        <v>390.24000000000012</v>
      </c>
      <c r="DZ59" s="93">
        <v>389.25000000000011</v>
      </c>
      <c r="EA59" s="93">
        <v>388.2600000000001</v>
      </c>
      <c r="EB59" s="93">
        <v>387.28000000000014</v>
      </c>
      <c r="EC59" s="93">
        <v>386.29000000000013</v>
      </c>
      <c r="ED59" s="93">
        <v>385.30000000000013</v>
      </c>
      <c r="EE59" s="93">
        <v>384.32000000000011</v>
      </c>
      <c r="EF59" s="93">
        <v>383.34000000000015</v>
      </c>
      <c r="EG59" s="93">
        <v>382.36000000000013</v>
      </c>
      <c r="EH59" s="93">
        <v>381.38000000000011</v>
      </c>
      <c r="EI59" s="93">
        <v>380.41000000000014</v>
      </c>
      <c r="EJ59" s="93">
        <v>379.43000000000012</v>
      </c>
      <c r="EK59" s="93">
        <v>378.46000000000015</v>
      </c>
      <c r="EL59" s="93">
        <v>377.48000000000013</v>
      </c>
      <c r="EM59" s="93">
        <v>376.5100000000001</v>
      </c>
      <c r="EN59" s="93">
        <v>375.53000000000014</v>
      </c>
      <c r="EO59" s="93">
        <v>374.56000000000012</v>
      </c>
      <c r="EP59" s="93">
        <v>373.59000000000015</v>
      </c>
      <c r="EQ59" s="93">
        <v>372.61000000000013</v>
      </c>
      <c r="ER59" s="93">
        <v>371.65000000000015</v>
      </c>
      <c r="ES59" s="93">
        <v>370.68000000000012</v>
      </c>
      <c r="ET59" s="93">
        <v>369.71000000000015</v>
      </c>
      <c r="EU59" s="93">
        <v>368.75000000000011</v>
      </c>
      <c r="EV59" s="93">
        <v>367.78000000000014</v>
      </c>
      <c r="EW59" s="93">
        <v>366.82000000000011</v>
      </c>
      <c r="EX59" s="93">
        <v>365.86000000000013</v>
      </c>
      <c r="EY59" s="93">
        <v>364.8900000000001</v>
      </c>
      <c r="EZ59" s="93">
        <v>363.93000000000012</v>
      </c>
      <c r="FA59" s="93">
        <v>362.97000000000014</v>
      </c>
      <c r="FB59" s="93">
        <v>362.00000000000011</v>
      </c>
      <c r="FC59" s="93">
        <v>361.04000000000013</v>
      </c>
      <c r="FD59" s="93">
        <v>360.0800000000001</v>
      </c>
      <c r="FE59" s="93">
        <v>359.12000000000012</v>
      </c>
      <c r="FF59" s="93">
        <v>358.16000000000014</v>
      </c>
      <c r="FG59" s="93">
        <v>357.21000000000015</v>
      </c>
      <c r="FH59" s="93">
        <v>356.25000000000011</v>
      </c>
      <c r="FI59" s="93">
        <v>355.29000000000013</v>
      </c>
      <c r="FJ59" s="93">
        <v>354.3300000000001</v>
      </c>
      <c r="FK59" s="93">
        <v>353.38000000000011</v>
      </c>
      <c r="FL59" s="93">
        <v>352.42000000000013</v>
      </c>
      <c r="FM59" s="93">
        <v>351.47000000000014</v>
      </c>
      <c r="FN59" s="93">
        <v>350.5100000000001</v>
      </c>
      <c r="FO59" s="93">
        <v>349.56000000000012</v>
      </c>
      <c r="FP59" s="93">
        <v>348.61000000000013</v>
      </c>
      <c r="FQ59" s="93">
        <v>347.66000000000014</v>
      </c>
      <c r="FR59" s="93">
        <v>346.71000000000015</v>
      </c>
      <c r="FS59" s="93">
        <v>345.7600000000001</v>
      </c>
      <c r="FT59" s="93">
        <v>344.81000000000012</v>
      </c>
      <c r="FU59" s="93">
        <v>343.86000000000013</v>
      </c>
      <c r="FV59" s="93">
        <v>342.91000000000014</v>
      </c>
      <c r="FW59" s="93">
        <v>341.96000000000015</v>
      </c>
      <c r="FX59" s="93">
        <v>341.0100000000001</v>
      </c>
      <c r="FY59" s="93">
        <v>340.07000000000011</v>
      </c>
      <c r="FZ59" s="93">
        <v>339.12000000000012</v>
      </c>
      <c r="GA59" s="93">
        <v>338.18000000000012</v>
      </c>
      <c r="GB59" s="93">
        <v>337.23000000000013</v>
      </c>
      <c r="GC59" s="93">
        <v>336.29000000000013</v>
      </c>
      <c r="GD59" s="93">
        <v>335.35000000000014</v>
      </c>
      <c r="GE59" s="93">
        <v>334.41000000000014</v>
      </c>
      <c r="GF59" s="93">
        <v>333.47000000000014</v>
      </c>
      <c r="GG59" s="93">
        <v>332.53000000000014</v>
      </c>
      <c r="GH59" s="93">
        <v>331.59000000000015</v>
      </c>
      <c r="GI59" s="93">
        <v>330.65000000000015</v>
      </c>
      <c r="GJ59" s="93">
        <v>329.71000000000015</v>
      </c>
      <c r="GK59" s="93">
        <v>328.78000000000014</v>
      </c>
      <c r="GL59" s="93">
        <v>327.84000000000015</v>
      </c>
      <c r="GM59" s="93">
        <v>326.91000000000014</v>
      </c>
      <c r="GN59" s="93">
        <v>325.98000000000013</v>
      </c>
      <c r="GO59" s="93">
        <v>325.03000000000014</v>
      </c>
      <c r="GP59" s="93">
        <v>324.11000000000013</v>
      </c>
      <c r="GQ59" s="93">
        <v>323.18000000000012</v>
      </c>
      <c r="GR59" s="93">
        <v>322.25000000000011</v>
      </c>
      <c r="GS59" s="93">
        <v>321.3300000000001</v>
      </c>
      <c r="GT59" s="93">
        <v>320.40000000000015</v>
      </c>
      <c r="GU59" s="93">
        <v>319.47000000000014</v>
      </c>
      <c r="GV59" s="93">
        <v>318.55000000000013</v>
      </c>
      <c r="GW59" s="93">
        <v>317.62000000000012</v>
      </c>
      <c r="GX59" s="93">
        <v>316.7000000000001</v>
      </c>
      <c r="GY59" s="93">
        <v>315.78000000000014</v>
      </c>
      <c r="GZ59" s="93">
        <v>314.86000000000013</v>
      </c>
      <c r="HA59" s="93">
        <v>313.94000000000011</v>
      </c>
      <c r="HB59" s="93">
        <v>313.0200000000001</v>
      </c>
      <c r="HC59" s="93">
        <v>312.09000000000015</v>
      </c>
      <c r="HD59" s="93">
        <v>311.18000000000012</v>
      </c>
      <c r="HE59" s="93">
        <v>310.2700000000001</v>
      </c>
      <c r="HF59" s="93">
        <v>309.34000000000015</v>
      </c>
      <c r="HG59" s="93">
        <v>308.44000000000011</v>
      </c>
      <c r="HH59" s="93">
        <v>307.53000000000014</v>
      </c>
      <c r="HI59" s="93">
        <v>306.62000000000012</v>
      </c>
      <c r="HJ59" s="93">
        <v>305.71000000000015</v>
      </c>
      <c r="HK59" s="93">
        <v>304.80000000000013</v>
      </c>
      <c r="HL59" s="93">
        <v>303.8900000000001</v>
      </c>
      <c r="HM59" s="93">
        <v>302.98000000000013</v>
      </c>
      <c r="HN59" s="93">
        <v>302.0800000000001</v>
      </c>
      <c r="HO59" s="93">
        <v>301.17000000000013</v>
      </c>
      <c r="HP59" s="93">
        <v>300.2700000000001</v>
      </c>
      <c r="HQ59" s="93">
        <v>299.37000000000012</v>
      </c>
      <c r="HR59" s="93">
        <v>298.47000000000014</v>
      </c>
      <c r="HS59" s="93">
        <v>297.56000000000012</v>
      </c>
      <c r="HT59" s="93">
        <v>296.67000000000013</v>
      </c>
      <c r="HU59" s="93">
        <v>295.7700000000001</v>
      </c>
      <c r="HV59" s="93">
        <v>294.88000000000011</v>
      </c>
      <c r="HW59" s="93">
        <v>293.98000000000013</v>
      </c>
      <c r="HX59" s="93">
        <v>293.09000000000015</v>
      </c>
      <c r="HY59" s="93">
        <v>292.19000000000011</v>
      </c>
      <c r="HZ59" s="93">
        <v>291.30000000000013</v>
      </c>
      <c r="IA59" s="93">
        <v>290.41000000000014</v>
      </c>
      <c r="IB59" s="93">
        <v>289.5200000000001</v>
      </c>
      <c r="IC59" s="93">
        <v>288.63000000000011</v>
      </c>
      <c r="ID59" s="93">
        <v>287.74000000000012</v>
      </c>
      <c r="IE59" s="93">
        <v>286.84000000000015</v>
      </c>
      <c r="IF59" s="93">
        <v>285.97000000000014</v>
      </c>
      <c r="IG59" s="93">
        <v>285.0800000000001</v>
      </c>
      <c r="IH59" s="93">
        <v>284.2000000000001</v>
      </c>
      <c r="II59" s="93">
        <v>283.31000000000012</v>
      </c>
      <c r="IJ59" s="93">
        <v>282.43000000000012</v>
      </c>
      <c r="IK59" s="93">
        <v>281.55000000000013</v>
      </c>
      <c r="IL59" s="93">
        <v>280.67000000000013</v>
      </c>
      <c r="IM59" s="93">
        <v>279.78000000000014</v>
      </c>
      <c r="IN59" s="93">
        <v>278.92000000000013</v>
      </c>
      <c r="IO59" s="93">
        <v>278.03000000000014</v>
      </c>
      <c r="IP59" s="93">
        <v>277.16000000000014</v>
      </c>
      <c r="IQ59" s="93">
        <v>276.28000000000014</v>
      </c>
      <c r="IR59" s="93">
        <v>275.42000000000013</v>
      </c>
      <c r="IS59" s="93">
        <v>274.55000000000013</v>
      </c>
      <c r="IT59" s="93">
        <v>273.67000000000013</v>
      </c>
      <c r="IU59" s="93">
        <v>272.81000000000012</v>
      </c>
      <c r="IV59" s="93">
        <v>271.94000000000011</v>
      </c>
      <c r="IW59" s="93">
        <v>271.06000000000012</v>
      </c>
      <c r="IX59" s="93">
        <v>270.21000000000015</v>
      </c>
      <c r="IY59" s="93">
        <v>269.34000000000015</v>
      </c>
      <c r="IZ59" s="93">
        <v>268.48000000000013</v>
      </c>
      <c r="JA59" s="93">
        <v>267.62000000000012</v>
      </c>
      <c r="JB59" s="93">
        <v>266.75000000000011</v>
      </c>
      <c r="JC59" s="93">
        <v>265.90000000000015</v>
      </c>
      <c r="JD59" s="93">
        <v>265.03000000000014</v>
      </c>
      <c r="JE59" s="93">
        <v>264.18000000000012</v>
      </c>
      <c r="JF59" s="93">
        <v>263.3300000000001</v>
      </c>
      <c r="JG59" s="93">
        <v>262.47000000000014</v>
      </c>
      <c r="JH59" s="93">
        <v>261.62000000000012</v>
      </c>
      <c r="JI59" s="93">
        <v>260.7700000000001</v>
      </c>
      <c r="JJ59" s="93">
        <v>259.91000000000014</v>
      </c>
      <c r="JK59" s="93">
        <v>259.06000000000012</v>
      </c>
      <c r="JL59" s="93">
        <v>258.21000000000009</v>
      </c>
      <c r="JM59" s="93">
        <v>257.36</v>
      </c>
      <c r="JN59" s="93">
        <v>256.52</v>
      </c>
      <c r="JO59" s="93">
        <v>255.66999999999996</v>
      </c>
      <c r="JP59" s="93">
        <v>254.81999999999996</v>
      </c>
      <c r="JQ59" s="93">
        <v>253.97999999999996</v>
      </c>
      <c r="JR59" s="93">
        <v>253.12999999999994</v>
      </c>
      <c r="JS59" s="93">
        <v>252.28999999999996</v>
      </c>
      <c r="JT59" s="93">
        <v>251.44999999999996</v>
      </c>
      <c r="JU59" s="93">
        <v>250.60999999999996</v>
      </c>
      <c r="JV59" s="93">
        <v>249.76999999999995</v>
      </c>
      <c r="JW59" s="93">
        <v>248.92999999999995</v>
      </c>
      <c r="JX59" s="93">
        <v>248.08999999999995</v>
      </c>
      <c r="JY59" s="93">
        <v>247.25999999999996</v>
      </c>
      <c r="JZ59" s="93">
        <v>246.41999999999996</v>
      </c>
      <c r="KA59" s="93">
        <v>245.58999999999995</v>
      </c>
      <c r="KB59" s="93">
        <v>244.74999999999994</v>
      </c>
      <c r="KC59" s="93">
        <v>243.91999999999996</v>
      </c>
      <c r="KD59" s="93">
        <v>243.08999999999995</v>
      </c>
      <c r="KE59" s="93">
        <v>242.24999999999994</v>
      </c>
      <c r="KF59" s="93">
        <v>241.42999999999995</v>
      </c>
      <c r="KG59" s="93">
        <v>240.59999999999997</v>
      </c>
      <c r="KH59" s="93">
        <v>239.76999999999995</v>
      </c>
      <c r="KI59" s="93">
        <v>238.93999999999994</v>
      </c>
      <c r="KJ59" s="93">
        <v>238.11999999999995</v>
      </c>
      <c r="KK59" s="93">
        <v>237.28999999999996</v>
      </c>
      <c r="KL59" s="93">
        <v>236.46999999999994</v>
      </c>
      <c r="KM59" s="93">
        <v>235.64999999999995</v>
      </c>
      <c r="KN59" s="93">
        <v>234.82999999999996</v>
      </c>
      <c r="KO59" s="93">
        <v>234.00999999999996</v>
      </c>
      <c r="KP59" s="93">
        <v>233.18999999999994</v>
      </c>
      <c r="KQ59" s="93">
        <v>232.36999999999995</v>
      </c>
      <c r="KR59" s="93">
        <v>231.01000000000045</v>
      </c>
      <c r="KS59" s="93">
        <v>230.26000000000045</v>
      </c>
      <c r="KT59" s="93">
        <v>229.51000000000045</v>
      </c>
      <c r="KU59" s="93">
        <v>228.76000000000045</v>
      </c>
      <c r="KV59" s="93">
        <v>228.01000000000045</v>
      </c>
      <c r="KW59" s="93">
        <v>227.26000000000045</v>
      </c>
      <c r="KX59" s="93">
        <v>226.51000000000045</v>
      </c>
      <c r="KY59" s="93">
        <v>225.76000000000045</v>
      </c>
      <c r="KZ59" s="93">
        <v>225.01000000000045</v>
      </c>
      <c r="LA59" s="93">
        <v>224.26000000000045</v>
      </c>
      <c r="LB59" s="93">
        <v>223.51000000000045</v>
      </c>
      <c r="LC59" s="93">
        <v>222.76000000000045</v>
      </c>
      <c r="LD59" s="93">
        <v>222.01000000000045</v>
      </c>
      <c r="LE59" s="93">
        <v>221.26000000000045</v>
      </c>
      <c r="LF59" s="93">
        <v>220.51000000000045</v>
      </c>
      <c r="LG59" s="93">
        <v>219.76000000000045</v>
      </c>
      <c r="LH59" s="93">
        <v>219.01000000000045</v>
      </c>
      <c r="LI59" s="93">
        <v>218.26000000000045</v>
      </c>
      <c r="LJ59" s="93">
        <v>217.51000000000045</v>
      </c>
      <c r="LK59" s="93">
        <v>216.76000000000045</v>
      </c>
      <c r="LL59" s="93">
        <v>216.01000000000045</v>
      </c>
      <c r="LM59" s="93">
        <v>215.26000000000045</v>
      </c>
      <c r="LN59" s="93">
        <v>214.51000000000045</v>
      </c>
      <c r="LO59" s="93">
        <v>213.76000000000045</v>
      </c>
      <c r="LP59" s="93">
        <v>213.01000000000045</v>
      </c>
      <c r="LQ59" s="93">
        <v>212.26000000000045</v>
      </c>
      <c r="LR59" s="93">
        <v>211.51000000000045</v>
      </c>
      <c r="LS59" s="93">
        <v>210.76000000000045</v>
      </c>
      <c r="LT59" s="93">
        <v>210.01000000000045</v>
      </c>
      <c r="LU59" s="93">
        <v>209.26000000000045</v>
      </c>
      <c r="LV59" s="93">
        <v>208.51000000000045</v>
      </c>
      <c r="LW59" s="93">
        <v>207.76000000000045</v>
      </c>
      <c r="LX59" s="93">
        <v>207.01000000000045</v>
      </c>
      <c r="LY59" s="93">
        <v>206.26000000000045</v>
      </c>
      <c r="LZ59" s="93">
        <v>205.51000000000045</v>
      </c>
      <c r="MA59" s="93">
        <v>204.76000000000045</v>
      </c>
      <c r="MB59" s="93">
        <v>204.01000000000045</v>
      </c>
      <c r="MC59" s="93">
        <v>203.26000000000045</v>
      </c>
      <c r="MD59" s="93">
        <v>202.51000000000045</v>
      </c>
      <c r="ME59" s="93">
        <v>201.76000000000045</v>
      </c>
      <c r="MF59" s="93">
        <v>201.01000000000045</v>
      </c>
      <c r="MG59" s="93">
        <v>200.26000000000045</v>
      </c>
      <c r="MH59" s="93">
        <v>199.51000000000045</v>
      </c>
      <c r="MI59" s="93">
        <v>198.76000000000045</v>
      </c>
      <c r="MJ59" s="93">
        <v>198.01000000000045</v>
      </c>
      <c r="MK59" s="93">
        <v>197.26000000000045</v>
      </c>
      <c r="ML59" s="93">
        <v>196.51000000000045</v>
      </c>
      <c r="MM59" s="93">
        <v>195.76000000000045</v>
      </c>
      <c r="MN59" s="93">
        <v>195.01000000000045</v>
      </c>
      <c r="MO59" s="93">
        <v>194.26000000000045</v>
      </c>
      <c r="MP59" s="93">
        <v>193.51000000000045</v>
      </c>
      <c r="MQ59" s="93">
        <v>192.76000000000045</v>
      </c>
      <c r="MR59" s="93">
        <v>192.01000000000045</v>
      </c>
      <c r="MS59" s="93">
        <v>191.26000000000045</v>
      </c>
      <c r="MT59" s="93">
        <v>190.51000000000045</v>
      </c>
      <c r="MU59" s="93">
        <v>189.76000000000045</v>
      </c>
      <c r="MV59" s="93">
        <v>189.01000000000045</v>
      </c>
      <c r="MW59" s="93">
        <v>188.26000000000045</v>
      </c>
      <c r="MX59" s="93">
        <v>187.51000000000045</v>
      </c>
      <c r="MY59" s="93">
        <v>186.76000000000045</v>
      </c>
    </row>
    <row r="60" spans="1:363" ht="15.75" x14ac:dyDescent="0.25">
      <c r="A60" s="90" t="s">
        <v>7</v>
      </c>
      <c r="B60" s="95">
        <v>2070</v>
      </c>
      <c r="C60" s="93">
        <v>518.86</v>
      </c>
      <c r="D60" s="93">
        <v>517.82999999999993</v>
      </c>
      <c r="E60" s="93">
        <v>516.79999999999995</v>
      </c>
      <c r="F60" s="93">
        <v>515.89999999999975</v>
      </c>
      <c r="G60" s="93">
        <v>514.86999999999978</v>
      </c>
      <c r="H60" s="93">
        <v>513.83999999999992</v>
      </c>
      <c r="I60" s="93">
        <v>512.82000000000005</v>
      </c>
      <c r="J60" s="93">
        <v>511.79000000000013</v>
      </c>
      <c r="K60" s="93">
        <v>510.76000000000016</v>
      </c>
      <c r="L60" s="93">
        <v>509.74000000000012</v>
      </c>
      <c r="M60" s="93">
        <v>508.71000000000015</v>
      </c>
      <c r="N60" s="93">
        <v>507.69000000000017</v>
      </c>
      <c r="O60" s="93">
        <v>506.66000000000014</v>
      </c>
      <c r="P60" s="93">
        <v>505.63000000000017</v>
      </c>
      <c r="Q60" s="93">
        <v>504.61000000000013</v>
      </c>
      <c r="R60" s="93">
        <v>503.58000000000015</v>
      </c>
      <c r="S60" s="93">
        <v>502.55000000000013</v>
      </c>
      <c r="T60" s="93">
        <v>501.53000000000014</v>
      </c>
      <c r="U60" s="93">
        <v>500.50000000000017</v>
      </c>
      <c r="V60" s="93">
        <v>499.47000000000014</v>
      </c>
      <c r="W60" s="93">
        <v>498.45000000000016</v>
      </c>
      <c r="X60" s="93">
        <v>497.42000000000013</v>
      </c>
      <c r="Y60" s="93">
        <v>496.39000000000016</v>
      </c>
      <c r="Z60" s="93">
        <v>495.37000000000012</v>
      </c>
      <c r="AA60" s="93">
        <v>494.34000000000015</v>
      </c>
      <c r="AB60" s="93">
        <v>493.31000000000012</v>
      </c>
      <c r="AC60" s="93">
        <v>492.29000000000013</v>
      </c>
      <c r="AD60" s="93">
        <v>491.26000000000016</v>
      </c>
      <c r="AE60" s="93">
        <v>490.23000000000013</v>
      </c>
      <c r="AF60" s="93">
        <v>489.21000000000015</v>
      </c>
      <c r="AG60" s="93">
        <v>488.18000000000012</v>
      </c>
      <c r="AH60" s="93">
        <v>487.16000000000014</v>
      </c>
      <c r="AI60" s="93">
        <v>486.13000000000017</v>
      </c>
      <c r="AJ60" s="93">
        <v>485.10000000000014</v>
      </c>
      <c r="AK60" s="93">
        <v>484.08000000000015</v>
      </c>
      <c r="AL60" s="93">
        <v>483.05000000000013</v>
      </c>
      <c r="AM60" s="93">
        <v>482.02000000000015</v>
      </c>
      <c r="AN60" s="93">
        <v>481.00000000000017</v>
      </c>
      <c r="AO60" s="93">
        <v>479.97000000000014</v>
      </c>
      <c r="AP60" s="93">
        <v>478.95000000000016</v>
      </c>
      <c r="AQ60" s="93">
        <v>477.92000000000013</v>
      </c>
      <c r="AR60" s="93">
        <v>476.90000000000015</v>
      </c>
      <c r="AS60" s="93">
        <v>475.87000000000012</v>
      </c>
      <c r="AT60" s="93">
        <v>474.84000000000015</v>
      </c>
      <c r="AU60" s="93">
        <v>473.82000000000016</v>
      </c>
      <c r="AV60" s="93">
        <v>472.79000000000013</v>
      </c>
      <c r="AW60" s="93">
        <v>471.77000000000015</v>
      </c>
      <c r="AX60" s="93">
        <v>470.74000000000012</v>
      </c>
      <c r="AY60" s="93">
        <v>469.72000000000014</v>
      </c>
      <c r="AZ60" s="93">
        <v>468.69000000000017</v>
      </c>
      <c r="BA60" s="93">
        <v>467.67000000000013</v>
      </c>
      <c r="BB60" s="93">
        <v>466.65000000000015</v>
      </c>
      <c r="BC60" s="93">
        <v>465.62000000000012</v>
      </c>
      <c r="BD60" s="93">
        <v>464.60000000000014</v>
      </c>
      <c r="BE60" s="93">
        <v>463.57000000000016</v>
      </c>
      <c r="BF60" s="93">
        <v>462.55000000000013</v>
      </c>
      <c r="BG60" s="93">
        <v>461.52000000000015</v>
      </c>
      <c r="BH60" s="93">
        <v>460.50000000000017</v>
      </c>
      <c r="BI60" s="93">
        <v>459.48000000000013</v>
      </c>
      <c r="BJ60" s="93">
        <v>458.45000000000016</v>
      </c>
      <c r="BK60" s="93">
        <v>457.43000000000012</v>
      </c>
      <c r="BL60" s="93">
        <v>456.41000000000014</v>
      </c>
      <c r="BM60" s="93">
        <v>455.38000000000017</v>
      </c>
      <c r="BN60" s="93">
        <v>454.36000000000013</v>
      </c>
      <c r="BO60" s="93">
        <v>453.34000000000015</v>
      </c>
      <c r="BP60" s="93">
        <v>452.32000000000016</v>
      </c>
      <c r="BQ60" s="93">
        <v>451.30000000000013</v>
      </c>
      <c r="BR60" s="93">
        <v>450.27000000000015</v>
      </c>
      <c r="BS60" s="93">
        <v>449.25000000000017</v>
      </c>
      <c r="BT60" s="93">
        <v>448.23000000000013</v>
      </c>
      <c r="BU60" s="93">
        <v>447.21000000000015</v>
      </c>
      <c r="BV60" s="93">
        <v>446.19000000000017</v>
      </c>
      <c r="BW60" s="93">
        <v>445.17000000000013</v>
      </c>
      <c r="BX60" s="93">
        <v>444.15000000000015</v>
      </c>
      <c r="BY60" s="93">
        <v>443.13000000000017</v>
      </c>
      <c r="BZ60" s="93">
        <v>442.11000000000013</v>
      </c>
      <c r="CA60" s="93">
        <v>441.09000000000015</v>
      </c>
      <c r="CB60" s="93">
        <v>440.07000000000016</v>
      </c>
      <c r="CC60" s="93">
        <v>439.06000000000012</v>
      </c>
      <c r="CD60" s="93">
        <v>438.04000000000013</v>
      </c>
      <c r="CE60" s="93">
        <v>437.02000000000015</v>
      </c>
      <c r="CF60" s="93">
        <v>436.00000000000017</v>
      </c>
      <c r="CG60" s="93">
        <v>434.98000000000013</v>
      </c>
      <c r="CH60" s="93">
        <v>433.96000000000015</v>
      </c>
      <c r="CI60" s="93">
        <v>432.95000000000016</v>
      </c>
      <c r="CJ60" s="93">
        <v>431.93000000000012</v>
      </c>
      <c r="CK60" s="93">
        <v>430.92000000000013</v>
      </c>
      <c r="CL60" s="93">
        <v>429.91000000000014</v>
      </c>
      <c r="CM60" s="93">
        <v>428.89000000000016</v>
      </c>
      <c r="CN60" s="93">
        <v>427.88000000000017</v>
      </c>
      <c r="CO60" s="93">
        <v>426.87000000000012</v>
      </c>
      <c r="CP60" s="93">
        <v>425.85000000000014</v>
      </c>
      <c r="CQ60" s="93">
        <v>424.84000000000015</v>
      </c>
      <c r="CR60" s="93">
        <v>423.83000000000015</v>
      </c>
      <c r="CS60" s="93">
        <v>422.81000000000012</v>
      </c>
      <c r="CT60" s="93">
        <v>421.80000000000013</v>
      </c>
      <c r="CU60" s="93">
        <v>420.79000000000013</v>
      </c>
      <c r="CV60" s="93">
        <v>419.78000000000014</v>
      </c>
      <c r="CW60" s="93">
        <v>418.77000000000015</v>
      </c>
      <c r="CX60" s="93">
        <v>417.77000000000015</v>
      </c>
      <c r="CY60" s="93">
        <v>416.76000000000016</v>
      </c>
      <c r="CZ60" s="93">
        <v>415.75000000000017</v>
      </c>
      <c r="DA60" s="93">
        <v>414.75000000000017</v>
      </c>
      <c r="DB60" s="93">
        <v>413.74000000000012</v>
      </c>
      <c r="DC60" s="93">
        <v>412.73000000000013</v>
      </c>
      <c r="DD60" s="93">
        <v>411.73000000000013</v>
      </c>
      <c r="DE60" s="93">
        <v>410.72000000000014</v>
      </c>
      <c r="DF60" s="93">
        <v>409.71000000000015</v>
      </c>
      <c r="DG60" s="93">
        <v>408.71000000000015</v>
      </c>
      <c r="DH60" s="93">
        <v>407.71000000000015</v>
      </c>
      <c r="DI60" s="93">
        <v>406.71000000000015</v>
      </c>
      <c r="DJ60" s="93">
        <v>405.71000000000015</v>
      </c>
      <c r="DK60" s="93">
        <v>404.71000000000015</v>
      </c>
      <c r="DL60" s="93">
        <v>403.71000000000015</v>
      </c>
      <c r="DM60" s="93">
        <v>402.71000000000015</v>
      </c>
      <c r="DN60" s="93">
        <v>401.71000000000015</v>
      </c>
      <c r="DO60" s="93">
        <v>400.71000000000015</v>
      </c>
      <c r="DP60" s="93">
        <v>399.71000000000015</v>
      </c>
      <c r="DQ60" s="93">
        <v>398.72000000000014</v>
      </c>
      <c r="DR60" s="93">
        <v>397.72000000000014</v>
      </c>
      <c r="DS60" s="93">
        <v>396.72000000000014</v>
      </c>
      <c r="DT60" s="93">
        <v>395.73000000000013</v>
      </c>
      <c r="DU60" s="93">
        <v>394.74000000000012</v>
      </c>
      <c r="DV60" s="93">
        <v>393.75000000000017</v>
      </c>
      <c r="DW60" s="93">
        <v>392.76000000000016</v>
      </c>
      <c r="DX60" s="93">
        <v>391.77000000000015</v>
      </c>
      <c r="DY60" s="93">
        <v>390.78000000000014</v>
      </c>
      <c r="DZ60" s="93">
        <v>389.79000000000013</v>
      </c>
      <c r="EA60" s="93">
        <v>388.80000000000013</v>
      </c>
      <c r="EB60" s="93">
        <v>387.82000000000016</v>
      </c>
      <c r="EC60" s="93">
        <v>386.83000000000015</v>
      </c>
      <c r="ED60" s="93">
        <v>385.84000000000015</v>
      </c>
      <c r="EE60" s="93">
        <v>384.86000000000013</v>
      </c>
      <c r="EF60" s="93">
        <v>383.88000000000017</v>
      </c>
      <c r="EG60" s="93">
        <v>382.90000000000015</v>
      </c>
      <c r="EH60" s="93">
        <v>381.92000000000013</v>
      </c>
      <c r="EI60" s="93">
        <v>380.95000000000016</v>
      </c>
      <c r="EJ60" s="93">
        <v>379.97000000000014</v>
      </c>
      <c r="EK60" s="93">
        <v>379.00000000000017</v>
      </c>
      <c r="EL60" s="93">
        <v>378.02000000000015</v>
      </c>
      <c r="EM60" s="93">
        <v>377.05000000000013</v>
      </c>
      <c r="EN60" s="93">
        <v>376.07000000000016</v>
      </c>
      <c r="EO60" s="93">
        <v>375.10000000000014</v>
      </c>
      <c r="EP60" s="93">
        <v>374.13000000000017</v>
      </c>
      <c r="EQ60" s="93">
        <v>373.15000000000015</v>
      </c>
      <c r="ER60" s="93">
        <v>372.19000000000017</v>
      </c>
      <c r="ES60" s="93">
        <v>371.22000000000014</v>
      </c>
      <c r="ET60" s="93">
        <v>370.25000000000017</v>
      </c>
      <c r="EU60" s="93">
        <v>369.29000000000013</v>
      </c>
      <c r="EV60" s="93">
        <v>368.32000000000016</v>
      </c>
      <c r="EW60" s="93">
        <v>367.36000000000013</v>
      </c>
      <c r="EX60" s="93">
        <v>366.40000000000015</v>
      </c>
      <c r="EY60" s="93">
        <v>365.43000000000012</v>
      </c>
      <c r="EZ60" s="93">
        <v>364.47000000000014</v>
      </c>
      <c r="FA60" s="93">
        <v>363.51000000000016</v>
      </c>
      <c r="FB60" s="93">
        <v>362.54000000000013</v>
      </c>
      <c r="FC60" s="93">
        <v>361.58000000000015</v>
      </c>
      <c r="FD60" s="93">
        <v>360.62000000000012</v>
      </c>
      <c r="FE60" s="93">
        <v>359.66000000000014</v>
      </c>
      <c r="FF60" s="93">
        <v>358.70000000000016</v>
      </c>
      <c r="FG60" s="93">
        <v>357.75000000000017</v>
      </c>
      <c r="FH60" s="93">
        <v>356.79000000000013</v>
      </c>
      <c r="FI60" s="93">
        <v>355.83000000000015</v>
      </c>
      <c r="FJ60" s="93">
        <v>354.87000000000012</v>
      </c>
      <c r="FK60" s="93">
        <v>353.92000000000013</v>
      </c>
      <c r="FL60" s="93">
        <v>352.96000000000015</v>
      </c>
      <c r="FM60" s="93">
        <v>352.01000000000016</v>
      </c>
      <c r="FN60" s="93">
        <v>351.05000000000013</v>
      </c>
      <c r="FO60" s="93">
        <v>350.10000000000014</v>
      </c>
      <c r="FP60" s="93">
        <v>349.15000000000015</v>
      </c>
      <c r="FQ60" s="93">
        <v>348.20000000000016</v>
      </c>
      <c r="FR60" s="93">
        <v>347.25000000000017</v>
      </c>
      <c r="FS60" s="93">
        <v>346.30000000000013</v>
      </c>
      <c r="FT60" s="93">
        <v>345.35000000000014</v>
      </c>
      <c r="FU60" s="93">
        <v>344.40000000000015</v>
      </c>
      <c r="FV60" s="93">
        <v>343.45000000000016</v>
      </c>
      <c r="FW60" s="93">
        <v>342.50000000000017</v>
      </c>
      <c r="FX60" s="93">
        <v>341.55000000000013</v>
      </c>
      <c r="FY60" s="93">
        <v>340.61000000000013</v>
      </c>
      <c r="FZ60" s="93">
        <v>339.66000000000014</v>
      </c>
      <c r="GA60" s="93">
        <v>338.72000000000014</v>
      </c>
      <c r="GB60" s="93">
        <v>337.77000000000015</v>
      </c>
      <c r="GC60" s="93">
        <v>336.83000000000015</v>
      </c>
      <c r="GD60" s="93">
        <v>335.89000000000016</v>
      </c>
      <c r="GE60" s="93">
        <v>334.95000000000016</v>
      </c>
      <c r="GF60" s="93">
        <v>334.01000000000016</v>
      </c>
      <c r="GG60" s="93">
        <v>333.07000000000016</v>
      </c>
      <c r="GH60" s="93">
        <v>332.13000000000017</v>
      </c>
      <c r="GI60" s="93">
        <v>331.19000000000017</v>
      </c>
      <c r="GJ60" s="93">
        <v>330.25000000000017</v>
      </c>
      <c r="GK60" s="93">
        <v>329.32000000000016</v>
      </c>
      <c r="GL60" s="93">
        <v>328.38000000000017</v>
      </c>
      <c r="GM60" s="93">
        <v>327.45000000000016</v>
      </c>
      <c r="GN60" s="93">
        <v>326.52000000000015</v>
      </c>
      <c r="GO60" s="93">
        <v>325.57000000000016</v>
      </c>
      <c r="GP60" s="93">
        <v>324.65000000000015</v>
      </c>
      <c r="GQ60" s="93">
        <v>323.72000000000014</v>
      </c>
      <c r="GR60" s="93">
        <v>322.79000000000013</v>
      </c>
      <c r="GS60" s="93">
        <v>321.87000000000012</v>
      </c>
      <c r="GT60" s="93">
        <v>320.94000000000017</v>
      </c>
      <c r="GU60" s="93">
        <v>320.01000000000016</v>
      </c>
      <c r="GV60" s="93">
        <v>319.09000000000015</v>
      </c>
      <c r="GW60" s="93">
        <v>318.16000000000014</v>
      </c>
      <c r="GX60" s="93">
        <v>317.24000000000012</v>
      </c>
      <c r="GY60" s="93">
        <v>316.32000000000016</v>
      </c>
      <c r="GZ60" s="93">
        <v>315.40000000000015</v>
      </c>
      <c r="HA60" s="93">
        <v>314.48000000000013</v>
      </c>
      <c r="HB60" s="93">
        <v>313.56000000000012</v>
      </c>
      <c r="HC60" s="93">
        <v>312.63000000000017</v>
      </c>
      <c r="HD60" s="93">
        <v>311.72000000000014</v>
      </c>
      <c r="HE60" s="93">
        <v>310.81000000000012</v>
      </c>
      <c r="HF60" s="93">
        <v>309.88000000000017</v>
      </c>
      <c r="HG60" s="93">
        <v>308.98000000000013</v>
      </c>
      <c r="HH60" s="93">
        <v>308.07000000000016</v>
      </c>
      <c r="HI60" s="93">
        <v>307.16000000000014</v>
      </c>
      <c r="HJ60" s="93">
        <v>306.25000000000017</v>
      </c>
      <c r="HK60" s="93">
        <v>305.34000000000015</v>
      </c>
      <c r="HL60" s="93">
        <v>304.43000000000012</v>
      </c>
      <c r="HM60" s="93">
        <v>303.52000000000015</v>
      </c>
      <c r="HN60" s="93">
        <v>302.62000000000012</v>
      </c>
      <c r="HO60" s="93">
        <v>301.71000000000015</v>
      </c>
      <c r="HP60" s="93">
        <v>300.81000000000012</v>
      </c>
      <c r="HQ60" s="93">
        <v>299.91000000000014</v>
      </c>
      <c r="HR60" s="93">
        <v>299.01000000000016</v>
      </c>
      <c r="HS60" s="93">
        <v>298.10000000000014</v>
      </c>
      <c r="HT60" s="93">
        <v>297.21000000000015</v>
      </c>
      <c r="HU60" s="93">
        <v>296.31000000000012</v>
      </c>
      <c r="HV60" s="93">
        <v>295.42000000000013</v>
      </c>
      <c r="HW60" s="93">
        <v>294.52000000000015</v>
      </c>
      <c r="HX60" s="93">
        <v>293.63000000000017</v>
      </c>
      <c r="HY60" s="93">
        <v>292.73000000000013</v>
      </c>
      <c r="HZ60" s="93">
        <v>291.84000000000015</v>
      </c>
      <c r="IA60" s="93">
        <v>290.95000000000016</v>
      </c>
      <c r="IB60" s="93">
        <v>290.06000000000012</v>
      </c>
      <c r="IC60" s="93">
        <v>289.17000000000013</v>
      </c>
      <c r="ID60" s="93">
        <v>288.28000000000014</v>
      </c>
      <c r="IE60" s="93">
        <v>287.38000000000017</v>
      </c>
      <c r="IF60" s="93">
        <v>286.51000000000016</v>
      </c>
      <c r="IG60" s="93">
        <v>285.62000000000012</v>
      </c>
      <c r="IH60" s="93">
        <v>284.74000000000012</v>
      </c>
      <c r="II60" s="93">
        <v>283.85000000000014</v>
      </c>
      <c r="IJ60" s="93">
        <v>282.97000000000014</v>
      </c>
      <c r="IK60" s="93">
        <v>282.09000000000015</v>
      </c>
      <c r="IL60" s="93">
        <v>281.21000000000015</v>
      </c>
      <c r="IM60" s="93">
        <v>280.32000000000016</v>
      </c>
      <c r="IN60" s="93">
        <v>279.46000000000015</v>
      </c>
      <c r="IO60" s="93">
        <v>278.57000000000016</v>
      </c>
      <c r="IP60" s="93">
        <v>277.70000000000016</v>
      </c>
      <c r="IQ60" s="93">
        <v>276.82000000000016</v>
      </c>
      <c r="IR60" s="93">
        <v>275.96000000000015</v>
      </c>
      <c r="IS60" s="93">
        <v>275.09000000000015</v>
      </c>
      <c r="IT60" s="93">
        <v>274.21000000000015</v>
      </c>
      <c r="IU60" s="93">
        <v>273.35000000000014</v>
      </c>
      <c r="IV60" s="93">
        <v>272.48000000000013</v>
      </c>
      <c r="IW60" s="93">
        <v>271.60000000000014</v>
      </c>
      <c r="IX60" s="93">
        <v>270.75000000000017</v>
      </c>
      <c r="IY60" s="93">
        <v>269.88000000000017</v>
      </c>
      <c r="IZ60" s="93">
        <v>269.02000000000015</v>
      </c>
      <c r="JA60" s="93">
        <v>268.16000000000014</v>
      </c>
      <c r="JB60" s="93">
        <v>267.29000000000013</v>
      </c>
      <c r="JC60" s="93">
        <v>266.44000000000017</v>
      </c>
      <c r="JD60" s="93">
        <v>265.57000000000016</v>
      </c>
      <c r="JE60" s="93">
        <v>264.72000000000014</v>
      </c>
      <c r="JF60" s="93">
        <v>263.87000000000012</v>
      </c>
      <c r="JG60" s="93">
        <v>263.01000000000016</v>
      </c>
      <c r="JH60" s="93">
        <v>262.16000000000014</v>
      </c>
      <c r="JI60" s="93">
        <v>261.31000000000012</v>
      </c>
      <c r="JJ60" s="93">
        <v>260.45000000000016</v>
      </c>
      <c r="JK60" s="93">
        <v>259.60000000000014</v>
      </c>
      <c r="JL60" s="93">
        <v>258.75000000000011</v>
      </c>
      <c r="JM60" s="93">
        <v>257.90000000000003</v>
      </c>
      <c r="JN60" s="93">
        <v>257.06</v>
      </c>
      <c r="JO60" s="93">
        <v>256.20999999999998</v>
      </c>
      <c r="JP60" s="93">
        <v>255.35999999999996</v>
      </c>
      <c r="JQ60" s="93">
        <v>254.51999999999995</v>
      </c>
      <c r="JR60" s="93">
        <v>253.66999999999993</v>
      </c>
      <c r="JS60" s="93">
        <v>252.82999999999996</v>
      </c>
      <c r="JT60" s="93">
        <v>251.98999999999995</v>
      </c>
      <c r="JU60" s="93">
        <v>251.14999999999995</v>
      </c>
      <c r="JV60" s="93">
        <v>250.30999999999995</v>
      </c>
      <c r="JW60" s="93">
        <v>249.46999999999994</v>
      </c>
      <c r="JX60" s="93">
        <v>248.62999999999994</v>
      </c>
      <c r="JY60" s="93">
        <v>247.79999999999995</v>
      </c>
      <c r="JZ60" s="93">
        <v>246.95999999999995</v>
      </c>
      <c r="KA60" s="93">
        <v>246.12999999999994</v>
      </c>
      <c r="KB60" s="93">
        <v>245.28999999999994</v>
      </c>
      <c r="KC60" s="93">
        <v>244.45999999999995</v>
      </c>
      <c r="KD60" s="93">
        <v>243.62999999999994</v>
      </c>
      <c r="KE60" s="93">
        <v>242.78999999999994</v>
      </c>
      <c r="KF60" s="93">
        <v>241.96999999999994</v>
      </c>
      <c r="KG60" s="93">
        <v>241.13999999999996</v>
      </c>
      <c r="KH60" s="93">
        <v>240.30999999999995</v>
      </c>
      <c r="KI60" s="93">
        <v>239.47999999999993</v>
      </c>
      <c r="KJ60" s="93">
        <v>238.65999999999994</v>
      </c>
      <c r="KK60" s="93">
        <v>237.82999999999996</v>
      </c>
      <c r="KL60" s="93">
        <v>237.00999999999993</v>
      </c>
      <c r="KM60" s="93">
        <v>236.18999999999994</v>
      </c>
      <c r="KN60" s="93">
        <v>235.36999999999995</v>
      </c>
      <c r="KO60" s="93">
        <v>234.54999999999995</v>
      </c>
      <c r="KP60" s="93">
        <v>233.72999999999993</v>
      </c>
      <c r="KQ60" s="93">
        <v>232.90999999999994</v>
      </c>
      <c r="KR60" s="93">
        <v>231.47000000000045</v>
      </c>
      <c r="KS60" s="93">
        <v>230.72000000000045</v>
      </c>
      <c r="KT60" s="93">
        <v>229.97000000000045</v>
      </c>
      <c r="KU60" s="93">
        <v>229.22000000000045</v>
      </c>
      <c r="KV60" s="93">
        <v>228.47000000000045</v>
      </c>
      <c r="KW60" s="93">
        <v>227.72000000000045</v>
      </c>
      <c r="KX60" s="93">
        <v>226.97000000000045</v>
      </c>
      <c r="KY60" s="93">
        <v>226.22000000000045</v>
      </c>
      <c r="KZ60" s="93">
        <v>225.47000000000045</v>
      </c>
      <c r="LA60" s="93">
        <v>224.72000000000045</v>
      </c>
      <c r="LB60" s="93">
        <v>223.97000000000045</v>
      </c>
      <c r="LC60" s="93">
        <v>223.22000000000045</v>
      </c>
      <c r="LD60" s="93">
        <v>222.47000000000045</v>
      </c>
      <c r="LE60" s="93">
        <v>221.72000000000045</v>
      </c>
      <c r="LF60" s="93">
        <v>220.97000000000045</v>
      </c>
      <c r="LG60" s="93">
        <v>220.22000000000045</v>
      </c>
      <c r="LH60" s="93">
        <v>219.47000000000045</v>
      </c>
      <c r="LI60" s="93">
        <v>218.72000000000045</v>
      </c>
      <c r="LJ60" s="93">
        <v>217.97000000000045</v>
      </c>
      <c r="LK60" s="93">
        <v>217.22000000000045</v>
      </c>
      <c r="LL60" s="93">
        <v>216.47000000000045</v>
      </c>
      <c r="LM60" s="93">
        <v>215.72000000000045</v>
      </c>
      <c r="LN60" s="93">
        <v>214.97000000000045</v>
      </c>
      <c r="LO60" s="93">
        <v>214.22000000000045</v>
      </c>
      <c r="LP60" s="93">
        <v>213.47000000000045</v>
      </c>
      <c r="LQ60" s="93">
        <v>212.72000000000045</v>
      </c>
      <c r="LR60" s="93">
        <v>211.97000000000045</v>
      </c>
      <c r="LS60" s="93">
        <v>211.22000000000045</v>
      </c>
      <c r="LT60" s="93">
        <v>210.47000000000045</v>
      </c>
      <c r="LU60" s="93">
        <v>209.72000000000045</v>
      </c>
      <c r="LV60" s="93">
        <v>208.97000000000045</v>
      </c>
      <c r="LW60" s="93">
        <v>208.22000000000045</v>
      </c>
      <c r="LX60" s="93">
        <v>207.47000000000045</v>
      </c>
      <c r="LY60" s="93">
        <v>206.72000000000045</v>
      </c>
      <c r="LZ60" s="93">
        <v>205.97000000000045</v>
      </c>
      <c r="MA60" s="93">
        <v>205.22000000000045</v>
      </c>
      <c r="MB60" s="93">
        <v>204.47000000000045</v>
      </c>
      <c r="MC60" s="93">
        <v>203.72000000000045</v>
      </c>
      <c r="MD60" s="93">
        <v>202.97000000000045</v>
      </c>
      <c r="ME60" s="93">
        <v>202.22000000000045</v>
      </c>
      <c r="MF60" s="93">
        <v>201.47000000000045</v>
      </c>
      <c r="MG60" s="93">
        <v>200.72000000000045</v>
      </c>
      <c r="MH60" s="93">
        <v>199.97000000000045</v>
      </c>
      <c r="MI60" s="93">
        <v>199.22000000000045</v>
      </c>
      <c r="MJ60" s="93">
        <v>198.47000000000045</v>
      </c>
      <c r="MK60" s="93">
        <v>197.72000000000045</v>
      </c>
      <c r="ML60" s="93">
        <v>196.97000000000045</v>
      </c>
      <c r="MM60" s="93">
        <v>196.22000000000045</v>
      </c>
      <c r="MN60" s="93">
        <v>195.47000000000045</v>
      </c>
      <c r="MO60" s="93">
        <v>194.72000000000045</v>
      </c>
      <c r="MP60" s="93">
        <v>193.97000000000045</v>
      </c>
      <c r="MQ60" s="93">
        <v>193.22000000000045</v>
      </c>
      <c r="MR60" s="93">
        <v>192.47000000000045</v>
      </c>
      <c r="MS60" s="93">
        <v>191.72000000000045</v>
      </c>
      <c r="MT60" s="93">
        <v>190.97000000000045</v>
      </c>
      <c r="MU60" s="93">
        <v>190.22000000000045</v>
      </c>
      <c r="MV60" s="93">
        <v>189.47000000000045</v>
      </c>
      <c r="MW60" s="93">
        <v>188.72000000000045</v>
      </c>
      <c r="MX60" s="93">
        <v>187.97000000000045</v>
      </c>
      <c r="MY60" s="93">
        <v>187.22000000000045</v>
      </c>
    </row>
    <row r="61" spans="1:363" ht="15.75" x14ac:dyDescent="0.25">
      <c r="A61" s="90" t="s">
        <v>7</v>
      </c>
      <c r="B61" s="95">
        <v>2071</v>
      </c>
      <c r="C61" s="93">
        <v>519.38</v>
      </c>
      <c r="D61" s="93">
        <v>518.34999999999991</v>
      </c>
      <c r="E61" s="93">
        <v>517.31999999999994</v>
      </c>
      <c r="F61" s="93">
        <v>516.43999999999971</v>
      </c>
      <c r="G61" s="93">
        <v>515.40999999999974</v>
      </c>
      <c r="H61" s="93">
        <v>514.37999999999988</v>
      </c>
      <c r="I61" s="93">
        <v>513.36</v>
      </c>
      <c r="J61" s="93">
        <v>512.33000000000015</v>
      </c>
      <c r="K61" s="93">
        <v>511.30000000000018</v>
      </c>
      <c r="L61" s="93">
        <v>510.28000000000014</v>
      </c>
      <c r="M61" s="93">
        <v>509.25000000000017</v>
      </c>
      <c r="N61" s="93">
        <v>508.23000000000019</v>
      </c>
      <c r="O61" s="93">
        <v>507.20000000000016</v>
      </c>
      <c r="P61" s="93">
        <v>506.17000000000019</v>
      </c>
      <c r="Q61" s="93">
        <v>505.15000000000015</v>
      </c>
      <c r="R61" s="93">
        <v>504.12000000000018</v>
      </c>
      <c r="S61" s="93">
        <v>503.09000000000015</v>
      </c>
      <c r="T61" s="93">
        <v>502.07000000000016</v>
      </c>
      <c r="U61" s="93">
        <v>501.04000000000019</v>
      </c>
      <c r="V61" s="93">
        <v>500.01000000000016</v>
      </c>
      <c r="W61" s="93">
        <v>498.99000000000018</v>
      </c>
      <c r="X61" s="93">
        <v>497.96000000000015</v>
      </c>
      <c r="Y61" s="93">
        <v>496.93000000000018</v>
      </c>
      <c r="Z61" s="93">
        <v>495.91000000000014</v>
      </c>
      <c r="AA61" s="93">
        <v>494.88000000000017</v>
      </c>
      <c r="AB61" s="93">
        <v>493.85000000000014</v>
      </c>
      <c r="AC61" s="93">
        <v>492.83000000000015</v>
      </c>
      <c r="AD61" s="93">
        <v>491.80000000000018</v>
      </c>
      <c r="AE61" s="93">
        <v>490.77000000000015</v>
      </c>
      <c r="AF61" s="93">
        <v>489.75000000000017</v>
      </c>
      <c r="AG61" s="93">
        <v>488.72000000000014</v>
      </c>
      <c r="AH61" s="93">
        <v>487.70000000000016</v>
      </c>
      <c r="AI61" s="93">
        <v>486.67000000000019</v>
      </c>
      <c r="AJ61" s="93">
        <v>485.64000000000016</v>
      </c>
      <c r="AK61" s="93">
        <v>484.62000000000018</v>
      </c>
      <c r="AL61" s="93">
        <v>483.59000000000015</v>
      </c>
      <c r="AM61" s="93">
        <v>482.56000000000017</v>
      </c>
      <c r="AN61" s="93">
        <v>481.54000000000019</v>
      </c>
      <c r="AO61" s="93">
        <v>480.51000000000016</v>
      </c>
      <c r="AP61" s="93">
        <v>479.49000000000018</v>
      </c>
      <c r="AQ61" s="93">
        <v>478.46000000000015</v>
      </c>
      <c r="AR61" s="93">
        <v>477.44000000000017</v>
      </c>
      <c r="AS61" s="93">
        <v>476.41000000000014</v>
      </c>
      <c r="AT61" s="93">
        <v>475.38000000000017</v>
      </c>
      <c r="AU61" s="93">
        <v>474.36000000000018</v>
      </c>
      <c r="AV61" s="93">
        <v>473.33000000000015</v>
      </c>
      <c r="AW61" s="93">
        <v>472.31000000000017</v>
      </c>
      <c r="AX61" s="93">
        <v>471.28000000000014</v>
      </c>
      <c r="AY61" s="93">
        <v>470.26000000000016</v>
      </c>
      <c r="AZ61" s="93">
        <v>469.23000000000019</v>
      </c>
      <c r="BA61" s="93">
        <v>468.21000000000015</v>
      </c>
      <c r="BB61" s="93">
        <v>467.19000000000017</v>
      </c>
      <c r="BC61" s="93">
        <v>466.16000000000014</v>
      </c>
      <c r="BD61" s="93">
        <v>465.14000000000016</v>
      </c>
      <c r="BE61" s="93">
        <v>464.11000000000018</v>
      </c>
      <c r="BF61" s="93">
        <v>463.09000000000015</v>
      </c>
      <c r="BG61" s="93">
        <v>462.06000000000017</v>
      </c>
      <c r="BH61" s="93">
        <v>461.04000000000019</v>
      </c>
      <c r="BI61" s="93">
        <v>460.02000000000015</v>
      </c>
      <c r="BJ61" s="93">
        <v>458.99000000000018</v>
      </c>
      <c r="BK61" s="93">
        <v>457.97000000000014</v>
      </c>
      <c r="BL61" s="93">
        <v>456.95000000000016</v>
      </c>
      <c r="BM61" s="93">
        <v>455.92000000000019</v>
      </c>
      <c r="BN61" s="93">
        <v>454.90000000000015</v>
      </c>
      <c r="BO61" s="93">
        <v>453.88000000000017</v>
      </c>
      <c r="BP61" s="93">
        <v>452.86000000000018</v>
      </c>
      <c r="BQ61" s="93">
        <v>451.84000000000015</v>
      </c>
      <c r="BR61" s="93">
        <v>450.81000000000017</v>
      </c>
      <c r="BS61" s="93">
        <v>449.79000000000019</v>
      </c>
      <c r="BT61" s="93">
        <v>448.77000000000015</v>
      </c>
      <c r="BU61" s="93">
        <v>447.75000000000017</v>
      </c>
      <c r="BV61" s="93">
        <v>446.73000000000019</v>
      </c>
      <c r="BW61" s="93">
        <v>445.71000000000015</v>
      </c>
      <c r="BX61" s="93">
        <v>444.69000000000017</v>
      </c>
      <c r="BY61" s="93">
        <v>443.67000000000019</v>
      </c>
      <c r="BZ61" s="93">
        <v>442.65000000000015</v>
      </c>
      <c r="CA61" s="93">
        <v>441.63000000000017</v>
      </c>
      <c r="CB61" s="93">
        <v>440.61000000000018</v>
      </c>
      <c r="CC61" s="93">
        <v>439.60000000000014</v>
      </c>
      <c r="CD61" s="93">
        <v>438.58000000000015</v>
      </c>
      <c r="CE61" s="93">
        <v>437.56000000000017</v>
      </c>
      <c r="CF61" s="93">
        <v>436.54000000000019</v>
      </c>
      <c r="CG61" s="93">
        <v>435.52000000000015</v>
      </c>
      <c r="CH61" s="93">
        <v>434.50000000000017</v>
      </c>
      <c r="CI61" s="93">
        <v>433.49000000000018</v>
      </c>
      <c r="CJ61" s="93">
        <v>432.47000000000014</v>
      </c>
      <c r="CK61" s="93">
        <v>431.46000000000015</v>
      </c>
      <c r="CL61" s="93">
        <v>430.45000000000016</v>
      </c>
      <c r="CM61" s="93">
        <v>429.43000000000018</v>
      </c>
      <c r="CN61" s="93">
        <v>428.42000000000019</v>
      </c>
      <c r="CO61" s="93">
        <v>427.41000000000014</v>
      </c>
      <c r="CP61" s="93">
        <v>426.39000000000016</v>
      </c>
      <c r="CQ61" s="93">
        <v>425.38000000000017</v>
      </c>
      <c r="CR61" s="93">
        <v>424.37000000000018</v>
      </c>
      <c r="CS61" s="93">
        <v>423.35000000000014</v>
      </c>
      <c r="CT61" s="93">
        <v>422.34000000000015</v>
      </c>
      <c r="CU61" s="93">
        <v>421.33000000000015</v>
      </c>
      <c r="CV61" s="93">
        <v>420.32000000000016</v>
      </c>
      <c r="CW61" s="93">
        <v>419.31000000000017</v>
      </c>
      <c r="CX61" s="93">
        <v>418.31000000000017</v>
      </c>
      <c r="CY61" s="93">
        <v>417.30000000000018</v>
      </c>
      <c r="CZ61" s="93">
        <v>416.29000000000019</v>
      </c>
      <c r="DA61" s="93">
        <v>415.29000000000019</v>
      </c>
      <c r="DB61" s="93">
        <v>414.28000000000014</v>
      </c>
      <c r="DC61" s="93">
        <v>413.27000000000015</v>
      </c>
      <c r="DD61" s="93">
        <v>412.27000000000015</v>
      </c>
      <c r="DE61" s="93">
        <v>411.26000000000016</v>
      </c>
      <c r="DF61" s="93">
        <v>410.25000000000017</v>
      </c>
      <c r="DG61" s="93">
        <v>409.25000000000017</v>
      </c>
      <c r="DH61" s="93">
        <v>408.25000000000017</v>
      </c>
      <c r="DI61" s="93">
        <v>407.25000000000017</v>
      </c>
      <c r="DJ61" s="93">
        <v>406.25000000000017</v>
      </c>
      <c r="DK61" s="93">
        <v>405.25000000000017</v>
      </c>
      <c r="DL61" s="93">
        <v>404.25000000000017</v>
      </c>
      <c r="DM61" s="93">
        <v>403.25000000000017</v>
      </c>
      <c r="DN61" s="93">
        <v>402.25000000000017</v>
      </c>
      <c r="DO61" s="93">
        <v>401.25000000000017</v>
      </c>
      <c r="DP61" s="93">
        <v>400.25000000000017</v>
      </c>
      <c r="DQ61" s="93">
        <v>399.26000000000016</v>
      </c>
      <c r="DR61" s="93">
        <v>398.26000000000016</v>
      </c>
      <c r="DS61" s="93">
        <v>397.26000000000016</v>
      </c>
      <c r="DT61" s="93">
        <v>396.27000000000015</v>
      </c>
      <c r="DU61" s="93">
        <v>395.28000000000014</v>
      </c>
      <c r="DV61" s="93">
        <v>394.29000000000019</v>
      </c>
      <c r="DW61" s="93">
        <v>393.30000000000018</v>
      </c>
      <c r="DX61" s="93">
        <v>392.31000000000017</v>
      </c>
      <c r="DY61" s="93">
        <v>391.32000000000016</v>
      </c>
      <c r="DZ61" s="93">
        <v>390.33000000000015</v>
      </c>
      <c r="EA61" s="93">
        <v>389.34000000000015</v>
      </c>
      <c r="EB61" s="93">
        <v>388.36000000000018</v>
      </c>
      <c r="EC61" s="93">
        <v>387.37000000000018</v>
      </c>
      <c r="ED61" s="93">
        <v>386.38000000000017</v>
      </c>
      <c r="EE61" s="93">
        <v>385.40000000000015</v>
      </c>
      <c r="EF61" s="93">
        <v>384.42000000000019</v>
      </c>
      <c r="EG61" s="93">
        <v>383.44000000000017</v>
      </c>
      <c r="EH61" s="93">
        <v>382.46000000000015</v>
      </c>
      <c r="EI61" s="93">
        <v>381.49000000000018</v>
      </c>
      <c r="EJ61" s="93">
        <v>380.51000000000016</v>
      </c>
      <c r="EK61" s="93">
        <v>379.54000000000019</v>
      </c>
      <c r="EL61" s="93">
        <v>378.56000000000017</v>
      </c>
      <c r="EM61" s="93">
        <v>377.59000000000015</v>
      </c>
      <c r="EN61" s="93">
        <v>376.61000000000018</v>
      </c>
      <c r="EO61" s="93">
        <v>375.64000000000016</v>
      </c>
      <c r="EP61" s="93">
        <v>374.67000000000019</v>
      </c>
      <c r="EQ61" s="93">
        <v>373.69000000000017</v>
      </c>
      <c r="ER61" s="93">
        <v>372.73000000000019</v>
      </c>
      <c r="ES61" s="93">
        <v>371.76000000000016</v>
      </c>
      <c r="ET61" s="93">
        <v>370.79000000000019</v>
      </c>
      <c r="EU61" s="93">
        <v>369.83000000000015</v>
      </c>
      <c r="EV61" s="93">
        <v>368.86000000000018</v>
      </c>
      <c r="EW61" s="93">
        <v>367.90000000000015</v>
      </c>
      <c r="EX61" s="93">
        <v>366.94000000000017</v>
      </c>
      <c r="EY61" s="93">
        <v>365.97000000000014</v>
      </c>
      <c r="EZ61" s="93">
        <v>365.01000000000016</v>
      </c>
      <c r="FA61" s="93">
        <v>364.05000000000018</v>
      </c>
      <c r="FB61" s="93">
        <v>363.08000000000015</v>
      </c>
      <c r="FC61" s="93">
        <v>362.12000000000018</v>
      </c>
      <c r="FD61" s="93">
        <v>361.16000000000014</v>
      </c>
      <c r="FE61" s="93">
        <v>360.20000000000016</v>
      </c>
      <c r="FF61" s="93">
        <v>359.24000000000018</v>
      </c>
      <c r="FG61" s="93">
        <v>358.29000000000019</v>
      </c>
      <c r="FH61" s="93">
        <v>357.33000000000015</v>
      </c>
      <c r="FI61" s="93">
        <v>356.37000000000018</v>
      </c>
      <c r="FJ61" s="93">
        <v>355.41000000000014</v>
      </c>
      <c r="FK61" s="93">
        <v>354.46000000000015</v>
      </c>
      <c r="FL61" s="93">
        <v>353.50000000000017</v>
      </c>
      <c r="FM61" s="93">
        <v>352.55000000000018</v>
      </c>
      <c r="FN61" s="93">
        <v>351.59000000000015</v>
      </c>
      <c r="FO61" s="93">
        <v>350.64000000000016</v>
      </c>
      <c r="FP61" s="93">
        <v>349.69000000000017</v>
      </c>
      <c r="FQ61" s="93">
        <v>348.74000000000018</v>
      </c>
      <c r="FR61" s="93">
        <v>347.79000000000019</v>
      </c>
      <c r="FS61" s="93">
        <v>346.84000000000015</v>
      </c>
      <c r="FT61" s="93">
        <v>345.89000000000016</v>
      </c>
      <c r="FU61" s="93">
        <v>344.94000000000017</v>
      </c>
      <c r="FV61" s="93">
        <v>343.99000000000018</v>
      </c>
      <c r="FW61" s="93">
        <v>343.04000000000019</v>
      </c>
      <c r="FX61" s="93">
        <v>342.09000000000015</v>
      </c>
      <c r="FY61" s="93">
        <v>341.15000000000015</v>
      </c>
      <c r="FZ61" s="93">
        <v>340.20000000000016</v>
      </c>
      <c r="GA61" s="93">
        <v>339.26000000000016</v>
      </c>
      <c r="GB61" s="93">
        <v>338.31000000000017</v>
      </c>
      <c r="GC61" s="93">
        <v>337.37000000000018</v>
      </c>
      <c r="GD61" s="93">
        <v>336.43000000000018</v>
      </c>
      <c r="GE61" s="93">
        <v>335.49000000000018</v>
      </c>
      <c r="GF61" s="93">
        <v>334.55000000000018</v>
      </c>
      <c r="GG61" s="93">
        <v>333.61000000000018</v>
      </c>
      <c r="GH61" s="93">
        <v>332.67000000000019</v>
      </c>
      <c r="GI61" s="93">
        <v>331.73000000000019</v>
      </c>
      <c r="GJ61" s="93">
        <v>330.79000000000019</v>
      </c>
      <c r="GK61" s="93">
        <v>329.86000000000018</v>
      </c>
      <c r="GL61" s="93">
        <v>328.92000000000019</v>
      </c>
      <c r="GM61" s="93">
        <v>327.99000000000018</v>
      </c>
      <c r="GN61" s="93">
        <v>327.06000000000017</v>
      </c>
      <c r="GO61" s="93">
        <v>326.11000000000018</v>
      </c>
      <c r="GP61" s="93">
        <v>325.19000000000017</v>
      </c>
      <c r="GQ61" s="93">
        <v>324.26000000000016</v>
      </c>
      <c r="GR61" s="93">
        <v>323.33000000000015</v>
      </c>
      <c r="GS61" s="93">
        <v>322.41000000000014</v>
      </c>
      <c r="GT61" s="93">
        <v>321.48000000000019</v>
      </c>
      <c r="GU61" s="93">
        <v>320.55000000000018</v>
      </c>
      <c r="GV61" s="93">
        <v>319.63000000000017</v>
      </c>
      <c r="GW61" s="93">
        <v>318.70000000000016</v>
      </c>
      <c r="GX61" s="93">
        <v>317.78000000000014</v>
      </c>
      <c r="GY61" s="93">
        <v>316.86000000000018</v>
      </c>
      <c r="GZ61" s="93">
        <v>315.94000000000017</v>
      </c>
      <c r="HA61" s="93">
        <v>315.02000000000015</v>
      </c>
      <c r="HB61" s="93">
        <v>314.10000000000014</v>
      </c>
      <c r="HC61" s="93">
        <v>313.17000000000019</v>
      </c>
      <c r="HD61" s="93">
        <v>312.26000000000016</v>
      </c>
      <c r="HE61" s="93">
        <v>311.35000000000014</v>
      </c>
      <c r="HF61" s="93">
        <v>310.42000000000019</v>
      </c>
      <c r="HG61" s="93">
        <v>309.52000000000015</v>
      </c>
      <c r="HH61" s="93">
        <v>308.61000000000018</v>
      </c>
      <c r="HI61" s="93">
        <v>307.70000000000016</v>
      </c>
      <c r="HJ61" s="93">
        <v>306.79000000000019</v>
      </c>
      <c r="HK61" s="93">
        <v>305.88000000000017</v>
      </c>
      <c r="HL61" s="93">
        <v>304.97000000000014</v>
      </c>
      <c r="HM61" s="93">
        <v>304.06000000000017</v>
      </c>
      <c r="HN61" s="93">
        <v>303.16000000000014</v>
      </c>
      <c r="HO61" s="93">
        <v>302.25000000000017</v>
      </c>
      <c r="HP61" s="93">
        <v>301.35000000000014</v>
      </c>
      <c r="HQ61" s="93">
        <v>300.45000000000016</v>
      </c>
      <c r="HR61" s="93">
        <v>299.55000000000018</v>
      </c>
      <c r="HS61" s="93">
        <v>298.64000000000016</v>
      </c>
      <c r="HT61" s="93">
        <v>297.75000000000017</v>
      </c>
      <c r="HU61" s="93">
        <v>296.85000000000014</v>
      </c>
      <c r="HV61" s="93">
        <v>295.96000000000015</v>
      </c>
      <c r="HW61" s="93">
        <v>295.06000000000017</v>
      </c>
      <c r="HX61" s="93">
        <v>294.17000000000019</v>
      </c>
      <c r="HY61" s="93">
        <v>293.27000000000015</v>
      </c>
      <c r="HZ61" s="93">
        <v>292.38000000000017</v>
      </c>
      <c r="IA61" s="93">
        <v>291.49000000000018</v>
      </c>
      <c r="IB61" s="93">
        <v>290.60000000000014</v>
      </c>
      <c r="IC61" s="93">
        <v>289.71000000000015</v>
      </c>
      <c r="ID61" s="93">
        <v>288.82000000000016</v>
      </c>
      <c r="IE61" s="93">
        <v>287.92000000000019</v>
      </c>
      <c r="IF61" s="93">
        <v>287.05000000000018</v>
      </c>
      <c r="IG61" s="93">
        <v>286.16000000000014</v>
      </c>
      <c r="IH61" s="93">
        <v>285.28000000000014</v>
      </c>
      <c r="II61" s="93">
        <v>284.39000000000016</v>
      </c>
      <c r="IJ61" s="93">
        <v>283.51000000000016</v>
      </c>
      <c r="IK61" s="93">
        <v>282.63000000000017</v>
      </c>
      <c r="IL61" s="93">
        <v>281.75000000000017</v>
      </c>
      <c r="IM61" s="93">
        <v>280.86000000000018</v>
      </c>
      <c r="IN61" s="93">
        <v>280.00000000000017</v>
      </c>
      <c r="IO61" s="93">
        <v>279.11000000000018</v>
      </c>
      <c r="IP61" s="93">
        <v>278.24000000000018</v>
      </c>
      <c r="IQ61" s="93">
        <v>277.36000000000018</v>
      </c>
      <c r="IR61" s="93">
        <v>276.50000000000017</v>
      </c>
      <c r="IS61" s="93">
        <v>275.63000000000017</v>
      </c>
      <c r="IT61" s="93">
        <v>274.75000000000017</v>
      </c>
      <c r="IU61" s="93">
        <v>273.89000000000016</v>
      </c>
      <c r="IV61" s="93">
        <v>273.02000000000015</v>
      </c>
      <c r="IW61" s="93">
        <v>272.14000000000016</v>
      </c>
      <c r="IX61" s="93">
        <v>271.29000000000019</v>
      </c>
      <c r="IY61" s="93">
        <v>270.42000000000019</v>
      </c>
      <c r="IZ61" s="93">
        <v>269.56000000000017</v>
      </c>
      <c r="JA61" s="93">
        <v>268.70000000000016</v>
      </c>
      <c r="JB61" s="93">
        <v>267.83000000000015</v>
      </c>
      <c r="JC61" s="93">
        <v>266.98000000000019</v>
      </c>
      <c r="JD61" s="93">
        <v>266.11000000000018</v>
      </c>
      <c r="JE61" s="93">
        <v>265.26000000000016</v>
      </c>
      <c r="JF61" s="93">
        <v>264.41000000000014</v>
      </c>
      <c r="JG61" s="93">
        <v>263.55000000000018</v>
      </c>
      <c r="JH61" s="93">
        <v>262.70000000000016</v>
      </c>
      <c r="JI61" s="93">
        <v>261.85000000000014</v>
      </c>
      <c r="JJ61" s="93">
        <v>260.99000000000018</v>
      </c>
      <c r="JK61" s="93">
        <v>260.14000000000016</v>
      </c>
      <c r="JL61" s="93">
        <v>259.29000000000013</v>
      </c>
      <c r="JM61" s="93">
        <v>258.44000000000005</v>
      </c>
      <c r="JN61" s="93">
        <v>257.60000000000002</v>
      </c>
      <c r="JO61" s="93">
        <v>256.75</v>
      </c>
      <c r="JP61" s="93">
        <v>255.89999999999995</v>
      </c>
      <c r="JQ61" s="93">
        <v>255.05999999999995</v>
      </c>
      <c r="JR61" s="93">
        <v>254.20999999999992</v>
      </c>
      <c r="JS61" s="93">
        <v>253.36999999999995</v>
      </c>
      <c r="JT61" s="93">
        <v>252.52999999999994</v>
      </c>
      <c r="JU61" s="93">
        <v>251.68999999999994</v>
      </c>
      <c r="JV61" s="93">
        <v>250.84999999999994</v>
      </c>
      <c r="JW61" s="93">
        <v>250.00999999999993</v>
      </c>
      <c r="JX61" s="93">
        <v>249.16999999999993</v>
      </c>
      <c r="JY61" s="93">
        <v>248.33999999999995</v>
      </c>
      <c r="JZ61" s="93">
        <v>247.49999999999994</v>
      </c>
      <c r="KA61" s="93">
        <v>246.66999999999993</v>
      </c>
      <c r="KB61" s="93">
        <v>245.82999999999993</v>
      </c>
      <c r="KC61" s="93">
        <v>244.99999999999994</v>
      </c>
      <c r="KD61" s="93">
        <v>244.16999999999993</v>
      </c>
      <c r="KE61" s="93">
        <v>243.32999999999993</v>
      </c>
      <c r="KF61" s="93">
        <v>242.50999999999993</v>
      </c>
      <c r="KG61" s="93">
        <v>241.67999999999995</v>
      </c>
      <c r="KH61" s="93">
        <v>240.84999999999994</v>
      </c>
      <c r="KI61" s="93">
        <v>240.01999999999992</v>
      </c>
      <c r="KJ61" s="93">
        <v>239.19999999999993</v>
      </c>
      <c r="KK61" s="93">
        <v>238.36999999999995</v>
      </c>
      <c r="KL61" s="93">
        <v>237.54999999999993</v>
      </c>
      <c r="KM61" s="93">
        <v>236.72999999999993</v>
      </c>
      <c r="KN61" s="93">
        <v>235.90999999999994</v>
      </c>
      <c r="KO61" s="93">
        <v>235.08999999999995</v>
      </c>
      <c r="KP61" s="93">
        <v>234.26999999999992</v>
      </c>
      <c r="KQ61" s="93">
        <v>233.44999999999993</v>
      </c>
      <c r="KR61" s="93">
        <v>231.93000000000046</v>
      </c>
      <c r="KS61" s="93">
        <v>231.18000000000046</v>
      </c>
      <c r="KT61" s="93">
        <v>230.43000000000046</v>
      </c>
      <c r="KU61" s="93">
        <v>229.68000000000046</v>
      </c>
      <c r="KV61" s="93">
        <v>228.93000000000046</v>
      </c>
      <c r="KW61" s="93">
        <v>228.18000000000046</v>
      </c>
      <c r="KX61" s="93">
        <v>227.43000000000046</v>
      </c>
      <c r="KY61" s="93">
        <v>226.68000000000046</v>
      </c>
      <c r="KZ61" s="93">
        <v>225.93000000000046</v>
      </c>
      <c r="LA61" s="93">
        <v>225.18000000000046</v>
      </c>
      <c r="LB61" s="93">
        <v>224.43000000000046</v>
      </c>
      <c r="LC61" s="93">
        <v>223.68000000000046</v>
      </c>
      <c r="LD61" s="93">
        <v>222.93000000000046</v>
      </c>
      <c r="LE61" s="93">
        <v>222.18000000000046</v>
      </c>
      <c r="LF61" s="93">
        <v>221.43000000000046</v>
      </c>
      <c r="LG61" s="93">
        <v>220.68000000000046</v>
      </c>
      <c r="LH61" s="93">
        <v>219.93000000000046</v>
      </c>
      <c r="LI61" s="93">
        <v>219.18000000000046</v>
      </c>
      <c r="LJ61" s="93">
        <v>218.43000000000046</v>
      </c>
      <c r="LK61" s="93">
        <v>217.68000000000046</v>
      </c>
      <c r="LL61" s="93">
        <v>216.93000000000046</v>
      </c>
      <c r="LM61" s="93">
        <v>216.18000000000046</v>
      </c>
      <c r="LN61" s="93">
        <v>215.43000000000046</v>
      </c>
      <c r="LO61" s="93">
        <v>214.68000000000046</v>
      </c>
      <c r="LP61" s="93">
        <v>213.93000000000046</v>
      </c>
      <c r="LQ61" s="93">
        <v>213.18000000000046</v>
      </c>
      <c r="LR61" s="93">
        <v>212.43000000000046</v>
      </c>
      <c r="LS61" s="93">
        <v>211.68000000000046</v>
      </c>
      <c r="LT61" s="93">
        <v>210.93000000000046</v>
      </c>
      <c r="LU61" s="93">
        <v>210.18000000000046</v>
      </c>
      <c r="LV61" s="93">
        <v>209.43000000000046</v>
      </c>
      <c r="LW61" s="93">
        <v>208.68000000000046</v>
      </c>
      <c r="LX61" s="93">
        <v>207.93000000000046</v>
      </c>
      <c r="LY61" s="93">
        <v>207.18000000000046</v>
      </c>
      <c r="LZ61" s="93">
        <v>206.43000000000046</v>
      </c>
      <c r="MA61" s="93">
        <v>205.68000000000046</v>
      </c>
      <c r="MB61" s="93">
        <v>204.93000000000046</v>
      </c>
      <c r="MC61" s="93">
        <v>204.18000000000046</v>
      </c>
      <c r="MD61" s="93">
        <v>203.43000000000046</v>
      </c>
      <c r="ME61" s="93">
        <v>202.68000000000046</v>
      </c>
      <c r="MF61" s="93">
        <v>201.93000000000046</v>
      </c>
      <c r="MG61" s="93">
        <v>201.18000000000046</v>
      </c>
      <c r="MH61" s="93">
        <v>200.43000000000046</v>
      </c>
      <c r="MI61" s="93">
        <v>199.68000000000046</v>
      </c>
      <c r="MJ61" s="93">
        <v>198.93000000000046</v>
      </c>
      <c r="MK61" s="93">
        <v>198.18000000000046</v>
      </c>
      <c r="ML61" s="93">
        <v>197.43000000000046</v>
      </c>
      <c r="MM61" s="93">
        <v>196.68000000000046</v>
      </c>
      <c r="MN61" s="93">
        <v>195.93000000000046</v>
      </c>
      <c r="MO61" s="93">
        <v>195.18000000000046</v>
      </c>
      <c r="MP61" s="93">
        <v>194.43000000000046</v>
      </c>
      <c r="MQ61" s="93">
        <v>193.68000000000046</v>
      </c>
      <c r="MR61" s="93">
        <v>192.93000000000046</v>
      </c>
      <c r="MS61" s="93">
        <v>192.18000000000046</v>
      </c>
      <c r="MT61" s="93">
        <v>191.43000000000046</v>
      </c>
      <c r="MU61" s="93">
        <v>190.68000000000046</v>
      </c>
      <c r="MV61" s="93">
        <v>189.93000000000046</v>
      </c>
      <c r="MW61" s="93">
        <v>189.18000000000046</v>
      </c>
      <c r="MX61" s="93">
        <v>188.43000000000046</v>
      </c>
      <c r="MY61" s="93">
        <v>187.68000000000046</v>
      </c>
    </row>
    <row r="62" spans="1:363" ht="15.75" x14ac:dyDescent="0.25">
      <c r="A62" s="90" t="s">
        <v>7</v>
      </c>
      <c r="B62" s="95">
        <v>2072</v>
      </c>
      <c r="C62" s="93">
        <v>519.89</v>
      </c>
      <c r="D62" s="93">
        <v>518.86999999999989</v>
      </c>
      <c r="E62" s="93">
        <v>517.83999999999992</v>
      </c>
      <c r="F62" s="93">
        <v>516.97999999999968</v>
      </c>
      <c r="G62" s="93">
        <v>515.9499999999997</v>
      </c>
      <c r="H62" s="93">
        <v>514.91999999999985</v>
      </c>
      <c r="I62" s="93">
        <v>513.9</v>
      </c>
      <c r="J62" s="93">
        <v>512.87000000000012</v>
      </c>
      <c r="K62" s="93">
        <v>511.8400000000002</v>
      </c>
      <c r="L62" s="93">
        <v>510.82000000000016</v>
      </c>
      <c r="M62" s="93">
        <v>509.79000000000019</v>
      </c>
      <c r="N62" s="93">
        <v>508.77000000000021</v>
      </c>
      <c r="O62" s="93">
        <v>507.74000000000018</v>
      </c>
      <c r="P62" s="93">
        <v>506.71000000000021</v>
      </c>
      <c r="Q62" s="93">
        <v>505.69000000000017</v>
      </c>
      <c r="R62" s="93">
        <v>504.6600000000002</v>
      </c>
      <c r="S62" s="93">
        <v>503.63000000000017</v>
      </c>
      <c r="T62" s="93">
        <v>502.61000000000018</v>
      </c>
      <c r="U62" s="93">
        <v>501.58000000000021</v>
      </c>
      <c r="V62" s="93">
        <v>500.55000000000018</v>
      </c>
      <c r="W62" s="93">
        <v>499.5300000000002</v>
      </c>
      <c r="X62" s="93">
        <v>498.50000000000017</v>
      </c>
      <c r="Y62" s="93">
        <v>497.4700000000002</v>
      </c>
      <c r="Z62" s="93">
        <v>496.45000000000016</v>
      </c>
      <c r="AA62" s="93">
        <v>495.42000000000019</v>
      </c>
      <c r="AB62" s="93">
        <v>494.39000000000016</v>
      </c>
      <c r="AC62" s="93">
        <v>493.37000000000018</v>
      </c>
      <c r="AD62" s="93">
        <v>492.3400000000002</v>
      </c>
      <c r="AE62" s="93">
        <v>491.31000000000017</v>
      </c>
      <c r="AF62" s="93">
        <v>490.29000000000019</v>
      </c>
      <c r="AG62" s="93">
        <v>489.26000000000016</v>
      </c>
      <c r="AH62" s="93">
        <v>488.24000000000018</v>
      </c>
      <c r="AI62" s="93">
        <v>487.21000000000021</v>
      </c>
      <c r="AJ62" s="93">
        <v>486.18000000000018</v>
      </c>
      <c r="AK62" s="93">
        <v>485.1600000000002</v>
      </c>
      <c r="AL62" s="93">
        <v>484.13000000000017</v>
      </c>
      <c r="AM62" s="93">
        <v>483.10000000000019</v>
      </c>
      <c r="AN62" s="93">
        <v>482.08000000000021</v>
      </c>
      <c r="AO62" s="93">
        <v>481.05000000000018</v>
      </c>
      <c r="AP62" s="93">
        <v>480.0300000000002</v>
      </c>
      <c r="AQ62" s="93">
        <v>479.00000000000017</v>
      </c>
      <c r="AR62" s="93">
        <v>477.98000000000019</v>
      </c>
      <c r="AS62" s="93">
        <v>476.95000000000016</v>
      </c>
      <c r="AT62" s="93">
        <v>475.92000000000019</v>
      </c>
      <c r="AU62" s="93">
        <v>474.9000000000002</v>
      </c>
      <c r="AV62" s="93">
        <v>473.87000000000018</v>
      </c>
      <c r="AW62" s="93">
        <v>472.85000000000019</v>
      </c>
      <c r="AX62" s="93">
        <v>471.82000000000016</v>
      </c>
      <c r="AY62" s="93">
        <v>470.80000000000018</v>
      </c>
      <c r="AZ62" s="93">
        <v>469.77000000000021</v>
      </c>
      <c r="BA62" s="93">
        <v>468.75000000000017</v>
      </c>
      <c r="BB62" s="93">
        <v>467.73000000000019</v>
      </c>
      <c r="BC62" s="93">
        <v>466.70000000000016</v>
      </c>
      <c r="BD62" s="93">
        <v>465.68000000000018</v>
      </c>
      <c r="BE62" s="93">
        <v>464.6500000000002</v>
      </c>
      <c r="BF62" s="93">
        <v>463.63000000000017</v>
      </c>
      <c r="BG62" s="93">
        <v>462.60000000000019</v>
      </c>
      <c r="BH62" s="93">
        <v>461.58000000000021</v>
      </c>
      <c r="BI62" s="93">
        <v>460.56000000000017</v>
      </c>
      <c r="BJ62" s="93">
        <v>459.5300000000002</v>
      </c>
      <c r="BK62" s="93">
        <v>458.51000000000016</v>
      </c>
      <c r="BL62" s="93">
        <v>457.49000000000018</v>
      </c>
      <c r="BM62" s="93">
        <v>456.46000000000021</v>
      </c>
      <c r="BN62" s="93">
        <v>455.44000000000017</v>
      </c>
      <c r="BO62" s="93">
        <v>454.42000000000019</v>
      </c>
      <c r="BP62" s="93">
        <v>453.4000000000002</v>
      </c>
      <c r="BQ62" s="93">
        <v>452.38000000000017</v>
      </c>
      <c r="BR62" s="93">
        <v>451.35000000000019</v>
      </c>
      <c r="BS62" s="93">
        <v>450.33000000000021</v>
      </c>
      <c r="BT62" s="93">
        <v>449.31000000000017</v>
      </c>
      <c r="BU62" s="93">
        <v>448.29000000000019</v>
      </c>
      <c r="BV62" s="93">
        <v>447.27000000000021</v>
      </c>
      <c r="BW62" s="93">
        <v>446.25000000000017</v>
      </c>
      <c r="BX62" s="93">
        <v>445.23000000000019</v>
      </c>
      <c r="BY62" s="93">
        <v>444.21000000000021</v>
      </c>
      <c r="BZ62" s="93">
        <v>443.19000000000017</v>
      </c>
      <c r="CA62" s="93">
        <v>442.17000000000019</v>
      </c>
      <c r="CB62" s="93">
        <v>441.1500000000002</v>
      </c>
      <c r="CC62" s="93">
        <v>440.14000000000016</v>
      </c>
      <c r="CD62" s="93">
        <v>439.12000000000018</v>
      </c>
      <c r="CE62" s="93">
        <v>438.10000000000019</v>
      </c>
      <c r="CF62" s="93">
        <v>437.08000000000021</v>
      </c>
      <c r="CG62" s="93">
        <v>436.06000000000017</v>
      </c>
      <c r="CH62" s="93">
        <v>435.04000000000019</v>
      </c>
      <c r="CI62" s="93">
        <v>434.0300000000002</v>
      </c>
      <c r="CJ62" s="93">
        <v>433.01000000000016</v>
      </c>
      <c r="CK62" s="93">
        <v>432.00000000000017</v>
      </c>
      <c r="CL62" s="93">
        <v>430.99000000000018</v>
      </c>
      <c r="CM62" s="93">
        <v>429.9700000000002</v>
      </c>
      <c r="CN62" s="93">
        <v>428.96000000000021</v>
      </c>
      <c r="CO62" s="93">
        <v>427.95000000000016</v>
      </c>
      <c r="CP62" s="93">
        <v>426.93000000000018</v>
      </c>
      <c r="CQ62" s="93">
        <v>425.92000000000019</v>
      </c>
      <c r="CR62" s="93">
        <v>424.9100000000002</v>
      </c>
      <c r="CS62" s="93">
        <v>423.89000000000016</v>
      </c>
      <c r="CT62" s="93">
        <v>422.88000000000017</v>
      </c>
      <c r="CU62" s="93">
        <v>421.87000000000018</v>
      </c>
      <c r="CV62" s="93">
        <v>420.86000000000018</v>
      </c>
      <c r="CW62" s="93">
        <v>419.85000000000019</v>
      </c>
      <c r="CX62" s="93">
        <v>418.85000000000019</v>
      </c>
      <c r="CY62" s="93">
        <v>417.8400000000002</v>
      </c>
      <c r="CZ62" s="93">
        <v>416.83000000000021</v>
      </c>
      <c r="DA62" s="93">
        <v>415.83000000000021</v>
      </c>
      <c r="DB62" s="93">
        <v>414.82000000000016</v>
      </c>
      <c r="DC62" s="93">
        <v>413.81000000000017</v>
      </c>
      <c r="DD62" s="93">
        <v>412.81000000000017</v>
      </c>
      <c r="DE62" s="93">
        <v>411.80000000000018</v>
      </c>
      <c r="DF62" s="93">
        <v>410.79000000000019</v>
      </c>
      <c r="DG62" s="93">
        <v>409.79000000000019</v>
      </c>
      <c r="DH62" s="93">
        <v>408.79000000000019</v>
      </c>
      <c r="DI62" s="93">
        <v>407.79000000000019</v>
      </c>
      <c r="DJ62" s="93">
        <v>406.79000000000019</v>
      </c>
      <c r="DK62" s="93">
        <v>405.79000000000019</v>
      </c>
      <c r="DL62" s="93">
        <v>404.79000000000019</v>
      </c>
      <c r="DM62" s="93">
        <v>403.79000000000019</v>
      </c>
      <c r="DN62" s="93">
        <v>402.79000000000019</v>
      </c>
      <c r="DO62" s="93">
        <v>401.79000000000019</v>
      </c>
      <c r="DP62" s="93">
        <v>400.79000000000019</v>
      </c>
      <c r="DQ62" s="93">
        <v>399.80000000000018</v>
      </c>
      <c r="DR62" s="93">
        <v>398.80000000000018</v>
      </c>
      <c r="DS62" s="93">
        <v>397.80000000000018</v>
      </c>
      <c r="DT62" s="93">
        <v>396.81000000000017</v>
      </c>
      <c r="DU62" s="93">
        <v>395.82000000000016</v>
      </c>
      <c r="DV62" s="93">
        <v>394.83000000000021</v>
      </c>
      <c r="DW62" s="93">
        <v>393.8400000000002</v>
      </c>
      <c r="DX62" s="93">
        <v>392.85000000000019</v>
      </c>
      <c r="DY62" s="93">
        <v>391.86000000000018</v>
      </c>
      <c r="DZ62" s="93">
        <v>390.87000000000018</v>
      </c>
      <c r="EA62" s="93">
        <v>389.88000000000017</v>
      </c>
      <c r="EB62" s="93">
        <v>388.9000000000002</v>
      </c>
      <c r="EC62" s="93">
        <v>387.9100000000002</v>
      </c>
      <c r="ED62" s="93">
        <v>386.92000000000019</v>
      </c>
      <c r="EE62" s="93">
        <v>385.94000000000017</v>
      </c>
      <c r="EF62" s="93">
        <v>384.96000000000021</v>
      </c>
      <c r="EG62" s="93">
        <v>383.98000000000019</v>
      </c>
      <c r="EH62" s="93">
        <v>383.00000000000017</v>
      </c>
      <c r="EI62" s="93">
        <v>382.0300000000002</v>
      </c>
      <c r="EJ62" s="93">
        <v>381.05000000000018</v>
      </c>
      <c r="EK62" s="93">
        <v>380.08000000000021</v>
      </c>
      <c r="EL62" s="93">
        <v>379.10000000000019</v>
      </c>
      <c r="EM62" s="93">
        <v>378.13000000000017</v>
      </c>
      <c r="EN62" s="93">
        <v>377.1500000000002</v>
      </c>
      <c r="EO62" s="93">
        <v>376.18000000000018</v>
      </c>
      <c r="EP62" s="93">
        <v>375.21000000000021</v>
      </c>
      <c r="EQ62" s="93">
        <v>374.23000000000019</v>
      </c>
      <c r="ER62" s="93">
        <v>373.27000000000021</v>
      </c>
      <c r="ES62" s="93">
        <v>372.30000000000018</v>
      </c>
      <c r="ET62" s="93">
        <v>371.33000000000021</v>
      </c>
      <c r="EU62" s="93">
        <v>370.37000000000018</v>
      </c>
      <c r="EV62" s="93">
        <v>369.4000000000002</v>
      </c>
      <c r="EW62" s="93">
        <v>368.44000000000017</v>
      </c>
      <c r="EX62" s="93">
        <v>367.48000000000019</v>
      </c>
      <c r="EY62" s="93">
        <v>366.51000000000016</v>
      </c>
      <c r="EZ62" s="93">
        <v>365.55000000000018</v>
      </c>
      <c r="FA62" s="93">
        <v>364.5900000000002</v>
      </c>
      <c r="FB62" s="93">
        <v>363.62000000000018</v>
      </c>
      <c r="FC62" s="93">
        <v>362.6600000000002</v>
      </c>
      <c r="FD62" s="93">
        <v>361.70000000000016</v>
      </c>
      <c r="FE62" s="93">
        <v>360.74000000000018</v>
      </c>
      <c r="FF62" s="93">
        <v>359.7800000000002</v>
      </c>
      <c r="FG62" s="93">
        <v>358.83000000000021</v>
      </c>
      <c r="FH62" s="93">
        <v>357.87000000000018</v>
      </c>
      <c r="FI62" s="93">
        <v>356.9100000000002</v>
      </c>
      <c r="FJ62" s="93">
        <v>355.95000000000016</v>
      </c>
      <c r="FK62" s="93">
        <v>355.00000000000017</v>
      </c>
      <c r="FL62" s="93">
        <v>354.04000000000019</v>
      </c>
      <c r="FM62" s="93">
        <v>353.0900000000002</v>
      </c>
      <c r="FN62" s="93">
        <v>352.13000000000017</v>
      </c>
      <c r="FO62" s="93">
        <v>351.18000000000018</v>
      </c>
      <c r="FP62" s="93">
        <v>350.23000000000019</v>
      </c>
      <c r="FQ62" s="93">
        <v>349.2800000000002</v>
      </c>
      <c r="FR62" s="93">
        <v>348.33000000000021</v>
      </c>
      <c r="FS62" s="93">
        <v>347.38000000000017</v>
      </c>
      <c r="FT62" s="93">
        <v>346.43000000000018</v>
      </c>
      <c r="FU62" s="93">
        <v>345.48000000000019</v>
      </c>
      <c r="FV62" s="93">
        <v>344.5300000000002</v>
      </c>
      <c r="FW62" s="93">
        <v>343.58000000000021</v>
      </c>
      <c r="FX62" s="93">
        <v>342.63000000000017</v>
      </c>
      <c r="FY62" s="93">
        <v>341.69000000000017</v>
      </c>
      <c r="FZ62" s="93">
        <v>340.74000000000018</v>
      </c>
      <c r="GA62" s="93">
        <v>339.80000000000018</v>
      </c>
      <c r="GB62" s="93">
        <v>338.85000000000019</v>
      </c>
      <c r="GC62" s="93">
        <v>337.9100000000002</v>
      </c>
      <c r="GD62" s="93">
        <v>336.9700000000002</v>
      </c>
      <c r="GE62" s="93">
        <v>336.0300000000002</v>
      </c>
      <c r="GF62" s="93">
        <v>335.0900000000002</v>
      </c>
      <c r="GG62" s="93">
        <v>334.1500000000002</v>
      </c>
      <c r="GH62" s="93">
        <v>333.21000000000021</v>
      </c>
      <c r="GI62" s="93">
        <v>332.27000000000021</v>
      </c>
      <c r="GJ62" s="93">
        <v>331.33000000000021</v>
      </c>
      <c r="GK62" s="93">
        <v>330.4000000000002</v>
      </c>
      <c r="GL62" s="93">
        <v>329.46000000000021</v>
      </c>
      <c r="GM62" s="93">
        <v>328.5300000000002</v>
      </c>
      <c r="GN62" s="93">
        <v>327.60000000000019</v>
      </c>
      <c r="GO62" s="93">
        <v>326.6500000000002</v>
      </c>
      <c r="GP62" s="93">
        <v>325.73000000000019</v>
      </c>
      <c r="GQ62" s="93">
        <v>324.80000000000018</v>
      </c>
      <c r="GR62" s="93">
        <v>323.87000000000018</v>
      </c>
      <c r="GS62" s="93">
        <v>322.95000000000016</v>
      </c>
      <c r="GT62" s="93">
        <v>322.02000000000021</v>
      </c>
      <c r="GU62" s="93">
        <v>321.0900000000002</v>
      </c>
      <c r="GV62" s="93">
        <v>320.17000000000019</v>
      </c>
      <c r="GW62" s="93">
        <v>319.24000000000018</v>
      </c>
      <c r="GX62" s="93">
        <v>318.32000000000016</v>
      </c>
      <c r="GY62" s="93">
        <v>317.4000000000002</v>
      </c>
      <c r="GZ62" s="93">
        <v>316.48000000000019</v>
      </c>
      <c r="HA62" s="93">
        <v>315.56000000000017</v>
      </c>
      <c r="HB62" s="93">
        <v>314.64000000000016</v>
      </c>
      <c r="HC62" s="93">
        <v>313.71000000000021</v>
      </c>
      <c r="HD62" s="93">
        <v>312.80000000000018</v>
      </c>
      <c r="HE62" s="93">
        <v>311.89000000000016</v>
      </c>
      <c r="HF62" s="93">
        <v>310.96000000000021</v>
      </c>
      <c r="HG62" s="93">
        <v>310.06000000000017</v>
      </c>
      <c r="HH62" s="93">
        <v>309.1500000000002</v>
      </c>
      <c r="HI62" s="93">
        <v>308.24000000000018</v>
      </c>
      <c r="HJ62" s="93">
        <v>307.33000000000021</v>
      </c>
      <c r="HK62" s="93">
        <v>306.42000000000019</v>
      </c>
      <c r="HL62" s="93">
        <v>305.51000000000016</v>
      </c>
      <c r="HM62" s="93">
        <v>304.60000000000019</v>
      </c>
      <c r="HN62" s="93">
        <v>303.70000000000016</v>
      </c>
      <c r="HO62" s="93">
        <v>302.79000000000019</v>
      </c>
      <c r="HP62" s="93">
        <v>301.89000000000016</v>
      </c>
      <c r="HQ62" s="93">
        <v>300.99000000000018</v>
      </c>
      <c r="HR62" s="93">
        <v>300.0900000000002</v>
      </c>
      <c r="HS62" s="93">
        <v>299.18000000000018</v>
      </c>
      <c r="HT62" s="93">
        <v>298.29000000000019</v>
      </c>
      <c r="HU62" s="93">
        <v>297.39000000000016</v>
      </c>
      <c r="HV62" s="93">
        <v>296.50000000000017</v>
      </c>
      <c r="HW62" s="93">
        <v>295.60000000000019</v>
      </c>
      <c r="HX62" s="93">
        <v>294.71000000000021</v>
      </c>
      <c r="HY62" s="93">
        <v>293.81000000000017</v>
      </c>
      <c r="HZ62" s="93">
        <v>292.92000000000019</v>
      </c>
      <c r="IA62" s="93">
        <v>292.0300000000002</v>
      </c>
      <c r="IB62" s="93">
        <v>291.14000000000016</v>
      </c>
      <c r="IC62" s="93">
        <v>290.25000000000017</v>
      </c>
      <c r="ID62" s="93">
        <v>289.36000000000018</v>
      </c>
      <c r="IE62" s="93">
        <v>288.46000000000021</v>
      </c>
      <c r="IF62" s="93">
        <v>287.5900000000002</v>
      </c>
      <c r="IG62" s="93">
        <v>286.70000000000016</v>
      </c>
      <c r="IH62" s="93">
        <v>285.82000000000016</v>
      </c>
      <c r="II62" s="93">
        <v>284.93000000000018</v>
      </c>
      <c r="IJ62" s="93">
        <v>284.05000000000018</v>
      </c>
      <c r="IK62" s="93">
        <v>283.17000000000019</v>
      </c>
      <c r="IL62" s="93">
        <v>282.29000000000019</v>
      </c>
      <c r="IM62" s="93">
        <v>281.4000000000002</v>
      </c>
      <c r="IN62" s="93">
        <v>280.54000000000019</v>
      </c>
      <c r="IO62" s="93">
        <v>279.6500000000002</v>
      </c>
      <c r="IP62" s="93">
        <v>278.7800000000002</v>
      </c>
      <c r="IQ62" s="93">
        <v>277.9000000000002</v>
      </c>
      <c r="IR62" s="93">
        <v>277.04000000000019</v>
      </c>
      <c r="IS62" s="93">
        <v>276.17000000000019</v>
      </c>
      <c r="IT62" s="93">
        <v>275.29000000000019</v>
      </c>
      <c r="IU62" s="93">
        <v>274.43000000000018</v>
      </c>
      <c r="IV62" s="93">
        <v>273.56000000000017</v>
      </c>
      <c r="IW62" s="93">
        <v>272.68000000000018</v>
      </c>
      <c r="IX62" s="93">
        <v>271.83000000000021</v>
      </c>
      <c r="IY62" s="93">
        <v>270.96000000000021</v>
      </c>
      <c r="IZ62" s="93">
        <v>270.10000000000019</v>
      </c>
      <c r="JA62" s="93">
        <v>269.24000000000018</v>
      </c>
      <c r="JB62" s="93">
        <v>268.37000000000018</v>
      </c>
      <c r="JC62" s="93">
        <v>267.52000000000021</v>
      </c>
      <c r="JD62" s="93">
        <v>266.6500000000002</v>
      </c>
      <c r="JE62" s="93">
        <v>265.80000000000018</v>
      </c>
      <c r="JF62" s="93">
        <v>264.95000000000016</v>
      </c>
      <c r="JG62" s="93">
        <v>264.0900000000002</v>
      </c>
      <c r="JH62" s="93">
        <v>263.24000000000018</v>
      </c>
      <c r="JI62" s="93">
        <v>262.39000000000016</v>
      </c>
      <c r="JJ62" s="93">
        <v>261.5300000000002</v>
      </c>
      <c r="JK62" s="93">
        <v>260.68000000000018</v>
      </c>
      <c r="JL62" s="93">
        <v>259.83000000000015</v>
      </c>
      <c r="JM62" s="93">
        <v>258.98000000000008</v>
      </c>
      <c r="JN62" s="93">
        <v>258.14000000000004</v>
      </c>
      <c r="JO62" s="93">
        <v>257.29000000000002</v>
      </c>
      <c r="JP62" s="93">
        <v>256.43999999999994</v>
      </c>
      <c r="JQ62" s="93">
        <v>255.59999999999994</v>
      </c>
      <c r="JR62" s="93">
        <v>254.74999999999991</v>
      </c>
      <c r="JS62" s="93">
        <v>253.90999999999994</v>
      </c>
      <c r="JT62" s="93">
        <v>253.06999999999994</v>
      </c>
      <c r="JU62" s="93">
        <v>252.22999999999993</v>
      </c>
      <c r="JV62" s="93">
        <v>251.38999999999993</v>
      </c>
      <c r="JW62" s="93">
        <v>250.54999999999993</v>
      </c>
      <c r="JX62" s="93">
        <v>249.70999999999992</v>
      </c>
      <c r="JY62" s="93">
        <v>248.87999999999994</v>
      </c>
      <c r="JZ62" s="93">
        <v>248.03999999999994</v>
      </c>
      <c r="KA62" s="93">
        <v>247.20999999999992</v>
      </c>
      <c r="KB62" s="93">
        <v>246.36999999999992</v>
      </c>
      <c r="KC62" s="93">
        <v>245.53999999999994</v>
      </c>
      <c r="KD62" s="93">
        <v>244.70999999999992</v>
      </c>
      <c r="KE62" s="93">
        <v>243.86999999999992</v>
      </c>
      <c r="KF62" s="93">
        <v>243.04999999999993</v>
      </c>
      <c r="KG62" s="93">
        <v>242.21999999999994</v>
      </c>
      <c r="KH62" s="93">
        <v>241.38999999999993</v>
      </c>
      <c r="KI62" s="93">
        <v>240.55999999999992</v>
      </c>
      <c r="KJ62" s="93">
        <v>239.73999999999992</v>
      </c>
      <c r="KK62" s="93">
        <v>238.90999999999994</v>
      </c>
      <c r="KL62" s="93">
        <v>238.08999999999992</v>
      </c>
      <c r="KM62" s="93">
        <v>237.26999999999992</v>
      </c>
      <c r="KN62" s="93">
        <v>236.44999999999993</v>
      </c>
      <c r="KO62" s="93">
        <v>235.62999999999994</v>
      </c>
      <c r="KP62" s="93">
        <v>234.80999999999992</v>
      </c>
      <c r="KQ62" s="93">
        <v>233.98999999999992</v>
      </c>
      <c r="KR62" s="93">
        <v>232.39000000000047</v>
      </c>
      <c r="KS62" s="93">
        <v>231.64000000000047</v>
      </c>
      <c r="KT62" s="93">
        <v>230.89000000000047</v>
      </c>
      <c r="KU62" s="93">
        <v>230.14000000000047</v>
      </c>
      <c r="KV62" s="93">
        <v>229.39000000000047</v>
      </c>
      <c r="KW62" s="93">
        <v>228.64000000000047</v>
      </c>
      <c r="KX62" s="93">
        <v>227.89000000000047</v>
      </c>
      <c r="KY62" s="93">
        <v>227.14000000000047</v>
      </c>
      <c r="KZ62" s="93">
        <v>226.39000000000047</v>
      </c>
      <c r="LA62" s="93">
        <v>225.64000000000047</v>
      </c>
      <c r="LB62" s="93">
        <v>224.89000000000047</v>
      </c>
      <c r="LC62" s="93">
        <v>224.14000000000047</v>
      </c>
      <c r="LD62" s="93">
        <v>223.39000000000047</v>
      </c>
      <c r="LE62" s="93">
        <v>222.64000000000047</v>
      </c>
      <c r="LF62" s="93">
        <v>221.89000000000047</v>
      </c>
      <c r="LG62" s="93">
        <v>221.14000000000047</v>
      </c>
      <c r="LH62" s="93">
        <v>220.39000000000047</v>
      </c>
      <c r="LI62" s="93">
        <v>219.64000000000047</v>
      </c>
      <c r="LJ62" s="93">
        <v>218.89000000000047</v>
      </c>
      <c r="LK62" s="93">
        <v>218.14000000000047</v>
      </c>
      <c r="LL62" s="93">
        <v>217.39000000000047</v>
      </c>
      <c r="LM62" s="93">
        <v>216.64000000000047</v>
      </c>
      <c r="LN62" s="93">
        <v>215.89000000000047</v>
      </c>
      <c r="LO62" s="93">
        <v>215.14000000000047</v>
      </c>
      <c r="LP62" s="93">
        <v>214.39000000000047</v>
      </c>
      <c r="LQ62" s="93">
        <v>213.64000000000047</v>
      </c>
      <c r="LR62" s="93">
        <v>212.89000000000047</v>
      </c>
      <c r="LS62" s="93">
        <v>212.14000000000047</v>
      </c>
      <c r="LT62" s="93">
        <v>211.39000000000047</v>
      </c>
      <c r="LU62" s="93">
        <v>210.64000000000047</v>
      </c>
      <c r="LV62" s="93">
        <v>209.89000000000047</v>
      </c>
      <c r="LW62" s="93">
        <v>209.14000000000047</v>
      </c>
      <c r="LX62" s="93">
        <v>208.39000000000047</v>
      </c>
      <c r="LY62" s="93">
        <v>207.64000000000047</v>
      </c>
      <c r="LZ62" s="93">
        <v>206.89000000000047</v>
      </c>
      <c r="MA62" s="93">
        <v>206.14000000000047</v>
      </c>
      <c r="MB62" s="93">
        <v>205.39000000000047</v>
      </c>
      <c r="MC62" s="93">
        <v>204.64000000000047</v>
      </c>
      <c r="MD62" s="93">
        <v>203.89000000000047</v>
      </c>
      <c r="ME62" s="93">
        <v>203.14000000000047</v>
      </c>
      <c r="MF62" s="93">
        <v>202.39000000000047</v>
      </c>
      <c r="MG62" s="93">
        <v>201.64000000000047</v>
      </c>
      <c r="MH62" s="93">
        <v>200.89000000000047</v>
      </c>
      <c r="MI62" s="93">
        <v>200.14000000000047</v>
      </c>
      <c r="MJ62" s="93">
        <v>199.39000000000047</v>
      </c>
      <c r="MK62" s="93">
        <v>198.64000000000047</v>
      </c>
      <c r="ML62" s="93">
        <v>197.89000000000047</v>
      </c>
      <c r="MM62" s="93">
        <v>197.14000000000047</v>
      </c>
      <c r="MN62" s="93">
        <v>196.39000000000047</v>
      </c>
      <c r="MO62" s="93">
        <v>195.64000000000047</v>
      </c>
      <c r="MP62" s="93">
        <v>194.89000000000047</v>
      </c>
      <c r="MQ62" s="93">
        <v>194.14000000000047</v>
      </c>
      <c r="MR62" s="93">
        <v>193.39000000000047</v>
      </c>
      <c r="MS62" s="93">
        <v>192.64000000000047</v>
      </c>
      <c r="MT62" s="93">
        <v>191.89000000000047</v>
      </c>
      <c r="MU62" s="93">
        <v>191.14000000000047</v>
      </c>
      <c r="MV62" s="93">
        <v>190.39000000000047</v>
      </c>
      <c r="MW62" s="93">
        <v>189.64000000000047</v>
      </c>
      <c r="MX62" s="93">
        <v>188.89000000000047</v>
      </c>
      <c r="MY62" s="93">
        <v>188.14000000000047</v>
      </c>
    </row>
    <row r="63" spans="1:363" ht="15.75" x14ac:dyDescent="0.25">
      <c r="A63" s="90" t="s">
        <v>7</v>
      </c>
      <c r="B63" s="95">
        <v>2073</v>
      </c>
      <c r="C63" s="93">
        <v>520.4</v>
      </c>
      <c r="D63" s="93">
        <v>519.38999999999987</v>
      </c>
      <c r="E63" s="93">
        <v>518.3599999999999</v>
      </c>
      <c r="F63" s="93">
        <v>517.51999999999964</v>
      </c>
      <c r="G63" s="93">
        <v>516.48999999999967</v>
      </c>
      <c r="H63" s="93">
        <v>515.45999999999981</v>
      </c>
      <c r="I63" s="93">
        <v>514.43999999999994</v>
      </c>
      <c r="J63" s="93">
        <v>513.41000000000008</v>
      </c>
      <c r="K63" s="93">
        <v>512.38000000000022</v>
      </c>
      <c r="L63" s="93">
        <v>511.36000000000018</v>
      </c>
      <c r="M63" s="93">
        <v>510.33000000000021</v>
      </c>
      <c r="N63" s="93">
        <v>509.31000000000023</v>
      </c>
      <c r="O63" s="93">
        <v>508.2800000000002</v>
      </c>
      <c r="P63" s="93">
        <v>507.25000000000023</v>
      </c>
      <c r="Q63" s="93">
        <v>506.23000000000019</v>
      </c>
      <c r="R63" s="93">
        <v>505.20000000000022</v>
      </c>
      <c r="S63" s="93">
        <v>504.17000000000019</v>
      </c>
      <c r="T63" s="93">
        <v>503.1500000000002</v>
      </c>
      <c r="U63" s="93">
        <v>502.12000000000023</v>
      </c>
      <c r="V63" s="93">
        <v>501.0900000000002</v>
      </c>
      <c r="W63" s="93">
        <v>500.07000000000022</v>
      </c>
      <c r="X63" s="93">
        <v>499.04000000000019</v>
      </c>
      <c r="Y63" s="93">
        <v>498.01000000000022</v>
      </c>
      <c r="Z63" s="93">
        <v>496.99000000000018</v>
      </c>
      <c r="AA63" s="93">
        <v>495.96000000000021</v>
      </c>
      <c r="AB63" s="93">
        <v>494.93000000000018</v>
      </c>
      <c r="AC63" s="93">
        <v>493.9100000000002</v>
      </c>
      <c r="AD63" s="93">
        <v>492.88000000000022</v>
      </c>
      <c r="AE63" s="93">
        <v>491.85000000000019</v>
      </c>
      <c r="AF63" s="93">
        <v>490.83000000000021</v>
      </c>
      <c r="AG63" s="93">
        <v>489.80000000000018</v>
      </c>
      <c r="AH63" s="93">
        <v>488.7800000000002</v>
      </c>
      <c r="AI63" s="93">
        <v>487.75000000000023</v>
      </c>
      <c r="AJ63" s="93">
        <v>486.7200000000002</v>
      </c>
      <c r="AK63" s="93">
        <v>485.70000000000022</v>
      </c>
      <c r="AL63" s="93">
        <v>484.67000000000019</v>
      </c>
      <c r="AM63" s="93">
        <v>483.64000000000021</v>
      </c>
      <c r="AN63" s="93">
        <v>482.62000000000023</v>
      </c>
      <c r="AO63" s="93">
        <v>481.5900000000002</v>
      </c>
      <c r="AP63" s="93">
        <v>480.57000000000022</v>
      </c>
      <c r="AQ63" s="93">
        <v>479.54000000000019</v>
      </c>
      <c r="AR63" s="93">
        <v>478.52000000000021</v>
      </c>
      <c r="AS63" s="93">
        <v>477.49000000000018</v>
      </c>
      <c r="AT63" s="93">
        <v>476.46000000000021</v>
      </c>
      <c r="AU63" s="93">
        <v>475.44000000000023</v>
      </c>
      <c r="AV63" s="93">
        <v>474.4100000000002</v>
      </c>
      <c r="AW63" s="93">
        <v>473.39000000000021</v>
      </c>
      <c r="AX63" s="93">
        <v>472.36000000000018</v>
      </c>
      <c r="AY63" s="93">
        <v>471.3400000000002</v>
      </c>
      <c r="AZ63" s="93">
        <v>470.31000000000023</v>
      </c>
      <c r="BA63" s="93">
        <v>469.29000000000019</v>
      </c>
      <c r="BB63" s="93">
        <v>468.27000000000021</v>
      </c>
      <c r="BC63" s="93">
        <v>467.24000000000018</v>
      </c>
      <c r="BD63" s="93">
        <v>466.2200000000002</v>
      </c>
      <c r="BE63" s="93">
        <v>465.19000000000023</v>
      </c>
      <c r="BF63" s="93">
        <v>464.17000000000019</v>
      </c>
      <c r="BG63" s="93">
        <v>463.14000000000021</v>
      </c>
      <c r="BH63" s="93">
        <v>462.12000000000023</v>
      </c>
      <c r="BI63" s="93">
        <v>461.10000000000019</v>
      </c>
      <c r="BJ63" s="93">
        <v>460.07000000000022</v>
      </c>
      <c r="BK63" s="93">
        <v>459.05000000000018</v>
      </c>
      <c r="BL63" s="93">
        <v>458.0300000000002</v>
      </c>
      <c r="BM63" s="93">
        <v>457.00000000000023</v>
      </c>
      <c r="BN63" s="93">
        <v>455.98000000000019</v>
      </c>
      <c r="BO63" s="93">
        <v>454.96000000000021</v>
      </c>
      <c r="BP63" s="93">
        <v>453.94000000000023</v>
      </c>
      <c r="BQ63" s="93">
        <v>452.92000000000019</v>
      </c>
      <c r="BR63" s="93">
        <v>451.89000000000021</v>
      </c>
      <c r="BS63" s="93">
        <v>450.87000000000023</v>
      </c>
      <c r="BT63" s="93">
        <v>449.85000000000019</v>
      </c>
      <c r="BU63" s="93">
        <v>448.83000000000021</v>
      </c>
      <c r="BV63" s="93">
        <v>447.81000000000023</v>
      </c>
      <c r="BW63" s="93">
        <v>446.79000000000019</v>
      </c>
      <c r="BX63" s="93">
        <v>445.77000000000021</v>
      </c>
      <c r="BY63" s="93">
        <v>444.75000000000023</v>
      </c>
      <c r="BZ63" s="93">
        <v>443.73000000000019</v>
      </c>
      <c r="CA63" s="93">
        <v>442.71000000000021</v>
      </c>
      <c r="CB63" s="93">
        <v>441.69000000000023</v>
      </c>
      <c r="CC63" s="93">
        <v>440.68000000000018</v>
      </c>
      <c r="CD63" s="93">
        <v>439.6600000000002</v>
      </c>
      <c r="CE63" s="93">
        <v>438.64000000000021</v>
      </c>
      <c r="CF63" s="93">
        <v>437.62000000000023</v>
      </c>
      <c r="CG63" s="93">
        <v>436.60000000000019</v>
      </c>
      <c r="CH63" s="93">
        <v>435.58000000000021</v>
      </c>
      <c r="CI63" s="93">
        <v>434.57000000000022</v>
      </c>
      <c r="CJ63" s="93">
        <v>433.55000000000018</v>
      </c>
      <c r="CK63" s="93">
        <v>432.54000000000019</v>
      </c>
      <c r="CL63" s="93">
        <v>431.5300000000002</v>
      </c>
      <c r="CM63" s="93">
        <v>430.51000000000022</v>
      </c>
      <c r="CN63" s="93">
        <v>429.50000000000023</v>
      </c>
      <c r="CO63" s="93">
        <v>428.49000000000018</v>
      </c>
      <c r="CP63" s="93">
        <v>427.4700000000002</v>
      </c>
      <c r="CQ63" s="93">
        <v>426.46000000000021</v>
      </c>
      <c r="CR63" s="93">
        <v>425.45000000000022</v>
      </c>
      <c r="CS63" s="93">
        <v>424.43000000000018</v>
      </c>
      <c r="CT63" s="93">
        <v>423.42000000000019</v>
      </c>
      <c r="CU63" s="93">
        <v>422.4100000000002</v>
      </c>
      <c r="CV63" s="93">
        <v>421.4000000000002</v>
      </c>
      <c r="CW63" s="93">
        <v>420.39000000000021</v>
      </c>
      <c r="CX63" s="93">
        <v>419.39000000000021</v>
      </c>
      <c r="CY63" s="93">
        <v>418.38000000000022</v>
      </c>
      <c r="CZ63" s="93">
        <v>417.37000000000023</v>
      </c>
      <c r="DA63" s="93">
        <v>416.37000000000023</v>
      </c>
      <c r="DB63" s="93">
        <v>415.36000000000018</v>
      </c>
      <c r="DC63" s="93">
        <v>414.35000000000019</v>
      </c>
      <c r="DD63" s="93">
        <v>413.35000000000019</v>
      </c>
      <c r="DE63" s="93">
        <v>412.3400000000002</v>
      </c>
      <c r="DF63" s="93">
        <v>411.33000000000021</v>
      </c>
      <c r="DG63" s="93">
        <v>410.33000000000021</v>
      </c>
      <c r="DH63" s="93">
        <v>409.33000000000021</v>
      </c>
      <c r="DI63" s="93">
        <v>408.33000000000021</v>
      </c>
      <c r="DJ63" s="93">
        <v>407.33000000000021</v>
      </c>
      <c r="DK63" s="93">
        <v>406.33000000000021</v>
      </c>
      <c r="DL63" s="93">
        <v>405.33000000000021</v>
      </c>
      <c r="DM63" s="93">
        <v>404.33000000000021</v>
      </c>
      <c r="DN63" s="93">
        <v>403.33000000000021</v>
      </c>
      <c r="DO63" s="93">
        <v>402.33000000000021</v>
      </c>
      <c r="DP63" s="93">
        <v>401.33000000000021</v>
      </c>
      <c r="DQ63" s="93">
        <v>400.3400000000002</v>
      </c>
      <c r="DR63" s="93">
        <v>399.3400000000002</v>
      </c>
      <c r="DS63" s="93">
        <v>398.3400000000002</v>
      </c>
      <c r="DT63" s="93">
        <v>397.35000000000019</v>
      </c>
      <c r="DU63" s="93">
        <v>396.36000000000018</v>
      </c>
      <c r="DV63" s="93">
        <v>395.37000000000023</v>
      </c>
      <c r="DW63" s="93">
        <v>394.38000000000022</v>
      </c>
      <c r="DX63" s="93">
        <v>393.39000000000021</v>
      </c>
      <c r="DY63" s="93">
        <v>392.4000000000002</v>
      </c>
      <c r="DZ63" s="93">
        <v>391.4100000000002</v>
      </c>
      <c r="EA63" s="93">
        <v>390.42000000000019</v>
      </c>
      <c r="EB63" s="93">
        <v>389.44000000000023</v>
      </c>
      <c r="EC63" s="93">
        <v>388.45000000000022</v>
      </c>
      <c r="ED63" s="93">
        <v>387.46000000000021</v>
      </c>
      <c r="EE63" s="93">
        <v>386.48000000000019</v>
      </c>
      <c r="EF63" s="93">
        <v>385.50000000000023</v>
      </c>
      <c r="EG63" s="93">
        <v>384.52000000000021</v>
      </c>
      <c r="EH63" s="93">
        <v>383.54000000000019</v>
      </c>
      <c r="EI63" s="93">
        <v>382.57000000000022</v>
      </c>
      <c r="EJ63" s="93">
        <v>381.5900000000002</v>
      </c>
      <c r="EK63" s="93">
        <v>380.62000000000023</v>
      </c>
      <c r="EL63" s="93">
        <v>379.64000000000021</v>
      </c>
      <c r="EM63" s="93">
        <v>378.67000000000019</v>
      </c>
      <c r="EN63" s="93">
        <v>377.69000000000023</v>
      </c>
      <c r="EO63" s="93">
        <v>376.7200000000002</v>
      </c>
      <c r="EP63" s="93">
        <v>375.75000000000023</v>
      </c>
      <c r="EQ63" s="93">
        <v>374.77000000000021</v>
      </c>
      <c r="ER63" s="93">
        <v>373.81000000000023</v>
      </c>
      <c r="ES63" s="93">
        <v>372.8400000000002</v>
      </c>
      <c r="ET63" s="93">
        <v>371.87000000000023</v>
      </c>
      <c r="EU63" s="93">
        <v>370.9100000000002</v>
      </c>
      <c r="EV63" s="93">
        <v>369.94000000000023</v>
      </c>
      <c r="EW63" s="93">
        <v>368.98000000000019</v>
      </c>
      <c r="EX63" s="93">
        <v>368.02000000000021</v>
      </c>
      <c r="EY63" s="93">
        <v>367.05000000000018</v>
      </c>
      <c r="EZ63" s="93">
        <v>366.0900000000002</v>
      </c>
      <c r="FA63" s="93">
        <v>365.13000000000022</v>
      </c>
      <c r="FB63" s="93">
        <v>364.1600000000002</v>
      </c>
      <c r="FC63" s="93">
        <v>363.20000000000022</v>
      </c>
      <c r="FD63" s="93">
        <v>362.24000000000018</v>
      </c>
      <c r="FE63" s="93">
        <v>361.2800000000002</v>
      </c>
      <c r="FF63" s="93">
        <v>360.32000000000022</v>
      </c>
      <c r="FG63" s="93">
        <v>359.37000000000023</v>
      </c>
      <c r="FH63" s="93">
        <v>358.4100000000002</v>
      </c>
      <c r="FI63" s="93">
        <v>357.45000000000022</v>
      </c>
      <c r="FJ63" s="93">
        <v>356.49000000000018</v>
      </c>
      <c r="FK63" s="93">
        <v>355.54000000000019</v>
      </c>
      <c r="FL63" s="93">
        <v>354.58000000000021</v>
      </c>
      <c r="FM63" s="93">
        <v>353.63000000000022</v>
      </c>
      <c r="FN63" s="93">
        <v>352.67000000000019</v>
      </c>
      <c r="FO63" s="93">
        <v>351.7200000000002</v>
      </c>
      <c r="FP63" s="93">
        <v>350.77000000000021</v>
      </c>
      <c r="FQ63" s="93">
        <v>349.82000000000022</v>
      </c>
      <c r="FR63" s="93">
        <v>348.87000000000023</v>
      </c>
      <c r="FS63" s="93">
        <v>347.92000000000019</v>
      </c>
      <c r="FT63" s="93">
        <v>346.9700000000002</v>
      </c>
      <c r="FU63" s="93">
        <v>346.02000000000021</v>
      </c>
      <c r="FV63" s="93">
        <v>345.07000000000022</v>
      </c>
      <c r="FW63" s="93">
        <v>344.12000000000023</v>
      </c>
      <c r="FX63" s="93">
        <v>343.17000000000019</v>
      </c>
      <c r="FY63" s="93">
        <v>342.23000000000019</v>
      </c>
      <c r="FZ63" s="93">
        <v>341.2800000000002</v>
      </c>
      <c r="GA63" s="93">
        <v>340.3400000000002</v>
      </c>
      <c r="GB63" s="93">
        <v>339.39000000000021</v>
      </c>
      <c r="GC63" s="93">
        <v>338.45000000000022</v>
      </c>
      <c r="GD63" s="93">
        <v>337.51000000000022</v>
      </c>
      <c r="GE63" s="93">
        <v>336.57000000000022</v>
      </c>
      <c r="GF63" s="93">
        <v>335.63000000000022</v>
      </c>
      <c r="GG63" s="93">
        <v>334.69000000000023</v>
      </c>
      <c r="GH63" s="93">
        <v>333.75000000000023</v>
      </c>
      <c r="GI63" s="93">
        <v>332.81000000000023</v>
      </c>
      <c r="GJ63" s="93">
        <v>331.87000000000023</v>
      </c>
      <c r="GK63" s="93">
        <v>330.94000000000023</v>
      </c>
      <c r="GL63" s="93">
        <v>330.00000000000023</v>
      </c>
      <c r="GM63" s="93">
        <v>329.07000000000022</v>
      </c>
      <c r="GN63" s="93">
        <v>328.14000000000021</v>
      </c>
      <c r="GO63" s="93">
        <v>327.19000000000023</v>
      </c>
      <c r="GP63" s="93">
        <v>326.27000000000021</v>
      </c>
      <c r="GQ63" s="93">
        <v>325.3400000000002</v>
      </c>
      <c r="GR63" s="93">
        <v>324.4100000000002</v>
      </c>
      <c r="GS63" s="93">
        <v>323.49000000000018</v>
      </c>
      <c r="GT63" s="93">
        <v>322.56000000000023</v>
      </c>
      <c r="GU63" s="93">
        <v>321.63000000000022</v>
      </c>
      <c r="GV63" s="93">
        <v>320.71000000000021</v>
      </c>
      <c r="GW63" s="93">
        <v>319.7800000000002</v>
      </c>
      <c r="GX63" s="93">
        <v>318.86000000000018</v>
      </c>
      <c r="GY63" s="93">
        <v>317.94000000000023</v>
      </c>
      <c r="GZ63" s="93">
        <v>317.02000000000021</v>
      </c>
      <c r="HA63" s="93">
        <v>316.10000000000019</v>
      </c>
      <c r="HB63" s="93">
        <v>315.18000000000018</v>
      </c>
      <c r="HC63" s="93">
        <v>314.25000000000023</v>
      </c>
      <c r="HD63" s="93">
        <v>313.3400000000002</v>
      </c>
      <c r="HE63" s="93">
        <v>312.43000000000018</v>
      </c>
      <c r="HF63" s="93">
        <v>311.50000000000023</v>
      </c>
      <c r="HG63" s="93">
        <v>310.60000000000019</v>
      </c>
      <c r="HH63" s="93">
        <v>309.69000000000023</v>
      </c>
      <c r="HI63" s="93">
        <v>308.7800000000002</v>
      </c>
      <c r="HJ63" s="93">
        <v>307.87000000000023</v>
      </c>
      <c r="HK63" s="93">
        <v>306.96000000000021</v>
      </c>
      <c r="HL63" s="93">
        <v>306.05000000000018</v>
      </c>
      <c r="HM63" s="93">
        <v>305.14000000000021</v>
      </c>
      <c r="HN63" s="93">
        <v>304.24000000000018</v>
      </c>
      <c r="HO63" s="93">
        <v>303.33000000000021</v>
      </c>
      <c r="HP63" s="93">
        <v>302.43000000000018</v>
      </c>
      <c r="HQ63" s="93">
        <v>301.5300000000002</v>
      </c>
      <c r="HR63" s="93">
        <v>300.63000000000022</v>
      </c>
      <c r="HS63" s="93">
        <v>299.7200000000002</v>
      </c>
      <c r="HT63" s="93">
        <v>298.83000000000021</v>
      </c>
      <c r="HU63" s="93">
        <v>297.93000000000018</v>
      </c>
      <c r="HV63" s="93">
        <v>297.04000000000019</v>
      </c>
      <c r="HW63" s="93">
        <v>296.14000000000021</v>
      </c>
      <c r="HX63" s="93">
        <v>295.25000000000023</v>
      </c>
      <c r="HY63" s="93">
        <v>294.35000000000019</v>
      </c>
      <c r="HZ63" s="93">
        <v>293.46000000000021</v>
      </c>
      <c r="IA63" s="93">
        <v>292.57000000000022</v>
      </c>
      <c r="IB63" s="93">
        <v>291.68000000000018</v>
      </c>
      <c r="IC63" s="93">
        <v>290.79000000000019</v>
      </c>
      <c r="ID63" s="93">
        <v>289.9000000000002</v>
      </c>
      <c r="IE63" s="93">
        <v>289.00000000000023</v>
      </c>
      <c r="IF63" s="93">
        <v>288.13000000000022</v>
      </c>
      <c r="IG63" s="93">
        <v>287.24000000000018</v>
      </c>
      <c r="IH63" s="93">
        <v>286.36000000000018</v>
      </c>
      <c r="II63" s="93">
        <v>285.4700000000002</v>
      </c>
      <c r="IJ63" s="93">
        <v>284.5900000000002</v>
      </c>
      <c r="IK63" s="93">
        <v>283.71000000000021</v>
      </c>
      <c r="IL63" s="93">
        <v>282.83000000000021</v>
      </c>
      <c r="IM63" s="93">
        <v>281.94000000000023</v>
      </c>
      <c r="IN63" s="93">
        <v>281.08000000000021</v>
      </c>
      <c r="IO63" s="93">
        <v>280.19000000000023</v>
      </c>
      <c r="IP63" s="93">
        <v>279.32000000000022</v>
      </c>
      <c r="IQ63" s="93">
        <v>278.44000000000023</v>
      </c>
      <c r="IR63" s="93">
        <v>277.58000000000021</v>
      </c>
      <c r="IS63" s="93">
        <v>276.71000000000021</v>
      </c>
      <c r="IT63" s="93">
        <v>275.83000000000021</v>
      </c>
      <c r="IU63" s="93">
        <v>274.9700000000002</v>
      </c>
      <c r="IV63" s="93">
        <v>274.10000000000019</v>
      </c>
      <c r="IW63" s="93">
        <v>273.2200000000002</v>
      </c>
      <c r="IX63" s="93">
        <v>272.37000000000023</v>
      </c>
      <c r="IY63" s="93">
        <v>271.50000000000023</v>
      </c>
      <c r="IZ63" s="93">
        <v>270.64000000000021</v>
      </c>
      <c r="JA63" s="93">
        <v>269.7800000000002</v>
      </c>
      <c r="JB63" s="93">
        <v>268.9100000000002</v>
      </c>
      <c r="JC63" s="93">
        <v>268.06000000000023</v>
      </c>
      <c r="JD63" s="93">
        <v>267.19000000000023</v>
      </c>
      <c r="JE63" s="93">
        <v>266.3400000000002</v>
      </c>
      <c r="JF63" s="93">
        <v>265.49000000000018</v>
      </c>
      <c r="JG63" s="93">
        <v>264.63000000000022</v>
      </c>
      <c r="JH63" s="93">
        <v>263.7800000000002</v>
      </c>
      <c r="JI63" s="93">
        <v>262.93000000000018</v>
      </c>
      <c r="JJ63" s="93">
        <v>262.07000000000022</v>
      </c>
      <c r="JK63" s="93">
        <v>261.2200000000002</v>
      </c>
      <c r="JL63" s="93">
        <v>260.37000000000018</v>
      </c>
      <c r="JM63" s="93">
        <v>259.5200000000001</v>
      </c>
      <c r="JN63" s="93">
        <v>258.68000000000006</v>
      </c>
      <c r="JO63" s="93">
        <v>257.83000000000004</v>
      </c>
      <c r="JP63" s="93">
        <v>256.97999999999996</v>
      </c>
      <c r="JQ63" s="93">
        <v>256.13999999999993</v>
      </c>
      <c r="JR63" s="93">
        <v>255.28999999999991</v>
      </c>
      <c r="JS63" s="93">
        <v>254.44999999999993</v>
      </c>
      <c r="JT63" s="93">
        <v>253.60999999999993</v>
      </c>
      <c r="JU63" s="93">
        <v>252.76999999999992</v>
      </c>
      <c r="JV63" s="93">
        <v>251.92999999999992</v>
      </c>
      <c r="JW63" s="93">
        <v>251.08999999999992</v>
      </c>
      <c r="JX63" s="93">
        <v>250.24999999999991</v>
      </c>
      <c r="JY63" s="93">
        <v>249.41999999999993</v>
      </c>
      <c r="JZ63" s="93">
        <v>248.57999999999993</v>
      </c>
      <c r="KA63" s="93">
        <v>247.74999999999991</v>
      </c>
      <c r="KB63" s="93">
        <v>246.90999999999991</v>
      </c>
      <c r="KC63" s="93">
        <v>246.07999999999993</v>
      </c>
      <c r="KD63" s="93">
        <v>245.24999999999991</v>
      </c>
      <c r="KE63" s="93">
        <v>244.40999999999991</v>
      </c>
      <c r="KF63" s="93">
        <v>243.58999999999992</v>
      </c>
      <c r="KG63" s="93">
        <v>242.75999999999993</v>
      </c>
      <c r="KH63" s="93">
        <v>241.92999999999992</v>
      </c>
      <c r="KI63" s="93">
        <v>241.09999999999991</v>
      </c>
      <c r="KJ63" s="93">
        <v>240.27999999999992</v>
      </c>
      <c r="KK63" s="93">
        <v>239.44999999999993</v>
      </c>
      <c r="KL63" s="93">
        <v>238.62999999999991</v>
      </c>
      <c r="KM63" s="93">
        <v>237.80999999999992</v>
      </c>
      <c r="KN63" s="93">
        <v>236.98999999999992</v>
      </c>
      <c r="KO63" s="93">
        <v>236.16999999999993</v>
      </c>
      <c r="KP63" s="93">
        <v>235.34999999999991</v>
      </c>
      <c r="KQ63" s="93">
        <v>234.52999999999992</v>
      </c>
      <c r="KR63" s="93">
        <v>232.85000000000048</v>
      </c>
      <c r="KS63" s="93">
        <v>232.10000000000048</v>
      </c>
      <c r="KT63" s="93">
        <v>231.35000000000048</v>
      </c>
      <c r="KU63" s="93">
        <v>230.60000000000048</v>
      </c>
      <c r="KV63" s="93">
        <v>229.85000000000048</v>
      </c>
      <c r="KW63" s="93">
        <v>229.10000000000048</v>
      </c>
      <c r="KX63" s="93">
        <v>228.35000000000048</v>
      </c>
      <c r="KY63" s="93">
        <v>227.60000000000048</v>
      </c>
      <c r="KZ63" s="93">
        <v>226.85000000000048</v>
      </c>
      <c r="LA63" s="93">
        <v>226.10000000000048</v>
      </c>
      <c r="LB63" s="93">
        <v>225.35000000000048</v>
      </c>
      <c r="LC63" s="93">
        <v>224.60000000000048</v>
      </c>
      <c r="LD63" s="93">
        <v>223.85000000000048</v>
      </c>
      <c r="LE63" s="93">
        <v>223.10000000000048</v>
      </c>
      <c r="LF63" s="93">
        <v>222.35000000000048</v>
      </c>
      <c r="LG63" s="93">
        <v>221.60000000000048</v>
      </c>
      <c r="LH63" s="93">
        <v>220.85000000000048</v>
      </c>
      <c r="LI63" s="93">
        <v>220.10000000000048</v>
      </c>
      <c r="LJ63" s="93">
        <v>219.35000000000048</v>
      </c>
      <c r="LK63" s="93">
        <v>218.60000000000048</v>
      </c>
      <c r="LL63" s="93">
        <v>217.85000000000048</v>
      </c>
      <c r="LM63" s="93">
        <v>217.10000000000048</v>
      </c>
      <c r="LN63" s="93">
        <v>216.35000000000048</v>
      </c>
      <c r="LO63" s="93">
        <v>215.60000000000048</v>
      </c>
      <c r="LP63" s="93">
        <v>214.85000000000048</v>
      </c>
      <c r="LQ63" s="93">
        <v>214.10000000000048</v>
      </c>
      <c r="LR63" s="93">
        <v>213.35000000000048</v>
      </c>
      <c r="LS63" s="93">
        <v>212.60000000000048</v>
      </c>
      <c r="LT63" s="93">
        <v>211.85000000000048</v>
      </c>
      <c r="LU63" s="93">
        <v>211.10000000000048</v>
      </c>
      <c r="LV63" s="93">
        <v>210.35000000000048</v>
      </c>
      <c r="LW63" s="93">
        <v>209.60000000000048</v>
      </c>
      <c r="LX63" s="93">
        <v>208.85000000000048</v>
      </c>
      <c r="LY63" s="93">
        <v>208.10000000000048</v>
      </c>
      <c r="LZ63" s="93">
        <v>207.35000000000048</v>
      </c>
      <c r="MA63" s="93">
        <v>206.60000000000048</v>
      </c>
      <c r="MB63" s="93">
        <v>205.85000000000048</v>
      </c>
      <c r="MC63" s="93">
        <v>205.10000000000048</v>
      </c>
      <c r="MD63" s="93">
        <v>204.35000000000048</v>
      </c>
      <c r="ME63" s="93">
        <v>203.60000000000048</v>
      </c>
      <c r="MF63" s="93">
        <v>202.85000000000048</v>
      </c>
      <c r="MG63" s="93">
        <v>202.10000000000048</v>
      </c>
      <c r="MH63" s="93">
        <v>201.35000000000048</v>
      </c>
      <c r="MI63" s="93">
        <v>200.60000000000048</v>
      </c>
      <c r="MJ63" s="93">
        <v>199.85000000000048</v>
      </c>
      <c r="MK63" s="93">
        <v>199.10000000000048</v>
      </c>
      <c r="ML63" s="93">
        <v>198.35000000000048</v>
      </c>
      <c r="MM63" s="93">
        <v>197.60000000000048</v>
      </c>
      <c r="MN63" s="93">
        <v>196.85000000000048</v>
      </c>
      <c r="MO63" s="93">
        <v>196.10000000000048</v>
      </c>
      <c r="MP63" s="93">
        <v>195.35000000000048</v>
      </c>
      <c r="MQ63" s="93">
        <v>194.60000000000048</v>
      </c>
      <c r="MR63" s="93">
        <v>193.85000000000048</v>
      </c>
      <c r="MS63" s="93">
        <v>193.10000000000048</v>
      </c>
      <c r="MT63" s="93">
        <v>192.35000000000048</v>
      </c>
      <c r="MU63" s="93">
        <v>191.60000000000048</v>
      </c>
      <c r="MV63" s="93">
        <v>190.85000000000048</v>
      </c>
      <c r="MW63" s="93">
        <v>190.10000000000048</v>
      </c>
      <c r="MX63" s="93">
        <v>189.35000000000048</v>
      </c>
      <c r="MY63" s="93">
        <v>188.60000000000048</v>
      </c>
    </row>
    <row r="64" spans="1:363" ht="15.75" x14ac:dyDescent="0.25">
      <c r="A64" s="90" t="s">
        <v>7</v>
      </c>
      <c r="B64" s="95">
        <v>2074</v>
      </c>
      <c r="C64" s="93">
        <v>1</v>
      </c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  <c r="IX64" s="96"/>
      <c r="IY64" s="96"/>
      <c r="IZ64" s="96"/>
      <c r="JA64" s="96"/>
      <c r="JB64" s="96"/>
      <c r="JC64" s="96"/>
      <c r="JD64" s="96"/>
      <c r="JE64" s="96"/>
      <c r="JF64" s="96"/>
      <c r="JG64" s="96"/>
      <c r="JH64" s="96"/>
      <c r="JI64" s="96"/>
      <c r="JJ64" s="96"/>
      <c r="JK64" s="96"/>
      <c r="JL64" s="96"/>
      <c r="JM64" s="96"/>
      <c r="JN64" s="96"/>
      <c r="JO64" s="96"/>
      <c r="JP64" s="96"/>
      <c r="JQ64" s="96"/>
      <c r="JR64" s="96"/>
      <c r="JS64" s="96"/>
      <c r="JT64" s="96"/>
      <c r="JU64" s="96"/>
      <c r="JV64" s="96"/>
      <c r="JW64" s="96"/>
      <c r="JX64" s="96"/>
      <c r="JY64" s="96"/>
      <c r="JZ64" s="96"/>
      <c r="KA64" s="96"/>
      <c r="KB64" s="96"/>
      <c r="KC64" s="96"/>
      <c r="KD64" s="96"/>
      <c r="KE64" s="96"/>
      <c r="KF64" s="96"/>
      <c r="KG64" s="96"/>
      <c r="KH64" s="96"/>
      <c r="KI64" s="96"/>
      <c r="KJ64" s="96"/>
      <c r="KK64" s="96"/>
      <c r="KL64" s="96"/>
      <c r="KM64" s="96"/>
      <c r="KN64" s="96"/>
      <c r="KO64" s="96"/>
      <c r="KP64" s="96"/>
      <c r="KQ64" s="96"/>
      <c r="KR64" s="96"/>
      <c r="KS64" s="96"/>
      <c r="KT64" s="96"/>
      <c r="KU64" s="96"/>
      <c r="KV64" s="96"/>
      <c r="KW64" s="96"/>
      <c r="KX64" s="96"/>
      <c r="KY64" s="96"/>
      <c r="KZ64" s="96"/>
      <c r="LA64" s="96"/>
      <c r="LB64" s="96"/>
      <c r="LC64" s="96"/>
    </row>
    <row r="65" spans="1:315" ht="15.75" x14ac:dyDescent="0.25">
      <c r="A65" s="90" t="s">
        <v>7</v>
      </c>
      <c r="B65" s="95">
        <v>2075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  <c r="IX65" s="96"/>
      <c r="IY65" s="96"/>
      <c r="IZ65" s="96"/>
      <c r="JA65" s="96"/>
      <c r="JB65" s="96"/>
      <c r="JC65" s="96"/>
      <c r="JD65" s="96"/>
      <c r="JE65" s="96"/>
      <c r="JF65" s="96"/>
      <c r="JG65" s="96"/>
      <c r="JH65" s="96"/>
      <c r="JI65" s="96"/>
      <c r="JJ65" s="96"/>
      <c r="JK65" s="96"/>
      <c r="JL65" s="96"/>
      <c r="JM65" s="96"/>
      <c r="JN65" s="96"/>
      <c r="JO65" s="96"/>
      <c r="JP65" s="96"/>
      <c r="JQ65" s="96"/>
      <c r="JR65" s="96"/>
      <c r="JS65" s="96"/>
      <c r="JT65" s="96"/>
      <c r="JU65" s="96"/>
      <c r="JV65" s="96"/>
      <c r="JW65" s="96"/>
      <c r="JX65" s="96"/>
      <c r="JY65" s="96"/>
      <c r="JZ65" s="96"/>
      <c r="KA65" s="96"/>
      <c r="KB65" s="96"/>
      <c r="KC65" s="96"/>
      <c r="KD65" s="96"/>
      <c r="KE65" s="96"/>
      <c r="KF65" s="96"/>
      <c r="KG65" s="96"/>
      <c r="KH65" s="96"/>
      <c r="KI65" s="96"/>
      <c r="KJ65" s="96"/>
      <c r="KK65" s="96"/>
      <c r="KL65" s="96"/>
      <c r="KM65" s="96"/>
      <c r="KN65" s="96"/>
      <c r="KO65" s="96"/>
      <c r="KP65" s="96"/>
      <c r="KQ65" s="96"/>
      <c r="KR65" s="96"/>
      <c r="KS65" s="96"/>
      <c r="KT65" s="96"/>
      <c r="KU65" s="96"/>
      <c r="KV65" s="96"/>
      <c r="KW65" s="96"/>
      <c r="KX65" s="96"/>
      <c r="KY65" s="96"/>
      <c r="KZ65" s="96"/>
      <c r="LA65" s="96"/>
      <c r="LB65" s="96"/>
      <c r="LC65" s="96"/>
    </row>
    <row r="66" spans="1:315" ht="15.75" x14ac:dyDescent="0.25">
      <c r="A66" s="90" t="s">
        <v>7</v>
      </c>
      <c r="B66" s="95">
        <v>2076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  <c r="IX66" s="96"/>
      <c r="IY66" s="96"/>
      <c r="IZ66" s="96"/>
      <c r="JA66" s="96"/>
      <c r="JB66" s="96"/>
      <c r="JC66" s="96"/>
      <c r="JD66" s="96"/>
      <c r="JE66" s="96"/>
      <c r="JF66" s="96"/>
      <c r="JG66" s="96"/>
      <c r="JH66" s="96"/>
      <c r="JI66" s="96"/>
      <c r="JJ66" s="96"/>
      <c r="JK66" s="96"/>
      <c r="JL66" s="96"/>
      <c r="JM66" s="96"/>
      <c r="JN66" s="96"/>
      <c r="JO66" s="96"/>
      <c r="JP66" s="96"/>
      <c r="JQ66" s="96"/>
      <c r="JR66" s="96"/>
      <c r="JS66" s="96"/>
      <c r="JT66" s="96"/>
      <c r="JU66" s="96"/>
      <c r="JV66" s="96"/>
      <c r="JW66" s="96"/>
      <c r="JX66" s="96"/>
      <c r="JY66" s="96"/>
      <c r="JZ66" s="96"/>
      <c r="KA66" s="96"/>
      <c r="KB66" s="96"/>
      <c r="KC66" s="96"/>
      <c r="KD66" s="96"/>
      <c r="KE66" s="96"/>
      <c r="KF66" s="96"/>
      <c r="KG66" s="96"/>
      <c r="KH66" s="96"/>
      <c r="KI66" s="96"/>
      <c r="KJ66" s="96"/>
      <c r="KK66" s="96"/>
      <c r="KL66" s="96"/>
      <c r="KM66" s="96"/>
      <c r="KN66" s="96"/>
      <c r="KO66" s="96"/>
      <c r="KP66" s="96"/>
      <c r="KQ66" s="96"/>
      <c r="KR66" s="96"/>
      <c r="KS66" s="96"/>
      <c r="KT66" s="96"/>
      <c r="KU66" s="96"/>
      <c r="KV66" s="96"/>
      <c r="KW66" s="96"/>
      <c r="KX66" s="96"/>
      <c r="KY66" s="96"/>
      <c r="KZ66" s="96"/>
      <c r="LA66" s="96"/>
      <c r="LB66" s="96"/>
      <c r="LC66" s="96"/>
    </row>
    <row r="67" spans="1:315" ht="15.75" x14ac:dyDescent="0.25">
      <c r="A67" s="90" t="s">
        <v>7</v>
      </c>
      <c r="B67" s="95">
        <v>2077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  <c r="IX67" s="96"/>
      <c r="IY67" s="96"/>
      <c r="IZ67" s="96"/>
      <c r="JA67" s="96"/>
      <c r="JB67" s="96"/>
      <c r="JC67" s="96"/>
      <c r="JD67" s="96"/>
      <c r="JE67" s="96"/>
      <c r="JF67" s="96"/>
      <c r="JG67" s="96"/>
      <c r="JH67" s="96"/>
      <c r="JI67" s="96"/>
      <c r="JJ67" s="96"/>
      <c r="JK67" s="96"/>
      <c r="JL67" s="96"/>
      <c r="JM67" s="96"/>
      <c r="JN67" s="96"/>
      <c r="JO67" s="96"/>
      <c r="JP67" s="96"/>
      <c r="JQ67" s="96"/>
      <c r="JR67" s="96"/>
      <c r="JS67" s="96"/>
      <c r="JT67" s="96"/>
      <c r="JU67" s="96"/>
      <c r="JV67" s="96"/>
      <c r="JW67" s="96"/>
      <c r="JX67" s="96"/>
      <c r="JY67" s="96"/>
      <c r="JZ67" s="96"/>
      <c r="KA67" s="96"/>
      <c r="KB67" s="96"/>
      <c r="KC67" s="96"/>
      <c r="KD67" s="96"/>
      <c r="KE67" s="96"/>
      <c r="KF67" s="96"/>
      <c r="KG67" s="96"/>
      <c r="KH67" s="96"/>
      <c r="KI67" s="96"/>
      <c r="KJ67" s="96"/>
      <c r="KK67" s="96"/>
      <c r="KL67" s="96"/>
      <c r="KM67" s="96"/>
      <c r="KN67" s="96"/>
      <c r="KO67" s="96"/>
      <c r="KP67" s="96"/>
      <c r="KQ67" s="96"/>
      <c r="KR67" s="96"/>
      <c r="KS67" s="96"/>
      <c r="KT67" s="96"/>
      <c r="KU67" s="96"/>
      <c r="KV67" s="96"/>
      <c r="KW67" s="96"/>
      <c r="KX67" s="96"/>
      <c r="KY67" s="96"/>
      <c r="KZ67" s="96"/>
      <c r="LA67" s="96"/>
      <c r="LB67" s="96"/>
      <c r="LC67" s="96"/>
    </row>
    <row r="68" spans="1:315" ht="15.75" x14ac:dyDescent="0.25">
      <c r="A68" s="90" t="s">
        <v>7</v>
      </c>
      <c r="B68" s="95">
        <v>2078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  <c r="IX68" s="96"/>
      <c r="IY68" s="96"/>
      <c r="IZ68" s="96"/>
      <c r="JA68" s="96"/>
      <c r="JB68" s="96"/>
      <c r="JC68" s="96"/>
      <c r="JD68" s="96"/>
      <c r="JE68" s="96"/>
      <c r="JF68" s="96"/>
      <c r="JG68" s="96"/>
      <c r="JH68" s="96"/>
      <c r="JI68" s="96"/>
      <c r="JJ68" s="96"/>
      <c r="JK68" s="96"/>
      <c r="JL68" s="96"/>
      <c r="JM68" s="96"/>
      <c r="JN68" s="96"/>
      <c r="JO68" s="96"/>
      <c r="JP68" s="96"/>
      <c r="JQ68" s="96"/>
      <c r="JR68" s="96"/>
      <c r="JS68" s="96"/>
      <c r="JT68" s="96"/>
      <c r="JU68" s="96"/>
      <c r="JV68" s="96"/>
      <c r="JW68" s="96"/>
      <c r="JX68" s="96"/>
      <c r="JY68" s="96"/>
      <c r="JZ68" s="96"/>
      <c r="KA68" s="96"/>
      <c r="KB68" s="96"/>
      <c r="KC68" s="96"/>
      <c r="KD68" s="96"/>
      <c r="KE68" s="96"/>
      <c r="KF68" s="96"/>
      <c r="KG68" s="96"/>
      <c r="KH68" s="96"/>
      <c r="KI68" s="96"/>
      <c r="KJ68" s="96"/>
      <c r="KK68" s="96"/>
      <c r="KL68" s="96"/>
      <c r="KM68" s="96"/>
      <c r="KN68" s="96"/>
      <c r="KO68" s="96"/>
      <c r="KP68" s="96"/>
      <c r="KQ68" s="96"/>
      <c r="KR68" s="96"/>
      <c r="KS68" s="96"/>
      <c r="KT68" s="96"/>
      <c r="KU68" s="96"/>
      <c r="KV68" s="96"/>
      <c r="KW68" s="96"/>
      <c r="KX68" s="96"/>
      <c r="KY68" s="96"/>
      <c r="KZ68" s="96"/>
      <c r="LA68" s="96"/>
      <c r="LB68" s="96"/>
      <c r="LC68" s="96"/>
    </row>
    <row r="69" spans="1:315" ht="15.75" x14ac:dyDescent="0.25">
      <c r="A69" s="90" t="s">
        <v>7</v>
      </c>
      <c r="B69" s="95">
        <v>2079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  <c r="IX69" s="96"/>
      <c r="IY69" s="96"/>
      <c r="IZ69" s="96"/>
      <c r="JA69" s="96"/>
      <c r="JB69" s="96"/>
      <c r="JC69" s="96"/>
      <c r="JD69" s="96"/>
      <c r="JE69" s="96"/>
      <c r="JF69" s="96"/>
      <c r="JG69" s="96"/>
      <c r="JH69" s="96"/>
      <c r="JI69" s="96"/>
      <c r="JJ69" s="96"/>
      <c r="JK69" s="96"/>
      <c r="JL69" s="96"/>
      <c r="JM69" s="96"/>
      <c r="JN69" s="96"/>
      <c r="JO69" s="96"/>
      <c r="JP69" s="96"/>
      <c r="JQ69" s="96"/>
      <c r="JR69" s="96"/>
      <c r="JS69" s="96"/>
      <c r="JT69" s="96"/>
      <c r="JU69" s="96"/>
      <c r="JV69" s="96"/>
      <c r="JW69" s="96"/>
      <c r="JX69" s="96"/>
      <c r="JY69" s="96"/>
      <c r="JZ69" s="96"/>
      <c r="KA69" s="96"/>
      <c r="KB69" s="96"/>
      <c r="KC69" s="96"/>
      <c r="KD69" s="96"/>
      <c r="KE69" s="96"/>
      <c r="KF69" s="96"/>
      <c r="KG69" s="96"/>
      <c r="KH69" s="96"/>
      <c r="KI69" s="96"/>
      <c r="KJ69" s="96"/>
      <c r="KK69" s="96"/>
      <c r="KL69" s="96"/>
      <c r="KM69" s="96"/>
      <c r="KN69" s="96"/>
      <c r="KO69" s="96"/>
      <c r="KP69" s="96"/>
      <c r="KQ69" s="96"/>
      <c r="KR69" s="96"/>
      <c r="KS69" s="96"/>
      <c r="KT69" s="96"/>
      <c r="KU69" s="96"/>
      <c r="KV69" s="96"/>
      <c r="KW69" s="96"/>
      <c r="KX69" s="96"/>
      <c r="KY69" s="96"/>
      <c r="KZ69" s="96"/>
      <c r="LA69" s="96"/>
      <c r="LB69" s="96"/>
      <c r="LC69" s="96"/>
    </row>
    <row r="70" spans="1:315" ht="15.75" x14ac:dyDescent="0.25">
      <c r="A70" s="90" t="s">
        <v>7</v>
      </c>
      <c r="B70" s="95">
        <v>2080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  <c r="IX70" s="96"/>
      <c r="IY70" s="96"/>
      <c r="IZ70" s="96"/>
      <c r="JA70" s="96"/>
      <c r="JB70" s="96"/>
      <c r="JC70" s="96"/>
      <c r="JD70" s="96"/>
      <c r="JE70" s="96"/>
      <c r="JF70" s="96"/>
      <c r="JG70" s="96"/>
      <c r="JH70" s="96"/>
      <c r="JI70" s="96"/>
      <c r="JJ70" s="96"/>
      <c r="JK70" s="96"/>
      <c r="JL70" s="96"/>
      <c r="JM70" s="96"/>
      <c r="JN70" s="96"/>
      <c r="JO70" s="96"/>
      <c r="JP70" s="96"/>
      <c r="JQ70" s="96"/>
      <c r="JR70" s="96"/>
      <c r="JS70" s="96"/>
      <c r="JT70" s="96"/>
      <c r="JU70" s="96"/>
      <c r="JV70" s="96"/>
      <c r="JW70" s="96"/>
      <c r="JX70" s="96"/>
      <c r="JY70" s="96"/>
      <c r="JZ70" s="96"/>
      <c r="KA70" s="96"/>
      <c r="KB70" s="96"/>
      <c r="KC70" s="96"/>
      <c r="KD70" s="96"/>
      <c r="KE70" s="96"/>
      <c r="KF70" s="96"/>
      <c r="KG70" s="96"/>
      <c r="KH70" s="96"/>
      <c r="KI70" s="96"/>
      <c r="KJ70" s="96"/>
      <c r="KK70" s="96"/>
      <c r="KL70" s="96"/>
      <c r="KM70" s="96"/>
      <c r="KN70" s="96"/>
      <c r="KO70" s="96"/>
      <c r="KP70" s="96"/>
      <c r="KQ70" s="96"/>
      <c r="KR70" s="96"/>
      <c r="KS70" s="96"/>
      <c r="KT70" s="96"/>
      <c r="KU70" s="96"/>
      <c r="KV70" s="96"/>
      <c r="KW70" s="96"/>
      <c r="KX70" s="96"/>
      <c r="KY70" s="96"/>
      <c r="KZ70" s="96"/>
      <c r="LA70" s="96"/>
      <c r="LB70" s="96"/>
      <c r="LC70" s="96"/>
    </row>
    <row r="71" spans="1:315" ht="15.75" x14ac:dyDescent="0.25">
      <c r="A71" s="90" t="s">
        <v>7</v>
      </c>
      <c r="B71" s="95">
        <v>2081</v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  <c r="IX71" s="96"/>
      <c r="IY71" s="96"/>
      <c r="IZ71" s="96"/>
      <c r="JA71" s="96"/>
      <c r="JB71" s="96"/>
      <c r="JC71" s="96"/>
      <c r="JD71" s="96"/>
      <c r="JE71" s="96"/>
      <c r="JF71" s="96"/>
      <c r="JG71" s="96"/>
      <c r="JH71" s="96"/>
      <c r="JI71" s="96"/>
      <c r="JJ71" s="96"/>
      <c r="JK71" s="96"/>
      <c r="JL71" s="96"/>
      <c r="JM71" s="96"/>
      <c r="JN71" s="96"/>
      <c r="JO71" s="96"/>
      <c r="JP71" s="96"/>
      <c r="JQ71" s="96"/>
      <c r="JR71" s="96"/>
      <c r="JS71" s="96"/>
      <c r="JT71" s="96"/>
      <c r="JU71" s="96"/>
      <c r="JV71" s="96"/>
      <c r="JW71" s="96"/>
      <c r="JX71" s="96"/>
      <c r="JY71" s="96"/>
      <c r="JZ71" s="96"/>
      <c r="KA71" s="96"/>
      <c r="KB71" s="96"/>
      <c r="KC71" s="96"/>
      <c r="KD71" s="96"/>
      <c r="KE71" s="96"/>
      <c r="KF71" s="96"/>
      <c r="KG71" s="96"/>
      <c r="KH71" s="96"/>
      <c r="KI71" s="96"/>
      <c r="KJ71" s="96"/>
      <c r="KK71" s="96"/>
      <c r="KL71" s="96"/>
      <c r="KM71" s="96"/>
      <c r="KN71" s="96"/>
      <c r="KO71" s="96"/>
      <c r="KP71" s="96"/>
      <c r="KQ71" s="96"/>
      <c r="KR71" s="96"/>
      <c r="KS71" s="96"/>
      <c r="KT71" s="96"/>
      <c r="KU71" s="96"/>
      <c r="KV71" s="96"/>
      <c r="KW71" s="96"/>
      <c r="KX71" s="96"/>
      <c r="KY71" s="96"/>
      <c r="KZ71" s="96"/>
      <c r="LA71" s="96"/>
      <c r="LB71" s="96"/>
      <c r="LC71" s="96"/>
    </row>
    <row r="72" spans="1:315" ht="15.75" x14ac:dyDescent="0.25">
      <c r="A72" s="90" t="s">
        <v>7</v>
      </c>
      <c r="B72" s="95">
        <v>2082</v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  <c r="IX72" s="96"/>
      <c r="IY72" s="96"/>
      <c r="IZ72" s="96"/>
      <c r="JA72" s="96"/>
      <c r="JB72" s="96"/>
      <c r="JC72" s="96"/>
      <c r="JD72" s="96"/>
      <c r="JE72" s="96"/>
      <c r="JF72" s="96"/>
      <c r="JG72" s="96"/>
      <c r="JH72" s="96"/>
      <c r="JI72" s="96"/>
      <c r="JJ72" s="96"/>
      <c r="JK72" s="96"/>
      <c r="JL72" s="96"/>
      <c r="JM72" s="96"/>
      <c r="JN72" s="96"/>
      <c r="JO72" s="96"/>
      <c r="JP72" s="96"/>
      <c r="JQ72" s="96"/>
      <c r="JR72" s="96"/>
      <c r="JS72" s="96"/>
      <c r="JT72" s="96"/>
      <c r="JU72" s="96"/>
      <c r="JV72" s="96"/>
      <c r="JW72" s="96"/>
      <c r="JX72" s="96"/>
      <c r="JY72" s="96"/>
      <c r="JZ72" s="96"/>
      <c r="KA72" s="96"/>
      <c r="KB72" s="96"/>
      <c r="KC72" s="96"/>
      <c r="KD72" s="96"/>
      <c r="KE72" s="96"/>
      <c r="KF72" s="96"/>
      <c r="KG72" s="96"/>
      <c r="KH72" s="96"/>
      <c r="KI72" s="96"/>
      <c r="KJ72" s="96"/>
      <c r="KK72" s="96"/>
      <c r="KL72" s="96"/>
      <c r="KM72" s="96"/>
      <c r="KN72" s="96"/>
      <c r="KO72" s="96"/>
      <c r="KP72" s="96"/>
      <c r="KQ72" s="96"/>
      <c r="KR72" s="96"/>
      <c r="KS72" s="96"/>
      <c r="KT72" s="96"/>
      <c r="KU72" s="96"/>
      <c r="KV72" s="96"/>
      <c r="KW72" s="96"/>
      <c r="KX72" s="96"/>
      <c r="KY72" s="96"/>
      <c r="KZ72" s="96"/>
      <c r="LA72" s="96"/>
      <c r="LB72" s="96"/>
      <c r="LC72" s="96"/>
    </row>
    <row r="73" spans="1:315" ht="15.75" x14ac:dyDescent="0.25">
      <c r="A73" s="90" t="s">
        <v>7</v>
      </c>
      <c r="B73" s="95">
        <v>2083</v>
      </c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  <c r="IX73" s="96"/>
      <c r="IY73" s="96"/>
      <c r="IZ73" s="96"/>
      <c r="JA73" s="96"/>
      <c r="JB73" s="96"/>
      <c r="JC73" s="96"/>
      <c r="JD73" s="96"/>
      <c r="JE73" s="96"/>
      <c r="JF73" s="96"/>
      <c r="JG73" s="96"/>
      <c r="JH73" s="96"/>
      <c r="JI73" s="96"/>
      <c r="JJ73" s="96"/>
      <c r="JK73" s="96"/>
      <c r="JL73" s="96"/>
      <c r="JM73" s="96"/>
      <c r="JN73" s="96"/>
      <c r="JO73" s="96"/>
      <c r="JP73" s="96"/>
      <c r="JQ73" s="96"/>
      <c r="JR73" s="96"/>
      <c r="JS73" s="96"/>
      <c r="JT73" s="96"/>
      <c r="JU73" s="96"/>
      <c r="JV73" s="96"/>
      <c r="JW73" s="96"/>
      <c r="JX73" s="96"/>
      <c r="JY73" s="96"/>
      <c r="JZ73" s="96"/>
      <c r="KA73" s="96"/>
      <c r="KB73" s="96"/>
      <c r="KC73" s="96"/>
      <c r="KD73" s="96"/>
      <c r="KE73" s="96"/>
      <c r="KF73" s="96"/>
      <c r="KG73" s="96"/>
      <c r="KH73" s="96"/>
      <c r="KI73" s="96"/>
      <c r="KJ73" s="96"/>
      <c r="KK73" s="96"/>
      <c r="KL73" s="96"/>
      <c r="KM73" s="96"/>
      <c r="KN73" s="96"/>
      <c r="KO73" s="96"/>
      <c r="KP73" s="96"/>
      <c r="KQ73" s="96"/>
      <c r="KR73" s="96"/>
      <c r="KS73" s="96"/>
      <c r="KT73" s="96"/>
      <c r="KU73" s="96"/>
      <c r="KV73" s="96"/>
      <c r="KW73" s="96"/>
      <c r="KX73" s="96"/>
      <c r="KY73" s="96"/>
      <c r="KZ73" s="96"/>
      <c r="LA73" s="96"/>
      <c r="LB73" s="96"/>
      <c r="LC73" s="96"/>
    </row>
    <row r="74" spans="1:315" ht="15.75" x14ac:dyDescent="0.25">
      <c r="A74" s="90" t="s">
        <v>7</v>
      </c>
      <c r="B74" s="95">
        <v>2084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  <c r="IX74" s="96"/>
      <c r="IY74" s="96"/>
      <c r="IZ74" s="96"/>
      <c r="JA74" s="96"/>
      <c r="JB74" s="96"/>
      <c r="JC74" s="96"/>
      <c r="JD74" s="96"/>
      <c r="JE74" s="96"/>
      <c r="JF74" s="96"/>
      <c r="JG74" s="96"/>
      <c r="JH74" s="96"/>
      <c r="JI74" s="96"/>
      <c r="JJ74" s="96"/>
      <c r="JK74" s="96"/>
      <c r="JL74" s="96"/>
      <c r="JM74" s="96"/>
      <c r="JN74" s="96"/>
      <c r="JO74" s="96"/>
      <c r="JP74" s="96"/>
      <c r="JQ74" s="96"/>
      <c r="JR74" s="96"/>
      <c r="JS74" s="96"/>
      <c r="JT74" s="96"/>
      <c r="JU74" s="96"/>
      <c r="JV74" s="96"/>
      <c r="JW74" s="96"/>
      <c r="JX74" s="96"/>
      <c r="JY74" s="96"/>
      <c r="JZ74" s="96"/>
      <c r="KA74" s="96"/>
      <c r="KB74" s="96"/>
      <c r="KC74" s="96"/>
      <c r="KD74" s="96"/>
      <c r="KE74" s="96"/>
      <c r="KF74" s="96"/>
      <c r="KG74" s="96"/>
      <c r="KH74" s="96"/>
      <c r="KI74" s="96"/>
      <c r="KJ74" s="96"/>
      <c r="KK74" s="96"/>
      <c r="KL74" s="96"/>
      <c r="KM74" s="96"/>
      <c r="KN74" s="96"/>
      <c r="KO74" s="96"/>
      <c r="KP74" s="96"/>
      <c r="KQ74" s="96"/>
      <c r="KR74" s="96"/>
      <c r="KS74" s="96"/>
      <c r="KT74" s="96"/>
      <c r="KU74" s="96"/>
      <c r="KV74" s="96"/>
      <c r="KW74" s="96"/>
      <c r="KX74" s="96"/>
      <c r="KY74" s="96"/>
      <c r="KZ74" s="96"/>
      <c r="LA74" s="96"/>
      <c r="LB74" s="96"/>
      <c r="LC74" s="96"/>
    </row>
    <row r="75" spans="1:315" ht="15.75" x14ac:dyDescent="0.25">
      <c r="A75" s="90" t="s">
        <v>7</v>
      </c>
      <c r="B75" s="95">
        <v>2085</v>
      </c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  <c r="IX75" s="96"/>
      <c r="IY75" s="96"/>
      <c r="IZ75" s="96"/>
      <c r="JA75" s="96"/>
      <c r="JB75" s="96"/>
      <c r="JC75" s="96"/>
      <c r="JD75" s="96"/>
      <c r="JE75" s="96"/>
      <c r="JF75" s="96"/>
      <c r="JG75" s="96"/>
      <c r="JH75" s="96"/>
      <c r="JI75" s="96"/>
      <c r="JJ75" s="96"/>
      <c r="JK75" s="96"/>
      <c r="JL75" s="96"/>
      <c r="JM75" s="96"/>
      <c r="JN75" s="96"/>
      <c r="JO75" s="96"/>
      <c r="JP75" s="96"/>
      <c r="JQ75" s="96"/>
      <c r="JR75" s="96"/>
      <c r="JS75" s="96"/>
      <c r="JT75" s="96"/>
      <c r="JU75" s="96"/>
      <c r="JV75" s="96"/>
      <c r="JW75" s="96"/>
      <c r="JX75" s="96"/>
      <c r="JY75" s="96"/>
      <c r="JZ75" s="96"/>
      <c r="KA75" s="96"/>
      <c r="KB75" s="96"/>
      <c r="KC75" s="96"/>
      <c r="KD75" s="96"/>
      <c r="KE75" s="96"/>
      <c r="KF75" s="96"/>
      <c r="KG75" s="96"/>
      <c r="KH75" s="96"/>
      <c r="KI75" s="96"/>
      <c r="KJ75" s="96"/>
      <c r="KK75" s="96"/>
      <c r="KL75" s="96"/>
      <c r="KM75" s="96"/>
      <c r="KN75" s="96"/>
      <c r="KO75" s="96"/>
      <c r="KP75" s="96"/>
      <c r="KQ75" s="96"/>
      <c r="KR75" s="96"/>
      <c r="KS75" s="96"/>
      <c r="KT75" s="96"/>
      <c r="KU75" s="96"/>
      <c r="KV75" s="96"/>
      <c r="KW75" s="96"/>
      <c r="KX75" s="96"/>
      <c r="KY75" s="96"/>
      <c r="KZ75" s="96"/>
      <c r="LA75" s="96"/>
      <c r="LB75" s="96"/>
      <c r="LC75" s="96"/>
    </row>
    <row r="76" spans="1:315" ht="15.75" x14ac:dyDescent="0.25">
      <c r="A76" s="90" t="s">
        <v>7</v>
      </c>
      <c r="B76" s="95">
        <v>2086</v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  <c r="IX76" s="96"/>
      <c r="IY76" s="96"/>
      <c r="IZ76" s="96"/>
      <c r="JA76" s="96"/>
      <c r="JB76" s="96"/>
      <c r="JC76" s="96"/>
      <c r="JD76" s="96"/>
      <c r="JE76" s="96"/>
      <c r="JF76" s="96"/>
      <c r="JG76" s="96"/>
      <c r="JH76" s="96"/>
      <c r="JI76" s="96"/>
      <c r="JJ76" s="96"/>
      <c r="JK76" s="96"/>
      <c r="JL76" s="96"/>
      <c r="JM76" s="96"/>
      <c r="JN76" s="96"/>
      <c r="JO76" s="96"/>
      <c r="JP76" s="96"/>
      <c r="JQ76" s="96"/>
      <c r="JR76" s="96"/>
      <c r="JS76" s="96"/>
      <c r="JT76" s="96"/>
      <c r="JU76" s="96"/>
      <c r="JV76" s="96"/>
      <c r="JW76" s="96"/>
      <c r="JX76" s="96"/>
      <c r="JY76" s="96"/>
      <c r="JZ76" s="96"/>
      <c r="KA76" s="96"/>
      <c r="KB76" s="96"/>
      <c r="KC76" s="96"/>
      <c r="KD76" s="96"/>
      <c r="KE76" s="96"/>
      <c r="KF76" s="96"/>
      <c r="KG76" s="96"/>
      <c r="KH76" s="96"/>
      <c r="KI76" s="96"/>
      <c r="KJ76" s="96"/>
      <c r="KK76" s="96"/>
      <c r="KL76" s="96"/>
      <c r="KM76" s="96"/>
      <c r="KN76" s="96"/>
      <c r="KO76" s="96"/>
      <c r="KP76" s="96"/>
      <c r="KQ76" s="96"/>
      <c r="KR76" s="96"/>
      <c r="KS76" s="96"/>
      <c r="KT76" s="96"/>
      <c r="KU76" s="96"/>
      <c r="KV76" s="96"/>
      <c r="KW76" s="96"/>
      <c r="KX76" s="96"/>
      <c r="KY76" s="96"/>
      <c r="KZ76" s="96"/>
      <c r="LA76" s="96"/>
      <c r="LB76" s="96"/>
      <c r="LC76" s="96"/>
    </row>
    <row r="77" spans="1:315" ht="15.75" x14ac:dyDescent="0.25">
      <c r="A77" s="90" t="s">
        <v>7</v>
      </c>
      <c r="B77" s="95">
        <v>2087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  <c r="IX77" s="96"/>
      <c r="IY77" s="96"/>
      <c r="IZ77" s="96"/>
      <c r="JA77" s="96"/>
      <c r="JB77" s="96"/>
      <c r="JC77" s="96"/>
      <c r="JD77" s="96"/>
      <c r="JE77" s="96"/>
      <c r="JF77" s="96"/>
      <c r="JG77" s="96"/>
      <c r="JH77" s="96"/>
      <c r="JI77" s="96"/>
      <c r="JJ77" s="96"/>
      <c r="JK77" s="96"/>
      <c r="JL77" s="96"/>
      <c r="JM77" s="96"/>
      <c r="JN77" s="96"/>
      <c r="JO77" s="96"/>
      <c r="JP77" s="96"/>
      <c r="JQ77" s="96"/>
      <c r="JR77" s="96"/>
      <c r="JS77" s="96"/>
      <c r="JT77" s="96"/>
      <c r="JU77" s="96"/>
      <c r="JV77" s="96"/>
      <c r="JW77" s="96"/>
      <c r="JX77" s="96"/>
      <c r="JY77" s="96"/>
      <c r="JZ77" s="96"/>
      <c r="KA77" s="96"/>
      <c r="KB77" s="96"/>
      <c r="KC77" s="96"/>
      <c r="KD77" s="96"/>
      <c r="KE77" s="96"/>
      <c r="KF77" s="96"/>
      <c r="KG77" s="96"/>
      <c r="KH77" s="96"/>
      <c r="KI77" s="96"/>
      <c r="KJ77" s="96"/>
      <c r="KK77" s="96"/>
      <c r="KL77" s="96"/>
      <c r="KM77" s="96"/>
      <c r="KN77" s="96"/>
      <c r="KO77" s="96"/>
      <c r="KP77" s="96"/>
      <c r="KQ77" s="96"/>
      <c r="KR77" s="96"/>
      <c r="KS77" s="96"/>
      <c r="KT77" s="96"/>
      <c r="KU77" s="96"/>
      <c r="KV77" s="96"/>
      <c r="KW77" s="96"/>
      <c r="KX77" s="96"/>
      <c r="KY77" s="96"/>
      <c r="KZ77" s="96"/>
      <c r="LA77" s="96"/>
      <c r="LB77" s="96"/>
      <c r="LC77" s="96"/>
    </row>
    <row r="78" spans="1:315" ht="15.75" x14ac:dyDescent="0.25">
      <c r="A78" s="90" t="s">
        <v>7</v>
      </c>
      <c r="B78" s="95">
        <v>2088</v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  <c r="IX78" s="96"/>
      <c r="IY78" s="96"/>
      <c r="IZ78" s="96"/>
      <c r="JA78" s="96"/>
      <c r="JB78" s="96"/>
      <c r="JC78" s="96"/>
      <c r="JD78" s="96"/>
      <c r="JE78" s="96"/>
      <c r="JF78" s="96"/>
      <c r="JG78" s="96"/>
      <c r="JH78" s="96"/>
      <c r="JI78" s="96"/>
      <c r="JJ78" s="96"/>
      <c r="JK78" s="96"/>
      <c r="JL78" s="96"/>
      <c r="JM78" s="96"/>
      <c r="JN78" s="96"/>
      <c r="JO78" s="96"/>
      <c r="JP78" s="96"/>
      <c r="JQ78" s="96"/>
      <c r="JR78" s="96"/>
      <c r="JS78" s="96"/>
      <c r="JT78" s="96"/>
      <c r="JU78" s="96"/>
      <c r="JV78" s="96"/>
      <c r="JW78" s="96"/>
      <c r="JX78" s="96"/>
      <c r="JY78" s="96"/>
      <c r="JZ78" s="96"/>
      <c r="KA78" s="96"/>
      <c r="KB78" s="96"/>
      <c r="KC78" s="96"/>
      <c r="KD78" s="96"/>
      <c r="KE78" s="96"/>
      <c r="KF78" s="96"/>
      <c r="KG78" s="96"/>
      <c r="KH78" s="96"/>
      <c r="KI78" s="96"/>
      <c r="KJ78" s="96"/>
      <c r="KK78" s="96"/>
      <c r="KL78" s="96"/>
      <c r="KM78" s="96"/>
      <c r="KN78" s="96"/>
      <c r="KO78" s="96"/>
      <c r="KP78" s="96"/>
      <c r="KQ78" s="96"/>
      <c r="KR78" s="96"/>
      <c r="KS78" s="96"/>
      <c r="KT78" s="96"/>
      <c r="KU78" s="96"/>
      <c r="KV78" s="96"/>
      <c r="KW78" s="96"/>
      <c r="KX78" s="96"/>
      <c r="KY78" s="96"/>
      <c r="KZ78" s="96"/>
      <c r="LA78" s="96"/>
      <c r="LB78" s="96"/>
      <c r="LC78" s="96"/>
    </row>
    <row r="79" spans="1:315" ht="15.75" x14ac:dyDescent="0.25">
      <c r="A79" s="90" t="s">
        <v>7</v>
      </c>
      <c r="B79" s="95">
        <v>2089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  <c r="IX79" s="96"/>
      <c r="IY79" s="96"/>
      <c r="IZ79" s="96"/>
      <c r="JA79" s="96"/>
      <c r="JB79" s="96"/>
      <c r="JC79" s="96"/>
      <c r="JD79" s="96"/>
      <c r="JE79" s="96"/>
      <c r="JF79" s="96"/>
      <c r="JG79" s="96"/>
      <c r="JH79" s="96"/>
      <c r="JI79" s="96"/>
      <c r="JJ79" s="96"/>
      <c r="JK79" s="96"/>
      <c r="JL79" s="96"/>
      <c r="JM79" s="96"/>
      <c r="JN79" s="96"/>
      <c r="JO79" s="96"/>
      <c r="JP79" s="96"/>
      <c r="JQ79" s="96"/>
      <c r="JR79" s="96"/>
      <c r="JS79" s="96"/>
      <c r="JT79" s="96"/>
      <c r="JU79" s="96"/>
      <c r="JV79" s="96"/>
      <c r="JW79" s="96"/>
      <c r="JX79" s="96"/>
      <c r="JY79" s="96"/>
      <c r="JZ79" s="96"/>
      <c r="KA79" s="96"/>
      <c r="KB79" s="96"/>
      <c r="KC79" s="96"/>
      <c r="KD79" s="96"/>
      <c r="KE79" s="96"/>
      <c r="KF79" s="96"/>
      <c r="KG79" s="96"/>
      <c r="KH79" s="96"/>
      <c r="KI79" s="96"/>
      <c r="KJ79" s="96"/>
      <c r="KK79" s="96"/>
      <c r="KL79" s="96"/>
      <c r="KM79" s="96"/>
      <c r="KN79" s="96"/>
      <c r="KO79" s="96"/>
      <c r="KP79" s="96"/>
      <c r="KQ79" s="96"/>
      <c r="KR79" s="96"/>
      <c r="KS79" s="96"/>
      <c r="KT79" s="96"/>
      <c r="KU79" s="96"/>
      <c r="KV79" s="96"/>
      <c r="KW79" s="96"/>
      <c r="KX79" s="96"/>
      <c r="KY79" s="96"/>
      <c r="KZ79" s="96"/>
      <c r="LA79" s="96"/>
      <c r="LB79" s="96"/>
      <c r="LC79" s="96"/>
    </row>
    <row r="80" spans="1:315" ht="15.75" x14ac:dyDescent="0.25">
      <c r="A80" s="90" t="s">
        <v>7</v>
      </c>
      <c r="B80" s="95">
        <v>2090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  <c r="IX80" s="96"/>
      <c r="IY80" s="96"/>
      <c r="IZ80" s="96"/>
      <c r="JA80" s="96"/>
      <c r="JB80" s="96"/>
      <c r="JC80" s="96"/>
      <c r="JD80" s="96"/>
      <c r="JE80" s="96"/>
      <c r="JF80" s="96"/>
      <c r="JG80" s="96"/>
      <c r="JH80" s="96"/>
      <c r="JI80" s="96"/>
      <c r="JJ80" s="96"/>
      <c r="JK80" s="96"/>
      <c r="JL80" s="96"/>
      <c r="JM80" s="96"/>
      <c r="JN80" s="96"/>
      <c r="JO80" s="96"/>
      <c r="JP80" s="96"/>
      <c r="JQ80" s="96"/>
      <c r="JR80" s="96"/>
      <c r="JS80" s="96"/>
      <c r="JT80" s="96"/>
      <c r="JU80" s="96"/>
      <c r="JV80" s="96"/>
      <c r="JW80" s="96"/>
      <c r="JX80" s="96"/>
      <c r="JY80" s="96"/>
      <c r="JZ80" s="96"/>
      <c r="KA80" s="96"/>
      <c r="KB80" s="96"/>
      <c r="KC80" s="96"/>
      <c r="KD80" s="96"/>
      <c r="KE80" s="96"/>
      <c r="KF80" s="96"/>
      <c r="KG80" s="96"/>
      <c r="KH80" s="96"/>
      <c r="KI80" s="96"/>
      <c r="KJ80" s="96"/>
      <c r="KK80" s="96"/>
      <c r="KL80" s="96"/>
      <c r="KM80" s="96"/>
      <c r="KN80" s="96"/>
      <c r="KO80" s="96"/>
      <c r="KP80" s="96"/>
      <c r="KQ80" s="96"/>
      <c r="KR80" s="96"/>
      <c r="KS80" s="96"/>
      <c r="KT80" s="96"/>
      <c r="KU80" s="96"/>
      <c r="KV80" s="96"/>
      <c r="KW80" s="96"/>
      <c r="KX80" s="96"/>
      <c r="KY80" s="96"/>
      <c r="KZ80" s="96"/>
      <c r="LA80" s="96"/>
      <c r="LB80" s="96"/>
      <c r="LC80" s="96"/>
    </row>
    <row r="81" spans="1:315" ht="15.75" x14ac:dyDescent="0.25">
      <c r="A81" s="90" t="s">
        <v>7</v>
      </c>
      <c r="B81" s="95">
        <v>2091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  <c r="IX81" s="96"/>
      <c r="IY81" s="96"/>
      <c r="IZ81" s="96"/>
      <c r="JA81" s="96"/>
      <c r="JB81" s="96"/>
      <c r="JC81" s="96"/>
      <c r="JD81" s="96"/>
      <c r="JE81" s="96"/>
      <c r="JF81" s="96"/>
      <c r="JG81" s="96"/>
      <c r="JH81" s="96"/>
      <c r="JI81" s="96"/>
      <c r="JJ81" s="96"/>
      <c r="JK81" s="96"/>
      <c r="JL81" s="96"/>
      <c r="JM81" s="96"/>
      <c r="JN81" s="96"/>
      <c r="JO81" s="96"/>
      <c r="JP81" s="96"/>
      <c r="JQ81" s="96"/>
      <c r="JR81" s="96"/>
      <c r="JS81" s="96"/>
      <c r="JT81" s="96"/>
      <c r="JU81" s="96"/>
      <c r="JV81" s="96"/>
      <c r="JW81" s="96"/>
      <c r="JX81" s="96"/>
      <c r="JY81" s="96"/>
      <c r="JZ81" s="96"/>
      <c r="KA81" s="96"/>
      <c r="KB81" s="96"/>
      <c r="KC81" s="96"/>
      <c r="KD81" s="96"/>
      <c r="KE81" s="96"/>
      <c r="KF81" s="96"/>
      <c r="KG81" s="96"/>
      <c r="KH81" s="96"/>
      <c r="KI81" s="96"/>
      <c r="KJ81" s="96"/>
      <c r="KK81" s="96"/>
      <c r="KL81" s="96"/>
      <c r="KM81" s="96"/>
      <c r="KN81" s="96"/>
      <c r="KO81" s="96"/>
      <c r="KP81" s="96"/>
      <c r="KQ81" s="96"/>
      <c r="KR81" s="96"/>
      <c r="KS81" s="96"/>
      <c r="KT81" s="96"/>
      <c r="KU81" s="96"/>
      <c r="KV81" s="96"/>
      <c r="KW81" s="96"/>
      <c r="KX81" s="96"/>
      <c r="KY81" s="96"/>
      <c r="KZ81" s="96"/>
      <c r="LA81" s="96"/>
      <c r="LB81" s="96"/>
      <c r="LC81" s="96"/>
    </row>
    <row r="82" spans="1:315" ht="15.75" x14ac:dyDescent="0.25">
      <c r="A82" s="90" t="s">
        <v>7</v>
      </c>
      <c r="B82" s="95">
        <v>2092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  <c r="IX82" s="96"/>
      <c r="IY82" s="96"/>
      <c r="IZ82" s="96"/>
      <c r="JA82" s="96"/>
      <c r="JB82" s="96"/>
      <c r="JC82" s="96"/>
      <c r="JD82" s="96"/>
      <c r="JE82" s="96"/>
      <c r="JF82" s="96"/>
      <c r="JG82" s="96"/>
      <c r="JH82" s="96"/>
      <c r="JI82" s="96"/>
      <c r="JJ82" s="96"/>
      <c r="JK82" s="96"/>
      <c r="JL82" s="96"/>
      <c r="JM82" s="96"/>
      <c r="JN82" s="96"/>
      <c r="JO82" s="96"/>
      <c r="JP82" s="96"/>
      <c r="JQ82" s="96"/>
      <c r="JR82" s="96"/>
      <c r="JS82" s="96"/>
      <c r="JT82" s="96"/>
      <c r="JU82" s="96"/>
      <c r="JV82" s="96"/>
      <c r="JW82" s="96"/>
      <c r="JX82" s="96"/>
      <c r="JY82" s="96"/>
      <c r="JZ82" s="96"/>
      <c r="KA82" s="96"/>
      <c r="KB82" s="96"/>
      <c r="KC82" s="96"/>
      <c r="KD82" s="96"/>
      <c r="KE82" s="96"/>
      <c r="KF82" s="96"/>
      <c r="KG82" s="96"/>
      <c r="KH82" s="96"/>
      <c r="KI82" s="96"/>
      <c r="KJ82" s="96"/>
      <c r="KK82" s="96"/>
      <c r="KL82" s="96"/>
      <c r="KM82" s="96"/>
      <c r="KN82" s="96"/>
      <c r="KO82" s="96"/>
      <c r="KP82" s="96"/>
      <c r="KQ82" s="96"/>
      <c r="KR82" s="96"/>
      <c r="KS82" s="96"/>
      <c r="KT82" s="96"/>
      <c r="KU82" s="96"/>
      <c r="KV82" s="96"/>
      <c r="KW82" s="96"/>
      <c r="KX82" s="96"/>
      <c r="KY82" s="96"/>
      <c r="KZ82" s="96"/>
      <c r="LA82" s="96"/>
      <c r="LB82" s="96"/>
      <c r="LC82" s="96"/>
    </row>
    <row r="83" spans="1:315" ht="15.75" x14ac:dyDescent="0.25">
      <c r="A83" s="90" t="s">
        <v>7</v>
      </c>
      <c r="B83" s="95">
        <v>2093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  <c r="IX83" s="96"/>
      <c r="IY83" s="96"/>
      <c r="IZ83" s="96"/>
      <c r="JA83" s="96"/>
      <c r="JB83" s="96"/>
      <c r="JC83" s="96"/>
      <c r="JD83" s="96"/>
      <c r="JE83" s="96"/>
      <c r="JF83" s="96"/>
      <c r="JG83" s="96"/>
      <c r="JH83" s="96"/>
      <c r="JI83" s="96"/>
      <c r="JJ83" s="96"/>
      <c r="JK83" s="96"/>
      <c r="JL83" s="96"/>
      <c r="JM83" s="96"/>
      <c r="JN83" s="96"/>
      <c r="JO83" s="96"/>
      <c r="JP83" s="96"/>
      <c r="JQ83" s="96"/>
      <c r="JR83" s="96"/>
      <c r="JS83" s="96"/>
      <c r="JT83" s="96"/>
      <c r="JU83" s="96"/>
      <c r="JV83" s="96"/>
      <c r="JW83" s="96"/>
      <c r="JX83" s="96"/>
      <c r="JY83" s="96"/>
      <c r="JZ83" s="96"/>
      <c r="KA83" s="96"/>
      <c r="KB83" s="96"/>
      <c r="KC83" s="96"/>
      <c r="KD83" s="96"/>
      <c r="KE83" s="96"/>
      <c r="KF83" s="96"/>
      <c r="KG83" s="96"/>
      <c r="KH83" s="96"/>
      <c r="KI83" s="96"/>
      <c r="KJ83" s="96"/>
      <c r="KK83" s="96"/>
      <c r="KL83" s="96"/>
      <c r="KM83" s="96"/>
      <c r="KN83" s="96"/>
      <c r="KO83" s="96"/>
      <c r="KP83" s="96"/>
      <c r="KQ83" s="96"/>
      <c r="KR83" s="96"/>
      <c r="KS83" s="96"/>
      <c r="KT83" s="96"/>
      <c r="KU83" s="96"/>
      <c r="KV83" s="96"/>
      <c r="KW83" s="96"/>
      <c r="KX83" s="96"/>
      <c r="KY83" s="96"/>
      <c r="KZ83" s="96"/>
      <c r="LA83" s="96"/>
      <c r="LB83" s="96"/>
      <c r="LC83" s="96"/>
    </row>
    <row r="84" spans="1:315" ht="15.75" x14ac:dyDescent="0.25">
      <c r="A84" s="90" t="s">
        <v>7</v>
      </c>
      <c r="B84" s="95">
        <v>2094</v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  <c r="IX84" s="96"/>
      <c r="IY84" s="96"/>
      <c r="IZ84" s="96"/>
      <c r="JA84" s="96"/>
      <c r="JB84" s="96"/>
      <c r="JC84" s="96"/>
      <c r="JD84" s="96"/>
      <c r="JE84" s="96"/>
      <c r="JF84" s="96"/>
      <c r="JG84" s="96"/>
      <c r="JH84" s="96"/>
      <c r="JI84" s="96"/>
      <c r="JJ84" s="96"/>
      <c r="JK84" s="96"/>
      <c r="JL84" s="96"/>
      <c r="JM84" s="96"/>
      <c r="JN84" s="96"/>
      <c r="JO84" s="96"/>
      <c r="JP84" s="96"/>
      <c r="JQ84" s="96"/>
      <c r="JR84" s="96"/>
      <c r="JS84" s="96"/>
      <c r="JT84" s="96"/>
      <c r="JU84" s="96"/>
      <c r="JV84" s="96"/>
      <c r="JW84" s="96"/>
      <c r="JX84" s="96"/>
      <c r="JY84" s="96"/>
      <c r="JZ84" s="96"/>
      <c r="KA84" s="96"/>
      <c r="KB84" s="96"/>
      <c r="KC84" s="96"/>
      <c r="KD84" s="96"/>
      <c r="KE84" s="96"/>
      <c r="KF84" s="96"/>
      <c r="KG84" s="96"/>
      <c r="KH84" s="96"/>
      <c r="KI84" s="96"/>
      <c r="KJ84" s="96"/>
      <c r="KK84" s="96"/>
      <c r="KL84" s="96"/>
      <c r="KM84" s="96"/>
      <c r="KN84" s="96"/>
      <c r="KO84" s="96"/>
      <c r="KP84" s="96"/>
      <c r="KQ84" s="96"/>
      <c r="KR84" s="96"/>
      <c r="KS84" s="96"/>
      <c r="KT84" s="96"/>
      <c r="KU84" s="96"/>
      <c r="KV84" s="96"/>
      <c r="KW84" s="96"/>
      <c r="KX84" s="96"/>
      <c r="KY84" s="96"/>
      <c r="KZ84" s="96"/>
      <c r="LA84" s="96"/>
      <c r="LB84" s="96"/>
      <c r="LC84" s="96"/>
    </row>
    <row r="85" spans="1:315" ht="15.75" x14ac:dyDescent="0.25">
      <c r="A85" s="90" t="s">
        <v>7</v>
      </c>
      <c r="B85" s="95">
        <v>2095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  <c r="IX85" s="96"/>
      <c r="IY85" s="96"/>
      <c r="IZ85" s="96"/>
      <c r="JA85" s="96"/>
      <c r="JB85" s="96"/>
      <c r="JC85" s="96"/>
      <c r="JD85" s="96"/>
      <c r="JE85" s="96"/>
      <c r="JF85" s="96"/>
      <c r="JG85" s="96"/>
      <c r="JH85" s="96"/>
      <c r="JI85" s="96"/>
      <c r="JJ85" s="96"/>
      <c r="JK85" s="96"/>
      <c r="JL85" s="96"/>
      <c r="JM85" s="96"/>
      <c r="JN85" s="96"/>
      <c r="JO85" s="96"/>
      <c r="JP85" s="96"/>
      <c r="JQ85" s="96"/>
      <c r="JR85" s="96"/>
      <c r="JS85" s="96"/>
      <c r="JT85" s="96"/>
      <c r="JU85" s="96"/>
      <c r="JV85" s="96"/>
      <c r="JW85" s="96"/>
      <c r="JX85" s="96"/>
      <c r="JY85" s="96"/>
      <c r="JZ85" s="96"/>
      <c r="KA85" s="96"/>
      <c r="KB85" s="96"/>
      <c r="KC85" s="96"/>
      <c r="KD85" s="96"/>
      <c r="KE85" s="96"/>
      <c r="KF85" s="96"/>
      <c r="KG85" s="96"/>
      <c r="KH85" s="96"/>
      <c r="KI85" s="96"/>
      <c r="KJ85" s="96"/>
      <c r="KK85" s="96"/>
      <c r="KL85" s="96"/>
      <c r="KM85" s="96"/>
      <c r="KN85" s="96"/>
      <c r="KO85" s="96"/>
      <c r="KP85" s="96"/>
      <c r="KQ85" s="96"/>
      <c r="KR85" s="96"/>
      <c r="KS85" s="96"/>
      <c r="KT85" s="96"/>
      <c r="KU85" s="96"/>
      <c r="KV85" s="96"/>
      <c r="KW85" s="96"/>
      <c r="KX85" s="96"/>
      <c r="KY85" s="96"/>
      <c r="KZ85" s="96"/>
      <c r="LA85" s="96"/>
      <c r="LB85" s="96"/>
      <c r="LC85" s="96"/>
    </row>
    <row r="86" spans="1:315" ht="15.75" x14ac:dyDescent="0.25">
      <c r="A86" s="90" t="s">
        <v>7</v>
      </c>
      <c r="B86" s="95">
        <v>2096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  <c r="IX86" s="96"/>
      <c r="IY86" s="96"/>
      <c r="IZ86" s="96"/>
      <c r="JA86" s="96"/>
      <c r="JB86" s="96"/>
      <c r="JC86" s="96"/>
      <c r="JD86" s="96"/>
      <c r="JE86" s="96"/>
      <c r="JF86" s="96"/>
      <c r="JG86" s="96"/>
      <c r="JH86" s="96"/>
      <c r="JI86" s="96"/>
      <c r="JJ86" s="96"/>
      <c r="JK86" s="96"/>
      <c r="JL86" s="96"/>
      <c r="JM86" s="96"/>
      <c r="JN86" s="96"/>
      <c r="JO86" s="96"/>
      <c r="JP86" s="96"/>
      <c r="JQ86" s="96"/>
      <c r="JR86" s="96"/>
      <c r="JS86" s="96"/>
      <c r="JT86" s="96"/>
      <c r="JU86" s="96"/>
      <c r="JV86" s="96"/>
      <c r="JW86" s="96"/>
      <c r="JX86" s="96"/>
      <c r="JY86" s="96"/>
      <c r="JZ86" s="96"/>
      <c r="KA86" s="96"/>
      <c r="KB86" s="96"/>
      <c r="KC86" s="96"/>
      <c r="KD86" s="96"/>
      <c r="KE86" s="96"/>
      <c r="KF86" s="96"/>
      <c r="KG86" s="96"/>
      <c r="KH86" s="96"/>
      <c r="KI86" s="96"/>
      <c r="KJ86" s="96"/>
      <c r="KK86" s="96"/>
      <c r="KL86" s="96"/>
      <c r="KM86" s="96"/>
      <c r="KN86" s="96"/>
      <c r="KO86" s="96"/>
      <c r="KP86" s="96"/>
      <c r="KQ86" s="96"/>
      <c r="KR86" s="96"/>
      <c r="KS86" s="96"/>
      <c r="KT86" s="96"/>
      <c r="KU86" s="96"/>
      <c r="KV86" s="96"/>
      <c r="KW86" s="96"/>
      <c r="KX86" s="96"/>
      <c r="KY86" s="96"/>
      <c r="KZ86" s="96"/>
      <c r="LA86" s="96"/>
      <c r="LB86" s="96"/>
      <c r="LC86" s="96"/>
    </row>
    <row r="87" spans="1:315" ht="15.75" x14ac:dyDescent="0.25">
      <c r="A87" s="90" t="s">
        <v>7</v>
      </c>
      <c r="B87" s="95">
        <v>2097</v>
      </c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  <c r="IX87" s="96"/>
      <c r="IY87" s="96"/>
      <c r="IZ87" s="96"/>
      <c r="JA87" s="96"/>
      <c r="JB87" s="96"/>
      <c r="JC87" s="96"/>
      <c r="JD87" s="96"/>
      <c r="JE87" s="96"/>
      <c r="JF87" s="96"/>
      <c r="JG87" s="96"/>
      <c r="JH87" s="96"/>
      <c r="JI87" s="96"/>
      <c r="JJ87" s="96"/>
      <c r="JK87" s="96"/>
      <c r="JL87" s="96"/>
      <c r="JM87" s="96"/>
      <c r="JN87" s="96"/>
      <c r="JO87" s="96"/>
      <c r="JP87" s="96"/>
      <c r="JQ87" s="96"/>
      <c r="JR87" s="96"/>
      <c r="JS87" s="96"/>
      <c r="JT87" s="96"/>
      <c r="JU87" s="96"/>
      <c r="JV87" s="96"/>
      <c r="JW87" s="96"/>
      <c r="JX87" s="96"/>
      <c r="JY87" s="96"/>
      <c r="JZ87" s="96"/>
      <c r="KA87" s="96"/>
      <c r="KB87" s="96"/>
      <c r="KC87" s="96"/>
      <c r="KD87" s="96"/>
      <c r="KE87" s="96"/>
      <c r="KF87" s="96"/>
      <c r="KG87" s="96"/>
      <c r="KH87" s="96"/>
      <c r="KI87" s="96"/>
      <c r="KJ87" s="96"/>
      <c r="KK87" s="96"/>
      <c r="KL87" s="96"/>
      <c r="KM87" s="96"/>
      <c r="KN87" s="96"/>
      <c r="KO87" s="96"/>
      <c r="KP87" s="96"/>
      <c r="KQ87" s="96"/>
      <c r="KR87" s="96"/>
      <c r="KS87" s="96"/>
      <c r="KT87" s="96"/>
      <c r="KU87" s="96"/>
      <c r="KV87" s="96"/>
      <c r="KW87" s="96"/>
      <c r="KX87" s="96"/>
      <c r="KY87" s="96"/>
      <c r="KZ87" s="96"/>
      <c r="LA87" s="96"/>
      <c r="LB87" s="96"/>
      <c r="LC87" s="96"/>
    </row>
    <row r="88" spans="1:315" ht="15.75" x14ac:dyDescent="0.25">
      <c r="A88" s="90" t="s">
        <v>7</v>
      </c>
      <c r="B88" s="95">
        <v>2098</v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  <c r="IX88" s="96"/>
      <c r="IY88" s="96"/>
      <c r="IZ88" s="96"/>
      <c r="JA88" s="96"/>
      <c r="JB88" s="96"/>
      <c r="JC88" s="96"/>
      <c r="JD88" s="96"/>
      <c r="JE88" s="96"/>
      <c r="JF88" s="96"/>
      <c r="JG88" s="96"/>
      <c r="JH88" s="96"/>
      <c r="JI88" s="96"/>
      <c r="JJ88" s="96"/>
      <c r="JK88" s="96"/>
      <c r="JL88" s="96"/>
      <c r="JM88" s="96"/>
      <c r="JN88" s="96"/>
      <c r="JO88" s="96"/>
      <c r="JP88" s="96"/>
      <c r="JQ88" s="96"/>
      <c r="JR88" s="96"/>
      <c r="JS88" s="96"/>
      <c r="JT88" s="96"/>
      <c r="JU88" s="96"/>
      <c r="JV88" s="96"/>
      <c r="JW88" s="96"/>
      <c r="JX88" s="96"/>
      <c r="JY88" s="96"/>
      <c r="JZ88" s="96"/>
      <c r="KA88" s="96"/>
      <c r="KB88" s="96"/>
      <c r="KC88" s="96"/>
      <c r="KD88" s="96"/>
      <c r="KE88" s="96"/>
      <c r="KF88" s="96"/>
      <c r="KG88" s="96"/>
      <c r="KH88" s="96"/>
      <c r="KI88" s="96"/>
      <c r="KJ88" s="96"/>
      <c r="KK88" s="96"/>
      <c r="KL88" s="96"/>
      <c r="KM88" s="96"/>
      <c r="KN88" s="96"/>
      <c r="KO88" s="96"/>
      <c r="KP88" s="96"/>
      <c r="KQ88" s="96"/>
      <c r="KR88" s="96"/>
      <c r="KS88" s="96"/>
      <c r="KT88" s="96"/>
      <c r="KU88" s="96"/>
      <c r="KV88" s="96"/>
      <c r="KW88" s="96"/>
      <c r="KX88" s="96"/>
      <c r="KY88" s="96"/>
      <c r="KZ88" s="96"/>
      <c r="LA88" s="96"/>
      <c r="LB88" s="96"/>
      <c r="LC88" s="96"/>
    </row>
    <row r="89" spans="1:315" ht="15.75" x14ac:dyDescent="0.25">
      <c r="A89" s="90" t="s">
        <v>7</v>
      </c>
      <c r="B89" s="95">
        <v>2099</v>
      </c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  <c r="GP89" s="96"/>
      <c r="GQ89" s="96"/>
      <c r="GR89" s="96"/>
      <c r="GS89" s="96"/>
      <c r="GT89" s="96"/>
      <c r="GU89" s="96"/>
      <c r="GV89" s="96"/>
      <c r="GW89" s="96"/>
      <c r="GX89" s="96"/>
      <c r="GY89" s="96"/>
      <c r="GZ89" s="96"/>
      <c r="HA89" s="96"/>
      <c r="HB89" s="96"/>
      <c r="HC89" s="96"/>
      <c r="HD89" s="96"/>
      <c r="HE89" s="96"/>
      <c r="HF89" s="96"/>
      <c r="HG89" s="96"/>
      <c r="HH89" s="96"/>
      <c r="HI89" s="96"/>
      <c r="HJ89" s="96"/>
      <c r="HK89" s="96"/>
      <c r="HL89" s="96"/>
      <c r="HM89" s="96"/>
      <c r="HN89" s="96"/>
      <c r="HO89" s="96"/>
      <c r="HP89" s="96"/>
      <c r="HQ89" s="96"/>
      <c r="HR89" s="96"/>
      <c r="HS89" s="96"/>
      <c r="HT89" s="96"/>
      <c r="HU89" s="96"/>
      <c r="HV89" s="96"/>
      <c r="HW89" s="96"/>
      <c r="HX89" s="96"/>
      <c r="HY89" s="96"/>
      <c r="HZ89" s="96"/>
      <c r="IA89" s="96"/>
      <c r="IB89" s="96"/>
      <c r="IC89" s="96"/>
      <c r="ID89" s="96"/>
      <c r="IE89" s="96"/>
      <c r="IF89" s="96"/>
      <c r="IG89" s="96"/>
      <c r="IH89" s="96"/>
      <c r="II89" s="96"/>
      <c r="IJ89" s="96"/>
      <c r="IK89" s="96"/>
      <c r="IL89" s="96"/>
      <c r="IM89" s="96"/>
      <c r="IN89" s="96"/>
      <c r="IO89" s="96"/>
      <c r="IP89" s="96"/>
      <c r="IQ89" s="96"/>
      <c r="IR89" s="96"/>
      <c r="IS89" s="96"/>
      <c r="IT89" s="96"/>
      <c r="IU89" s="96"/>
      <c r="IV89" s="96"/>
      <c r="IW89" s="96"/>
      <c r="IX89" s="96"/>
      <c r="IY89" s="96"/>
      <c r="IZ89" s="96"/>
      <c r="JA89" s="96"/>
      <c r="JB89" s="96"/>
      <c r="JC89" s="96"/>
      <c r="JD89" s="96"/>
      <c r="JE89" s="96"/>
      <c r="JF89" s="96"/>
      <c r="JG89" s="96"/>
      <c r="JH89" s="96"/>
      <c r="JI89" s="96"/>
      <c r="JJ89" s="96"/>
      <c r="JK89" s="96"/>
      <c r="JL89" s="96"/>
      <c r="JM89" s="96"/>
      <c r="JN89" s="96"/>
      <c r="JO89" s="96"/>
      <c r="JP89" s="96"/>
      <c r="JQ89" s="96"/>
      <c r="JR89" s="96"/>
      <c r="JS89" s="96"/>
      <c r="JT89" s="96"/>
      <c r="JU89" s="96"/>
      <c r="JV89" s="96"/>
      <c r="JW89" s="96"/>
      <c r="JX89" s="96"/>
      <c r="JY89" s="96"/>
      <c r="JZ89" s="96"/>
      <c r="KA89" s="96"/>
      <c r="KB89" s="96"/>
      <c r="KC89" s="96"/>
      <c r="KD89" s="96"/>
      <c r="KE89" s="96"/>
      <c r="KF89" s="96"/>
      <c r="KG89" s="96"/>
      <c r="KH89" s="96"/>
      <c r="KI89" s="96"/>
      <c r="KJ89" s="96"/>
      <c r="KK89" s="96"/>
      <c r="KL89" s="96"/>
      <c r="KM89" s="96"/>
      <c r="KN89" s="96"/>
      <c r="KO89" s="96"/>
      <c r="KP89" s="96"/>
      <c r="KQ89" s="96"/>
      <c r="KR89" s="96"/>
      <c r="KS89" s="96"/>
      <c r="KT89" s="96"/>
      <c r="KU89" s="96"/>
      <c r="KV89" s="96"/>
      <c r="KW89" s="96"/>
      <c r="KX89" s="96"/>
      <c r="KY89" s="96"/>
      <c r="KZ89" s="96"/>
      <c r="LA89" s="96"/>
      <c r="LB89" s="96"/>
      <c r="LC89" s="96"/>
    </row>
    <row r="90" spans="1:315" ht="16.5" thickBot="1" x14ac:dyDescent="0.3">
      <c r="A90" s="90" t="s">
        <v>7</v>
      </c>
      <c r="B90" s="91">
        <v>2100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  <c r="GP90" s="96"/>
      <c r="GQ90" s="96"/>
      <c r="GR90" s="96"/>
      <c r="GS90" s="96"/>
      <c r="GT90" s="96"/>
      <c r="GU90" s="96"/>
      <c r="GV90" s="96"/>
      <c r="GW90" s="96"/>
      <c r="GX90" s="96"/>
      <c r="GY90" s="96"/>
      <c r="GZ90" s="96"/>
      <c r="HA90" s="96"/>
      <c r="HB90" s="96"/>
      <c r="HC90" s="96"/>
      <c r="HD90" s="96"/>
      <c r="HE90" s="96"/>
      <c r="HF90" s="96"/>
      <c r="HG90" s="96"/>
      <c r="HH90" s="96"/>
      <c r="HI90" s="96"/>
      <c r="HJ90" s="96"/>
      <c r="HK90" s="96"/>
      <c r="HL90" s="96"/>
      <c r="HM90" s="96"/>
      <c r="HN90" s="96"/>
      <c r="HO90" s="96"/>
      <c r="HP90" s="96"/>
      <c r="HQ90" s="96"/>
      <c r="HR90" s="96"/>
      <c r="HS90" s="96"/>
      <c r="HT90" s="96"/>
      <c r="HU90" s="96"/>
      <c r="HV90" s="96"/>
      <c r="HW90" s="96"/>
      <c r="HX90" s="96"/>
      <c r="HY90" s="96"/>
      <c r="HZ90" s="96"/>
      <c r="IA90" s="96"/>
      <c r="IB90" s="96"/>
      <c r="IC90" s="96"/>
      <c r="ID90" s="96"/>
      <c r="IE90" s="96"/>
      <c r="IF90" s="96"/>
      <c r="IG90" s="96"/>
      <c r="IH90" s="96"/>
      <c r="II90" s="96"/>
      <c r="IJ90" s="96"/>
      <c r="IK90" s="96"/>
      <c r="IL90" s="96"/>
      <c r="IM90" s="96"/>
      <c r="IN90" s="96"/>
      <c r="IO90" s="96"/>
      <c r="IP90" s="96"/>
      <c r="IQ90" s="96"/>
      <c r="IR90" s="96"/>
      <c r="IS90" s="96"/>
      <c r="IT90" s="96"/>
      <c r="IU90" s="96"/>
      <c r="IV90" s="96"/>
      <c r="IW90" s="96"/>
      <c r="IX90" s="96"/>
      <c r="IY90" s="96"/>
      <c r="IZ90" s="96"/>
      <c r="JA90" s="96"/>
      <c r="JB90" s="96"/>
      <c r="JC90" s="96"/>
      <c r="JD90" s="96"/>
      <c r="JE90" s="96"/>
      <c r="JF90" s="96"/>
      <c r="JG90" s="96"/>
      <c r="JH90" s="96"/>
      <c r="JI90" s="96"/>
      <c r="JJ90" s="96"/>
      <c r="JK90" s="96"/>
      <c r="JL90" s="96"/>
      <c r="JM90" s="96"/>
      <c r="JN90" s="96"/>
      <c r="JO90" s="96"/>
      <c r="JP90" s="96"/>
      <c r="JQ90" s="96"/>
      <c r="JR90" s="96"/>
      <c r="JS90" s="96"/>
      <c r="JT90" s="96"/>
      <c r="JU90" s="96"/>
      <c r="JV90" s="96"/>
      <c r="JW90" s="96"/>
      <c r="JX90" s="96"/>
      <c r="JY90" s="96"/>
      <c r="JZ90" s="96"/>
      <c r="KA90" s="96"/>
      <c r="KB90" s="96"/>
      <c r="KC90" s="96"/>
      <c r="KD90" s="96"/>
      <c r="KE90" s="96"/>
      <c r="KF90" s="96"/>
      <c r="KG90" s="96"/>
      <c r="KH90" s="96"/>
      <c r="KI90" s="96"/>
      <c r="KJ90" s="96"/>
      <c r="KK90" s="96"/>
      <c r="KL90" s="96"/>
      <c r="KM90" s="96"/>
      <c r="KN90" s="96"/>
      <c r="KO90" s="96"/>
      <c r="KP90" s="96"/>
      <c r="KQ90" s="96"/>
      <c r="KR90" s="96"/>
      <c r="KS90" s="96"/>
      <c r="KT90" s="96"/>
      <c r="KU90" s="96"/>
      <c r="KV90" s="96"/>
      <c r="KW90" s="96"/>
      <c r="KX90" s="96"/>
      <c r="KY90" s="96"/>
      <c r="KZ90" s="96"/>
      <c r="LA90" s="96"/>
      <c r="LB90" s="96"/>
      <c r="LC90" s="96"/>
    </row>
  </sheetData>
  <mergeCells count="1">
    <mergeCell ref="B1:B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MY90"/>
  <sheetViews>
    <sheetView workbookViewId="0">
      <pane xSplit="2" ySplit="2" topLeftCell="C3" activePane="bottomRight" state="frozen"/>
      <selection activeCell="F32" sqref="F32"/>
      <selection pane="topRight" activeCell="F32" sqref="F32"/>
      <selection pane="bottomLeft" activeCell="F32" sqref="F32"/>
      <selection pane="bottomRight" activeCell="F32" sqref="F32"/>
    </sheetView>
  </sheetViews>
  <sheetFormatPr defaultRowHeight="15" x14ac:dyDescent="0.2"/>
  <cols>
    <col min="1" max="1" width="11.42578125" style="88" customWidth="1"/>
    <col min="2" max="2" width="14.5703125" style="88" customWidth="1"/>
    <col min="3" max="3" width="15.140625" style="88" customWidth="1"/>
    <col min="4" max="4" width="10.7109375" style="88" customWidth="1"/>
    <col min="5" max="16384" width="9.140625" style="88"/>
  </cols>
  <sheetData>
    <row r="1" spans="1:363" ht="15" customHeight="1" x14ac:dyDescent="0.2">
      <c r="B1" s="256" t="s">
        <v>152</v>
      </c>
      <c r="C1" s="89">
        <f>INT(C2/12)</f>
        <v>45</v>
      </c>
      <c r="D1" s="89">
        <f t="shared" ref="D1:BO1" si="0">INT(D2/12)</f>
        <v>45</v>
      </c>
      <c r="E1" s="89">
        <f t="shared" si="0"/>
        <v>45</v>
      </c>
      <c r="F1" s="89">
        <f t="shared" si="0"/>
        <v>45</v>
      </c>
      <c r="G1" s="89">
        <f t="shared" si="0"/>
        <v>45</v>
      </c>
      <c r="H1" s="89">
        <f t="shared" si="0"/>
        <v>45</v>
      </c>
      <c r="I1" s="89">
        <f t="shared" si="0"/>
        <v>45</v>
      </c>
      <c r="J1" s="89">
        <f t="shared" si="0"/>
        <v>45</v>
      </c>
      <c r="K1" s="89">
        <f t="shared" si="0"/>
        <v>45</v>
      </c>
      <c r="L1" s="89">
        <f t="shared" si="0"/>
        <v>45</v>
      </c>
      <c r="M1" s="89">
        <f t="shared" si="0"/>
        <v>45</v>
      </c>
      <c r="N1" s="89">
        <f t="shared" si="0"/>
        <v>45</v>
      </c>
      <c r="O1" s="89">
        <f t="shared" si="0"/>
        <v>46</v>
      </c>
      <c r="P1" s="89">
        <f t="shared" si="0"/>
        <v>46</v>
      </c>
      <c r="Q1" s="89">
        <f t="shared" si="0"/>
        <v>46</v>
      </c>
      <c r="R1" s="89">
        <f t="shared" si="0"/>
        <v>46</v>
      </c>
      <c r="S1" s="89">
        <f t="shared" si="0"/>
        <v>46</v>
      </c>
      <c r="T1" s="89">
        <f t="shared" si="0"/>
        <v>46</v>
      </c>
      <c r="U1" s="89">
        <f t="shared" si="0"/>
        <v>46</v>
      </c>
      <c r="V1" s="89">
        <f t="shared" si="0"/>
        <v>46</v>
      </c>
      <c r="W1" s="89">
        <f t="shared" si="0"/>
        <v>46</v>
      </c>
      <c r="X1" s="89">
        <f t="shared" si="0"/>
        <v>46</v>
      </c>
      <c r="Y1" s="89">
        <f t="shared" si="0"/>
        <v>46</v>
      </c>
      <c r="Z1" s="89">
        <f t="shared" si="0"/>
        <v>46</v>
      </c>
      <c r="AA1" s="89">
        <f t="shared" si="0"/>
        <v>47</v>
      </c>
      <c r="AB1" s="89">
        <f t="shared" si="0"/>
        <v>47</v>
      </c>
      <c r="AC1" s="89">
        <f t="shared" si="0"/>
        <v>47</v>
      </c>
      <c r="AD1" s="89">
        <f t="shared" si="0"/>
        <v>47</v>
      </c>
      <c r="AE1" s="89">
        <f t="shared" si="0"/>
        <v>47</v>
      </c>
      <c r="AF1" s="89">
        <f t="shared" si="0"/>
        <v>47</v>
      </c>
      <c r="AG1" s="89">
        <f t="shared" si="0"/>
        <v>47</v>
      </c>
      <c r="AH1" s="89">
        <f t="shared" si="0"/>
        <v>47</v>
      </c>
      <c r="AI1" s="89">
        <f t="shared" si="0"/>
        <v>47</v>
      </c>
      <c r="AJ1" s="89">
        <f t="shared" si="0"/>
        <v>47</v>
      </c>
      <c r="AK1" s="89">
        <f t="shared" si="0"/>
        <v>47</v>
      </c>
      <c r="AL1" s="89">
        <f t="shared" si="0"/>
        <v>47</v>
      </c>
      <c r="AM1" s="89">
        <f t="shared" si="0"/>
        <v>48</v>
      </c>
      <c r="AN1" s="89">
        <f t="shared" si="0"/>
        <v>48</v>
      </c>
      <c r="AO1" s="89">
        <f t="shared" si="0"/>
        <v>48</v>
      </c>
      <c r="AP1" s="89">
        <f t="shared" si="0"/>
        <v>48</v>
      </c>
      <c r="AQ1" s="89">
        <f t="shared" si="0"/>
        <v>48</v>
      </c>
      <c r="AR1" s="89">
        <f t="shared" si="0"/>
        <v>48</v>
      </c>
      <c r="AS1" s="89">
        <f t="shared" si="0"/>
        <v>48</v>
      </c>
      <c r="AT1" s="89">
        <f t="shared" si="0"/>
        <v>48</v>
      </c>
      <c r="AU1" s="89">
        <f t="shared" si="0"/>
        <v>48</v>
      </c>
      <c r="AV1" s="89">
        <f t="shared" si="0"/>
        <v>48</v>
      </c>
      <c r="AW1" s="89">
        <f t="shared" si="0"/>
        <v>48</v>
      </c>
      <c r="AX1" s="89">
        <f t="shared" si="0"/>
        <v>48</v>
      </c>
      <c r="AY1" s="89">
        <f t="shared" si="0"/>
        <v>49</v>
      </c>
      <c r="AZ1" s="89">
        <f t="shared" si="0"/>
        <v>49</v>
      </c>
      <c r="BA1" s="89">
        <f t="shared" si="0"/>
        <v>49</v>
      </c>
      <c r="BB1" s="89">
        <f t="shared" si="0"/>
        <v>49</v>
      </c>
      <c r="BC1" s="89">
        <f t="shared" si="0"/>
        <v>49</v>
      </c>
      <c r="BD1" s="89">
        <f t="shared" si="0"/>
        <v>49</v>
      </c>
      <c r="BE1" s="89">
        <f t="shared" si="0"/>
        <v>49</v>
      </c>
      <c r="BF1" s="89">
        <f t="shared" si="0"/>
        <v>49</v>
      </c>
      <c r="BG1" s="89">
        <f t="shared" si="0"/>
        <v>49</v>
      </c>
      <c r="BH1" s="89">
        <f t="shared" si="0"/>
        <v>49</v>
      </c>
      <c r="BI1" s="89">
        <f t="shared" si="0"/>
        <v>49</v>
      </c>
      <c r="BJ1" s="89">
        <f t="shared" si="0"/>
        <v>49</v>
      </c>
      <c r="BK1" s="89">
        <f t="shared" si="0"/>
        <v>50</v>
      </c>
      <c r="BL1" s="89">
        <f t="shared" si="0"/>
        <v>50</v>
      </c>
      <c r="BM1" s="89">
        <f t="shared" si="0"/>
        <v>50</v>
      </c>
      <c r="BN1" s="89">
        <f t="shared" si="0"/>
        <v>50</v>
      </c>
      <c r="BO1" s="89">
        <f t="shared" si="0"/>
        <v>50</v>
      </c>
      <c r="BP1" s="89">
        <f t="shared" ref="BP1:EA1" si="1">INT(BP2/12)</f>
        <v>50</v>
      </c>
      <c r="BQ1" s="89">
        <f t="shared" si="1"/>
        <v>50</v>
      </c>
      <c r="BR1" s="89">
        <f t="shared" si="1"/>
        <v>50</v>
      </c>
      <c r="BS1" s="89">
        <f t="shared" si="1"/>
        <v>50</v>
      </c>
      <c r="BT1" s="89">
        <f t="shared" si="1"/>
        <v>50</v>
      </c>
      <c r="BU1" s="89">
        <f t="shared" si="1"/>
        <v>50</v>
      </c>
      <c r="BV1" s="89">
        <f t="shared" si="1"/>
        <v>50</v>
      </c>
      <c r="BW1" s="89">
        <f t="shared" si="1"/>
        <v>51</v>
      </c>
      <c r="BX1" s="89">
        <f t="shared" si="1"/>
        <v>51</v>
      </c>
      <c r="BY1" s="89">
        <f t="shared" si="1"/>
        <v>51</v>
      </c>
      <c r="BZ1" s="89">
        <f t="shared" si="1"/>
        <v>51</v>
      </c>
      <c r="CA1" s="89">
        <f t="shared" si="1"/>
        <v>51</v>
      </c>
      <c r="CB1" s="89">
        <f t="shared" si="1"/>
        <v>51</v>
      </c>
      <c r="CC1" s="89">
        <f t="shared" si="1"/>
        <v>51</v>
      </c>
      <c r="CD1" s="89">
        <f t="shared" si="1"/>
        <v>51</v>
      </c>
      <c r="CE1" s="89">
        <f t="shared" si="1"/>
        <v>51</v>
      </c>
      <c r="CF1" s="89">
        <f t="shared" si="1"/>
        <v>51</v>
      </c>
      <c r="CG1" s="89">
        <f t="shared" si="1"/>
        <v>51</v>
      </c>
      <c r="CH1" s="89">
        <f t="shared" si="1"/>
        <v>51</v>
      </c>
      <c r="CI1" s="89">
        <f t="shared" si="1"/>
        <v>52</v>
      </c>
      <c r="CJ1" s="89">
        <f t="shared" si="1"/>
        <v>52</v>
      </c>
      <c r="CK1" s="89">
        <f t="shared" si="1"/>
        <v>52</v>
      </c>
      <c r="CL1" s="89">
        <f t="shared" si="1"/>
        <v>52</v>
      </c>
      <c r="CM1" s="89">
        <f t="shared" si="1"/>
        <v>52</v>
      </c>
      <c r="CN1" s="89">
        <f t="shared" si="1"/>
        <v>52</v>
      </c>
      <c r="CO1" s="89">
        <f t="shared" si="1"/>
        <v>52</v>
      </c>
      <c r="CP1" s="89">
        <f t="shared" si="1"/>
        <v>52</v>
      </c>
      <c r="CQ1" s="89">
        <f t="shared" si="1"/>
        <v>52</v>
      </c>
      <c r="CR1" s="89">
        <f t="shared" si="1"/>
        <v>52</v>
      </c>
      <c r="CS1" s="89">
        <f t="shared" si="1"/>
        <v>52</v>
      </c>
      <c r="CT1" s="89">
        <f t="shared" si="1"/>
        <v>52</v>
      </c>
      <c r="CU1" s="89">
        <f t="shared" si="1"/>
        <v>53</v>
      </c>
      <c r="CV1" s="89">
        <f t="shared" si="1"/>
        <v>53</v>
      </c>
      <c r="CW1" s="89">
        <f t="shared" si="1"/>
        <v>53</v>
      </c>
      <c r="CX1" s="89">
        <f t="shared" si="1"/>
        <v>53</v>
      </c>
      <c r="CY1" s="89">
        <f t="shared" si="1"/>
        <v>53</v>
      </c>
      <c r="CZ1" s="89">
        <f t="shared" si="1"/>
        <v>53</v>
      </c>
      <c r="DA1" s="89">
        <f t="shared" si="1"/>
        <v>53</v>
      </c>
      <c r="DB1" s="89">
        <f t="shared" si="1"/>
        <v>53</v>
      </c>
      <c r="DC1" s="89">
        <f t="shared" si="1"/>
        <v>53</v>
      </c>
      <c r="DD1" s="89">
        <f t="shared" si="1"/>
        <v>53</v>
      </c>
      <c r="DE1" s="89">
        <f t="shared" si="1"/>
        <v>53</v>
      </c>
      <c r="DF1" s="89">
        <f t="shared" si="1"/>
        <v>53</v>
      </c>
      <c r="DG1" s="89">
        <f t="shared" si="1"/>
        <v>54</v>
      </c>
      <c r="DH1" s="89">
        <f t="shared" si="1"/>
        <v>54</v>
      </c>
      <c r="DI1" s="89">
        <f t="shared" si="1"/>
        <v>54</v>
      </c>
      <c r="DJ1" s="89">
        <f t="shared" si="1"/>
        <v>54</v>
      </c>
      <c r="DK1" s="89">
        <f t="shared" si="1"/>
        <v>54</v>
      </c>
      <c r="DL1" s="89">
        <f t="shared" si="1"/>
        <v>54</v>
      </c>
      <c r="DM1" s="89">
        <f t="shared" si="1"/>
        <v>54</v>
      </c>
      <c r="DN1" s="89">
        <f t="shared" si="1"/>
        <v>54</v>
      </c>
      <c r="DO1" s="89">
        <f t="shared" si="1"/>
        <v>54</v>
      </c>
      <c r="DP1" s="89">
        <f t="shared" si="1"/>
        <v>54</v>
      </c>
      <c r="DQ1" s="89">
        <f t="shared" si="1"/>
        <v>54</v>
      </c>
      <c r="DR1" s="89">
        <f t="shared" si="1"/>
        <v>54</v>
      </c>
      <c r="DS1" s="89">
        <f t="shared" si="1"/>
        <v>55</v>
      </c>
      <c r="DT1" s="89">
        <f t="shared" si="1"/>
        <v>55</v>
      </c>
      <c r="DU1" s="89">
        <f t="shared" si="1"/>
        <v>55</v>
      </c>
      <c r="DV1" s="89">
        <f t="shared" si="1"/>
        <v>55</v>
      </c>
      <c r="DW1" s="89">
        <f t="shared" si="1"/>
        <v>55</v>
      </c>
      <c r="DX1" s="89">
        <f t="shared" si="1"/>
        <v>55</v>
      </c>
      <c r="DY1" s="89">
        <f t="shared" si="1"/>
        <v>55</v>
      </c>
      <c r="DZ1" s="89">
        <f t="shared" si="1"/>
        <v>55</v>
      </c>
      <c r="EA1" s="89">
        <f t="shared" si="1"/>
        <v>55</v>
      </c>
      <c r="EB1" s="89">
        <f t="shared" ref="EB1:GM1" si="2">INT(EB2/12)</f>
        <v>55</v>
      </c>
      <c r="EC1" s="89">
        <f t="shared" si="2"/>
        <v>55</v>
      </c>
      <c r="ED1" s="89">
        <f t="shared" si="2"/>
        <v>55</v>
      </c>
      <c r="EE1" s="89">
        <f t="shared" si="2"/>
        <v>56</v>
      </c>
      <c r="EF1" s="89">
        <f t="shared" si="2"/>
        <v>56</v>
      </c>
      <c r="EG1" s="89">
        <f t="shared" si="2"/>
        <v>56</v>
      </c>
      <c r="EH1" s="89">
        <f t="shared" si="2"/>
        <v>56</v>
      </c>
      <c r="EI1" s="89">
        <f t="shared" si="2"/>
        <v>56</v>
      </c>
      <c r="EJ1" s="89">
        <f t="shared" si="2"/>
        <v>56</v>
      </c>
      <c r="EK1" s="89">
        <f t="shared" si="2"/>
        <v>56</v>
      </c>
      <c r="EL1" s="89">
        <f t="shared" si="2"/>
        <v>56</v>
      </c>
      <c r="EM1" s="89">
        <f t="shared" si="2"/>
        <v>56</v>
      </c>
      <c r="EN1" s="89">
        <f t="shared" si="2"/>
        <v>56</v>
      </c>
      <c r="EO1" s="89">
        <f t="shared" si="2"/>
        <v>56</v>
      </c>
      <c r="EP1" s="89">
        <f t="shared" si="2"/>
        <v>56</v>
      </c>
      <c r="EQ1" s="89">
        <f t="shared" si="2"/>
        <v>57</v>
      </c>
      <c r="ER1" s="89">
        <f t="shared" si="2"/>
        <v>57</v>
      </c>
      <c r="ES1" s="89">
        <f t="shared" si="2"/>
        <v>57</v>
      </c>
      <c r="ET1" s="89">
        <f t="shared" si="2"/>
        <v>57</v>
      </c>
      <c r="EU1" s="89">
        <f t="shared" si="2"/>
        <v>57</v>
      </c>
      <c r="EV1" s="89">
        <f t="shared" si="2"/>
        <v>57</v>
      </c>
      <c r="EW1" s="89">
        <f t="shared" si="2"/>
        <v>57</v>
      </c>
      <c r="EX1" s="89">
        <f t="shared" si="2"/>
        <v>57</v>
      </c>
      <c r="EY1" s="89">
        <f t="shared" si="2"/>
        <v>57</v>
      </c>
      <c r="EZ1" s="89">
        <f t="shared" si="2"/>
        <v>57</v>
      </c>
      <c r="FA1" s="89">
        <f t="shared" si="2"/>
        <v>57</v>
      </c>
      <c r="FB1" s="89">
        <f t="shared" si="2"/>
        <v>57</v>
      </c>
      <c r="FC1" s="89">
        <f t="shared" si="2"/>
        <v>58</v>
      </c>
      <c r="FD1" s="89">
        <f t="shared" si="2"/>
        <v>58</v>
      </c>
      <c r="FE1" s="89">
        <f t="shared" si="2"/>
        <v>58</v>
      </c>
      <c r="FF1" s="89">
        <f t="shared" si="2"/>
        <v>58</v>
      </c>
      <c r="FG1" s="89">
        <f t="shared" si="2"/>
        <v>58</v>
      </c>
      <c r="FH1" s="89">
        <f t="shared" si="2"/>
        <v>58</v>
      </c>
      <c r="FI1" s="89">
        <f t="shared" si="2"/>
        <v>58</v>
      </c>
      <c r="FJ1" s="89">
        <f t="shared" si="2"/>
        <v>58</v>
      </c>
      <c r="FK1" s="89">
        <f t="shared" si="2"/>
        <v>58</v>
      </c>
      <c r="FL1" s="89">
        <f t="shared" si="2"/>
        <v>58</v>
      </c>
      <c r="FM1" s="89">
        <f t="shared" si="2"/>
        <v>58</v>
      </c>
      <c r="FN1" s="89">
        <f t="shared" si="2"/>
        <v>58</v>
      </c>
      <c r="FO1" s="89">
        <f t="shared" si="2"/>
        <v>59</v>
      </c>
      <c r="FP1" s="89">
        <f t="shared" si="2"/>
        <v>59</v>
      </c>
      <c r="FQ1" s="89">
        <f t="shared" si="2"/>
        <v>59</v>
      </c>
      <c r="FR1" s="89">
        <f t="shared" si="2"/>
        <v>59</v>
      </c>
      <c r="FS1" s="89">
        <f t="shared" si="2"/>
        <v>59</v>
      </c>
      <c r="FT1" s="89">
        <f t="shared" si="2"/>
        <v>59</v>
      </c>
      <c r="FU1" s="89">
        <f t="shared" si="2"/>
        <v>59</v>
      </c>
      <c r="FV1" s="89">
        <f t="shared" si="2"/>
        <v>59</v>
      </c>
      <c r="FW1" s="89">
        <f t="shared" si="2"/>
        <v>59</v>
      </c>
      <c r="FX1" s="89">
        <f t="shared" si="2"/>
        <v>59</v>
      </c>
      <c r="FY1" s="89">
        <f t="shared" si="2"/>
        <v>59</v>
      </c>
      <c r="FZ1" s="89">
        <f t="shared" si="2"/>
        <v>59</v>
      </c>
      <c r="GA1" s="89">
        <f t="shared" si="2"/>
        <v>60</v>
      </c>
      <c r="GB1" s="89">
        <f t="shared" si="2"/>
        <v>60</v>
      </c>
      <c r="GC1" s="89">
        <f t="shared" si="2"/>
        <v>60</v>
      </c>
      <c r="GD1" s="89">
        <f t="shared" si="2"/>
        <v>60</v>
      </c>
      <c r="GE1" s="89">
        <f t="shared" si="2"/>
        <v>60</v>
      </c>
      <c r="GF1" s="89">
        <f t="shared" si="2"/>
        <v>60</v>
      </c>
      <c r="GG1" s="89">
        <f t="shared" si="2"/>
        <v>60</v>
      </c>
      <c r="GH1" s="89">
        <f t="shared" si="2"/>
        <v>60</v>
      </c>
      <c r="GI1" s="89">
        <f t="shared" si="2"/>
        <v>60</v>
      </c>
      <c r="GJ1" s="89">
        <f t="shared" si="2"/>
        <v>60</v>
      </c>
      <c r="GK1" s="89">
        <f t="shared" si="2"/>
        <v>60</v>
      </c>
      <c r="GL1" s="89">
        <f t="shared" si="2"/>
        <v>60</v>
      </c>
      <c r="GM1" s="89">
        <f t="shared" si="2"/>
        <v>61</v>
      </c>
      <c r="GN1" s="89">
        <f t="shared" ref="GN1:IY1" si="3">INT(GN2/12)</f>
        <v>61</v>
      </c>
      <c r="GO1" s="89">
        <f t="shared" si="3"/>
        <v>61</v>
      </c>
      <c r="GP1" s="89">
        <f t="shared" si="3"/>
        <v>61</v>
      </c>
      <c r="GQ1" s="89">
        <f t="shared" si="3"/>
        <v>61</v>
      </c>
      <c r="GR1" s="89">
        <f t="shared" si="3"/>
        <v>61</v>
      </c>
      <c r="GS1" s="89">
        <f t="shared" si="3"/>
        <v>61</v>
      </c>
      <c r="GT1" s="89">
        <f t="shared" si="3"/>
        <v>61</v>
      </c>
      <c r="GU1" s="89">
        <f t="shared" si="3"/>
        <v>61</v>
      </c>
      <c r="GV1" s="89">
        <f t="shared" si="3"/>
        <v>61</v>
      </c>
      <c r="GW1" s="89">
        <f t="shared" si="3"/>
        <v>61</v>
      </c>
      <c r="GX1" s="89">
        <f t="shared" si="3"/>
        <v>61</v>
      </c>
      <c r="GY1" s="89">
        <f t="shared" si="3"/>
        <v>62</v>
      </c>
      <c r="GZ1" s="89">
        <f t="shared" si="3"/>
        <v>62</v>
      </c>
      <c r="HA1" s="89">
        <f t="shared" si="3"/>
        <v>62</v>
      </c>
      <c r="HB1" s="89">
        <f t="shared" si="3"/>
        <v>62</v>
      </c>
      <c r="HC1" s="89">
        <f t="shared" si="3"/>
        <v>62</v>
      </c>
      <c r="HD1" s="89">
        <f t="shared" si="3"/>
        <v>62</v>
      </c>
      <c r="HE1" s="89">
        <f t="shared" si="3"/>
        <v>62</v>
      </c>
      <c r="HF1" s="89">
        <f t="shared" si="3"/>
        <v>62</v>
      </c>
      <c r="HG1" s="89">
        <f t="shared" si="3"/>
        <v>62</v>
      </c>
      <c r="HH1" s="89">
        <f t="shared" si="3"/>
        <v>62</v>
      </c>
      <c r="HI1" s="89">
        <f t="shared" si="3"/>
        <v>62</v>
      </c>
      <c r="HJ1" s="89">
        <f t="shared" si="3"/>
        <v>62</v>
      </c>
      <c r="HK1" s="89">
        <f t="shared" si="3"/>
        <v>63</v>
      </c>
      <c r="HL1" s="89">
        <f t="shared" si="3"/>
        <v>63</v>
      </c>
      <c r="HM1" s="89">
        <f t="shared" si="3"/>
        <v>63</v>
      </c>
      <c r="HN1" s="89">
        <f t="shared" si="3"/>
        <v>63</v>
      </c>
      <c r="HO1" s="89">
        <f t="shared" si="3"/>
        <v>63</v>
      </c>
      <c r="HP1" s="89">
        <f t="shared" si="3"/>
        <v>63</v>
      </c>
      <c r="HQ1" s="89">
        <f t="shared" si="3"/>
        <v>63</v>
      </c>
      <c r="HR1" s="89">
        <f t="shared" si="3"/>
        <v>63</v>
      </c>
      <c r="HS1" s="89">
        <f t="shared" si="3"/>
        <v>63</v>
      </c>
      <c r="HT1" s="89">
        <f t="shared" si="3"/>
        <v>63</v>
      </c>
      <c r="HU1" s="89">
        <f t="shared" si="3"/>
        <v>63</v>
      </c>
      <c r="HV1" s="89">
        <f t="shared" si="3"/>
        <v>63</v>
      </c>
      <c r="HW1" s="89">
        <f t="shared" si="3"/>
        <v>64</v>
      </c>
      <c r="HX1" s="89">
        <f t="shared" si="3"/>
        <v>64</v>
      </c>
      <c r="HY1" s="89">
        <f t="shared" si="3"/>
        <v>64</v>
      </c>
      <c r="HZ1" s="89">
        <f t="shared" si="3"/>
        <v>64</v>
      </c>
      <c r="IA1" s="89">
        <f t="shared" si="3"/>
        <v>64</v>
      </c>
      <c r="IB1" s="89">
        <f t="shared" si="3"/>
        <v>64</v>
      </c>
      <c r="IC1" s="89">
        <f t="shared" si="3"/>
        <v>64</v>
      </c>
      <c r="ID1" s="89">
        <f t="shared" si="3"/>
        <v>64</v>
      </c>
      <c r="IE1" s="89">
        <f t="shared" si="3"/>
        <v>64</v>
      </c>
      <c r="IF1" s="89">
        <f t="shared" si="3"/>
        <v>64</v>
      </c>
      <c r="IG1" s="89">
        <f t="shared" si="3"/>
        <v>64</v>
      </c>
      <c r="IH1" s="89">
        <f t="shared" si="3"/>
        <v>64</v>
      </c>
      <c r="II1" s="89">
        <f t="shared" si="3"/>
        <v>65</v>
      </c>
      <c r="IJ1" s="89">
        <f t="shared" si="3"/>
        <v>65</v>
      </c>
      <c r="IK1" s="89">
        <f t="shared" si="3"/>
        <v>65</v>
      </c>
      <c r="IL1" s="89">
        <f t="shared" si="3"/>
        <v>65</v>
      </c>
      <c r="IM1" s="89">
        <f t="shared" si="3"/>
        <v>65</v>
      </c>
      <c r="IN1" s="89">
        <f t="shared" si="3"/>
        <v>65</v>
      </c>
      <c r="IO1" s="89">
        <f t="shared" si="3"/>
        <v>65</v>
      </c>
      <c r="IP1" s="89">
        <f t="shared" si="3"/>
        <v>65</v>
      </c>
      <c r="IQ1" s="89">
        <f t="shared" si="3"/>
        <v>65</v>
      </c>
      <c r="IR1" s="89">
        <f t="shared" si="3"/>
        <v>65</v>
      </c>
      <c r="IS1" s="89">
        <f t="shared" si="3"/>
        <v>65</v>
      </c>
      <c r="IT1" s="89">
        <f t="shared" si="3"/>
        <v>65</v>
      </c>
      <c r="IU1" s="89">
        <f t="shared" si="3"/>
        <v>66</v>
      </c>
      <c r="IV1" s="89">
        <f t="shared" si="3"/>
        <v>66</v>
      </c>
      <c r="IW1" s="89">
        <f t="shared" si="3"/>
        <v>66</v>
      </c>
      <c r="IX1" s="89">
        <f t="shared" si="3"/>
        <v>66</v>
      </c>
      <c r="IY1" s="89">
        <f t="shared" si="3"/>
        <v>66</v>
      </c>
      <c r="IZ1" s="89">
        <f t="shared" ref="IZ1:LK1" si="4">INT(IZ2/12)</f>
        <v>66</v>
      </c>
      <c r="JA1" s="89">
        <f t="shared" si="4"/>
        <v>66</v>
      </c>
      <c r="JB1" s="89">
        <f t="shared" si="4"/>
        <v>66</v>
      </c>
      <c r="JC1" s="89">
        <f t="shared" si="4"/>
        <v>66</v>
      </c>
      <c r="JD1" s="89">
        <f t="shared" si="4"/>
        <v>66</v>
      </c>
      <c r="JE1" s="89">
        <f t="shared" si="4"/>
        <v>66</v>
      </c>
      <c r="JF1" s="89">
        <f t="shared" si="4"/>
        <v>66</v>
      </c>
      <c r="JG1" s="89">
        <f t="shared" si="4"/>
        <v>67</v>
      </c>
      <c r="JH1" s="89">
        <f t="shared" si="4"/>
        <v>67</v>
      </c>
      <c r="JI1" s="89">
        <f t="shared" si="4"/>
        <v>67</v>
      </c>
      <c r="JJ1" s="89">
        <f t="shared" si="4"/>
        <v>67</v>
      </c>
      <c r="JK1" s="89">
        <f t="shared" si="4"/>
        <v>67</v>
      </c>
      <c r="JL1" s="89">
        <f t="shared" si="4"/>
        <v>67</v>
      </c>
      <c r="JM1" s="89">
        <f t="shared" si="4"/>
        <v>67</v>
      </c>
      <c r="JN1" s="89">
        <f t="shared" si="4"/>
        <v>67</v>
      </c>
      <c r="JO1" s="89">
        <f t="shared" si="4"/>
        <v>67</v>
      </c>
      <c r="JP1" s="89">
        <f t="shared" si="4"/>
        <v>67</v>
      </c>
      <c r="JQ1" s="89">
        <f t="shared" si="4"/>
        <v>67</v>
      </c>
      <c r="JR1" s="89">
        <f t="shared" si="4"/>
        <v>67</v>
      </c>
      <c r="JS1" s="89">
        <f t="shared" si="4"/>
        <v>68</v>
      </c>
      <c r="JT1" s="89">
        <f t="shared" si="4"/>
        <v>68</v>
      </c>
      <c r="JU1" s="89">
        <f t="shared" si="4"/>
        <v>68</v>
      </c>
      <c r="JV1" s="89">
        <f t="shared" si="4"/>
        <v>68</v>
      </c>
      <c r="JW1" s="89">
        <f t="shared" si="4"/>
        <v>68</v>
      </c>
      <c r="JX1" s="89">
        <f t="shared" si="4"/>
        <v>68</v>
      </c>
      <c r="JY1" s="89">
        <f t="shared" si="4"/>
        <v>68</v>
      </c>
      <c r="JZ1" s="89">
        <f t="shared" si="4"/>
        <v>68</v>
      </c>
      <c r="KA1" s="89">
        <f t="shared" si="4"/>
        <v>68</v>
      </c>
      <c r="KB1" s="89">
        <f t="shared" si="4"/>
        <v>68</v>
      </c>
      <c r="KC1" s="89">
        <f t="shared" si="4"/>
        <v>68</v>
      </c>
      <c r="KD1" s="89">
        <f t="shared" si="4"/>
        <v>68</v>
      </c>
      <c r="KE1" s="89">
        <f t="shared" si="4"/>
        <v>69</v>
      </c>
      <c r="KF1" s="89">
        <f t="shared" si="4"/>
        <v>69</v>
      </c>
      <c r="KG1" s="89">
        <f t="shared" si="4"/>
        <v>69</v>
      </c>
      <c r="KH1" s="89">
        <f t="shared" si="4"/>
        <v>69</v>
      </c>
      <c r="KI1" s="89">
        <f t="shared" si="4"/>
        <v>69</v>
      </c>
      <c r="KJ1" s="89">
        <f t="shared" si="4"/>
        <v>69</v>
      </c>
      <c r="KK1" s="89">
        <f t="shared" si="4"/>
        <v>69</v>
      </c>
      <c r="KL1" s="89">
        <f t="shared" si="4"/>
        <v>69</v>
      </c>
      <c r="KM1" s="89">
        <f t="shared" si="4"/>
        <v>69</v>
      </c>
      <c r="KN1" s="89">
        <f t="shared" si="4"/>
        <v>69</v>
      </c>
      <c r="KO1" s="89">
        <f t="shared" si="4"/>
        <v>69</v>
      </c>
      <c r="KP1" s="89">
        <f t="shared" si="4"/>
        <v>69</v>
      </c>
      <c r="KQ1" s="89">
        <f t="shared" si="4"/>
        <v>70</v>
      </c>
      <c r="KR1" s="89">
        <f t="shared" si="4"/>
        <v>70</v>
      </c>
      <c r="KS1" s="89">
        <f t="shared" si="4"/>
        <v>70</v>
      </c>
      <c r="KT1" s="89">
        <f t="shared" si="4"/>
        <v>70</v>
      </c>
      <c r="KU1" s="89">
        <f t="shared" si="4"/>
        <v>70</v>
      </c>
      <c r="KV1" s="89">
        <f t="shared" si="4"/>
        <v>70</v>
      </c>
      <c r="KW1" s="89">
        <f t="shared" si="4"/>
        <v>70</v>
      </c>
      <c r="KX1" s="89">
        <f t="shared" si="4"/>
        <v>70</v>
      </c>
      <c r="KY1" s="89">
        <f t="shared" si="4"/>
        <v>70</v>
      </c>
      <c r="KZ1" s="89">
        <f t="shared" si="4"/>
        <v>70</v>
      </c>
      <c r="LA1" s="89">
        <f t="shared" si="4"/>
        <v>70</v>
      </c>
      <c r="LB1" s="89">
        <f t="shared" si="4"/>
        <v>70</v>
      </c>
      <c r="LC1" s="89">
        <f t="shared" si="4"/>
        <v>71</v>
      </c>
      <c r="LD1" s="89">
        <f t="shared" si="4"/>
        <v>71</v>
      </c>
      <c r="LE1" s="89">
        <f t="shared" si="4"/>
        <v>71</v>
      </c>
      <c r="LF1" s="89">
        <f t="shared" si="4"/>
        <v>71</v>
      </c>
      <c r="LG1" s="89">
        <f t="shared" si="4"/>
        <v>71</v>
      </c>
      <c r="LH1" s="89">
        <f t="shared" si="4"/>
        <v>71</v>
      </c>
      <c r="LI1" s="89">
        <f t="shared" si="4"/>
        <v>71</v>
      </c>
      <c r="LJ1" s="89">
        <f t="shared" si="4"/>
        <v>71</v>
      </c>
      <c r="LK1" s="89">
        <f t="shared" si="4"/>
        <v>71</v>
      </c>
      <c r="LL1" s="89">
        <f t="shared" ref="LL1:MY1" si="5">INT(LL2/12)</f>
        <v>71</v>
      </c>
      <c r="LM1" s="89">
        <f t="shared" si="5"/>
        <v>71</v>
      </c>
      <c r="LN1" s="89">
        <f t="shared" si="5"/>
        <v>71</v>
      </c>
      <c r="LO1" s="89">
        <f t="shared" si="5"/>
        <v>72</v>
      </c>
      <c r="LP1" s="89">
        <f t="shared" si="5"/>
        <v>72</v>
      </c>
      <c r="LQ1" s="89">
        <f t="shared" si="5"/>
        <v>72</v>
      </c>
      <c r="LR1" s="89">
        <f t="shared" si="5"/>
        <v>72</v>
      </c>
      <c r="LS1" s="89">
        <f t="shared" si="5"/>
        <v>72</v>
      </c>
      <c r="LT1" s="89">
        <f t="shared" si="5"/>
        <v>72</v>
      </c>
      <c r="LU1" s="89">
        <f t="shared" si="5"/>
        <v>72</v>
      </c>
      <c r="LV1" s="89">
        <f t="shared" si="5"/>
        <v>72</v>
      </c>
      <c r="LW1" s="89">
        <f t="shared" si="5"/>
        <v>72</v>
      </c>
      <c r="LX1" s="89">
        <f t="shared" si="5"/>
        <v>72</v>
      </c>
      <c r="LY1" s="89">
        <f t="shared" si="5"/>
        <v>72</v>
      </c>
      <c r="LZ1" s="89">
        <f t="shared" si="5"/>
        <v>72</v>
      </c>
      <c r="MA1" s="89">
        <f t="shared" si="5"/>
        <v>73</v>
      </c>
      <c r="MB1" s="89">
        <f t="shared" si="5"/>
        <v>73</v>
      </c>
      <c r="MC1" s="89">
        <f t="shared" si="5"/>
        <v>73</v>
      </c>
      <c r="MD1" s="89">
        <f t="shared" si="5"/>
        <v>73</v>
      </c>
      <c r="ME1" s="89">
        <f t="shared" si="5"/>
        <v>73</v>
      </c>
      <c r="MF1" s="89">
        <f t="shared" si="5"/>
        <v>73</v>
      </c>
      <c r="MG1" s="89">
        <f t="shared" si="5"/>
        <v>73</v>
      </c>
      <c r="MH1" s="89">
        <f t="shared" si="5"/>
        <v>73</v>
      </c>
      <c r="MI1" s="89">
        <f t="shared" si="5"/>
        <v>73</v>
      </c>
      <c r="MJ1" s="89">
        <f t="shared" si="5"/>
        <v>73</v>
      </c>
      <c r="MK1" s="89">
        <f t="shared" si="5"/>
        <v>73</v>
      </c>
      <c r="ML1" s="89">
        <f t="shared" si="5"/>
        <v>73</v>
      </c>
      <c r="MM1" s="89">
        <f t="shared" si="5"/>
        <v>74</v>
      </c>
      <c r="MN1" s="89">
        <f t="shared" si="5"/>
        <v>74</v>
      </c>
      <c r="MO1" s="89">
        <f t="shared" si="5"/>
        <v>74</v>
      </c>
      <c r="MP1" s="89">
        <f t="shared" si="5"/>
        <v>74</v>
      </c>
      <c r="MQ1" s="89">
        <f t="shared" si="5"/>
        <v>74</v>
      </c>
      <c r="MR1" s="89">
        <f t="shared" si="5"/>
        <v>74</v>
      </c>
      <c r="MS1" s="89">
        <f t="shared" si="5"/>
        <v>74</v>
      </c>
      <c r="MT1" s="89">
        <f t="shared" si="5"/>
        <v>74</v>
      </c>
      <c r="MU1" s="89">
        <f t="shared" si="5"/>
        <v>74</v>
      </c>
      <c r="MV1" s="89">
        <f t="shared" si="5"/>
        <v>74</v>
      </c>
      <c r="MW1" s="89">
        <f t="shared" si="5"/>
        <v>74</v>
      </c>
      <c r="MX1" s="89">
        <f t="shared" si="5"/>
        <v>74</v>
      </c>
      <c r="MY1" s="89">
        <f t="shared" si="5"/>
        <v>75</v>
      </c>
    </row>
    <row r="2" spans="1:363" ht="16.5" thickBot="1" x14ac:dyDescent="0.3">
      <c r="A2" s="90" t="s">
        <v>2</v>
      </c>
      <c r="B2" s="257"/>
      <c r="C2" s="91">
        <f>45*12</f>
        <v>540</v>
      </c>
      <c r="D2" s="91">
        <f>IF((C2/12)&lt;71,C2+1,0)</f>
        <v>541</v>
      </c>
      <c r="E2" s="91">
        <f t="shared" ref="E2:BP2" si="6">IF((D2/12)&lt;71,D2+1,0)</f>
        <v>542</v>
      </c>
      <c r="F2" s="91">
        <f t="shared" si="6"/>
        <v>543</v>
      </c>
      <c r="G2" s="91">
        <f t="shared" si="6"/>
        <v>544</v>
      </c>
      <c r="H2" s="91">
        <f t="shared" si="6"/>
        <v>545</v>
      </c>
      <c r="I2" s="91">
        <f t="shared" si="6"/>
        <v>546</v>
      </c>
      <c r="J2" s="91">
        <f t="shared" si="6"/>
        <v>547</v>
      </c>
      <c r="K2" s="91">
        <f t="shared" si="6"/>
        <v>548</v>
      </c>
      <c r="L2" s="91">
        <f t="shared" si="6"/>
        <v>549</v>
      </c>
      <c r="M2" s="91">
        <f t="shared" si="6"/>
        <v>550</v>
      </c>
      <c r="N2" s="91">
        <f t="shared" si="6"/>
        <v>551</v>
      </c>
      <c r="O2" s="91">
        <f t="shared" si="6"/>
        <v>552</v>
      </c>
      <c r="P2" s="91">
        <f t="shared" si="6"/>
        <v>553</v>
      </c>
      <c r="Q2" s="91">
        <f t="shared" si="6"/>
        <v>554</v>
      </c>
      <c r="R2" s="91">
        <f t="shared" si="6"/>
        <v>555</v>
      </c>
      <c r="S2" s="91">
        <f t="shared" si="6"/>
        <v>556</v>
      </c>
      <c r="T2" s="91">
        <f t="shared" si="6"/>
        <v>557</v>
      </c>
      <c r="U2" s="91">
        <f t="shared" si="6"/>
        <v>558</v>
      </c>
      <c r="V2" s="91">
        <f t="shared" si="6"/>
        <v>559</v>
      </c>
      <c r="W2" s="91">
        <f t="shared" si="6"/>
        <v>560</v>
      </c>
      <c r="X2" s="91">
        <f t="shared" si="6"/>
        <v>561</v>
      </c>
      <c r="Y2" s="91">
        <f t="shared" si="6"/>
        <v>562</v>
      </c>
      <c r="Z2" s="91">
        <f t="shared" si="6"/>
        <v>563</v>
      </c>
      <c r="AA2" s="91">
        <f t="shared" si="6"/>
        <v>564</v>
      </c>
      <c r="AB2" s="91">
        <f t="shared" si="6"/>
        <v>565</v>
      </c>
      <c r="AC2" s="91">
        <f t="shared" si="6"/>
        <v>566</v>
      </c>
      <c r="AD2" s="91">
        <f t="shared" si="6"/>
        <v>567</v>
      </c>
      <c r="AE2" s="91">
        <f t="shared" si="6"/>
        <v>568</v>
      </c>
      <c r="AF2" s="91">
        <f t="shared" si="6"/>
        <v>569</v>
      </c>
      <c r="AG2" s="91">
        <f t="shared" si="6"/>
        <v>570</v>
      </c>
      <c r="AH2" s="91">
        <f t="shared" si="6"/>
        <v>571</v>
      </c>
      <c r="AI2" s="91">
        <f t="shared" si="6"/>
        <v>572</v>
      </c>
      <c r="AJ2" s="91">
        <f t="shared" si="6"/>
        <v>573</v>
      </c>
      <c r="AK2" s="91">
        <f t="shared" si="6"/>
        <v>574</v>
      </c>
      <c r="AL2" s="91">
        <f t="shared" si="6"/>
        <v>575</v>
      </c>
      <c r="AM2" s="91">
        <f t="shared" si="6"/>
        <v>576</v>
      </c>
      <c r="AN2" s="91">
        <f t="shared" si="6"/>
        <v>577</v>
      </c>
      <c r="AO2" s="91">
        <f t="shared" si="6"/>
        <v>578</v>
      </c>
      <c r="AP2" s="91">
        <f t="shared" si="6"/>
        <v>579</v>
      </c>
      <c r="AQ2" s="91">
        <f t="shared" si="6"/>
        <v>580</v>
      </c>
      <c r="AR2" s="91">
        <f t="shared" si="6"/>
        <v>581</v>
      </c>
      <c r="AS2" s="91">
        <f t="shared" si="6"/>
        <v>582</v>
      </c>
      <c r="AT2" s="91">
        <f t="shared" si="6"/>
        <v>583</v>
      </c>
      <c r="AU2" s="91">
        <f t="shared" si="6"/>
        <v>584</v>
      </c>
      <c r="AV2" s="91">
        <f t="shared" si="6"/>
        <v>585</v>
      </c>
      <c r="AW2" s="91">
        <f t="shared" si="6"/>
        <v>586</v>
      </c>
      <c r="AX2" s="91">
        <f t="shared" si="6"/>
        <v>587</v>
      </c>
      <c r="AY2" s="91">
        <f t="shared" si="6"/>
        <v>588</v>
      </c>
      <c r="AZ2" s="91">
        <f t="shared" si="6"/>
        <v>589</v>
      </c>
      <c r="BA2" s="91">
        <f t="shared" si="6"/>
        <v>590</v>
      </c>
      <c r="BB2" s="91">
        <f t="shared" si="6"/>
        <v>591</v>
      </c>
      <c r="BC2" s="91">
        <f t="shared" si="6"/>
        <v>592</v>
      </c>
      <c r="BD2" s="91">
        <f t="shared" si="6"/>
        <v>593</v>
      </c>
      <c r="BE2" s="91">
        <f t="shared" si="6"/>
        <v>594</v>
      </c>
      <c r="BF2" s="91">
        <f t="shared" si="6"/>
        <v>595</v>
      </c>
      <c r="BG2" s="91">
        <f t="shared" si="6"/>
        <v>596</v>
      </c>
      <c r="BH2" s="91">
        <f t="shared" si="6"/>
        <v>597</v>
      </c>
      <c r="BI2" s="91">
        <f t="shared" si="6"/>
        <v>598</v>
      </c>
      <c r="BJ2" s="91">
        <f t="shared" si="6"/>
        <v>599</v>
      </c>
      <c r="BK2" s="91">
        <f t="shared" si="6"/>
        <v>600</v>
      </c>
      <c r="BL2" s="91">
        <f t="shared" si="6"/>
        <v>601</v>
      </c>
      <c r="BM2" s="91">
        <f t="shared" si="6"/>
        <v>602</v>
      </c>
      <c r="BN2" s="91">
        <f t="shared" si="6"/>
        <v>603</v>
      </c>
      <c r="BO2" s="91">
        <f t="shared" si="6"/>
        <v>604</v>
      </c>
      <c r="BP2" s="91">
        <f t="shared" si="6"/>
        <v>605</v>
      </c>
      <c r="BQ2" s="91">
        <f t="shared" ref="BQ2:EB2" si="7">IF((BP2/12)&lt;71,BP2+1,0)</f>
        <v>606</v>
      </c>
      <c r="BR2" s="91">
        <f t="shared" si="7"/>
        <v>607</v>
      </c>
      <c r="BS2" s="91">
        <f t="shared" si="7"/>
        <v>608</v>
      </c>
      <c r="BT2" s="91">
        <f t="shared" si="7"/>
        <v>609</v>
      </c>
      <c r="BU2" s="91">
        <f t="shared" si="7"/>
        <v>610</v>
      </c>
      <c r="BV2" s="91">
        <f t="shared" si="7"/>
        <v>611</v>
      </c>
      <c r="BW2" s="91">
        <f t="shared" si="7"/>
        <v>612</v>
      </c>
      <c r="BX2" s="91">
        <f t="shared" si="7"/>
        <v>613</v>
      </c>
      <c r="BY2" s="91">
        <f t="shared" si="7"/>
        <v>614</v>
      </c>
      <c r="BZ2" s="91">
        <f t="shared" si="7"/>
        <v>615</v>
      </c>
      <c r="CA2" s="91">
        <f t="shared" si="7"/>
        <v>616</v>
      </c>
      <c r="CB2" s="91">
        <f t="shared" si="7"/>
        <v>617</v>
      </c>
      <c r="CC2" s="91">
        <f t="shared" si="7"/>
        <v>618</v>
      </c>
      <c r="CD2" s="91">
        <f t="shared" si="7"/>
        <v>619</v>
      </c>
      <c r="CE2" s="91">
        <f t="shared" si="7"/>
        <v>620</v>
      </c>
      <c r="CF2" s="91">
        <f t="shared" si="7"/>
        <v>621</v>
      </c>
      <c r="CG2" s="91">
        <f t="shared" si="7"/>
        <v>622</v>
      </c>
      <c r="CH2" s="91">
        <f t="shared" si="7"/>
        <v>623</v>
      </c>
      <c r="CI2" s="91">
        <f t="shared" si="7"/>
        <v>624</v>
      </c>
      <c r="CJ2" s="91">
        <f t="shared" si="7"/>
        <v>625</v>
      </c>
      <c r="CK2" s="91">
        <f t="shared" si="7"/>
        <v>626</v>
      </c>
      <c r="CL2" s="91">
        <f t="shared" si="7"/>
        <v>627</v>
      </c>
      <c r="CM2" s="91">
        <f t="shared" si="7"/>
        <v>628</v>
      </c>
      <c r="CN2" s="91">
        <f t="shared" si="7"/>
        <v>629</v>
      </c>
      <c r="CO2" s="91">
        <f t="shared" si="7"/>
        <v>630</v>
      </c>
      <c r="CP2" s="91">
        <f t="shared" si="7"/>
        <v>631</v>
      </c>
      <c r="CQ2" s="91">
        <f t="shared" si="7"/>
        <v>632</v>
      </c>
      <c r="CR2" s="91">
        <f t="shared" si="7"/>
        <v>633</v>
      </c>
      <c r="CS2" s="91">
        <f t="shared" si="7"/>
        <v>634</v>
      </c>
      <c r="CT2" s="91">
        <f t="shared" si="7"/>
        <v>635</v>
      </c>
      <c r="CU2" s="91">
        <f t="shared" si="7"/>
        <v>636</v>
      </c>
      <c r="CV2" s="91">
        <f t="shared" si="7"/>
        <v>637</v>
      </c>
      <c r="CW2" s="91">
        <f t="shared" si="7"/>
        <v>638</v>
      </c>
      <c r="CX2" s="91">
        <f t="shared" si="7"/>
        <v>639</v>
      </c>
      <c r="CY2" s="91">
        <f t="shared" si="7"/>
        <v>640</v>
      </c>
      <c r="CZ2" s="91">
        <f t="shared" si="7"/>
        <v>641</v>
      </c>
      <c r="DA2" s="91">
        <f t="shared" si="7"/>
        <v>642</v>
      </c>
      <c r="DB2" s="91">
        <f t="shared" si="7"/>
        <v>643</v>
      </c>
      <c r="DC2" s="91">
        <f t="shared" si="7"/>
        <v>644</v>
      </c>
      <c r="DD2" s="91">
        <f t="shared" si="7"/>
        <v>645</v>
      </c>
      <c r="DE2" s="91">
        <f t="shared" si="7"/>
        <v>646</v>
      </c>
      <c r="DF2" s="91">
        <f t="shared" si="7"/>
        <v>647</v>
      </c>
      <c r="DG2" s="91">
        <f t="shared" si="7"/>
        <v>648</v>
      </c>
      <c r="DH2" s="91">
        <f t="shared" si="7"/>
        <v>649</v>
      </c>
      <c r="DI2" s="91">
        <f t="shared" si="7"/>
        <v>650</v>
      </c>
      <c r="DJ2" s="91">
        <f t="shared" si="7"/>
        <v>651</v>
      </c>
      <c r="DK2" s="91">
        <f t="shared" si="7"/>
        <v>652</v>
      </c>
      <c r="DL2" s="91">
        <f t="shared" si="7"/>
        <v>653</v>
      </c>
      <c r="DM2" s="91">
        <f t="shared" si="7"/>
        <v>654</v>
      </c>
      <c r="DN2" s="91">
        <f t="shared" si="7"/>
        <v>655</v>
      </c>
      <c r="DO2" s="91">
        <f t="shared" si="7"/>
        <v>656</v>
      </c>
      <c r="DP2" s="91">
        <f t="shared" si="7"/>
        <v>657</v>
      </c>
      <c r="DQ2" s="91">
        <f t="shared" si="7"/>
        <v>658</v>
      </c>
      <c r="DR2" s="91">
        <f t="shared" si="7"/>
        <v>659</v>
      </c>
      <c r="DS2" s="91">
        <f t="shared" si="7"/>
        <v>660</v>
      </c>
      <c r="DT2" s="91">
        <f t="shared" si="7"/>
        <v>661</v>
      </c>
      <c r="DU2" s="91">
        <f t="shared" si="7"/>
        <v>662</v>
      </c>
      <c r="DV2" s="91">
        <f t="shared" si="7"/>
        <v>663</v>
      </c>
      <c r="DW2" s="91">
        <f t="shared" si="7"/>
        <v>664</v>
      </c>
      <c r="DX2" s="91">
        <f t="shared" si="7"/>
        <v>665</v>
      </c>
      <c r="DY2" s="91">
        <f t="shared" si="7"/>
        <v>666</v>
      </c>
      <c r="DZ2" s="91">
        <f t="shared" si="7"/>
        <v>667</v>
      </c>
      <c r="EA2" s="91">
        <f t="shared" si="7"/>
        <v>668</v>
      </c>
      <c r="EB2" s="91">
        <f t="shared" si="7"/>
        <v>669</v>
      </c>
      <c r="EC2" s="91">
        <f t="shared" ref="EC2:GN2" si="8">IF((EB2/12)&lt;71,EB2+1,0)</f>
        <v>670</v>
      </c>
      <c r="ED2" s="91">
        <f t="shared" si="8"/>
        <v>671</v>
      </c>
      <c r="EE2" s="91">
        <f t="shared" si="8"/>
        <v>672</v>
      </c>
      <c r="EF2" s="91">
        <f t="shared" si="8"/>
        <v>673</v>
      </c>
      <c r="EG2" s="91">
        <f t="shared" si="8"/>
        <v>674</v>
      </c>
      <c r="EH2" s="91">
        <f t="shared" si="8"/>
        <v>675</v>
      </c>
      <c r="EI2" s="91">
        <f t="shared" si="8"/>
        <v>676</v>
      </c>
      <c r="EJ2" s="91">
        <f t="shared" si="8"/>
        <v>677</v>
      </c>
      <c r="EK2" s="91">
        <f t="shared" si="8"/>
        <v>678</v>
      </c>
      <c r="EL2" s="91">
        <f t="shared" si="8"/>
        <v>679</v>
      </c>
      <c r="EM2" s="91">
        <f t="shared" si="8"/>
        <v>680</v>
      </c>
      <c r="EN2" s="91">
        <f t="shared" si="8"/>
        <v>681</v>
      </c>
      <c r="EO2" s="91">
        <f t="shared" si="8"/>
        <v>682</v>
      </c>
      <c r="EP2" s="91">
        <f t="shared" si="8"/>
        <v>683</v>
      </c>
      <c r="EQ2" s="91">
        <f t="shared" si="8"/>
        <v>684</v>
      </c>
      <c r="ER2" s="91">
        <f t="shared" si="8"/>
        <v>685</v>
      </c>
      <c r="ES2" s="91">
        <f t="shared" si="8"/>
        <v>686</v>
      </c>
      <c r="ET2" s="91">
        <f t="shared" si="8"/>
        <v>687</v>
      </c>
      <c r="EU2" s="91">
        <f t="shared" si="8"/>
        <v>688</v>
      </c>
      <c r="EV2" s="91">
        <f t="shared" si="8"/>
        <v>689</v>
      </c>
      <c r="EW2" s="91">
        <f t="shared" si="8"/>
        <v>690</v>
      </c>
      <c r="EX2" s="91">
        <f t="shared" si="8"/>
        <v>691</v>
      </c>
      <c r="EY2" s="91">
        <f t="shared" si="8"/>
        <v>692</v>
      </c>
      <c r="EZ2" s="91">
        <f t="shared" si="8"/>
        <v>693</v>
      </c>
      <c r="FA2" s="91">
        <f t="shared" si="8"/>
        <v>694</v>
      </c>
      <c r="FB2" s="91">
        <f t="shared" si="8"/>
        <v>695</v>
      </c>
      <c r="FC2" s="91">
        <f t="shared" si="8"/>
        <v>696</v>
      </c>
      <c r="FD2" s="91">
        <f t="shared" si="8"/>
        <v>697</v>
      </c>
      <c r="FE2" s="91">
        <f t="shared" si="8"/>
        <v>698</v>
      </c>
      <c r="FF2" s="91">
        <f t="shared" si="8"/>
        <v>699</v>
      </c>
      <c r="FG2" s="91">
        <f t="shared" si="8"/>
        <v>700</v>
      </c>
      <c r="FH2" s="91">
        <f t="shared" si="8"/>
        <v>701</v>
      </c>
      <c r="FI2" s="91">
        <f t="shared" si="8"/>
        <v>702</v>
      </c>
      <c r="FJ2" s="91">
        <f t="shared" si="8"/>
        <v>703</v>
      </c>
      <c r="FK2" s="91">
        <f t="shared" si="8"/>
        <v>704</v>
      </c>
      <c r="FL2" s="91">
        <f t="shared" si="8"/>
        <v>705</v>
      </c>
      <c r="FM2" s="91">
        <f t="shared" si="8"/>
        <v>706</v>
      </c>
      <c r="FN2" s="91">
        <f t="shared" si="8"/>
        <v>707</v>
      </c>
      <c r="FO2" s="91">
        <f t="shared" si="8"/>
        <v>708</v>
      </c>
      <c r="FP2" s="91">
        <f t="shared" si="8"/>
        <v>709</v>
      </c>
      <c r="FQ2" s="91">
        <f t="shared" si="8"/>
        <v>710</v>
      </c>
      <c r="FR2" s="91">
        <f t="shared" si="8"/>
        <v>711</v>
      </c>
      <c r="FS2" s="91">
        <f t="shared" si="8"/>
        <v>712</v>
      </c>
      <c r="FT2" s="91">
        <f t="shared" si="8"/>
        <v>713</v>
      </c>
      <c r="FU2" s="91">
        <f t="shared" si="8"/>
        <v>714</v>
      </c>
      <c r="FV2" s="91">
        <f t="shared" si="8"/>
        <v>715</v>
      </c>
      <c r="FW2" s="91">
        <f t="shared" si="8"/>
        <v>716</v>
      </c>
      <c r="FX2" s="91">
        <f t="shared" si="8"/>
        <v>717</v>
      </c>
      <c r="FY2" s="91">
        <f t="shared" si="8"/>
        <v>718</v>
      </c>
      <c r="FZ2" s="91">
        <f t="shared" si="8"/>
        <v>719</v>
      </c>
      <c r="GA2" s="91">
        <f t="shared" si="8"/>
        <v>720</v>
      </c>
      <c r="GB2" s="91">
        <f t="shared" si="8"/>
        <v>721</v>
      </c>
      <c r="GC2" s="91">
        <f t="shared" si="8"/>
        <v>722</v>
      </c>
      <c r="GD2" s="91">
        <f t="shared" si="8"/>
        <v>723</v>
      </c>
      <c r="GE2" s="91">
        <f t="shared" si="8"/>
        <v>724</v>
      </c>
      <c r="GF2" s="91">
        <f t="shared" si="8"/>
        <v>725</v>
      </c>
      <c r="GG2" s="91">
        <f t="shared" si="8"/>
        <v>726</v>
      </c>
      <c r="GH2" s="91">
        <f t="shared" si="8"/>
        <v>727</v>
      </c>
      <c r="GI2" s="91">
        <f t="shared" si="8"/>
        <v>728</v>
      </c>
      <c r="GJ2" s="91">
        <f t="shared" si="8"/>
        <v>729</v>
      </c>
      <c r="GK2" s="91">
        <f t="shared" si="8"/>
        <v>730</v>
      </c>
      <c r="GL2" s="91">
        <f t="shared" si="8"/>
        <v>731</v>
      </c>
      <c r="GM2" s="91">
        <f t="shared" si="8"/>
        <v>732</v>
      </c>
      <c r="GN2" s="91">
        <f t="shared" si="8"/>
        <v>733</v>
      </c>
      <c r="GO2" s="91">
        <f t="shared" ref="GO2:IZ2" si="9">IF((GN2/12)&lt;71,GN2+1,0)</f>
        <v>734</v>
      </c>
      <c r="GP2" s="91">
        <f t="shared" si="9"/>
        <v>735</v>
      </c>
      <c r="GQ2" s="91">
        <f t="shared" si="9"/>
        <v>736</v>
      </c>
      <c r="GR2" s="91">
        <f t="shared" si="9"/>
        <v>737</v>
      </c>
      <c r="GS2" s="91">
        <f t="shared" si="9"/>
        <v>738</v>
      </c>
      <c r="GT2" s="91">
        <f t="shared" si="9"/>
        <v>739</v>
      </c>
      <c r="GU2" s="91">
        <f t="shared" si="9"/>
        <v>740</v>
      </c>
      <c r="GV2" s="91">
        <f t="shared" si="9"/>
        <v>741</v>
      </c>
      <c r="GW2" s="91">
        <f t="shared" si="9"/>
        <v>742</v>
      </c>
      <c r="GX2" s="91">
        <f t="shared" si="9"/>
        <v>743</v>
      </c>
      <c r="GY2" s="91">
        <f t="shared" si="9"/>
        <v>744</v>
      </c>
      <c r="GZ2" s="91">
        <f t="shared" si="9"/>
        <v>745</v>
      </c>
      <c r="HA2" s="91">
        <f t="shared" si="9"/>
        <v>746</v>
      </c>
      <c r="HB2" s="91">
        <f t="shared" si="9"/>
        <v>747</v>
      </c>
      <c r="HC2" s="91">
        <f t="shared" si="9"/>
        <v>748</v>
      </c>
      <c r="HD2" s="91">
        <f t="shared" si="9"/>
        <v>749</v>
      </c>
      <c r="HE2" s="91">
        <f t="shared" si="9"/>
        <v>750</v>
      </c>
      <c r="HF2" s="91">
        <f t="shared" si="9"/>
        <v>751</v>
      </c>
      <c r="HG2" s="91">
        <f t="shared" si="9"/>
        <v>752</v>
      </c>
      <c r="HH2" s="91">
        <f t="shared" si="9"/>
        <v>753</v>
      </c>
      <c r="HI2" s="91">
        <f t="shared" si="9"/>
        <v>754</v>
      </c>
      <c r="HJ2" s="91">
        <f t="shared" si="9"/>
        <v>755</v>
      </c>
      <c r="HK2" s="91">
        <f t="shared" si="9"/>
        <v>756</v>
      </c>
      <c r="HL2" s="91">
        <f t="shared" si="9"/>
        <v>757</v>
      </c>
      <c r="HM2" s="91">
        <f t="shared" si="9"/>
        <v>758</v>
      </c>
      <c r="HN2" s="91">
        <f t="shared" si="9"/>
        <v>759</v>
      </c>
      <c r="HO2" s="91">
        <f t="shared" si="9"/>
        <v>760</v>
      </c>
      <c r="HP2" s="91">
        <f t="shared" si="9"/>
        <v>761</v>
      </c>
      <c r="HQ2" s="91">
        <f t="shared" si="9"/>
        <v>762</v>
      </c>
      <c r="HR2" s="91">
        <f t="shared" si="9"/>
        <v>763</v>
      </c>
      <c r="HS2" s="91">
        <f t="shared" si="9"/>
        <v>764</v>
      </c>
      <c r="HT2" s="91">
        <f t="shared" si="9"/>
        <v>765</v>
      </c>
      <c r="HU2" s="91">
        <f t="shared" si="9"/>
        <v>766</v>
      </c>
      <c r="HV2" s="91">
        <f t="shared" si="9"/>
        <v>767</v>
      </c>
      <c r="HW2" s="91">
        <f t="shared" si="9"/>
        <v>768</v>
      </c>
      <c r="HX2" s="91">
        <f t="shared" si="9"/>
        <v>769</v>
      </c>
      <c r="HY2" s="91">
        <f t="shared" si="9"/>
        <v>770</v>
      </c>
      <c r="HZ2" s="91">
        <f t="shared" si="9"/>
        <v>771</v>
      </c>
      <c r="IA2" s="91">
        <f t="shared" si="9"/>
        <v>772</v>
      </c>
      <c r="IB2" s="91">
        <f t="shared" si="9"/>
        <v>773</v>
      </c>
      <c r="IC2" s="91">
        <f t="shared" si="9"/>
        <v>774</v>
      </c>
      <c r="ID2" s="91">
        <f t="shared" si="9"/>
        <v>775</v>
      </c>
      <c r="IE2" s="91">
        <f t="shared" si="9"/>
        <v>776</v>
      </c>
      <c r="IF2" s="91">
        <f t="shared" si="9"/>
        <v>777</v>
      </c>
      <c r="IG2" s="91">
        <f t="shared" si="9"/>
        <v>778</v>
      </c>
      <c r="IH2" s="91">
        <f t="shared" si="9"/>
        <v>779</v>
      </c>
      <c r="II2" s="91">
        <f t="shared" si="9"/>
        <v>780</v>
      </c>
      <c r="IJ2" s="91">
        <f t="shared" si="9"/>
        <v>781</v>
      </c>
      <c r="IK2" s="91">
        <f t="shared" si="9"/>
        <v>782</v>
      </c>
      <c r="IL2" s="91">
        <f t="shared" si="9"/>
        <v>783</v>
      </c>
      <c r="IM2" s="91">
        <f t="shared" si="9"/>
        <v>784</v>
      </c>
      <c r="IN2" s="91">
        <f t="shared" si="9"/>
        <v>785</v>
      </c>
      <c r="IO2" s="91">
        <f t="shared" si="9"/>
        <v>786</v>
      </c>
      <c r="IP2" s="91">
        <f t="shared" si="9"/>
        <v>787</v>
      </c>
      <c r="IQ2" s="91">
        <f t="shared" si="9"/>
        <v>788</v>
      </c>
      <c r="IR2" s="91">
        <f t="shared" si="9"/>
        <v>789</v>
      </c>
      <c r="IS2" s="91">
        <f t="shared" si="9"/>
        <v>790</v>
      </c>
      <c r="IT2" s="91">
        <f t="shared" si="9"/>
        <v>791</v>
      </c>
      <c r="IU2" s="91">
        <f t="shared" si="9"/>
        <v>792</v>
      </c>
      <c r="IV2" s="91">
        <f t="shared" si="9"/>
        <v>793</v>
      </c>
      <c r="IW2" s="91">
        <f t="shared" si="9"/>
        <v>794</v>
      </c>
      <c r="IX2" s="91">
        <f t="shared" si="9"/>
        <v>795</v>
      </c>
      <c r="IY2" s="91">
        <f t="shared" si="9"/>
        <v>796</v>
      </c>
      <c r="IZ2" s="91">
        <f t="shared" si="9"/>
        <v>797</v>
      </c>
      <c r="JA2" s="91">
        <f t="shared" ref="JA2:LC2" si="10">IF((IZ2/12)&lt;71,IZ2+1,0)</f>
        <v>798</v>
      </c>
      <c r="JB2" s="91">
        <f t="shared" si="10"/>
        <v>799</v>
      </c>
      <c r="JC2" s="91">
        <f t="shared" si="10"/>
        <v>800</v>
      </c>
      <c r="JD2" s="91">
        <f t="shared" si="10"/>
        <v>801</v>
      </c>
      <c r="JE2" s="91">
        <f t="shared" si="10"/>
        <v>802</v>
      </c>
      <c r="JF2" s="91">
        <f t="shared" si="10"/>
        <v>803</v>
      </c>
      <c r="JG2" s="91">
        <f t="shared" si="10"/>
        <v>804</v>
      </c>
      <c r="JH2" s="91">
        <f t="shared" si="10"/>
        <v>805</v>
      </c>
      <c r="JI2" s="91">
        <f t="shared" si="10"/>
        <v>806</v>
      </c>
      <c r="JJ2" s="91">
        <f t="shared" si="10"/>
        <v>807</v>
      </c>
      <c r="JK2" s="91">
        <f t="shared" si="10"/>
        <v>808</v>
      </c>
      <c r="JL2" s="91">
        <f t="shared" si="10"/>
        <v>809</v>
      </c>
      <c r="JM2" s="91">
        <f t="shared" si="10"/>
        <v>810</v>
      </c>
      <c r="JN2" s="91">
        <f t="shared" si="10"/>
        <v>811</v>
      </c>
      <c r="JO2" s="91">
        <f t="shared" si="10"/>
        <v>812</v>
      </c>
      <c r="JP2" s="91">
        <f t="shared" si="10"/>
        <v>813</v>
      </c>
      <c r="JQ2" s="91">
        <f t="shared" si="10"/>
        <v>814</v>
      </c>
      <c r="JR2" s="91">
        <f t="shared" si="10"/>
        <v>815</v>
      </c>
      <c r="JS2" s="91">
        <f t="shared" si="10"/>
        <v>816</v>
      </c>
      <c r="JT2" s="91">
        <f t="shared" si="10"/>
        <v>817</v>
      </c>
      <c r="JU2" s="91">
        <f t="shared" si="10"/>
        <v>818</v>
      </c>
      <c r="JV2" s="91">
        <f t="shared" si="10"/>
        <v>819</v>
      </c>
      <c r="JW2" s="91">
        <f t="shared" si="10"/>
        <v>820</v>
      </c>
      <c r="JX2" s="91">
        <f t="shared" si="10"/>
        <v>821</v>
      </c>
      <c r="JY2" s="91">
        <f t="shared" si="10"/>
        <v>822</v>
      </c>
      <c r="JZ2" s="91">
        <f t="shared" si="10"/>
        <v>823</v>
      </c>
      <c r="KA2" s="91">
        <f t="shared" si="10"/>
        <v>824</v>
      </c>
      <c r="KB2" s="91">
        <f t="shared" si="10"/>
        <v>825</v>
      </c>
      <c r="KC2" s="91">
        <f t="shared" si="10"/>
        <v>826</v>
      </c>
      <c r="KD2" s="91">
        <f t="shared" si="10"/>
        <v>827</v>
      </c>
      <c r="KE2" s="91">
        <f t="shared" si="10"/>
        <v>828</v>
      </c>
      <c r="KF2" s="91">
        <f t="shared" si="10"/>
        <v>829</v>
      </c>
      <c r="KG2" s="91">
        <f t="shared" si="10"/>
        <v>830</v>
      </c>
      <c r="KH2" s="91">
        <f t="shared" si="10"/>
        <v>831</v>
      </c>
      <c r="KI2" s="91">
        <f t="shared" si="10"/>
        <v>832</v>
      </c>
      <c r="KJ2" s="91">
        <f t="shared" si="10"/>
        <v>833</v>
      </c>
      <c r="KK2" s="91">
        <f t="shared" si="10"/>
        <v>834</v>
      </c>
      <c r="KL2" s="91">
        <f t="shared" si="10"/>
        <v>835</v>
      </c>
      <c r="KM2" s="91">
        <f t="shared" si="10"/>
        <v>836</v>
      </c>
      <c r="KN2" s="91">
        <f t="shared" si="10"/>
        <v>837</v>
      </c>
      <c r="KO2" s="91">
        <f t="shared" si="10"/>
        <v>838</v>
      </c>
      <c r="KP2" s="91">
        <f t="shared" si="10"/>
        <v>839</v>
      </c>
      <c r="KQ2" s="91">
        <f t="shared" si="10"/>
        <v>840</v>
      </c>
      <c r="KR2" s="91">
        <f t="shared" si="10"/>
        <v>841</v>
      </c>
      <c r="KS2" s="91">
        <f t="shared" si="10"/>
        <v>842</v>
      </c>
      <c r="KT2" s="91">
        <f t="shared" si="10"/>
        <v>843</v>
      </c>
      <c r="KU2" s="91">
        <f t="shared" si="10"/>
        <v>844</v>
      </c>
      <c r="KV2" s="91">
        <f t="shared" si="10"/>
        <v>845</v>
      </c>
      <c r="KW2" s="91">
        <f t="shared" si="10"/>
        <v>846</v>
      </c>
      <c r="KX2" s="91">
        <f t="shared" si="10"/>
        <v>847</v>
      </c>
      <c r="KY2" s="91">
        <f t="shared" si="10"/>
        <v>848</v>
      </c>
      <c r="KZ2" s="91">
        <f t="shared" si="10"/>
        <v>849</v>
      </c>
      <c r="LA2" s="91">
        <f t="shared" si="10"/>
        <v>850</v>
      </c>
      <c r="LB2" s="91">
        <f t="shared" si="10"/>
        <v>851</v>
      </c>
      <c r="LC2" s="91">
        <f t="shared" si="10"/>
        <v>852</v>
      </c>
      <c r="LD2" s="97">
        <f>IF((LC2/12)&lt;=75,LC2+1,0)</f>
        <v>853</v>
      </c>
      <c r="LE2" s="97">
        <f t="shared" ref="LE2:MY2" si="11">IF((LD2/12)&lt;=75,LD2+1,0)</f>
        <v>854</v>
      </c>
      <c r="LF2" s="97">
        <f t="shared" si="11"/>
        <v>855</v>
      </c>
      <c r="LG2" s="97">
        <f t="shared" si="11"/>
        <v>856</v>
      </c>
      <c r="LH2" s="97">
        <f t="shared" si="11"/>
        <v>857</v>
      </c>
      <c r="LI2" s="97">
        <f t="shared" si="11"/>
        <v>858</v>
      </c>
      <c r="LJ2" s="97">
        <f t="shared" si="11"/>
        <v>859</v>
      </c>
      <c r="LK2" s="97">
        <f t="shared" si="11"/>
        <v>860</v>
      </c>
      <c r="LL2" s="97">
        <f t="shared" si="11"/>
        <v>861</v>
      </c>
      <c r="LM2" s="97">
        <f t="shared" si="11"/>
        <v>862</v>
      </c>
      <c r="LN2" s="97">
        <f t="shared" si="11"/>
        <v>863</v>
      </c>
      <c r="LO2" s="97">
        <f t="shared" si="11"/>
        <v>864</v>
      </c>
      <c r="LP2" s="97">
        <f t="shared" si="11"/>
        <v>865</v>
      </c>
      <c r="LQ2" s="97">
        <f t="shared" si="11"/>
        <v>866</v>
      </c>
      <c r="LR2" s="97">
        <f t="shared" si="11"/>
        <v>867</v>
      </c>
      <c r="LS2" s="97">
        <f t="shared" si="11"/>
        <v>868</v>
      </c>
      <c r="LT2" s="97">
        <f t="shared" si="11"/>
        <v>869</v>
      </c>
      <c r="LU2" s="97">
        <f t="shared" si="11"/>
        <v>870</v>
      </c>
      <c r="LV2" s="97">
        <f t="shared" si="11"/>
        <v>871</v>
      </c>
      <c r="LW2" s="97">
        <f t="shared" si="11"/>
        <v>872</v>
      </c>
      <c r="LX2" s="97">
        <f t="shared" si="11"/>
        <v>873</v>
      </c>
      <c r="LY2" s="97">
        <f t="shared" si="11"/>
        <v>874</v>
      </c>
      <c r="LZ2" s="97">
        <f t="shared" si="11"/>
        <v>875</v>
      </c>
      <c r="MA2" s="97">
        <f t="shared" si="11"/>
        <v>876</v>
      </c>
      <c r="MB2" s="97">
        <f t="shared" si="11"/>
        <v>877</v>
      </c>
      <c r="MC2" s="97">
        <f t="shared" si="11"/>
        <v>878</v>
      </c>
      <c r="MD2" s="97">
        <f t="shared" si="11"/>
        <v>879</v>
      </c>
      <c r="ME2" s="97">
        <f t="shared" si="11"/>
        <v>880</v>
      </c>
      <c r="MF2" s="97">
        <f t="shared" si="11"/>
        <v>881</v>
      </c>
      <c r="MG2" s="97">
        <f t="shared" si="11"/>
        <v>882</v>
      </c>
      <c r="MH2" s="97">
        <f t="shared" si="11"/>
        <v>883</v>
      </c>
      <c r="MI2" s="97">
        <f t="shared" si="11"/>
        <v>884</v>
      </c>
      <c r="MJ2" s="97">
        <f t="shared" si="11"/>
        <v>885</v>
      </c>
      <c r="MK2" s="97">
        <f t="shared" si="11"/>
        <v>886</v>
      </c>
      <c r="ML2" s="97">
        <f t="shared" si="11"/>
        <v>887</v>
      </c>
      <c r="MM2" s="97">
        <f t="shared" si="11"/>
        <v>888</v>
      </c>
      <c r="MN2" s="97">
        <f t="shared" si="11"/>
        <v>889</v>
      </c>
      <c r="MO2" s="97">
        <f t="shared" si="11"/>
        <v>890</v>
      </c>
      <c r="MP2" s="97">
        <f t="shared" si="11"/>
        <v>891</v>
      </c>
      <c r="MQ2" s="97">
        <f t="shared" si="11"/>
        <v>892</v>
      </c>
      <c r="MR2" s="97">
        <f t="shared" si="11"/>
        <v>893</v>
      </c>
      <c r="MS2" s="97">
        <f t="shared" si="11"/>
        <v>894</v>
      </c>
      <c r="MT2" s="97">
        <f t="shared" si="11"/>
        <v>895</v>
      </c>
      <c r="MU2" s="97">
        <f t="shared" si="11"/>
        <v>896</v>
      </c>
      <c r="MV2" s="97">
        <f t="shared" si="11"/>
        <v>897</v>
      </c>
      <c r="MW2" s="97">
        <f t="shared" si="11"/>
        <v>898</v>
      </c>
      <c r="MX2" s="97">
        <f t="shared" si="11"/>
        <v>899</v>
      </c>
      <c r="MY2" s="97">
        <f t="shared" si="11"/>
        <v>900</v>
      </c>
    </row>
    <row r="3" spans="1:363" ht="15.75" x14ac:dyDescent="0.25">
      <c r="A3" s="90" t="s">
        <v>6</v>
      </c>
      <c r="B3" s="92">
        <v>2013</v>
      </c>
      <c r="C3" s="93">
        <v>470.83</v>
      </c>
      <c r="D3" s="93">
        <v>469.79</v>
      </c>
      <c r="E3" s="93">
        <v>468.75</v>
      </c>
      <c r="F3" s="93">
        <v>467.71</v>
      </c>
      <c r="G3" s="93">
        <v>466.67</v>
      </c>
      <c r="H3" s="93">
        <v>465.63</v>
      </c>
      <c r="I3" s="93">
        <v>464.59</v>
      </c>
      <c r="J3" s="93">
        <v>463.55</v>
      </c>
      <c r="K3" s="93">
        <v>462.51</v>
      </c>
      <c r="L3" s="93">
        <v>461.47</v>
      </c>
      <c r="M3" s="93">
        <v>460.43</v>
      </c>
      <c r="N3" s="93">
        <v>459.39</v>
      </c>
      <c r="O3" s="93">
        <v>458.35</v>
      </c>
      <c r="P3" s="93">
        <v>457.32</v>
      </c>
      <c r="Q3" s="93">
        <v>456.28</v>
      </c>
      <c r="R3" s="93">
        <v>455.24</v>
      </c>
      <c r="S3" s="93">
        <v>454.2</v>
      </c>
      <c r="T3" s="93">
        <v>453.16</v>
      </c>
      <c r="U3" s="93">
        <v>452.12</v>
      </c>
      <c r="V3" s="93">
        <v>451.08</v>
      </c>
      <c r="W3" s="93">
        <v>450.05</v>
      </c>
      <c r="X3" s="93">
        <v>449.01</v>
      </c>
      <c r="Y3" s="93">
        <v>447.97</v>
      </c>
      <c r="Z3" s="93">
        <v>446.93</v>
      </c>
      <c r="AA3" s="93">
        <v>445.89</v>
      </c>
      <c r="AB3" s="93">
        <v>444.86</v>
      </c>
      <c r="AC3" s="93">
        <v>443.82</v>
      </c>
      <c r="AD3" s="93">
        <v>442.78</v>
      </c>
      <c r="AE3" s="93">
        <v>441.75</v>
      </c>
      <c r="AF3" s="93">
        <v>440.71</v>
      </c>
      <c r="AG3" s="93">
        <v>439.67</v>
      </c>
      <c r="AH3" s="93">
        <v>438.63</v>
      </c>
      <c r="AI3" s="93">
        <v>437.6</v>
      </c>
      <c r="AJ3" s="93">
        <v>436.56</v>
      </c>
      <c r="AK3" s="93">
        <v>435.52</v>
      </c>
      <c r="AL3" s="93">
        <v>434.49</v>
      </c>
      <c r="AM3" s="93">
        <v>433.45</v>
      </c>
      <c r="AN3" s="93">
        <v>432.42</v>
      </c>
      <c r="AO3" s="93">
        <v>431.38</v>
      </c>
      <c r="AP3" s="93">
        <v>430.34</v>
      </c>
      <c r="AQ3" s="93">
        <v>429.31</v>
      </c>
      <c r="AR3" s="93">
        <v>428.27</v>
      </c>
      <c r="AS3" s="93">
        <v>427.24</v>
      </c>
      <c r="AT3" s="93">
        <v>426.2</v>
      </c>
      <c r="AU3" s="93">
        <v>425.17</v>
      </c>
      <c r="AV3" s="93">
        <v>424.13</v>
      </c>
      <c r="AW3" s="93">
        <v>423.1</v>
      </c>
      <c r="AX3" s="93">
        <v>422.06</v>
      </c>
      <c r="AY3" s="93">
        <v>421.03</v>
      </c>
      <c r="AZ3" s="93">
        <v>419.99</v>
      </c>
      <c r="BA3" s="93">
        <v>418.96</v>
      </c>
      <c r="BB3" s="93">
        <v>417.93</v>
      </c>
      <c r="BC3" s="93">
        <v>416.89</v>
      </c>
      <c r="BD3" s="93">
        <v>415.86</v>
      </c>
      <c r="BE3" s="93">
        <v>414.83</v>
      </c>
      <c r="BF3" s="93">
        <v>413.79</v>
      </c>
      <c r="BG3" s="93">
        <v>412.76</v>
      </c>
      <c r="BH3" s="93">
        <v>411.73</v>
      </c>
      <c r="BI3" s="93">
        <v>410.69</v>
      </c>
      <c r="BJ3" s="93">
        <v>409.66</v>
      </c>
      <c r="BK3" s="93">
        <v>408.63</v>
      </c>
      <c r="BL3" s="93">
        <v>407.59</v>
      </c>
      <c r="BM3" s="93">
        <v>406.56</v>
      </c>
      <c r="BN3" s="93">
        <v>405.53</v>
      </c>
      <c r="BO3" s="93">
        <v>404.5</v>
      </c>
      <c r="BP3" s="93">
        <v>403.46</v>
      </c>
      <c r="BQ3" s="93">
        <v>402.43</v>
      </c>
      <c r="BR3" s="93">
        <v>401.4</v>
      </c>
      <c r="BS3" s="93">
        <v>400.37</v>
      </c>
      <c r="BT3" s="93">
        <v>399.34</v>
      </c>
      <c r="BU3" s="93">
        <v>398.31</v>
      </c>
      <c r="BV3" s="93">
        <v>397.28</v>
      </c>
      <c r="BW3" s="93">
        <v>396.25</v>
      </c>
      <c r="BX3" s="93">
        <v>395.22</v>
      </c>
      <c r="BY3" s="93">
        <v>394.19</v>
      </c>
      <c r="BZ3" s="93">
        <v>393.16</v>
      </c>
      <c r="CA3" s="93">
        <v>392.14</v>
      </c>
      <c r="CB3" s="93">
        <v>391.11</v>
      </c>
      <c r="CC3" s="93">
        <v>390.09</v>
      </c>
      <c r="CD3" s="93">
        <v>389.06</v>
      </c>
      <c r="CE3" s="93">
        <v>388.03</v>
      </c>
      <c r="CF3" s="93">
        <v>387.01</v>
      </c>
      <c r="CG3" s="93">
        <v>385.98</v>
      </c>
      <c r="CH3" s="93">
        <v>384.96</v>
      </c>
      <c r="CI3" s="93">
        <v>383.94</v>
      </c>
      <c r="CJ3" s="93">
        <v>382.91</v>
      </c>
      <c r="CK3" s="93">
        <v>381.89</v>
      </c>
      <c r="CL3" s="93">
        <v>380.87</v>
      </c>
      <c r="CM3" s="93">
        <v>379.84</v>
      </c>
      <c r="CN3" s="93">
        <v>378.82</v>
      </c>
      <c r="CO3" s="93">
        <v>377.8</v>
      </c>
      <c r="CP3" s="93">
        <v>376.77</v>
      </c>
      <c r="CQ3" s="93">
        <v>375.75</v>
      </c>
      <c r="CR3" s="93">
        <v>374.73</v>
      </c>
      <c r="CS3" s="93">
        <v>373.71</v>
      </c>
      <c r="CT3" s="93">
        <v>372.68</v>
      </c>
      <c r="CU3" s="93">
        <v>371.66</v>
      </c>
      <c r="CV3" s="93">
        <v>370.64</v>
      </c>
      <c r="CW3" s="93">
        <v>369.62</v>
      </c>
      <c r="CX3" s="93">
        <v>368.61</v>
      </c>
      <c r="CY3" s="93">
        <v>367.59</v>
      </c>
      <c r="CZ3" s="93">
        <v>366.57</v>
      </c>
      <c r="DA3" s="93">
        <v>365.55</v>
      </c>
      <c r="DB3" s="93">
        <v>364.53</v>
      </c>
      <c r="DC3" s="93">
        <v>363.51</v>
      </c>
      <c r="DD3" s="93">
        <v>362.5</v>
      </c>
      <c r="DE3" s="93">
        <v>361.48</v>
      </c>
      <c r="DF3" s="93">
        <v>360.46</v>
      </c>
      <c r="DG3" s="93">
        <v>359.44</v>
      </c>
      <c r="DH3" s="93">
        <v>358.43</v>
      </c>
      <c r="DI3" s="93">
        <v>357.41</v>
      </c>
      <c r="DJ3" s="93">
        <v>356.4</v>
      </c>
      <c r="DK3" s="93">
        <v>355.39</v>
      </c>
      <c r="DL3" s="93">
        <v>354.37</v>
      </c>
      <c r="DM3" s="93">
        <v>353.36</v>
      </c>
      <c r="DN3" s="93">
        <v>352.34</v>
      </c>
      <c r="DO3" s="93">
        <v>351.33</v>
      </c>
      <c r="DP3" s="93">
        <v>350.32</v>
      </c>
      <c r="DQ3" s="93">
        <v>349.31</v>
      </c>
      <c r="DR3" s="93">
        <v>348.29</v>
      </c>
      <c r="DS3" s="93">
        <v>347.28</v>
      </c>
      <c r="DT3" s="93">
        <v>346.27</v>
      </c>
      <c r="DU3" s="93">
        <v>345.27</v>
      </c>
      <c r="DV3" s="93">
        <v>344.26</v>
      </c>
      <c r="DW3" s="93">
        <v>343.25</v>
      </c>
      <c r="DX3" s="93">
        <v>342.25</v>
      </c>
      <c r="DY3" s="93">
        <v>341.24</v>
      </c>
      <c r="DZ3" s="93">
        <v>340.24</v>
      </c>
      <c r="EA3" s="93">
        <v>339.23</v>
      </c>
      <c r="EB3" s="93">
        <v>338.23</v>
      </c>
      <c r="EC3" s="93">
        <v>337.23</v>
      </c>
      <c r="ED3" s="93">
        <v>336.23</v>
      </c>
      <c r="EE3" s="93">
        <v>335.23</v>
      </c>
      <c r="EF3" s="93">
        <v>334.23</v>
      </c>
      <c r="EG3" s="93">
        <v>333.23</v>
      </c>
      <c r="EH3" s="93">
        <v>332.24</v>
      </c>
      <c r="EI3" s="93">
        <v>331.24</v>
      </c>
      <c r="EJ3" s="93">
        <v>330.25</v>
      </c>
      <c r="EK3" s="93">
        <v>329.26</v>
      </c>
      <c r="EL3" s="93">
        <v>328.26</v>
      </c>
      <c r="EM3" s="93">
        <v>327.26</v>
      </c>
      <c r="EN3" s="93">
        <v>326.27999999999997</v>
      </c>
      <c r="EO3" s="93">
        <v>325.29000000000002</v>
      </c>
      <c r="EP3" s="93">
        <v>324.29000000000002</v>
      </c>
      <c r="EQ3" s="93">
        <v>323.31</v>
      </c>
      <c r="ER3" s="93">
        <v>322.32</v>
      </c>
      <c r="ES3" s="93">
        <v>321.33999999999997</v>
      </c>
      <c r="ET3" s="93">
        <v>320.35000000000002</v>
      </c>
      <c r="EU3" s="93">
        <v>319.37</v>
      </c>
      <c r="EV3" s="93">
        <v>318.38</v>
      </c>
      <c r="EW3" s="93">
        <v>317.39999999999998</v>
      </c>
      <c r="EX3" s="93">
        <v>316.41000000000003</v>
      </c>
      <c r="EY3" s="93">
        <v>315.43</v>
      </c>
      <c r="EZ3" s="93">
        <v>314.45</v>
      </c>
      <c r="FA3" s="93">
        <v>313.47000000000003</v>
      </c>
      <c r="FB3" s="93">
        <v>312.48</v>
      </c>
      <c r="FC3" s="93">
        <v>311.5</v>
      </c>
      <c r="FD3" s="93">
        <v>310.52999999999997</v>
      </c>
      <c r="FE3" s="93">
        <v>309.54000000000002</v>
      </c>
      <c r="FF3" s="93">
        <v>308.57</v>
      </c>
      <c r="FG3" s="93">
        <v>307.60000000000002</v>
      </c>
      <c r="FH3" s="93">
        <v>306.63</v>
      </c>
      <c r="FI3" s="93">
        <v>305.64999999999998</v>
      </c>
      <c r="FJ3" s="93">
        <v>304.68</v>
      </c>
      <c r="FK3" s="93">
        <v>303.70999999999998</v>
      </c>
      <c r="FL3" s="93">
        <v>302.74</v>
      </c>
      <c r="FM3" s="93">
        <v>301.76</v>
      </c>
      <c r="FN3" s="93">
        <v>300.79000000000002</v>
      </c>
      <c r="FO3" s="93">
        <v>299.82</v>
      </c>
      <c r="FP3" s="93">
        <v>298.85000000000002</v>
      </c>
      <c r="FQ3" s="93">
        <v>297.89</v>
      </c>
      <c r="FR3" s="93">
        <v>296.93</v>
      </c>
      <c r="FS3" s="93">
        <v>295.95999999999998</v>
      </c>
      <c r="FT3" s="93">
        <v>295</v>
      </c>
      <c r="FU3" s="93">
        <v>294.04000000000002</v>
      </c>
      <c r="FV3" s="93">
        <v>293.07</v>
      </c>
      <c r="FW3" s="93">
        <v>292.10000000000002</v>
      </c>
      <c r="FX3" s="93">
        <v>291.14999999999998</v>
      </c>
      <c r="FY3" s="93">
        <v>290.19</v>
      </c>
      <c r="FZ3" s="93">
        <v>289.23</v>
      </c>
      <c r="GA3" s="93">
        <v>288.26</v>
      </c>
      <c r="GB3" s="93">
        <v>287.32</v>
      </c>
      <c r="GC3" s="93">
        <v>286.35000000000002</v>
      </c>
      <c r="GD3" s="93">
        <v>285.41000000000003</v>
      </c>
      <c r="GE3" s="93">
        <v>284.45999999999998</v>
      </c>
      <c r="GF3" s="93">
        <v>283.5</v>
      </c>
      <c r="GG3" s="93">
        <v>282.54000000000002</v>
      </c>
      <c r="GH3" s="93">
        <v>281.60000000000002</v>
      </c>
      <c r="GI3" s="93">
        <v>280.64999999999998</v>
      </c>
      <c r="GJ3" s="93">
        <v>279.7</v>
      </c>
      <c r="GK3" s="93">
        <v>278.76</v>
      </c>
      <c r="GL3" s="93">
        <v>277.81</v>
      </c>
      <c r="GM3" s="93">
        <v>276.85000000000002</v>
      </c>
      <c r="GN3" s="93">
        <v>275.92</v>
      </c>
      <c r="GO3" s="93">
        <v>274.98</v>
      </c>
      <c r="GP3" s="93">
        <v>274.04000000000002</v>
      </c>
      <c r="GQ3" s="93">
        <v>273.10000000000002</v>
      </c>
      <c r="GR3" s="93">
        <v>272.17</v>
      </c>
      <c r="GS3" s="93">
        <v>271.23</v>
      </c>
      <c r="GT3" s="93">
        <v>270.29000000000002</v>
      </c>
      <c r="GU3" s="93">
        <v>269.35000000000002</v>
      </c>
      <c r="GV3" s="93">
        <v>268.43</v>
      </c>
      <c r="GW3" s="93">
        <v>267.5</v>
      </c>
      <c r="GX3" s="93">
        <v>266.57</v>
      </c>
      <c r="GY3" s="93">
        <v>265.64</v>
      </c>
      <c r="GZ3" s="93">
        <v>264.70999999999998</v>
      </c>
      <c r="HA3" s="93">
        <v>263.77999999999997</v>
      </c>
      <c r="HB3" s="93">
        <v>262.85000000000002</v>
      </c>
      <c r="HC3" s="93">
        <v>261.94</v>
      </c>
      <c r="HD3" s="93">
        <v>261.01</v>
      </c>
      <c r="HE3" s="93">
        <v>260.08999999999997</v>
      </c>
      <c r="HF3" s="93">
        <v>259.17</v>
      </c>
      <c r="HG3" s="93">
        <v>258.25</v>
      </c>
      <c r="HH3" s="93">
        <v>257.33999999999997</v>
      </c>
      <c r="HI3" s="93">
        <v>256.42</v>
      </c>
      <c r="HJ3" s="93">
        <v>255.5</v>
      </c>
      <c r="HK3" s="93">
        <v>254.59</v>
      </c>
      <c r="HL3" s="93">
        <v>253.68</v>
      </c>
      <c r="HM3" s="93">
        <v>252.77</v>
      </c>
      <c r="HN3" s="93">
        <v>251.87</v>
      </c>
      <c r="HO3" s="93">
        <v>250.96</v>
      </c>
      <c r="HP3" s="93">
        <v>250.06</v>
      </c>
      <c r="HQ3" s="93">
        <v>249.16</v>
      </c>
      <c r="HR3" s="93">
        <v>248.26</v>
      </c>
      <c r="HS3" s="93">
        <v>247.36</v>
      </c>
      <c r="HT3" s="93">
        <v>246.46</v>
      </c>
      <c r="HU3" s="93">
        <v>245.56</v>
      </c>
      <c r="HV3" s="93">
        <v>244.66</v>
      </c>
      <c r="HW3" s="93">
        <v>243.77</v>
      </c>
      <c r="HX3" s="93">
        <v>242.88</v>
      </c>
      <c r="HY3" s="93">
        <v>241.98</v>
      </c>
      <c r="HZ3" s="93">
        <v>241.09</v>
      </c>
      <c r="IA3" s="93">
        <v>240.2</v>
      </c>
      <c r="IB3" s="93">
        <v>239.32</v>
      </c>
      <c r="IC3" s="93">
        <v>238.43</v>
      </c>
      <c r="ID3" s="93">
        <v>237.54</v>
      </c>
      <c r="IE3" s="93">
        <v>236.66</v>
      </c>
      <c r="IF3" s="93">
        <v>235.77</v>
      </c>
      <c r="IG3" s="93">
        <v>234.89</v>
      </c>
      <c r="IH3" s="93">
        <v>234.01</v>
      </c>
      <c r="II3" s="93">
        <v>233.13</v>
      </c>
      <c r="IJ3" s="93">
        <v>232.25</v>
      </c>
      <c r="IK3" s="93">
        <v>231.38</v>
      </c>
      <c r="IL3" s="93">
        <v>230.5</v>
      </c>
      <c r="IM3" s="93">
        <v>229.63</v>
      </c>
      <c r="IN3" s="93">
        <v>228.76</v>
      </c>
      <c r="IO3" s="93">
        <v>227.89</v>
      </c>
      <c r="IP3" s="93">
        <v>227.02</v>
      </c>
      <c r="IQ3" s="93">
        <v>226.15</v>
      </c>
      <c r="IR3" s="93">
        <v>225.28</v>
      </c>
      <c r="IS3" s="93">
        <v>224.42</v>
      </c>
      <c r="IT3" s="93">
        <v>223.56</v>
      </c>
      <c r="IU3" s="93">
        <v>222.69</v>
      </c>
      <c r="IV3" s="93">
        <v>221.84</v>
      </c>
      <c r="IW3" s="93">
        <v>220.98</v>
      </c>
      <c r="IX3" s="93">
        <v>220.13</v>
      </c>
      <c r="IY3" s="93">
        <v>219.28</v>
      </c>
      <c r="IZ3" s="93">
        <v>218.43</v>
      </c>
      <c r="JA3" s="93">
        <v>217.58</v>
      </c>
      <c r="JB3" s="93">
        <v>216.73</v>
      </c>
      <c r="JC3" s="93">
        <v>215.88</v>
      </c>
      <c r="JD3" s="93">
        <v>215.04</v>
      </c>
      <c r="JE3" s="93">
        <v>214.19</v>
      </c>
      <c r="JF3" s="93">
        <v>213.35</v>
      </c>
      <c r="JG3" s="93">
        <v>212.51</v>
      </c>
      <c r="JH3" s="93">
        <v>211.67</v>
      </c>
      <c r="JI3" s="93">
        <v>210.83</v>
      </c>
      <c r="JJ3" s="93">
        <v>210</v>
      </c>
      <c r="JK3" s="93">
        <v>209.16</v>
      </c>
      <c r="JL3" s="93">
        <v>208.33</v>
      </c>
      <c r="JM3" s="93">
        <v>207.49</v>
      </c>
      <c r="JN3" s="93">
        <v>206.66</v>
      </c>
      <c r="JO3" s="93">
        <v>205.83</v>
      </c>
      <c r="JP3" s="93">
        <v>205</v>
      </c>
      <c r="JQ3" s="93">
        <v>204.17</v>
      </c>
      <c r="JR3" s="93">
        <v>203.35</v>
      </c>
      <c r="JS3" s="93">
        <v>202.52</v>
      </c>
      <c r="JT3" s="93">
        <v>201.7</v>
      </c>
      <c r="JU3" s="93">
        <v>200.87</v>
      </c>
      <c r="JV3" s="93">
        <v>200.05</v>
      </c>
      <c r="JW3" s="93">
        <v>199.23</v>
      </c>
      <c r="JX3" s="93">
        <v>198.4</v>
      </c>
      <c r="JY3" s="93">
        <v>197.59</v>
      </c>
      <c r="JZ3" s="93">
        <v>196.77</v>
      </c>
      <c r="KA3" s="93">
        <v>195.95</v>
      </c>
      <c r="KB3" s="93">
        <v>195.13</v>
      </c>
      <c r="KC3" s="93">
        <v>194.32</v>
      </c>
      <c r="KD3" s="93">
        <v>193.5</v>
      </c>
      <c r="KE3" s="93">
        <v>192.69</v>
      </c>
      <c r="KF3" s="93">
        <v>191.88</v>
      </c>
      <c r="KG3" s="93">
        <v>191.07</v>
      </c>
      <c r="KH3" s="93">
        <v>190.26</v>
      </c>
      <c r="KI3" s="93">
        <v>189.45</v>
      </c>
      <c r="KJ3" s="93">
        <v>188.65</v>
      </c>
      <c r="KK3" s="93">
        <v>187.84</v>
      </c>
      <c r="KL3" s="93">
        <v>187.04</v>
      </c>
      <c r="KM3" s="93">
        <v>186.24</v>
      </c>
      <c r="KN3" s="93">
        <v>185.44</v>
      </c>
      <c r="KO3" s="93">
        <v>184.64</v>
      </c>
      <c r="KP3" s="93">
        <v>183.84</v>
      </c>
      <c r="KQ3" s="93">
        <v>183.05</v>
      </c>
      <c r="KR3" s="98">
        <v>182.25</v>
      </c>
      <c r="KS3" s="98">
        <v>181.46</v>
      </c>
      <c r="KT3" s="98">
        <v>180.66</v>
      </c>
      <c r="KU3" s="98">
        <v>179.87</v>
      </c>
      <c r="KV3" s="98">
        <v>179.09</v>
      </c>
      <c r="KW3" s="98">
        <v>178.3</v>
      </c>
      <c r="KX3" s="98">
        <v>177.51</v>
      </c>
      <c r="KY3" s="98">
        <v>176.73</v>
      </c>
      <c r="KZ3" s="98">
        <f>KY3-0.79</f>
        <v>175.94</v>
      </c>
      <c r="LA3" s="98">
        <v>175.16</v>
      </c>
      <c r="LB3" s="98">
        <v>174.38</v>
      </c>
      <c r="LC3" s="98">
        <v>173.6</v>
      </c>
      <c r="LD3" s="98">
        <v>172.82</v>
      </c>
      <c r="LE3" s="98">
        <v>172.04</v>
      </c>
      <c r="LF3" s="98">
        <v>171.27</v>
      </c>
      <c r="LG3" s="98">
        <v>170.5</v>
      </c>
      <c r="LH3" s="98">
        <v>169.72</v>
      </c>
      <c r="LI3" s="98">
        <v>168.95</v>
      </c>
      <c r="LJ3" s="98">
        <v>168.18</v>
      </c>
      <c r="LK3" s="98">
        <v>167.41</v>
      </c>
      <c r="LL3" s="98">
        <v>166.64</v>
      </c>
      <c r="LM3" s="98">
        <v>165.88</v>
      </c>
      <c r="LN3" s="98">
        <v>165.11</v>
      </c>
      <c r="LO3" s="98">
        <v>164.35</v>
      </c>
      <c r="LP3" s="98">
        <v>163.59</v>
      </c>
      <c r="LQ3" s="98">
        <v>162.83000000000001</v>
      </c>
      <c r="LR3" s="98">
        <v>162.07</v>
      </c>
      <c r="LS3" s="98">
        <v>161.31</v>
      </c>
      <c r="LT3" s="98">
        <v>160.56</v>
      </c>
      <c r="LU3" s="98">
        <v>159.81</v>
      </c>
      <c r="LV3" s="98">
        <v>159.05000000000001</v>
      </c>
      <c r="LW3" s="98">
        <v>158.30000000000001</v>
      </c>
      <c r="LX3" s="98">
        <v>157.55000000000001</v>
      </c>
      <c r="LY3" s="98">
        <v>156.80000000000001</v>
      </c>
      <c r="LZ3" s="98">
        <v>156.06</v>
      </c>
      <c r="MA3" s="98">
        <v>155.31</v>
      </c>
      <c r="MB3" s="98">
        <v>154.57</v>
      </c>
      <c r="MC3" s="98">
        <v>153.83000000000001</v>
      </c>
      <c r="MD3" s="98">
        <v>153.09</v>
      </c>
      <c r="ME3" s="98">
        <v>152.36000000000001</v>
      </c>
      <c r="MF3" s="98">
        <v>151.62</v>
      </c>
      <c r="MG3" s="98">
        <v>150.88999999999999</v>
      </c>
      <c r="MH3" s="98">
        <v>150.15</v>
      </c>
      <c r="MI3" s="98">
        <v>149.41999999999999</v>
      </c>
      <c r="MJ3" s="98">
        <v>148.69</v>
      </c>
      <c r="MK3" s="98">
        <v>147.96</v>
      </c>
      <c r="ML3" s="98">
        <v>147.24</v>
      </c>
      <c r="MM3" s="98">
        <v>146.51</v>
      </c>
      <c r="MN3" s="98">
        <v>145.79</v>
      </c>
      <c r="MO3" s="98">
        <v>145.07</v>
      </c>
      <c r="MP3" s="98">
        <v>144.35</v>
      </c>
      <c r="MQ3" s="98">
        <v>143.63999999999999</v>
      </c>
      <c r="MR3" s="98">
        <v>142.91999999999999</v>
      </c>
      <c r="MS3" s="98">
        <v>142.21</v>
      </c>
      <c r="MT3" s="98">
        <v>141.49</v>
      </c>
      <c r="MU3" s="98">
        <v>140.78</v>
      </c>
      <c r="MV3" s="98">
        <v>140.07</v>
      </c>
      <c r="MW3" s="98">
        <v>139.37</v>
      </c>
      <c r="MX3" s="98">
        <v>138.66</v>
      </c>
      <c r="MY3" s="98">
        <v>137.96</v>
      </c>
    </row>
    <row r="4" spans="1:363" ht="15.75" x14ac:dyDescent="0.25">
      <c r="A4" s="90" t="s">
        <v>6</v>
      </c>
      <c r="B4" s="95">
        <v>2014</v>
      </c>
      <c r="C4" s="93">
        <v>471.9</v>
      </c>
      <c r="D4" s="93">
        <v>470.86</v>
      </c>
      <c r="E4" s="93">
        <v>469.82</v>
      </c>
      <c r="F4" s="93">
        <v>468.78</v>
      </c>
      <c r="G4" s="93">
        <v>467.74</v>
      </c>
      <c r="H4" s="93">
        <v>466.7</v>
      </c>
      <c r="I4" s="93">
        <v>465.66</v>
      </c>
      <c r="J4" s="93">
        <v>464.62</v>
      </c>
      <c r="K4" s="93">
        <v>463.58</v>
      </c>
      <c r="L4" s="93">
        <v>462.54</v>
      </c>
      <c r="M4" s="93">
        <v>461.5</v>
      </c>
      <c r="N4" s="93">
        <v>460.46</v>
      </c>
      <c r="O4" s="93">
        <v>459.42</v>
      </c>
      <c r="P4" s="93">
        <v>458.39</v>
      </c>
      <c r="Q4" s="93">
        <v>457.35</v>
      </c>
      <c r="R4" s="93">
        <v>456.31</v>
      </c>
      <c r="S4" s="93">
        <v>455.27</v>
      </c>
      <c r="T4" s="93">
        <v>454.23</v>
      </c>
      <c r="U4" s="93">
        <v>453.19</v>
      </c>
      <c r="V4" s="93">
        <v>452.15</v>
      </c>
      <c r="W4" s="93">
        <v>451.12</v>
      </c>
      <c r="X4" s="93">
        <v>450.08</v>
      </c>
      <c r="Y4" s="93">
        <v>449.04</v>
      </c>
      <c r="Z4" s="93">
        <v>448</v>
      </c>
      <c r="AA4" s="93">
        <v>446.96</v>
      </c>
      <c r="AB4" s="93">
        <v>445.93</v>
      </c>
      <c r="AC4" s="93">
        <v>444.89</v>
      </c>
      <c r="AD4" s="93">
        <v>443.85</v>
      </c>
      <c r="AE4" s="93">
        <v>442.82</v>
      </c>
      <c r="AF4" s="93">
        <v>441.78</v>
      </c>
      <c r="AG4" s="93">
        <v>440.74</v>
      </c>
      <c r="AH4" s="93">
        <v>439.7</v>
      </c>
      <c r="AI4" s="93">
        <v>438.67</v>
      </c>
      <c r="AJ4" s="93">
        <v>437.63</v>
      </c>
      <c r="AK4" s="93">
        <v>436.59</v>
      </c>
      <c r="AL4" s="93">
        <v>435.56</v>
      </c>
      <c r="AM4" s="93">
        <v>434.52</v>
      </c>
      <c r="AN4" s="93">
        <v>433.48</v>
      </c>
      <c r="AO4" s="93">
        <v>432.45</v>
      </c>
      <c r="AP4" s="93">
        <v>431.41</v>
      </c>
      <c r="AQ4" s="93">
        <v>430.38</v>
      </c>
      <c r="AR4" s="93">
        <v>429.34</v>
      </c>
      <c r="AS4" s="93">
        <v>428.31</v>
      </c>
      <c r="AT4" s="93">
        <v>427.27</v>
      </c>
      <c r="AU4" s="93">
        <v>426.24</v>
      </c>
      <c r="AV4" s="93">
        <v>425.2</v>
      </c>
      <c r="AW4" s="93">
        <v>424.17</v>
      </c>
      <c r="AX4" s="93">
        <v>423.13</v>
      </c>
      <c r="AY4" s="93">
        <v>422.1</v>
      </c>
      <c r="AZ4" s="93">
        <v>421.06</v>
      </c>
      <c r="BA4" s="93">
        <v>420.03</v>
      </c>
      <c r="BB4" s="93">
        <v>419</v>
      </c>
      <c r="BC4" s="93">
        <v>417.96</v>
      </c>
      <c r="BD4" s="93">
        <v>416.93</v>
      </c>
      <c r="BE4" s="93">
        <v>415.89</v>
      </c>
      <c r="BF4" s="93">
        <v>414.86</v>
      </c>
      <c r="BG4" s="93">
        <v>413.83</v>
      </c>
      <c r="BH4" s="93">
        <v>412.79</v>
      </c>
      <c r="BI4" s="93">
        <v>411.76</v>
      </c>
      <c r="BJ4" s="93">
        <v>410.73</v>
      </c>
      <c r="BK4" s="93">
        <v>409.69</v>
      </c>
      <c r="BL4" s="93">
        <v>408.66</v>
      </c>
      <c r="BM4" s="93">
        <v>407.63</v>
      </c>
      <c r="BN4" s="93">
        <v>406.59</v>
      </c>
      <c r="BO4" s="93">
        <v>405.56</v>
      </c>
      <c r="BP4" s="93">
        <v>404.53</v>
      </c>
      <c r="BQ4" s="93">
        <v>403.5</v>
      </c>
      <c r="BR4" s="93">
        <v>402.46</v>
      </c>
      <c r="BS4" s="93">
        <v>401.43</v>
      </c>
      <c r="BT4" s="93">
        <v>400.4</v>
      </c>
      <c r="BU4" s="93">
        <v>399.37</v>
      </c>
      <c r="BV4" s="93">
        <v>398.34</v>
      </c>
      <c r="BW4" s="93">
        <v>397.31</v>
      </c>
      <c r="BX4" s="93">
        <v>396.28</v>
      </c>
      <c r="BY4" s="93">
        <v>395.25</v>
      </c>
      <c r="BZ4" s="93">
        <v>394.22</v>
      </c>
      <c r="CA4" s="93">
        <v>393.2</v>
      </c>
      <c r="CB4" s="93">
        <v>392.17</v>
      </c>
      <c r="CC4" s="93">
        <v>391.14</v>
      </c>
      <c r="CD4" s="93">
        <v>390.12</v>
      </c>
      <c r="CE4" s="93">
        <v>389.09</v>
      </c>
      <c r="CF4" s="93">
        <v>388.07</v>
      </c>
      <c r="CG4" s="93">
        <v>387.04</v>
      </c>
      <c r="CH4" s="93">
        <v>386.02</v>
      </c>
      <c r="CI4" s="93">
        <v>384.99</v>
      </c>
      <c r="CJ4" s="93">
        <v>383.97</v>
      </c>
      <c r="CK4" s="93">
        <v>382.94</v>
      </c>
      <c r="CL4" s="93">
        <v>381.92</v>
      </c>
      <c r="CM4" s="93">
        <v>380.9</v>
      </c>
      <c r="CN4" s="93">
        <v>379.87</v>
      </c>
      <c r="CO4" s="93">
        <v>378.85</v>
      </c>
      <c r="CP4" s="93">
        <v>377.83</v>
      </c>
      <c r="CQ4" s="93">
        <v>376.8</v>
      </c>
      <c r="CR4" s="93">
        <v>375.78</v>
      </c>
      <c r="CS4" s="93">
        <v>374.76</v>
      </c>
      <c r="CT4" s="93">
        <v>373.73</v>
      </c>
      <c r="CU4" s="93">
        <v>372.71</v>
      </c>
      <c r="CV4" s="93">
        <v>371.69</v>
      </c>
      <c r="CW4" s="93">
        <v>370.67</v>
      </c>
      <c r="CX4" s="93">
        <v>369.65</v>
      </c>
      <c r="CY4" s="93">
        <v>368.63</v>
      </c>
      <c r="CZ4" s="93">
        <v>367.61</v>
      </c>
      <c r="DA4" s="93">
        <v>366.6</v>
      </c>
      <c r="DB4" s="93">
        <v>365.58</v>
      </c>
      <c r="DC4" s="93">
        <v>364.56</v>
      </c>
      <c r="DD4" s="93">
        <v>363.54</v>
      </c>
      <c r="DE4" s="93">
        <v>362.52</v>
      </c>
      <c r="DF4" s="93">
        <v>361.5</v>
      </c>
      <c r="DG4" s="93">
        <v>360.48</v>
      </c>
      <c r="DH4" s="93">
        <v>359.47</v>
      </c>
      <c r="DI4" s="93">
        <v>358.45</v>
      </c>
      <c r="DJ4" s="93">
        <v>357.44</v>
      </c>
      <c r="DK4" s="93">
        <v>356.42</v>
      </c>
      <c r="DL4" s="93">
        <v>355.41</v>
      </c>
      <c r="DM4" s="93">
        <v>354.39</v>
      </c>
      <c r="DN4" s="93">
        <v>353.38</v>
      </c>
      <c r="DO4" s="93">
        <v>352.37</v>
      </c>
      <c r="DP4" s="93">
        <v>351.35</v>
      </c>
      <c r="DQ4" s="93">
        <v>350.34</v>
      </c>
      <c r="DR4" s="93">
        <v>349.33</v>
      </c>
      <c r="DS4" s="93">
        <v>348.31</v>
      </c>
      <c r="DT4" s="93">
        <v>347.31</v>
      </c>
      <c r="DU4" s="93">
        <v>346.3</v>
      </c>
      <c r="DV4" s="93">
        <v>345.29</v>
      </c>
      <c r="DW4" s="93">
        <v>344.28</v>
      </c>
      <c r="DX4" s="93">
        <v>343.28</v>
      </c>
      <c r="DY4" s="93">
        <v>342.27</v>
      </c>
      <c r="DZ4" s="93">
        <v>341.26</v>
      </c>
      <c r="EA4" s="93">
        <v>340.26</v>
      </c>
      <c r="EB4" s="93">
        <v>339.26</v>
      </c>
      <c r="EC4" s="93">
        <v>338.25</v>
      </c>
      <c r="ED4" s="93">
        <v>337.25</v>
      </c>
      <c r="EE4" s="93">
        <v>336.25</v>
      </c>
      <c r="EF4" s="93">
        <v>335.25</v>
      </c>
      <c r="EG4" s="93">
        <v>334.25</v>
      </c>
      <c r="EH4" s="93">
        <v>333.26</v>
      </c>
      <c r="EI4" s="93">
        <v>332.26</v>
      </c>
      <c r="EJ4" s="93">
        <v>331.27</v>
      </c>
      <c r="EK4" s="93">
        <v>330.27</v>
      </c>
      <c r="EL4" s="93">
        <v>329.28</v>
      </c>
      <c r="EM4" s="93">
        <v>328.29</v>
      </c>
      <c r="EN4" s="93">
        <v>327.29000000000002</v>
      </c>
      <c r="EO4" s="93">
        <v>326.29000000000002</v>
      </c>
      <c r="EP4" s="93">
        <v>325.31</v>
      </c>
      <c r="EQ4" s="93">
        <v>324.32</v>
      </c>
      <c r="ER4" s="93">
        <v>323.32</v>
      </c>
      <c r="ES4" s="93">
        <v>322.35000000000002</v>
      </c>
      <c r="ET4" s="93">
        <v>321.35000000000002</v>
      </c>
      <c r="EU4" s="93">
        <v>320.37</v>
      </c>
      <c r="EV4" s="93">
        <v>319.39</v>
      </c>
      <c r="EW4" s="93">
        <v>318.39999999999998</v>
      </c>
      <c r="EX4" s="93">
        <v>317.42</v>
      </c>
      <c r="EY4" s="93">
        <v>316.44</v>
      </c>
      <c r="EZ4" s="93">
        <v>315.45</v>
      </c>
      <c r="FA4" s="93">
        <v>314.47000000000003</v>
      </c>
      <c r="FB4" s="93">
        <v>313.49</v>
      </c>
      <c r="FC4" s="93">
        <v>312.5</v>
      </c>
      <c r="FD4" s="93">
        <v>311.52999999999997</v>
      </c>
      <c r="FE4" s="93">
        <v>310.54000000000002</v>
      </c>
      <c r="FF4" s="93">
        <v>309.57</v>
      </c>
      <c r="FG4" s="93">
        <v>308.60000000000002</v>
      </c>
      <c r="FH4" s="93">
        <v>307.62</v>
      </c>
      <c r="FI4" s="93">
        <v>306.64999999999998</v>
      </c>
      <c r="FJ4" s="93">
        <v>305.67</v>
      </c>
      <c r="FK4" s="93">
        <v>304.7</v>
      </c>
      <c r="FL4" s="93">
        <v>303.73</v>
      </c>
      <c r="FM4" s="93">
        <v>302.76</v>
      </c>
      <c r="FN4" s="93">
        <v>301.79000000000002</v>
      </c>
      <c r="FO4" s="93">
        <v>300.82</v>
      </c>
      <c r="FP4" s="93">
        <v>299.85000000000002</v>
      </c>
      <c r="FQ4" s="93">
        <v>298.88</v>
      </c>
      <c r="FR4" s="93">
        <v>297.91000000000003</v>
      </c>
      <c r="FS4" s="93">
        <v>296.95</v>
      </c>
      <c r="FT4" s="93">
        <v>295.98</v>
      </c>
      <c r="FU4" s="93">
        <v>295.01</v>
      </c>
      <c r="FV4" s="93">
        <v>294.06</v>
      </c>
      <c r="FW4" s="93">
        <v>293.08999999999997</v>
      </c>
      <c r="FX4" s="93">
        <v>292.13</v>
      </c>
      <c r="FY4" s="93">
        <v>291.17</v>
      </c>
      <c r="FZ4" s="93">
        <v>290.20999999999998</v>
      </c>
      <c r="GA4" s="93">
        <v>289.25</v>
      </c>
      <c r="GB4" s="93">
        <v>288.29000000000002</v>
      </c>
      <c r="GC4" s="93">
        <v>287.33999999999997</v>
      </c>
      <c r="GD4" s="93">
        <v>286.38</v>
      </c>
      <c r="GE4" s="93">
        <v>285.43</v>
      </c>
      <c r="GF4" s="93">
        <v>284.47000000000003</v>
      </c>
      <c r="GG4" s="93">
        <v>283.51</v>
      </c>
      <c r="GH4" s="93">
        <v>282.57</v>
      </c>
      <c r="GI4" s="93">
        <v>281.62</v>
      </c>
      <c r="GJ4" s="93">
        <v>280.67</v>
      </c>
      <c r="GK4" s="93">
        <v>279.72000000000003</v>
      </c>
      <c r="GL4" s="93">
        <v>278.76</v>
      </c>
      <c r="GM4" s="93">
        <v>277.82</v>
      </c>
      <c r="GN4" s="93">
        <v>276.88</v>
      </c>
      <c r="GO4" s="93">
        <v>275.94</v>
      </c>
      <c r="GP4" s="93">
        <v>275</v>
      </c>
      <c r="GQ4" s="93">
        <v>274.06</v>
      </c>
      <c r="GR4" s="93">
        <v>273.12</v>
      </c>
      <c r="GS4" s="93">
        <v>272.19</v>
      </c>
      <c r="GT4" s="93">
        <v>271.25</v>
      </c>
      <c r="GU4" s="93">
        <v>270.32</v>
      </c>
      <c r="GV4" s="93">
        <v>269.38</v>
      </c>
      <c r="GW4" s="93">
        <v>268.45</v>
      </c>
      <c r="GX4" s="93">
        <v>267.51</v>
      </c>
      <c r="GY4" s="93">
        <v>266.57</v>
      </c>
      <c r="GZ4" s="93">
        <v>265.66000000000003</v>
      </c>
      <c r="HA4" s="93">
        <v>264.73</v>
      </c>
      <c r="HB4" s="93">
        <v>263.79000000000002</v>
      </c>
      <c r="HC4" s="93">
        <v>262.88</v>
      </c>
      <c r="HD4" s="93">
        <v>261.95</v>
      </c>
      <c r="HE4" s="93">
        <v>261.02999999999997</v>
      </c>
      <c r="HF4" s="93">
        <v>260.10000000000002</v>
      </c>
      <c r="HG4" s="93">
        <v>259.19</v>
      </c>
      <c r="HH4" s="93">
        <v>258.26</v>
      </c>
      <c r="HI4" s="93">
        <v>257.35000000000002</v>
      </c>
      <c r="HJ4" s="93">
        <v>256.43</v>
      </c>
      <c r="HK4" s="93">
        <v>255.52</v>
      </c>
      <c r="HL4" s="93">
        <v>254.61</v>
      </c>
      <c r="HM4" s="93">
        <v>253.7</v>
      </c>
      <c r="HN4" s="93">
        <v>252.79</v>
      </c>
      <c r="HO4" s="93">
        <v>251.89</v>
      </c>
      <c r="HP4" s="93">
        <v>250.98</v>
      </c>
      <c r="HQ4" s="93">
        <v>250.08</v>
      </c>
      <c r="HR4" s="93">
        <v>249.18</v>
      </c>
      <c r="HS4" s="93">
        <v>248.27</v>
      </c>
      <c r="HT4" s="93">
        <v>247.37</v>
      </c>
      <c r="HU4" s="93">
        <v>246.48</v>
      </c>
      <c r="HV4" s="93">
        <v>245.58</v>
      </c>
      <c r="HW4" s="93">
        <v>244.68</v>
      </c>
      <c r="HX4" s="93">
        <v>243.79</v>
      </c>
      <c r="HY4" s="93">
        <v>242.89</v>
      </c>
      <c r="HZ4" s="93">
        <v>242</v>
      </c>
      <c r="IA4" s="93">
        <v>241.11</v>
      </c>
      <c r="IB4" s="93">
        <v>240.22</v>
      </c>
      <c r="IC4" s="93">
        <v>239.33</v>
      </c>
      <c r="ID4" s="93">
        <v>238.44</v>
      </c>
      <c r="IE4" s="93">
        <v>237.56</v>
      </c>
      <c r="IF4" s="93">
        <v>236.67</v>
      </c>
      <c r="IG4" s="93">
        <v>235.79</v>
      </c>
      <c r="IH4" s="93">
        <v>234.9</v>
      </c>
      <c r="II4" s="93">
        <v>234.02</v>
      </c>
      <c r="IJ4" s="93">
        <v>233.14</v>
      </c>
      <c r="IK4" s="93">
        <v>232.27</v>
      </c>
      <c r="IL4" s="93">
        <v>231.39</v>
      </c>
      <c r="IM4" s="93">
        <v>230.52</v>
      </c>
      <c r="IN4" s="93">
        <v>229.64</v>
      </c>
      <c r="IO4" s="93">
        <v>228.77</v>
      </c>
      <c r="IP4" s="93">
        <v>227.9</v>
      </c>
      <c r="IQ4" s="93">
        <v>227.03</v>
      </c>
      <c r="IR4" s="93">
        <v>226.16</v>
      </c>
      <c r="IS4" s="93">
        <v>225.29</v>
      </c>
      <c r="IT4" s="93">
        <v>224.43</v>
      </c>
      <c r="IU4" s="93">
        <v>223.57</v>
      </c>
      <c r="IV4" s="93">
        <v>222.71</v>
      </c>
      <c r="IW4" s="93">
        <v>221.85</v>
      </c>
      <c r="IX4" s="93">
        <v>221</v>
      </c>
      <c r="IY4" s="93">
        <v>220.14</v>
      </c>
      <c r="IZ4" s="93">
        <v>219.29</v>
      </c>
      <c r="JA4" s="93">
        <v>218.44</v>
      </c>
      <c r="JB4" s="93">
        <v>217.59</v>
      </c>
      <c r="JC4" s="93">
        <v>216.74</v>
      </c>
      <c r="JD4" s="93">
        <v>215.9</v>
      </c>
      <c r="JE4" s="93">
        <v>215.05</v>
      </c>
      <c r="JF4" s="93">
        <v>214.2</v>
      </c>
      <c r="JG4" s="93">
        <v>213.36</v>
      </c>
      <c r="JH4" s="93">
        <v>212.52</v>
      </c>
      <c r="JI4" s="93">
        <v>211.68</v>
      </c>
      <c r="JJ4" s="93">
        <v>210.84</v>
      </c>
      <c r="JK4" s="93">
        <v>210.01</v>
      </c>
      <c r="JL4" s="93">
        <v>209.17</v>
      </c>
      <c r="JM4" s="93">
        <v>208.33</v>
      </c>
      <c r="JN4" s="93">
        <v>207.5</v>
      </c>
      <c r="JO4" s="93">
        <v>206.67</v>
      </c>
      <c r="JP4" s="93">
        <v>205.84</v>
      </c>
      <c r="JQ4" s="93">
        <v>205.01</v>
      </c>
      <c r="JR4" s="93">
        <v>204.18</v>
      </c>
      <c r="JS4" s="93">
        <v>203.35</v>
      </c>
      <c r="JT4" s="93">
        <v>202.52</v>
      </c>
      <c r="JU4" s="93">
        <v>201.7</v>
      </c>
      <c r="JV4" s="93">
        <v>200.87</v>
      </c>
      <c r="JW4" s="93">
        <v>200.05</v>
      </c>
      <c r="JX4" s="93">
        <v>199.22</v>
      </c>
      <c r="JY4" s="93">
        <v>198.4</v>
      </c>
      <c r="JZ4" s="93">
        <v>197.58</v>
      </c>
      <c r="KA4" s="93">
        <v>196.76</v>
      </c>
      <c r="KB4" s="93">
        <v>195.94</v>
      </c>
      <c r="KC4" s="93">
        <v>195.12</v>
      </c>
      <c r="KD4" s="93">
        <v>194.31</v>
      </c>
      <c r="KE4" s="93">
        <v>193.49</v>
      </c>
      <c r="KF4" s="93">
        <v>192.68</v>
      </c>
      <c r="KG4" s="93">
        <v>191.87</v>
      </c>
      <c r="KH4" s="93">
        <v>191.06</v>
      </c>
      <c r="KI4" s="93">
        <v>190.25</v>
      </c>
      <c r="KJ4" s="93">
        <v>189.44</v>
      </c>
      <c r="KK4" s="93">
        <v>188.63</v>
      </c>
      <c r="KL4" s="93">
        <v>187.83</v>
      </c>
      <c r="KM4" s="93">
        <v>187.02</v>
      </c>
      <c r="KN4" s="93">
        <v>186.22</v>
      </c>
      <c r="KO4" s="93">
        <v>185.42</v>
      </c>
      <c r="KP4" s="93">
        <v>184.62</v>
      </c>
      <c r="KQ4" s="93">
        <v>183.82</v>
      </c>
      <c r="KR4" s="98">
        <v>183.02</v>
      </c>
      <c r="KS4" s="98">
        <v>182.23</v>
      </c>
      <c r="KT4" s="98">
        <f>KT3+0.75</f>
        <v>181.41</v>
      </c>
      <c r="KU4" s="98">
        <f t="shared" ref="KU4:MY8" si="12">KU3+0.75</f>
        <v>180.62</v>
      </c>
      <c r="KV4" s="98">
        <f t="shared" si="12"/>
        <v>179.84</v>
      </c>
      <c r="KW4" s="98">
        <f t="shared" si="12"/>
        <v>179.05</v>
      </c>
      <c r="KX4" s="98">
        <f t="shared" si="12"/>
        <v>178.26</v>
      </c>
      <c r="KY4" s="98">
        <f t="shared" si="12"/>
        <v>177.48</v>
      </c>
      <c r="KZ4" s="98">
        <f t="shared" si="12"/>
        <v>176.69</v>
      </c>
      <c r="LA4" s="98">
        <f t="shared" si="12"/>
        <v>175.91</v>
      </c>
      <c r="LB4" s="98">
        <f t="shared" si="12"/>
        <v>175.13</v>
      </c>
      <c r="LC4" s="98">
        <f t="shared" si="12"/>
        <v>174.35</v>
      </c>
      <c r="LD4" s="98">
        <f t="shared" si="12"/>
        <v>173.57</v>
      </c>
      <c r="LE4" s="98">
        <f t="shared" si="12"/>
        <v>172.79</v>
      </c>
      <c r="LF4" s="98">
        <f t="shared" si="12"/>
        <v>172.02</v>
      </c>
      <c r="LG4" s="98">
        <f t="shared" si="12"/>
        <v>171.25</v>
      </c>
      <c r="LH4" s="98">
        <f t="shared" si="12"/>
        <v>170.47</v>
      </c>
      <c r="LI4" s="98">
        <f t="shared" si="12"/>
        <v>169.7</v>
      </c>
      <c r="LJ4" s="98">
        <f t="shared" si="12"/>
        <v>168.93</v>
      </c>
      <c r="LK4" s="98">
        <f t="shared" si="12"/>
        <v>168.16</v>
      </c>
      <c r="LL4" s="98">
        <f t="shared" si="12"/>
        <v>167.39</v>
      </c>
      <c r="LM4" s="98">
        <f t="shared" si="12"/>
        <v>166.63</v>
      </c>
      <c r="LN4" s="98">
        <f t="shared" si="12"/>
        <v>165.86</v>
      </c>
      <c r="LO4" s="98">
        <f t="shared" si="12"/>
        <v>165.1</v>
      </c>
      <c r="LP4" s="98">
        <f t="shared" si="12"/>
        <v>164.34</v>
      </c>
      <c r="LQ4" s="98">
        <f t="shared" si="12"/>
        <v>163.58000000000001</v>
      </c>
      <c r="LR4" s="98">
        <f t="shared" si="12"/>
        <v>162.82</v>
      </c>
      <c r="LS4" s="98">
        <f t="shared" si="12"/>
        <v>162.06</v>
      </c>
      <c r="LT4" s="98">
        <f t="shared" si="12"/>
        <v>161.31</v>
      </c>
      <c r="LU4" s="98">
        <f t="shared" si="12"/>
        <v>160.56</v>
      </c>
      <c r="LV4" s="98">
        <f t="shared" si="12"/>
        <v>159.80000000000001</v>
      </c>
      <c r="LW4" s="98">
        <f t="shared" si="12"/>
        <v>159.05000000000001</v>
      </c>
      <c r="LX4" s="98">
        <f t="shared" si="12"/>
        <v>158.30000000000001</v>
      </c>
      <c r="LY4" s="98">
        <f t="shared" si="12"/>
        <v>157.55000000000001</v>
      </c>
      <c r="LZ4" s="98">
        <f t="shared" si="12"/>
        <v>156.81</v>
      </c>
      <c r="MA4" s="98">
        <f t="shared" si="12"/>
        <v>156.06</v>
      </c>
      <c r="MB4" s="98">
        <f t="shared" si="12"/>
        <v>155.32</v>
      </c>
      <c r="MC4" s="98">
        <f t="shared" si="12"/>
        <v>154.58000000000001</v>
      </c>
      <c r="MD4" s="98">
        <f t="shared" si="12"/>
        <v>153.84</v>
      </c>
      <c r="ME4" s="98">
        <f t="shared" si="12"/>
        <v>153.11000000000001</v>
      </c>
      <c r="MF4" s="98">
        <f>MF3+0.75</f>
        <v>152.37</v>
      </c>
      <c r="MG4" s="98">
        <f t="shared" si="12"/>
        <v>151.63999999999999</v>
      </c>
      <c r="MH4" s="98">
        <f t="shared" si="12"/>
        <v>150.9</v>
      </c>
      <c r="MI4" s="98">
        <f t="shared" si="12"/>
        <v>150.16999999999999</v>
      </c>
      <c r="MJ4" s="98">
        <f t="shared" si="12"/>
        <v>149.44</v>
      </c>
      <c r="MK4" s="98">
        <f t="shared" si="12"/>
        <v>148.71</v>
      </c>
      <c r="ML4" s="98">
        <f t="shared" si="12"/>
        <v>147.99</v>
      </c>
      <c r="MM4" s="98">
        <f t="shared" si="12"/>
        <v>147.26</v>
      </c>
      <c r="MN4" s="98">
        <f t="shared" si="12"/>
        <v>146.54</v>
      </c>
      <c r="MO4" s="98">
        <f t="shared" si="12"/>
        <v>145.82</v>
      </c>
      <c r="MP4" s="98">
        <f t="shared" si="12"/>
        <v>145.1</v>
      </c>
      <c r="MQ4" s="98">
        <f t="shared" si="12"/>
        <v>144.38999999999999</v>
      </c>
      <c r="MR4" s="98">
        <f t="shared" si="12"/>
        <v>143.66999999999999</v>
      </c>
      <c r="MS4" s="98">
        <f t="shared" si="12"/>
        <v>142.96</v>
      </c>
      <c r="MT4" s="98">
        <f t="shared" si="12"/>
        <v>142.24</v>
      </c>
      <c r="MU4" s="98">
        <f t="shared" si="12"/>
        <v>141.53</v>
      </c>
      <c r="MV4" s="98">
        <f t="shared" si="12"/>
        <v>140.82</v>
      </c>
      <c r="MW4" s="98">
        <f t="shared" si="12"/>
        <v>140.12</v>
      </c>
      <c r="MX4" s="98">
        <f t="shared" si="12"/>
        <v>139.41</v>
      </c>
      <c r="MY4" s="98">
        <f t="shared" si="12"/>
        <v>138.71</v>
      </c>
    </row>
    <row r="5" spans="1:363" ht="15.75" x14ac:dyDescent="0.25">
      <c r="A5" s="90" t="s">
        <v>6</v>
      </c>
      <c r="B5" s="95">
        <v>2015</v>
      </c>
      <c r="C5" s="93">
        <v>472.96</v>
      </c>
      <c r="D5" s="93">
        <v>471.92</v>
      </c>
      <c r="E5" s="93">
        <v>470.88</v>
      </c>
      <c r="F5" s="93">
        <v>469.84</v>
      </c>
      <c r="G5" s="93">
        <v>468.8</v>
      </c>
      <c r="H5" s="93">
        <v>467.76</v>
      </c>
      <c r="I5" s="93">
        <v>466.72</v>
      </c>
      <c r="J5" s="93">
        <v>465.69</v>
      </c>
      <c r="K5" s="93">
        <v>464.65</v>
      </c>
      <c r="L5" s="93">
        <v>463.61</v>
      </c>
      <c r="M5" s="93">
        <v>462.57</v>
      </c>
      <c r="N5" s="93">
        <v>461.53</v>
      </c>
      <c r="O5" s="93">
        <v>460.49</v>
      </c>
      <c r="P5" s="93">
        <v>459.45</v>
      </c>
      <c r="Q5" s="93">
        <v>458.41</v>
      </c>
      <c r="R5" s="93">
        <v>457.37</v>
      </c>
      <c r="S5" s="93">
        <v>456.33</v>
      </c>
      <c r="T5" s="93">
        <v>455.29</v>
      </c>
      <c r="U5" s="93">
        <v>454.26</v>
      </c>
      <c r="V5" s="93">
        <v>453.22</v>
      </c>
      <c r="W5" s="93">
        <v>452.18</v>
      </c>
      <c r="X5" s="93">
        <v>451.14</v>
      </c>
      <c r="Y5" s="93">
        <v>450.1</v>
      </c>
      <c r="Z5" s="93">
        <v>449.06</v>
      </c>
      <c r="AA5" s="93">
        <v>448.03</v>
      </c>
      <c r="AB5" s="93">
        <v>446.99</v>
      </c>
      <c r="AC5" s="93">
        <v>445.95</v>
      </c>
      <c r="AD5" s="93">
        <v>444.92</v>
      </c>
      <c r="AE5" s="93">
        <v>443.88</v>
      </c>
      <c r="AF5" s="93">
        <v>442.84</v>
      </c>
      <c r="AG5" s="93">
        <v>441.8</v>
      </c>
      <c r="AH5" s="93">
        <v>440.77</v>
      </c>
      <c r="AI5" s="93">
        <v>439.73</v>
      </c>
      <c r="AJ5" s="93">
        <v>438.69</v>
      </c>
      <c r="AK5" s="93">
        <v>437.66</v>
      </c>
      <c r="AL5" s="93">
        <v>436.62</v>
      </c>
      <c r="AM5" s="93">
        <v>435.58</v>
      </c>
      <c r="AN5" s="93">
        <v>434.55</v>
      </c>
      <c r="AO5" s="93">
        <v>433.51</v>
      </c>
      <c r="AP5" s="93">
        <v>432.48</v>
      </c>
      <c r="AQ5" s="93">
        <v>431.44</v>
      </c>
      <c r="AR5" s="93">
        <v>430.4</v>
      </c>
      <c r="AS5" s="93">
        <v>429.37</v>
      </c>
      <c r="AT5" s="93">
        <v>428.33</v>
      </c>
      <c r="AU5" s="93">
        <v>427.3</v>
      </c>
      <c r="AV5" s="93">
        <v>426.26</v>
      </c>
      <c r="AW5" s="93">
        <v>425.23</v>
      </c>
      <c r="AX5" s="93">
        <v>424.19</v>
      </c>
      <c r="AY5" s="93">
        <v>423.16</v>
      </c>
      <c r="AZ5" s="93">
        <v>422.12</v>
      </c>
      <c r="BA5" s="93">
        <v>421.09</v>
      </c>
      <c r="BB5" s="93">
        <v>420.06</v>
      </c>
      <c r="BC5" s="93">
        <v>419.02</v>
      </c>
      <c r="BD5" s="93">
        <v>417.99</v>
      </c>
      <c r="BE5" s="93">
        <v>416.95</v>
      </c>
      <c r="BF5" s="93">
        <v>415.92</v>
      </c>
      <c r="BG5" s="93">
        <v>414.89</v>
      </c>
      <c r="BH5" s="93">
        <v>413.85</v>
      </c>
      <c r="BI5" s="93">
        <v>412.82</v>
      </c>
      <c r="BJ5" s="93">
        <v>411.78</v>
      </c>
      <c r="BK5" s="93">
        <v>410.75</v>
      </c>
      <c r="BL5" s="93">
        <v>409.72</v>
      </c>
      <c r="BM5" s="93">
        <v>408.68</v>
      </c>
      <c r="BN5" s="93">
        <v>407.65</v>
      </c>
      <c r="BO5" s="93">
        <v>406.62</v>
      </c>
      <c r="BP5" s="93">
        <v>405.59</v>
      </c>
      <c r="BQ5" s="93">
        <v>404.55</v>
      </c>
      <c r="BR5" s="93">
        <v>403.52</v>
      </c>
      <c r="BS5" s="93">
        <v>402.49</v>
      </c>
      <c r="BT5" s="93">
        <v>401.46</v>
      </c>
      <c r="BU5" s="93">
        <v>400.42</v>
      </c>
      <c r="BV5" s="93">
        <v>399.39</v>
      </c>
      <c r="BW5" s="93">
        <v>398.36</v>
      </c>
      <c r="BX5" s="93">
        <v>397.33</v>
      </c>
      <c r="BY5" s="93">
        <v>396.31</v>
      </c>
      <c r="BZ5" s="93">
        <v>395.28</v>
      </c>
      <c r="CA5" s="93">
        <v>394.25</v>
      </c>
      <c r="CB5" s="93">
        <v>393.22</v>
      </c>
      <c r="CC5" s="93">
        <v>392.2</v>
      </c>
      <c r="CD5" s="93">
        <v>391.17</v>
      </c>
      <c r="CE5" s="93">
        <v>390.14</v>
      </c>
      <c r="CF5" s="93">
        <v>389.12</v>
      </c>
      <c r="CG5" s="93">
        <v>388.09</v>
      </c>
      <c r="CH5" s="93">
        <v>387.07</v>
      </c>
      <c r="CI5" s="93">
        <v>386.04</v>
      </c>
      <c r="CJ5" s="93">
        <v>385.02</v>
      </c>
      <c r="CK5" s="93">
        <v>383.99</v>
      </c>
      <c r="CL5" s="93">
        <v>382.97</v>
      </c>
      <c r="CM5" s="93">
        <v>381.94</v>
      </c>
      <c r="CN5" s="93">
        <v>380.92</v>
      </c>
      <c r="CO5" s="93">
        <v>379.9</v>
      </c>
      <c r="CP5" s="93">
        <v>378.87</v>
      </c>
      <c r="CQ5" s="93">
        <v>377.85</v>
      </c>
      <c r="CR5" s="93">
        <v>376.83</v>
      </c>
      <c r="CS5" s="93">
        <v>375.8</v>
      </c>
      <c r="CT5" s="93">
        <v>374.78</v>
      </c>
      <c r="CU5" s="93">
        <v>373.76</v>
      </c>
      <c r="CV5" s="93">
        <v>372.73</v>
      </c>
      <c r="CW5" s="93">
        <v>371.71</v>
      </c>
      <c r="CX5" s="93">
        <v>370.69</v>
      </c>
      <c r="CY5" s="93">
        <v>369.67</v>
      </c>
      <c r="CZ5" s="93">
        <v>368.65</v>
      </c>
      <c r="DA5" s="93">
        <v>367.63</v>
      </c>
      <c r="DB5" s="93">
        <v>366.62</v>
      </c>
      <c r="DC5" s="93">
        <v>365.6</v>
      </c>
      <c r="DD5" s="93">
        <v>364.58</v>
      </c>
      <c r="DE5" s="93">
        <v>363.56</v>
      </c>
      <c r="DF5" s="93">
        <v>362.54</v>
      </c>
      <c r="DG5" s="93">
        <v>361.52</v>
      </c>
      <c r="DH5" s="93">
        <v>360.5</v>
      </c>
      <c r="DI5" s="93">
        <v>359.49</v>
      </c>
      <c r="DJ5" s="93">
        <v>358.47</v>
      </c>
      <c r="DK5" s="93">
        <v>357.46</v>
      </c>
      <c r="DL5" s="93">
        <v>356.44</v>
      </c>
      <c r="DM5" s="93">
        <v>355.43</v>
      </c>
      <c r="DN5" s="93">
        <v>354.41</v>
      </c>
      <c r="DO5" s="93">
        <v>353.4</v>
      </c>
      <c r="DP5" s="93">
        <v>352.38</v>
      </c>
      <c r="DQ5" s="93">
        <v>351.37</v>
      </c>
      <c r="DR5" s="93">
        <v>350.35</v>
      </c>
      <c r="DS5" s="93">
        <v>349.34</v>
      </c>
      <c r="DT5" s="93">
        <v>348.33</v>
      </c>
      <c r="DU5" s="93">
        <v>347.32</v>
      </c>
      <c r="DV5" s="93">
        <v>346.31</v>
      </c>
      <c r="DW5" s="93">
        <v>345.31</v>
      </c>
      <c r="DX5" s="93">
        <v>344.3</v>
      </c>
      <c r="DY5" s="93">
        <v>343.29</v>
      </c>
      <c r="DZ5" s="93">
        <v>342.29</v>
      </c>
      <c r="EA5" s="93">
        <v>341.28</v>
      </c>
      <c r="EB5" s="93">
        <v>340.28</v>
      </c>
      <c r="EC5" s="93">
        <v>339.27</v>
      </c>
      <c r="ED5" s="93">
        <v>338.27</v>
      </c>
      <c r="EE5" s="93">
        <v>337.27</v>
      </c>
      <c r="EF5" s="93">
        <v>336.27</v>
      </c>
      <c r="EG5" s="93">
        <v>335.27</v>
      </c>
      <c r="EH5" s="93">
        <v>334.27</v>
      </c>
      <c r="EI5" s="93">
        <v>333.28</v>
      </c>
      <c r="EJ5" s="93">
        <v>332.28</v>
      </c>
      <c r="EK5" s="93">
        <v>331.29</v>
      </c>
      <c r="EL5" s="93">
        <v>330.29</v>
      </c>
      <c r="EM5" s="93">
        <v>329.3</v>
      </c>
      <c r="EN5" s="93">
        <v>328.3</v>
      </c>
      <c r="EO5" s="93">
        <v>327.31</v>
      </c>
      <c r="EP5" s="93">
        <v>326.32</v>
      </c>
      <c r="EQ5" s="93">
        <v>325.32</v>
      </c>
      <c r="ER5" s="93">
        <v>324.33999999999997</v>
      </c>
      <c r="ES5" s="93">
        <v>323.35000000000002</v>
      </c>
      <c r="ET5" s="93">
        <v>322.35000000000002</v>
      </c>
      <c r="EU5" s="93">
        <v>321.38</v>
      </c>
      <c r="EV5" s="93">
        <v>320.39</v>
      </c>
      <c r="EW5" s="93">
        <v>319.41000000000003</v>
      </c>
      <c r="EX5" s="93">
        <v>318.42</v>
      </c>
      <c r="EY5" s="93">
        <v>317.43</v>
      </c>
      <c r="EZ5" s="93">
        <v>316.45</v>
      </c>
      <c r="FA5" s="93">
        <v>315.47000000000003</v>
      </c>
      <c r="FB5" s="93">
        <v>314.48</v>
      </c>
      <c r="FC5" s="93">
        <v>313.5</v>
      </c>
      <c r="FD5" s="93">
        <v>312.51</v>
      </c>
      <c r="FE5" s="93">
        <v>311.54000000000002</v>
      </c>
      <c r="FF5" s="93">
        <v>310.57</v>
      </c>
      <c r="FG5" s="93">
        <v>309.58999999999997</v>
      </c>
      <c r="FH5" s="93">
        <v>308.60000000000002</v>
      </c>
      <c r="FI5" s="93">
        <v>307.64</v>
      </c>
      <c r="FJ5" s="93">
        <v>306.66000000000003</v>
      </c>
      <c r="FK5" s="93">
        <v>305.69</v>
      </c>
      <c r="FL5" s="93">
        <v>304.72000000000003</v>
      </c>
      <c r="FM5" s="93">
        <v>303.74</v>
      </c>
      <c r="FN5" s="93">
        <v>302.76</v>
      </c>
      <c r="FO5" s="93">
        <v>301.79000000000002</v>
      </c>
      <c r="FP5" s="93">
        <v>300.82</v>
      </c>
      <c r="FQ5" s="93">
        <v>299.85000000000002</v>
      </c>
      <c r="FR5" s="93">
        <v>298.89999999999998</v>
      </c>
      <c r="FS5" s="93">
        <v>297.93</v>
      </c>
      <c r="FT5" s="93">
        <v>296.95999999999998</v>
      </c>
      <c r="FU5" s="93">
        <v>296</v>
      </c>
      <c r="FV5" s="93">
        <v>295.02999999999997</v>
      </c>
      <c r="FW5" s="93">
        <v>294.07</v>
      </c>
      <c r="FX5" s="93">
        <v>293.10000000000002</v>
      </c>
      <c r="FY5" s="93">
        <v>292.14</v>
      </c>
      <c r="FZ5" s="93">
        <v>291.18</v>
      </c>
      <c r="GA5" s="93">
        <v>290.22000000000003</v>
      </c>
      <c r="GB5" s="93">
        <v>289.26</v>
      </c>
      <c r="GC5" s="93">
        <v>288.31</v>
      </c>
      <c r="GD5" s="93">
        <v>287.35000000000002</v>
      </c>
      <c r="GE5" s="93">
        <v>286.39</v>
      </c>
      <c r="GF5" s="93">
        <v>285.44</v>
      </c>
      <c r="GG5" s="93">
        <v>284.49</v>
      </c>
      <c r="GH5" s="93">
        <v>283.52999999999997</v>
      </c>
      <c r="GI5" s="93">
        <v>282.57</v>
      </c>
      <c r="GJ5" s="93">
        <v>281.63</v>
      </c>
      <c r="GK5" s="93">
        <v>280.68</v>
      </c>
      <c r="GL5" s="93">
        <v>279.73</v>
      </c>
      <c r="GM5" s="93">
        <v>278.77999999999997</v>
      </c>
      <c r="GN5" s="93">
        <v>277.83999999999997</v>
      </c>
      <c r="GO5" s="93">
        <v>276.89999999999998</v>
      </c>
      <c r="GP5" s="93">
        <v>275.95999999999998</v>
      </c>
      <c r="GQ5" s="93">
        <v>275.01</v>
      </c>
      <c r="GR5" s="93">
        <v>274.07</v>
      </c>
      <c r="GS5" s="93">
        <v>273.14</v>
      </c>
      <c r="GT5" s="93">
        <v>272.2</v>
      </c>
      <c r="GU5" s="93">
        <v>271.26</v>
      </c>
      <c r="GV5" s="93">
        <v>270.32</v>
      </c>
      <c r="GW5" s="93">
        <v>269.39</v>
      </c>
      <c r="GX5" s="93">
        <v>268.45999999999998</v>
      </c>
      <c r="GY5" s="93">
        <v>267.52999999999997</v>
      </c>
      <c r="GZ5" s="93">
        <v>266.60000000000002</v>
      </c>
      <c r="HA5" s="93">
        <v>265.67</v>
      </c>
      <c r="HB5" s="93">
        <v>264.74</v>
      </c>
      <c r="HC5" s="93">
        <v>263.81</v>
      </c>
      <c r="HD5" s="93">
        <v>262.89</v>
      </c>
      <c r="HE5" s="93">
        <v>261.95999999999998</v>
      </c>
      <c r="HF5" s="93">
        <v>261.04000000000002</v>
      </c>
      <c r="HG5" s="93">
        <v>260.12</v>
      </c>
      <c r="HH5" s="93">
        <v>259.2</v>
      </c>
      <c r="HI5" s="93">
        <v>258.27999999999997</v>
      </c>
      <c r="HJ5" s="93">
        <v>257.35000000000002</v>
      </c>
      <c r="HK5" s="93">
        <v>256.44</v>
      </c>
      <c r="HL5" s="93">
        <v>255.53</v>
      </c>
      <c r="HM5" s="93">
        <v>254.62</v>
      </c>
      <c r="HN5" s="93">
        <v>253.71</v>
      </c>
      <c r="HO5" s="93">
        <v>252.81</v>
      </c>
      <c r="HP5" s="93">
        <v>251.9</v>
      </c>
      <c r="HQ5" s="93">
        <v>251</v>
      </c>
      <c r="HR5" s="93">
        <v>250.09</v>
      </c>
      <c r="HS5" s="93">
        <v>249.19</v>
      </c>
      <c r="HT5" s="93">
        <v>248.29</v>
      </c>
      <c r="HU5" s="93">
        <v>247.39</v>
      </c>
      <c r="HV5" s="93">
        <v>246.49</v>
      </c>
      <c r="HW5" s="93">
        <v>245.59</v>
      </c>
      <c r="HX5" s="93">
        <v>244.69</v>
      </c>
      <c r="HY5" s="93">
        <v>243.8</v>
      </c>
      <c r="HZ5" s="93">
        <v>242.9</v>
      </c>
      <c r="IA5" s="93">
        <v>242.01</v>
      </c>
      <c r="IB5" s="93">
        <v>241.12</v>
      </c>
      <c r="IC5" s="93">
        <v>240.23</v>
      </c>
      <c r="ID5" s="93">
        <v>239.34</v>
      </c>
      <c r="IE5" s="93">
        <v>238.45</v>
      </c>
      <c r="IF5" s="93">
        <v>237.57</v>
      </c>
      <c r="IG5" s="93">
        <v>236.68</v>
      </c>
      <c r="IH5" s="93">
        <v>235.8</v>
      </c>
      <c r="II5" s="93">
        <v>234.91</v>
      </c>
      <c r="IJ5" s="93">
        <v>234.03</v>
      </c>
      <c r="IK5" s="93">
        <v>233.15</v>
      </c>
      <c r="IL5" s="93">
        <v>232.27</v>
      </c>
      <c r="IM5" s="93">
        <v>231.4</v>
      </c>
      <c r="IN5" s="93">
        <v>230.52</v>
      </c>
      <c r="IO5" s="93">
        <v>229.65</v>
      </c>
      <c r="IP5" s="93">
        <v>228.78</v>
      </c>
      <c r="IQ5" s="93">
        <v>227.91</v>
      </c>
      <c r="IR5" s="93">
        <v>227.04</v>
      </c>
      <c r="IS5" s="93">
        <v>226.17</v>
      </c>
      <c r="IT5" s="93">
        <v>225.3</v>
      </c>
      <c r="IU5" s="93">
        <v>224.43</v>
      </c>
      <c r="IV5" s="93">
        <v>223.57</v>
      </c>
      <c r="IW5" s="93">
        <v>222.72</v>
      </c>
      <c r="IX5" s="93">
        <v>221.86</v>
      </c>
      <c r="IY5" s="93">
        <v>221</v>
      </c>
      <c r="IZ5" s="93">
        <v>220.15</v>
      </c>
      <c r="JA5" s="93">
        <v>219.3</v>
      </c>
      <c r="JB5" s="93">
        <v>218.45</v>
      </c>
      <c r="JC5" s="93">
        <v>217.6</v>
      </c>
      <c r="JD5" s="93">
        <v>216.75</v>
      </c>
      <c r="JE5" s="93">
        <v>215.9</v>
      </c>
      <c r="JF5" s="93">
        <v>215.05</v>
      </c>
      <c r="JG5" s="93">
        <v>214.21</v>
      </c>
      <c r="JH5" s="93">
        <v>213.37</v>
      </c>
      <c r="JI5" s="93">
        <v>212.53</v>
      </c>
      <c r="JJ5" s="93">
        <v>211.69</v>
      </c>
      <c r="JK5" s="93">
        <v>210.85</v>
      </c>
      <c r="JL5" s="93">
        <v>210.01</v>
      </c>
      <c r="JM5" s="93">
        <v>209.17</v>
      </c>
      <c r="JN5" s="93">
        <v>208.34</v>
      </c>
      <c r="JO5" s="93">
        <v>207.5</v>
      </c>
      <c r="JP5" s="93">
        <v>206.67</v>
      </c>
      <c r="JQ5" s="93">
        <v>205.84</v>
      </c>
      <c r="JR5" s="93">
        <v>205.01</v>
      </c>
      <c r="JS5" s="93">
        <v>204.18</v>
      </c>
      <c r="JT5" s="93">
        <v>203.35</v>
      </c>
      <c r="JU5" s="93">
        <v>202.52</v>
      </c>
      <c r="JV5" s="93">
        <v>201.69</v>
      </c>
      <c r="JW5" s="93">
        <v>200.86</v>
      </c>
      <c r="JX5" s="93">
        <v>200.04</v>
      </c>
      <c r="JY5" s="93">
        <v>199.21</v>
      </c>
      <c r="JZ5" s="93">
        <v>198.39</v>
      </c>
      <c r="KA5" s="93">
        <v>197.57</v>
      </c>
      <c r="KB5" s="93">
        <v>196.75</v>
      </c>
      <c r="KC5" s="93">
        <v>195.93</v>
      </c>
      <c r="KD5" s="93">
        <v>195.11</v>
      </c>
      <c r="KE5" s="93">
        <v>194.29</v>
      </c>
      <c r="KF5" s="93">
        <v>193.48</v>
      </c>
      <c r="KG5" s="93">
        <v>192.66</v>
      </c>
      <c r="KH5" s="93">
        <v>191.85</v>
      </c>
      <c r="KI5" s="93">
        <v>191.04</v>
      </c>
      <c r="KJ5" s="93">
        <v>190.23</v>
      </c>
      <c r="KK5" s="93">
        <v>189.42</v>
      </c>
      <c r="KL5" s="93">
        <v>188.61</v>
      </c>
      <c r="KM5" s="93">
        <v>187.8</v>
      </c>
      <c r="KN5" s="93">
        <v>187</v>
      </c>
      <c r="KO5" s="93">
        <v>186.2</v>
      </c>
      <c r="KP5" s="93">
        <v>185.39</v>
      </c>
      <c r="KQ5" s="93">
        <v>184.59</v>
      </c>
      <c r="KR5" s="98">
        <f t="shared" ref="KR5:KR21" si="13">KR4+0.75</f>
        <v>183.77</v>
      </c>
      <c r="KS5" s="98">
        <f t="shared" ref="KS5:KS21" si="14">KS4+0.75</f>
        <v>182.98</v>
      </c>
      <c r="KT5" s="98">
        <f t="shared" ref="KT5:LI20" si="15">KT4+0.75</f>
        <v>182.16</v>
      </c>
      <c r="KU5" s="98">
        <f t="shared" si="12"/>
        <v>181.37</v>
      </c>
      <c r="KV5" s="98">
        <f t="shared" si="12"/>
        <v>180.59</v>
      </c>
      <c r="KW5" s="98">
        <f t="shared" si="12"/>
        <v>179.8</v>
      </c>
      <c r="KX5" s="98">
        <f t="shared" si="12"/>
        <v>179.01</v>
      </c>
      <c r="KY5" s="98">
        <f t="shared" si="12"/>
        <v>178.23</v>
      </c>
      <c r="KZ5" s="98">
        <f t="shared" si="12"/>
        <v>177.44</v>
      </c>
      <c r="LA5" s="98">
        <f t="shared" si="12"/>
        <v>176.66</v>
      </c>
      <c r="LB5" s="98">
        <f t="shared" si="12"/>
        <v>175.88</v>
      </c>
      <c r="LC5" s="98">
        <f t="shared" si="12"/>
        <v>175.1</v>
      </c>
      <c r="LD5" s="98">
        <f t="shared" si="12"/>
        <v>174.32</v>
      </c>
      <c r="LE5" s="98">
        <f t="shared" si="12"/>
        <v>173.54</v>
      </c>
      <c r="LF5" s="98">
        <f t="shared" si="12"/>
        <v>172.77</v>
      </c>
      <c r="LG5" s="98">
        <f t="shared" si="12"/>
        <v>172</v>
      </c>
      <c r="LH5" s="98">
        <f t="shared" si="12"/>
        <v>171.22</v>
      </c>
      <c r="LI5" s="98">
        <f t="shared" si="12"/>
        <v>170.45</v>
      </c>
      <c r="LJ5" s="98">
        <f t="shared" si="12"/>
        <v>169.68</v>
      </c>
      <c r="LK5" s="98">
        <f t="shared" si="12"/>
        <v>168.91</v>
      </c>
      <c r="LL5" s="98">
        <f t="shared" si="12"/>
        <v>168.14</v>
      </c>
      <c r="LM5" s="98">
        <f t="shared" si="12"/>
        <v>167.38</v>
      </c>
      <c r="LN5" s="98">
        <f t="shared" si="12"/>
        <v>166.61</v>
      </c>
      <c r="LO5" s="98">
        <f t="shared" si="12"/>
        <v>165.85</v>
      </c>
      <c r="LP5" s="98">
        <f t="shared" si="12"/>
        <v>165.09</v>
      </c>
      <c r="LQ5" s="98">
        <f t="shared" si="12"/>
        <v>164.33</v>
      </c>
      <c r="LR5" s="98">
        <f t="shared" si="12"/>
        <v>163.57</v>
      </c>
      <c r="LS5" s="98">
        <f t="shared" si="12"/>
        <v>162.81</v>
      </c>
      <c r="LT5" s="98">
        <f t="shared" si="12"/>
        <v>162.06</v>
      </c>
      <c r="LU5" s="98">
        <f t="shared" si="12"/>
        <v>161.31</v>
      </c>
      <c r="LV5" s="98">
        <f t="shared" si="12"/>
        <v>160.55000000000001</v>
      </c>
      <c r="LW5" s="98">
        <f t="shared" si="12"/>
        <v>159.80000000000001</v>
      </c>
      <c r="LX5" s="98">
        <f t="shared" si="12"/>
        <v>159.05000000000001</v>
      </c>
      <c r="LY5" s="98">
        <f t="shared" si="12"/>
        <v>158.30000000000001</v>
      </c>
      <c r="LZ5" s="98">
        <f t="shared" si="12"/>
        <v>157.56</v>
      </c>
      <c r="MA5" s="98">
        <f t="shared" si="12"/>
        <v>156.81</v>
      </c>
      <c r="MB5" s="98">
        <f t="shared" si="12"/>
        <v>156.07</v>
      </c>
      <c r="MC5" s="98">
        <f t="shared" si="12"/>
        <v>155.33000000000001</v>
      </c>
      <c r="MD5" s="98">
        <f t="shared" si="12"/>
        <v>154.59</v>
      </c>
      <c r="ME5" s="98">
        <f t="shared" si="12"/>
        <v>153.86000000000001</v>
      </c>
      <c r="MF5" s="98">
        <f t="shared" si="12"/>
        <v>153.12</v>
      </c>
      <c r="MG5" s="98">
        <f t="shared" si="12"/>
        <v>152.38999999999999</v>
      </c>
      <c r="MH5" s="98">
        <f t="shared" si="12"/>
        <v>151.65</v>
      </c>
      <c r="MI5" s="98">
        <f t="shared" si="12"/>
        <v>150.91999999999999</v>
      </c>
      <c r="MJ5" s="98">
        <f t="shared" si="12"/>
        <v>150.19</v>
      </c>
      <c r="MK5" s="98">
        <f t="shared" si="12"/>
        <v>149.46</v>
      </c>
      <c r="ML5" s="98">
        <f t="shared" si="12"/>
        <v>148.74</v>
      </c>
      <c r="MM5" s="98">
        <f t="shared" si="12"/>
        <v>148.01</v>
      </c>
      <c r="MN5" s="98">
        <f t="shared" si="12"/>
        <v>147.29</v>
      </c>
      <c r="MO5" s="98">
        <f t="shared" si="12"/>
        <v>146.57</v>
      </c>
      <c r="MP5" s="98">
        <f t="shared" si="12"/>
        <v>145.85</v>
      </c>
      <c r="MQ5" s="98">
        <f t="shared" si="12"/>
        <v>145.13999999999999</v>
      </c>
      <c r="MR5" s="98">
        <f t="shared" si="12"/>
        <v>144.41999999999999</v>
      </c>
      <c r="MS5" s="98">
        <f t="shared" si="12"/>
        <v>143.71</v>
      </c>
      <c r="MT5" s="98">
        <f t="shared" si="12"/>
        <v>142.99</v>
      </c>
      <c r="MU5" s="98">
        <f t="shared" si="12"/>
        <v>142.28</v>
      </c>
      <c r="MV5" s="98">
        <f t="shared" si="12"/>
        <v>141.57</v>
      </c>
      <c r="MW5" s="98">
        <f t="shared" si="12"/>
        <v>140.87</v>
      </c>
      <c r="MX5" s="98">
        <f t="shared" si="12"/>
        <v>140.16</v>
      </c>
      <c r="MY5" s="98">
        <f t="shared" si="12"/>
        <v>139.46</v>
      </c>
    </row>
    <row r="6" spans="1:363" ht="15.75" x14ac:dyDescent="0.25">
      <c r="A6" s="90" t="s">
        <v>6</v>
      </c>
      <c r="B6" s="95">
        <v>2016</v>
      </c>
      <c r="C6" s="93">
        <v>474.02</v>
      </c>
      <c r="D6" s="93">
        <v>472.98</v>
      </c>
      <c r="E6" s="93">
        <v>471.94</v>
      </c>
      <c r="F6" s="93">
        <v>470.9</v>
      </c>
      <c r="G6" s="93">
        <v>469.86</v>
      </c>
      <c r="H6" s="93">
        <v>468.82</v>
      </c>
      <c r="I6" s="93">
        <v>467.78</v>
      </c>
      <c r="J6" s="93">
        <v>466.74</v>
      </c>
      <c r="K6" s="93">
        <v>465.7</v>
      </c>
      <c r="L6" s="93">
        <v>464.66</v>
      </c>
      <c r="M6" s="93">
        <v>463.62</v>
      </c>
      <c r="N6" s="93">
        <v>462.58</v>
      </c>
      <c r="O6" s="93">
        <v>461.54</v>
      </c>
      <c r="P6" s="93">
        <v>460.5</v>
      </c>
      <c r="Q6" s="93">
        <v>459.47</v>
      </c>
      <c r="R6" s="93">
        <v>458.43</v>
      </c>
      <c r="S6" s="93">
        <v>457.39</v>
      </c>
      <c r="T6" s="93">
        <v>456.35</v>
      </c>
      <c r="U6" s="93">
        <v>455.31</v>
      </c>
      <c r="V6" s="93">
        <v>454.27</v>
      </c>
      <c r="W6" s="93">
        <v>453.24</v>
      </c>
      <c r="X6" s="93">
        <v>452.2</v>
      </c>
      <c r="Y6" s="93">
        <v>451.16</v>
      </c>
      <c r="Z6" s="93">
        <v>450.12</v>
      </c>
      <c r="AA6" s="93">
        <v>449.08</v>
      </c>
      <c r="AB6" s="93">
        <v>448.05</v>
      </c>
      <c r="AC6" s="93">
        <v>447.01</v>
      </c>
      <c r="AD6" s="93">
        <v>445.97</v>
      </c>
      <c r="AE6" s="93">
        <v>444.93</v>
      </c>
      <c r="AF6" s="93">
        <v>443.9</v>
      </c>
      <c r="AG6" s="93">
        <v>442.86</v>
      </c>
      <c r="AH6" s="93">
        <v>441.82</v>
      </c>
      <c r="AI6" s="93">
        <v>440.79</v>
      </c>
      <c r="AJ6" s="93">
        <v>439.75</v>
      </c>
      <c r="AK6" s="93">
        <v>438.71</v>
      </c>
      <c r="AL6" s="93">
        <v>437.68</v>
      </c>
      <c r="AM6" s="93">
        <v>436.64</v>
      </c>
      <c r="AN6" s="93">
        <v>435.6</v>
      </c>
      <c r="AO6" s="93">
        <v>434.57</v>
      </c>
      <c r="AP6" s="93">
        <v>433.53</v>
      </c>
      <c r="AQ6" s="93">
        <v>432.5</v>
      </c>
      <c r="AR6" s="93">
        <v>431.46</v>
      </c>
      <c r="AS6" s="93">
        <v>430.42</v>
      </c>
      <c r="AT6" s="93">
        <v>429.39</v>
      </c>
      <c r="AU6" s="93">
        <v>428.35</v>
      </c>
      <c r="AV6" s="93">
        <v>427.32</v>
      </c>
      <c r="AW6" s="93">
        <v>426.28</v>
      </c>
      <c r="AX6" s="93">
        <v>425.25</v>
      </c>
      <c r="AY6" s="93">
        <v>424.21</v>
      </c>
      <c r="AZ6" s="93">
        <v>423.18</v>
      </c>
      <c r="BA6" s="93">
        <v>422.14</v>
      </c>
      <c r="BB6" s="93">
        <v>421.11</v>
      </c>
      <c r="BC6" s="93">
        <v>420.07</v>
      </c>
      <c r="BD6" s="93">
        <v>419.04</v>
      </c>
      <c r="BE6" s="93">
        <v>418.01</v>
      </c>
      <c r="BF6" s="93">
        <v>416.97</v>
      </c>
      <c r="BG6" s="93">
        <v>415.94</v>
      </c>
      <c r="BH6" s="93">
        <v>414.9</v>
      </c>
      <c r="BI6" s="93">
        <v>413.87</v>
      </c>
      <c r="BJ6" s="93">
        <v>412.84</v>
      </c>
      <c r="BK6" s="93">
        <v>411.8</v>
      </c>
      <c r="BL6" s="93">
        <v>410.77</v>
      </c>
      <c r="BM6" s="93">
        <v>409.74</v>
      </c>
      <c r="BN6" s="93">
        <v>408.7</v>
      </c>
      <c r="BO6" s="93">
        <v>407.67</v>
      </c>
      <c r="BP6" s="93">
        <v>406.64</v>
      </c>
      <c r="BQ6" s="93">
        <v>405.6</v>
      </c>
      <c r="BR6" s="93">
        <v>404.57</v>
      </c>
      <c r="BS6" s="93">
        <v>403.54</v>
      </c>
      <c r="BT6" s="93">
        <v>402.5</v>
      </c>
      <c r="BU6" s="93">
        <v>401.47</v>
      </c>
      <c r="BV6" s="93">
        <v>400.44</v>
      </c>
      <c r="BW6" s="93">
        <v>399.41</v>
      </c>
      <c r="BX6" s="93">
        <v>398.38</v>
      </c>
      <c r="BY6" s="93">
        <v>397.35</v>
      </c>
      <c r="BZ6" s="93">
        <v>396.32</v>
      </c>
      <c r="CA6" s="93">
        <v>395.3</v>
      </c>
      <c r="CB6" s="93">
        <v>394.27</v>
      </c>
      <c r="CC6" s="93">
        <v>393.24</v>
      </c>
      <c r="CD6" s="93">
        <v>392.22</v>
      </c>
      <c r="CE6" s="93">
        <v>391.19</v>
      </c>
      <c r="CF6" s="93">
        <v>390.16</v>
      </c>
      <c r="CG6" s="93">
        <v>389.14</v>
      </c>
      <c r="CH6" s="93">
        <v>388.11</v>
      </c>
      <c r="CI6" s="93">
        <v>387.08</v>
      </c>
      <c r="CJ6" s="93">
        <v>386.06</v>
      </c>
      <c r="CK6" s="93">
        <v>385.03</v>
      </c>
      <c r="CL6" s="93">
        <v>384.01</v>
      </c>
      <c r="CM6" s="93">
        <v>382.99</v>
      </c>
      <c r="CN6" s="93">
        <v>381.96</v>
      </c>
      <c r="CO6" s="93">
        <v>380.94</v>
      </c>
      <c r="CP6" s="93">
        <v>379.91</v>
      </c>
      <c r="CQ6" s="93">
        <v>378.89</v>
      </c>
      <c r="CR6" s="93">
        <v>377.86</v>
      </c>
      <c r="CS6" s="93">
        <v>376.84</v>
      </c>
      <c r="CT6" s="93">
        <v>375.82</v>
      </c>
      <c r="CU6" s="93">
        <v>374.79</v>
      </c>
      <c r="CV6" s="93">
        <v>373.77</v>
      </c>
      <c r="CW6" s="93">
        <v>372.75</v>
      </c>
      <c r="CX6" s="93">
        <v>371.73</v>
      </c>
      <c r="CY6" s="93">
        <v>370.71</v>
      </c>
      <c r="CZ6" s="93">
        <v>369.69</v>
      </c>
      <c r="DA6" s="93">
        <v>368.67</v>
      </c>
      <c r="DB6" s="93">
        <v>367.65</v>
      </c>
      <c r="DC6" s="93">
        <v>366.63</v>
      </c>
      <c r="DD6" s="93">
        <v>365.61</v>
      </c>
      <c r="DE6" s="93">
        <v>364.59</v>
      </c>
      <c r="DF6" s="93">
        <v>363.57</v>
      </c>
      <c r="DG6" s="93">
        <v>362.55</v>
      </c>
      <c r="DH6" s="93">
        <v>361.53</v>
      </c>
      <c r="DI6" s="93">
        <v>360.52</v>
      </c>
      <c r="DJ6" s="93">
        <v>359.5</v>
      </c>
      <c r="DK6" s="93">
        <v>358.48</v>
      </c>
      <c r="DL6" s="93">
        <v>357.47</v>
      </c>
      <c r="DM6" s="93">
        <v>356.45</v>
      </c>
      <c r="DN6" s="93">
        <v>355.43</v>
      </c>
      <c r="DO6" s="93">
        <v>354.42</v>
      </c>
      <c r="DP6" s="93">
        <v>353.4</v>
      </c>
      <c r="DQ6" s="93">
        <v>352.39</v>
      </c>
      <c r="DR6" s="93">
        <v>351.38</v>
      </c>
      <c r="DS6" s="93">
        <v>350.36</v>
      </c>
      <c r="DT6" s="93">
        <v>349.35</v>
      </c>
      <c r="DU6" s="93">
        <v>348.34</v>
      </c>
      <c r="DV6" s="93">
        <v>347.33</v>
      </c>
      <c r="DW6" s="93">
        <v>346.32</v>
      </c>
      <c r="DX6" s="93">
        <v>345.32</v>
      </c>
      <c r="DY6" s="93">
        <v>344.31</v>
      </c>
      <c r="DZ6" s="93">
        <v>343.3</v>
      </c>
      <c r="EA6" s="93">
        <v>342.29</v>
      </c>
      <c r="EB6" s="93">
        <v>341.29</v>
      </c>
      <c r="EC6" s="93">
        <v>340.28</v>
      </c>
      <c r="ED6" s="93">
        <v>339.28</v>
      </c>
      <c r="EE6" s="93">
        <v>338.28</v>
      </c>
      <c r="EF6" s="93">
        <v>337.28</v>
      </c>
      <c r="EG6" s="93">
        <v>336.28</v>
      </c>
      <c r="EH6" s="93">
        <v>335.28</v>
      </c>
      <c r="EI6" s="93">
        <v>334.28</v>
      </c>
      <c r="EJ6" s="93">
        <v>333.29</v>
      </c>
      <c r="EK6" s="93">
        <v>332.29</v>
      </c>
      <c r="EL6" s="93">
        <v>331.3</v>
      </c>
      <c r="EM6" s="93">
        <v>330.3</v>
      </c>
      <c r="EN6" s="93">
        <v>329.31</v>
      </c>
      <c r="EO6" s="93">
        <v>328.31</v>
      </c>
      <c r="EP6" s="93">
        <v>327.32</v>
      </c>
      <c r="EQ6" s="93">
        <v>326.32</v>
      </c>
      <c r="ER6" s="93">
        <v>325.33999999999997</v>
      </c>
      <c r="ES6" s="93">
        <v>324.35000000000002</v>
      </c>
      <c r="ET6" s="93">
        <v>323.35000000000002</v>
      </c>
      <c r="EU6" s="93">
        <v>322.37</v>
      </c>
      <c r="EV6" s="93">
        <v>321.39</v>
      </c>
      <c r="EW6" s="93">
        <v>320.39999999999998</v>
      </c>
      <c r="EX6" s="93">
        <v>319.41000000000003</v>
      </c>
      <c r="EY6" s="93">
        <v>318.43</v>
      </c>
      <c r="EZ6" s="93">
        <v>317.44</v>
      </c>
      <c r="FA6" s="93">
        <v>316.45999999999998</v>
      </c>
      <c r="FB6" s="93">
        <v>315.47000000000003</v>
      </c>
      <c r="FC6" s="93">
        <v>314.49</v>
      </c>
      <c r="FD6" s="93">
        <v>313.51</v>
      </c>
      <c r="FE6" s="93">
        <v>312.52999999999997</v>
      </c>
      <c r="FF6" s="93">
        <v>311.54000000000002</v>
      </c>
      <c r="FG6" s="93">
        <v>310.57</v>
      </c>
      <c r="FH6" s="93">
        <v>309.60000000000002</v>
      </c>
      <c r="FI6" s="93">
        <v>308.62</v>
      </c>
      <c r="FJ6" s="93">
        <v>307.64999999999998</v>
      </c>
      <c r="FK6" s="93">
        <v>306.67</v>
      </c>
      <c r="FL6" s="93">
        <v>305.7</v>
      </c>
      <c r="FM6" s="93">
        <v>304.72000000000003</v>
      </c>
      <c r="FN6" s="93">
        <v>303.75</v>
      </c>
      <c r="FO6" s="93">
        <v>302.77999999999997</v>
      </c>
      <c r="FP6" s="93">
        <v>301.81</v>
      </c>
      <c r="FQ6" s="93">
        <v>300.83999999999997</v>
      </c>
      <c r="FR6" s="93">
        <v>299.87</v>
      </c>
      <c r="FS6" s="93">
        <v>298.89999999999998</v>
      </c>
      <c r="FT6" s="93">
        <v>297.94</v>
      </c>
      <c r="FU6" s="93">
        <v>296.97000000000003</v>
      </c>
      <c r="FV6" s="93">
        <v>296</v>
      </c>
      <c r="FW6" s="93">
        <v>295.04000000000002</v>
      </c>
      <c r="FX6" s="93">
        <v>294.07</v>
      </c>
      <c r="FY6" s="93">
        <v>293.10000000000002</v>
      </c>
      <c r="FZ6" s="93">
        <v>292.14999999999998</v>
      </c>
      <c r="GA6" s="93">
        <v>291.19</v>
      </c>
      <c r="GB6" s="93">
        <v>290.23</v>
      </c>
      <c r="GC6" s="93">
        <v>289.26</v>
      </c>
      <c r="GD6" s="93">
        <v>288.31</v>
      </c>
      <c r="GE6" s="93">
        <v>287.35000000000002</v>
      </c>
      <c r="GF6" s="93">
        <v>286.39999999999998</v>
      </c>
      <c r="GG6" s="93">
        <v>285.45</v>
      </c>
      <c r="GH6" s="93">
        <v>284.49</v>
      </c>
      <c r="GI6" s="93">
        <v>283.54000000000002</v>
      </c>
      <c r="GJ6" s="93">
        <v>282.58999999999997</v>
      </c>
      <c r="GK6" s="93">
        <v>281.63</v>
      </c>
      <c r="GL6" s="93">
        <v>280.68</v>
      </c>
      <c r="GM6" s="93">
        <v>279.73</v>
      </c>
      <c r="GN6" s="93">
        <v>278.79000000000002</v>
      </c>
      <c r="GO6" s="93">
        <v>277.85000000000002</v>
      </c>
      <c r="GP6" s="93">
        <v>276.89999999999998</v>
      </c>
      <c r="GQ6" s="93">
        <v>275.95999999999998</v>
      </c>
      <c r="GR6" s="93">
        <v>275.01</v>
      </c>
      <c r="GS6" s="93">
        <v>274.07</v>
      </c>
      <c r="GT6" s="93">
        <v>273.14</v>
      </c>
      <c r="GU6" s="93">
        <v>272.2</v>
      </c>
      <c r="GV6" s="93">
        <v>271.26</v>
      </c>
      <c r="GW6" s="93">
        <v>270.32</v>
      </c>
      <c r="GX6" s="93">
        <v>269.39999999999998</v>
      </c>
      <c r="GY6" s="93">
        <v>268.45999999999998</v>
      </c>
      <c r="GZ6" s="93">
        <v>267.52999999999997</v>
      </c>
      <c r="HA6" s="93">
        <v>266.60000000000002</v>
      </c>
      <c r="HB6" s="93">
        <v>265.67</v>
      </c>
      <c r="HC6" s="93">
        <v>264.75</v>
      </c>
      <c r="HD6" s="93">
        <v>263.82</v>
      </c>
      <c r="HE6" s="93">
        <v>262.89</v>
      </c>
      <c r="HF6" s="93">
        <v>261.97000000000003</v>
      </c>
      <c r="HG6" s="93">
        <v>261.04000000000002</v>
      </c>
      <c r="HH6" s="93">
        <v>260.12</v>
      </c>
      <c r="HI6" s="93">
        <v>259.2</v>
      </c>
      <c r="HJ6" s="93">
        <v>258.27999999999997</v>
      </c>
      <c r="HK6" s="93">
        <v>257.35000000000002</v>
      </c>
      <c r="HL6" s="93">
        <v>256.45</v>
      </c>
      <c r="HM6" s="93">
        <v>255.54</v>
      </c>
      <c r="HN6" s="93">
        <v>254.63</v>
      </c>
      <c r="HO6" s="93">
        <v>253.72</v>
      </c>
      <c r="HP6" s="93">
        <v>252.81</v>
      </c>
      <c r="HQ6" s="93">
        <v>251.91</v>
      </c>
      <c r="HR6" s="93">
        <v>251</v>
      </c>
      <c r="HS6" s="93">
        <v>250.1</v>
      </c>
      <c r="HT6" s="93">
        <v>249.19</v>
      </c>
      <c r="HU6" s="93">
        <v>248.29</v>
      </c>
      <c r="HV6" s="93">
        <v>247.39</v>
      </c>
      <c r="HW6" s="93">
        <v>246.49</v>
      </c>
      <c r="HX6" s="93">
        <v>245.59</v>
      </c>
      <c r="HY6" s="93">
        <v>244.7</v>
      </c>
      <c r="HZ6" s="93">
        <v>243.8</v>
      </c>
      <c r="IA6" s="93">
        <v>242.91</v>
      </c>
      <c r="IB6" s="93">
        <v>242.02</v>
      </c>
      <c r="IC6" s="93">
        <v>241.12</v>
      </c>
      <c r="ID6" s="93">
        <v>240.23</v>
      </c>
      <c r="IE6" s="93">
        <v>239.34</v>
      </c>
      <c r="IF6" s="93">
        <v>238.46</v>
      </c>
      <c r="IG6" s="93">
        <v>237.57</v>
      </c>
      <c r="IH6" s="93">
        <v>236.68</v>
      </c>
      <c r="II6" s="93">
        <v>235.8</v>
      </c>
      <c r="IJ6" s="93">
        <v>234.91</v>
      </c>
      <c r="IK6" s="93">
        <v>234.03</v>
      </c>
      <c r="IL6" s="93">
        <v>233.15</v>
      </c>
      <c r="IM6" s="93">
        <v>232.28</v>
      </c>
      <c r="IN6" s="93">
        <v>231.4</v>
      </c>
      <c r="IO6" s="93">
        <v>230.52</v>
      </c>
      <c r="IP6" s="93">
        <v>229.65</v>
      </c>
      <c r="IQ6" s="93">
        <v>228.78</v>
      </c>
      <c r="IR6" s="93">
        <v>227.9</v>
      </c>
      <c r="IS6" s="93">
        <v>227.03</v>
      </c>
      <c r="IT6" s="93">
        <v>226.17</v>
      </c>
      <c r="IU6" s="93">
        <v>225.3</v>
      </c>
      <c r="IV6" s="93">
        <v>224.44</v>
      </c>
      <c r="IW6" s="93">
        <v>223.58</v>
      </c>
      <c r="IX6" s="93">
        <v>222.72</v>
      </c>
      <c r="IY6" s="93">
        <v>221.86</v>
      </c>
      <c r="IZ6" s="93">
        <v>221.01</v>
      </c>
      <c r="JA6" s="93">
        <v>220.15</v>
      </c>
      <c r="JB6" s="93">
        <v>219.3</v>
      </c>
      <c r="JC6" s="93">
        <v>218.45</v>
      </c>
      <c r="JD6" s="93">
        <v>217.6</v>
      </c>
      <c r="JE6" s="93">
        <v>216.75</v>
      </c>
      <c r="JF6" s="93">
        <v>215.9</v>
      </c>
      <c r="JG6" s="93">
        <v>215.05</v>
      </c>
      <c r="JH6" s="93">
        <v>214.21</v>
      </c>
      <c r="JI6" s="93">
        <v>213.37</v>
      </c>
      <c r="JJ6" s="93">
        <v>212.52</v>
      </c>
      <c r="JK6" s="93">
        <v>211.68</v>
      </c>
      <c r="JL6" s="93">
        <v>210.84</v>
      </c>
      <c r="JM6" s="93">
        <v>210.01</v>
      </c>
      <c r="JN6" s="93">
        <v>209.17</v>
      </c>
      <c r="JO6" s="93">
        <v>208.33</v>
      </c>
      <c r="JP6" s="93">
        <v>207.5</v>
      </c>
      <c r="JQ6" s="93">
        <v>206.66</v>
      </c>
      <c r="JR6" s="93">
        <v>205.83</v>
      </c>
      <c r="JS6" s="93">
        <v>205</v>
      </c>
      <c r="JT6" s="93">
        <v>204.17</v>
      </c>
      <c r="JU6" s="93">
        <v>203.34</v>
      </c>
      <c r="JV6" s="93">
        <v>202.51</v>
      </c>
      <c r="JW6" s="93">
        <v>201.68</v>
      </c>
      <c r="JX6" s="93">
        <v>200.85</v>
      </c>
      <c r="JY6" s="93">
        <v>200.02</v>
      </c>
      <c r="JZ6" s="93">
        <v>199.2</v>
      </c>
      <c r="KA6" s="93">
        <v>198.38</v>
      </c>
      <c r="KB6" s="93">
        <v>197.55</v>
      </c>
      <c r="KC6" s="93">
        <v>196.73</v>
      </c>
      <c r="KD6" s="93">
        <v>195.91</v>
      </c>
      <c r="KE6" s="93">
        <v>195.09</v>
      </c>
      <c r="KF6" s="93">
        <v>194.27</v>
      </c>
      <c r="KG6" s="93">
        <v>193.46</v>
      </c>
      <c r="KH6" s="93">
        <v>192.64</v>
      </c>
      <c r="KI6" s="93">
        <v>191.83</v>
      </c>
      <c r="KJ6" s="93">
        <v>191.01</v>
      </c>
      <c r="KK6" s="93">
        <v>190.2</v>
      </c>
      <c r="KL6" s="93">
        <v>189.39</v>
      </c>
      <c r="KM6" s="93">
        <v>188.58</v>
      </c>
      <c r="KN6" s="93">
        <v>187.78</v>
      </c>
      <c r="KO6" s="93">
        <v>186.97</v>
      </c>
      <c r="KP6" s="93">
        <v>186.17</v>
      </c>
      <c r="KQ6" s="93">
        <v>185.36</v>
      </c>
      <c r="KR6" s="98">
        <f t="shared" si="13"/>
        <v>184.52</v>
      </c>
      <c r="KS6" s="98">
        <f t="shared" si="14"/>
        <v>183.73</v>
      </c>
      <c r="KT6" s="98">
        <f t="shared" si="15"/>
        <v>182.91</v>
      </c>
      <c r="KU6" s="98">
        <f t="shared" si="12"/>
        <v>182.12</v>
      </c>
      <c r="KV6" s="98">
        <f t="shared" si="12"/>
        <v>181.34</v>
      </c>
      <c r="KW6" s="98">
        <f t="shared" si="12"/>
        <v>180.55</v>
      </c>
      <c r="KX6" s="98">
        <f t="shared" si="12"/>
        <v>179.76</v>
      </c>
      <c r="KY6" s="98">
        <f t="shared" si="12"/>
        <v>178.98</v>
      </c>
      <c r="KZ6" s="98">
        <f t="shared" si="12"/>
        <v>178.19</v>
      </c>
      <c r="LA6" s="98">
        <f t="shared" si="12"/>
        <v>177.41</v>
      </c>
      <c r="LB6" s="98">
        <f t="shared" si="12"/>
        <v>176.63</v>
      </c>
      <c r="LC6" s="98">
        <f t="shared" si="12"/>
        <v>175.85</v>
      </c>
      <c r="LD6" s="98">
        <f t="shared" si="12"/>
        <v>175.07</v>
      </c>
      <c r="LE6" s="98">
        <f t="shared" si="12"/>
        <v>174.29</v>
      </c>
      <c r="LF6" s="98">
        <f t="shared" si="12"/>
        <v>173.52</v>
      </c>
      <c r="LG6" s="98">
        <f t="shared" si="12"/>
        <v>172.75</v>
      </c>
      <c r="LH6" s="98">
        <f t="shared" si="12"/>
        <v>171.97</v>
      </c>
      <c r="LI6" s="98">
        <f t="shared" si="12"/>
        <v>171.2</v>
      </c>
      <c r="LJ6" s="98">
        <f t="shared" si="12"/>
        <v>170.43</v>
      </c>
      <c r="LK6" s="98">
        <f t="shared" si="12"/>
        <v>169.66</v>
      </c>
      <c r="LL6" s="98">
        <f t="shared" si="12"/>
        <v>168.89</v>
      </c>
      <c r="LM6" s="98">
        <f t="shared" si="12"/>
        <v>168.13</v>
      </c>
      <c r="LN6" s="98">
        <f t="shared" si="12"/>
        <v>167.36</v>
      </c>
      <c r="LO6" s="98">
        <f t="shared" si="12"/>
        <v>166.6</v>
      </c>
      <c r="LP6" s="98">
        <f t="shared" si="12"/>
        <v>165.84</v>
      </c>
      <c r="LQ6" s="98">
        <f t="shared" si="12"/>
        <v>165.08</v>
      </c>
      <c r="LR6" s="98">
        <f t="shared" si="12"/>
        <v>164.32</v>
      </c>
      <c r="LS6" s="98">
        <f t="shared" si="12"/>
        <v>163.56</v>
      </c>
      <c r="LT6" s="98">
        <f t="shared" si="12"/>
        <v>162.81</v>
      </c>
      <c r="LU6" s="98">
        <f t="shared" si="12"/>
        <v>162.06</v>
      </c>
      <c r="LV6" s="98">
        <f t="shared" si="12"/>
        <v>161.30000000000001</v>
      </c>
      <c r="LW6" s="98">
        <f t="shared" si="12"/>
        <v>160.55000000000001</v>
      </c>
      <c r="LX6" s="98">
        <f t="shared" si="12"/>
        <v>159.80000000000001</v>
      </c>
      <c r="LY6" s="98">
        <f t="shared" si="12"/>
        <v>159.05000000000001</v>
      </c>
      <c r="LZ6" s="98">
        <f t="shared" si="12"/>
        <v>158.31</v>
      </c>
      <c r="MA6" s="98">
        <f t="shared" si="12"/>
        <v>157.56</v>
      </c>
      <c r="MB6" s="98">
        <f t="shared" si="12"/>
        <v>156.82</v>
      </c>
      <c r="MC6" s="98">
        <f t="shared" si="12"/>
        <v>156.08000000000001</v>
      </c>
      <c r="MD6" s="98">
        <f t="shared" si="12"/>
        <v>155.34</v>
      </c>
      <c r="ME6" s="98">
        <f t="shared" si="12"/>
        <v>154.61000000000001</v>
      </c>
      <c r="MF6" s="98">
        <f t="shared" si="12"/>
        <v>153.87</v>
      </c>
      <c r="MG6" s="98">
        <f t="shared" si="12"/>
        <v>153.13999999999999</v>
      </c>
      <c r="MH6" s="98">
        <f t="shared" si="12"/>
        <v>152.4</v>
      </c>
      <c r="MI6" s="98">
        <f t="shared" si="12"/>
        <v>151.66999999999999</v>
      </c>
      <c r="MJ6" s="98">
        <f t="shared" si="12"/>
        <v>150.94</v>
      </c>
      <c r="MK6" s="98">
        <f t="shared" si="12"/>
        <v>150.21</v>
      </c>
      <c r="ML6" s="98">
        <f t="shared" si="12"/>
        <v>149.49</v>
      </c>
      <c r="MM6" s="98">
        <f t="shared" si="12"/>
        <v>148.76</v>
      </c>
      <c r="MN6" s="98">
        <f t="shared" si="12"/>
        <v>148.04</v>
      </c>
      <c r="MO6" s="98">
        <f t="shared" si="12"/>
        <v>147.32</v>
      </c>
      <c r="MP6" s="98">
        <f t="shared" si="12"/>
        <v>146.6</v>
      </c>
      <c r="MQ6" s="98">
        <f t="shared" si="12"/>
        <v>145.88999999999999</v>
      </c>
      <c r="MR6" s="98">
        <f t="shared" si="12"/>
        <v>145.16999999999999</v>
      </c>
      <c r="MS6" s="98">
        <f t="shared" si="12"/>
        <v>144.46</v>
      </c>
      <c r="MT6" s="98">
        <f t="shared" si="12"/>
        <v>143.74</v>
      </c>
      <c r="MU6" s="98">
        <f t="shared" si="12"/>
        <v>143.03</v>
      </c>
      <c r="MV6" s="98">
        <f t="shared" si="12"/>
        <v>142.32</v>
      </c>
      <c r="MW6" s="98">
        <f t="shared" si="12"/>
        <v>141.62</v>
      </c>
      <c r="MX6" s="98">
        <f t="shared" si="12"/>
        <v>140.91</v>
      </c>
      <c r="MY6" s="98">
        <f t="shared" si="12"/>
        <v>140.21</v>
      </c>
    </row>
    <row r="7" spans="1:363" ht="15.75" x14ac:dyDescent="0.25">
      <c r="A7" s="90" t="s">
        <v>6</v>
      </c>
      <c r="B7" s="95">
        <v>2017</v>
      </c>
      <c r="C7" s="93">
        <v>475.07</v>
      </c>
      <c r="D7" s="93">
        <v>474.03</v>
      </c>
      <c r="E7" s="93">
        <v>472.99</v>
      </c>
      <c r="F7" s="93">
        <v>471.95</v>
      </c>
      <c r="G7" s="93">
        <v>470.91</v>
      </c>
      <c r="H7" s="93">
        <v>469.87</v>
      </c>
      <c r="I7" s="93">
        <v>468.83</v>
      </c>
      <c r="J7" s="93">
        <v>467.79</v>
      </c>
      <c r="K7" s="93">
        <v>466.75</v>
      </c>
      <c r="L7" s="93">
        <v>465.71</v>
      </c>
      <c r="M7" s="93">
        <v>464.67</v>
      </c>
      <c r="N7" s="93">
        <v>463.63</v>
      </c>
      <c r="O7" s="93">
        <v>462.59</v>
      </c>
      <c r="P7" s="93">
        <v>461.55</v>
      </c>
      <c r="Q7" s="93">
        <v>460.51</v>
      </c>
      <c r="R7" s="93">
        <v>459.48</v>
      </c>
      <c r="S7" s="93">
        <v>458.44</v>
      </c>
      <c r="T7" s="93">
        <v>457.4</v>
      </c>
      <c r="U7" s="93">
        <v>456.36</v>
      </c>
      <c r="V7" s="93">
        <v>455.32</v>
      </c>
      <c r="W7" s="93">
        <v>454.28</v>
      </c>
      <c r="X7" s="93">
        <v>453.25</v>
      </c>
      <c r="Y7" s="93">
        <v>452.21</v>
      </c>
      <c r="Z7" s="93">
        <v>451.17</v>
      </c>
      <c r="AA7" s="93">
        <v>450.13</v>
      </c>
      <c r="AB7" s="93">
        <v>449.09</v>
      </c>
      <c r="AC7" s="93">
        <v>448.06</v>
      </c>
      <c r="AD7" s="93">
        <v>447.02</v>
      </c>
      <c r="AE7" s="93">
        <v>445.98</v>
      </c>
      <c r="AF7" s="93">
        <v>444.95</v>
      </c>
      <c r="AG7" s="93">
        <v>443.91</v>
      </c>
      <c r="AH7" s="93">
        <v>442.87</v>
      </c>
      <c r="AI7" s="93">
        <v>441.83</v>
      </c>
      <c r="AJ7" s="93">
        <v>440.8</v>
      </c>
      <c r="AK7" s="93">
        <v>439.76</v>
      </c>
      <c r="AL7" s="93">
        <v>438.72</v>
      </c>
      <c r="AM7" s="93">
        <v>437.69</v>
      </c>
      <c r="AN7" s="93">
        <v>436.65</v>
      </c>
      <c r="AO7" s="93">
        <v>435.61</v>
      </c>
      <c r="AP7" s="93">
        <v>434.58</v>
      </c>
      <c r="AQ7" s="93">
        <v>433.54</v>
      </c>
      <c r="AR7" s="93">
        <v>432.51</v>
      </c>
      <c r="AS7" s="93">
        <v>431.47</v>
      </c>
      <c r="AT7" s="93">
        <v>430.44</v>
      </c>
      <c r="AU7" s="93">
        <v>429.4</v>
      </c>
      <c r="AV7" s="93">
        <v>428.36</v>
      </c>
      <c r="AW7" s="93">
        <v>427.33</v>
      </c>
      <c r="AX7" s="93">
        <v>426.29</v>
      </c>
      <c r="AY7" s="93">
        <v>425.26</v>
      </c>
      <c r="AZ7" s="93">
        <v>424.22</v>
      </c>
      <c r="BA7" s="93">
        <v>423.19</v>
      </c>
      <c r="BB7" s="93">
        <v>422.16</v>
      </c>
      <c r="BC7" s="93">
        <v>421.12</v>
      </c>
      <c r="BD7" s="93">
        <v>420.09</v>
      </c>
      <c r="BE7" s="93">
        <v>419.05</v>
      </c>
      <c r="BF7" s="93">
        <v>418.02</v>
      </c>
      <c r="BG7" s="93">
        <v>416.98</v>
      </c>
      <c r="BH7" s="93">
        <v>415.95</v>
      </c>
      <c r="BI7" s="93">
        <v>414.92</v>
      </c>
      <c r="BJ7" s="93">
        <v>413.88</v>
      </c>
      <c r="BK7" s="93">
        <v>412.85</v>
      </c>
      <c r="BL7" s="93">
        <v>411.81</v>
      </c>
      <c r="BM7" s="93">
        <v>410.78</v>
      </c>
      <c r="BN7" s="93">
        <v>409.75</v>
      </c>
      <c r="BO7" s="93">
        <v>408.71</v>
      </c>
      <c r="BP7" s="93">
        <v>407.68</v>
      </c>
      <c r="BQ7" s="93">
        <v>406.64</v>
      </c>
      <c r="BR7" s="93">
        <v>405.61</v>
      </c>
      <c r="BS7" s="93">
        <v>404.58</v>
      </c>
      <c r="BT7" s="93">
        <v>403.55</v>
      </c>
      <c r="BU7" s="93">
        <v>402.51</v>
      </c>
      <c r="BV7" s="93">
        <v>401.48</v>
      </c>
      <c r="BW7" s="93">
        <v>400.45</v>
      </c>
      <c r="BX7" s="93">
        <v>399.42</v>
      </c>
      <c r="BY7" s="93">
        <v>398.39</v>
      </c>
      <c r="BZ7" s="93">
        <v>397.36</v>
      </c>
      <c r="CA7" s="93">
        <v>396.34</v>
      </c>
      <c r="CB7" s="93">
        <v>395.31</v>
      </c>
      <c r="CC7" s="93">
        <v>394.28</v>
      </c>
      <c r="CD7" s="93">
        <v>393.25</v>
      </c>
      <c r="CE7" s="93">
        <v>392.23</v>
      </c>
      <c r="CF7" s="93">
        <v>391.2</v>
      </c>
      <c r="CG7" s="93">
        <v>390.17</v>
      </c>
      <c r="CH7" s="93">
        <v>389.15</v>
      </c>
      <c r="CI7" s="93">
        <v>388.12</v>
      </c>
      <c r="CJ7" s="93">
        <v>387.1</v>
      </c>
      <c r="CK7" s="93">
        <v>386.07</v>
      </c>
      <c r="CL7" s="93">
        <v>385.04</v>
      </c>
      <c r="CM7" s="93">
        <v>384.02</v>
      </c>
      <c r="CN7" s="93">
        <v>382.99</v>
      </c>
      <c r="CO7" s="93">
        <v>381.97</v>
      </c>
      <c r="CP7" s="93">
        <v>380.94</v>
      </c>
      <c r="CQ7" s="93">
        <v>379.92</v>
      </c>
      <c r="CR7" s="93">
        <v>378.89</v>
      </c>
      <c r="CS7" s="93">
        <v>377.87</v>
      </c>
      <c r="CT7" s="93">
        <v>376.85</v>
      </c>
      <c r="CU7" s="93">
        <v>375.82</v>
      </c>
      <c r="CV7" s="93">
        <v>374.8</v>
      </c>
      <c r="CW7" s="93">
        <v>373.78</v>
      </c>
      <c r="CX7" s="93">
        <v>372.76</v>
      </c>
      <c r="CY7" s="93">
        <v>371.74</v>
      </c>
      <c r="CZ7" s="93">
        <v>370.71</v>
      </c>
      <c r="DA7" s="93">
        <v>369.69</v>
      </c>
      <c r="DB7" s="93">
        <v>368.67</v>
      </c>
      <c r="DC7" s="93">
        <v>367.65</v>
      </c>
      <c r="DD7" s="93">
        <v>366.63</v>
      </c>
      <c r="DE7" s="93">
        <v>365.61</v>
      </c>
      <c r="DF7" s="93">
        <v>364.59</v>
      </c>
      <c r="DG7" s="93">
        <v>363.57</v>
      </c>
      <c r="DH7" s="93">
        <v>362.55</v>
      </c>
      <c r="DI7" s="93">
        <v>361.54</v>
      </c>
      <c r="DJ7" s="93">
        <v>360.52</v>
      </c>
      <c r="DK7" s="93">
        <v>359.5</v>
      </c>
      <c r="DL7" s="93">
        <v>358.49</v>
      </c>
      <c r="DM7" s="93">
        <v>357.47</v>
      </c>
      <c r="DN7" s="93">
        <v>356.45</v>
      </c>
      <c r="DO7" s="93">
        <v>355.44</v>
      </c>
      <c r="DP7" s="93">
        <v>354.42</v>
      </c>
      <c r="DQ7" s="93">
        <v>353.41</v>
      </c>
      <c r="DR7" s="93">
        <v>352.39</v>
      </c>
      <c r="DS7" s="93">
        <v>351.38</v>
      </c>
      <c r="DT7" s="93">
        <v>350.37</v>
      </c>
      <c r="DU7" s="93">
        <v>349.35</v>
      </c>
      <c r="DV7" s="93">
        <v>348.34</v>
      </c>
      <c r="DW7" s="93">
        <v>347.34</v>
      </c>
      <c r="DX7" s="93">
        <v>346.33</v>
      </c>
      <c r="DY7" s="93">
        <v>345.32</v>
      </c>
      <c r="DZ7" s="93">
        <v>344.31</v>
      </c>
      <c r="EA7" s="93">
        <v>343.3</v>
      </c>
      <c r="EB7" s="93">
        <v>342.3</v>
      </c>
      <c r="EC7" s="93">
        <v>341.29</v>
      </c>
      <c r="ED7" s="93">
        <v>340.29</v>
      </c>
      <c r="EE7" s="93">
        <v>339.28</v>
      </c>
      <c r="EF7" s="93">
        <v>338.28</v>
      </c>
      <c r="EG7" s="93">
        <v>337.28</v>
      </c>
      <c r="EH7" s="93">
        <v>336.28</v>
      </c>
      <c r="EI7" s="93">
        <v>335.29</v>
      </c>
      <c r="EJ7" s="93">
        <v>334.29</v>
      </c>
      <c r="EK7" s="93">
        <v>333.29</v>
      </c>
      <c r="EL7" s="93">
        <v>332.3</v>
      </c>
      <c r="EM7" s="93">
        <v>331.3</v>
      </c>
      <c r="EN7" s="93">
        <v>330.31</v>
      </c>
      <c r="EO7" s="93">
        <v>329.31</v>
      </c>
      <c r="EP7" s="93">
        <v>328.32</v>
      </c>
      <c r="EQ7" s="93">
        <v>327.32</v>
      </c>
      <c r="ER7" s="93">
        <v>326.32</v>
      </c>
      <c r="ES7" s="93">
        <v>325.33999999999997</v>
      </c>
      <c r="ET7" s="93">
        <v>324.35000000000002</v>
      </c>
      <c r="EU7" s="93">
        <v>323.37</v>
      </c>
      <c r="EV7" s="93">
        <v>322.38</v>
      </c>
      <c r="EW7" s="93">
        <v>321.39</v>
      </c>
      <c r="EX7" s="93">
        <v>320.39999999999998</v>
      </c>
      <c r="EY7" s="93">
        <v>319.42</v>
      </c>
      <c r="EZ7" s="93">
        <v>318.43</v>
      </c>
      <c r="FA7" s="93">
        <v>317.44</v>
      </c>
      <c r="FB7" s="93">
        <v>316.45999999999998</v>
      </c>
      <c r="FC7" s="93">
        <v>315.48</v>
      </c>
      <c r="FD7" s="93">
        <v>314.5</v>
      </c>
      <c r="FE7" s="93">
        <v>313.51</v>
      </c>
      <c r="FF7" s="93">
        <v>312.54000000000002</v>
      </c>
      <c r="FG7" s="93">
        <v>311.56</v>
      </c>
      <c r="FH7" s="93">
        <v>310.57</v>
      </c>
      <c r="FI7" s="93">
        <v>309.60000000000002</v>
      </c>
      <c r="FJ7" s="93">
        <v>308.63</v>
      </c>
      <c r="FK7" s="93">
        <v>307.64999999999998</v>
      </c>
      <c r="FL7" s="93">
        <v>306.67</v>
      </c>
      <c r="FM7" s="93">
        <v>305.7</v>
      </c>
      <c r="FN7" s="93">
        <v>304.73</v>
      </c>
      <c r="FO7" s="93">
        <v>303.75</v>
      </c>
      <c r="FP7" s="93">
        <v>302.77999999999997</v>
      </c>
      <c r="FQ7" s="93">
        <v>301.81</v>
      </c>
      <c r="FR7" s="93">
        <v>300.83999999999997</v>
      </c>
      <c r="FS7" s="93">
        <v>299.87</v>
      </c>
      <c r="FT7" s="93">
        <v>298.91000000000003</v>
      </c>
      <c r="FU7" s="93">
        <v>297.94</v>
      </c>
      <c r="FV7" s="93">
        <v>296.97000000000003</v>
      </c>
      <c r="FW7" s="93">
        <v>296.01</v>
      </c>
      <c r="FX7" s="93">
        <v>295.04000000000002</v>
      </c>
      <c r="FY7" s="93">
        <v>294.07</v>
      </c>
      <c r="FZ7" s="93">
        <v>293.10000000000002</v>
      </c>
      <c r="GA7" s="93">
        <v>292.14999999999998</v>
      </c>
      <c r="GB7" s="93">
        <v>291.19</v>
      </c>
      <c r="GC7" s="93">
        <v>290.23</v>
      </c>
      <c r="GD7" s="93">
        <v>289.26</v>
      </c>
      <c r="GE7" s="93">
        <v>288.31</v>
      </c>
      <c r="GF7" s="93">
        <v>287.35000000000002</v>
      </c>
      <c r="GG7" s="93">
        <v>286.39999999999998</v>
      </c>
      <c r="GH7" s="93">
        <v>285.44</v>
      </c>
      <c r="GI7" s="93">
        <v>284.49</v>
      </c>
      <c r="GJ7" s="93">
        <v>283.54000000000002</v>
      </c>
      <c r="GK7" s="93">
        <v>282.57</v>
      </c>
      <c r="GL7" s="93">
        <v>281.63</v>
      </c>
      <c r="GM7" s="93">
        <v>280.68</v>
      </c>
      <c r="GN7" s="93">
        <v>279.74</v>
      </c>
      <c r="GO7" s="93">
        <v>278.79000000000002</v>
      </c>
      <c r="GP7" s="93">
        <v>277.85000000000002</v>
      </c>
      <c r="GQ7" s="93">
        <v>276.89999999999998</v>
      </c>
      <c r="GR7" s="93">
        <v>275.95999999999998</v>
      </c>
      <c r="GS7" s="93">
        <v>275.01</v>
      </c>
      <c r="GT7" s="93">
        <v>274.07</v>
      </c>
      <c r="GU7" s="93">
        <v>273.14</v>
      </c>
      <c r="GV7" s="93">
        <v>272.2</v>
      </c>
      <c r="GW7" s="93">
        <v>271.26</v>
      </c>
      <c r="GX7" s="93">
        <v>270.32</v>
      </c>
      <c r="GY7" s="93">
        <v>269.39999999999998</v>
      </c>
      <c r="GZ7" s="93">
        <v>268.45999999999998</v>
      </c>
      <c r="HA7" s="93">
        <v>267.52999999999997</v>
      </c>
      <c r="HB7" s="93">
        <v>266.60000000000002</v>
      </c>
      <c r="HC7" s="93">
        <v>265.67</v>
      </c>
      <c r="HD7" s="93">
        <v>264.74</v>
      </c>
      <c r="HE7" s="93">
        <v>263.82</v>
      </c>
      <c r="HF7" s="93">
        <v>262.89</v>
      </c>
      <c r="HG7" s="93">
        <v>261.97000000000003</v>
      </c>
      <c r="HH7" s="93">
        <v>261.04000000000002</v>
      </c>
      <c r="HI7" s="93">
        <v>260.12</v>
      </c>
      <c r="HJ7" s="93">
        <v>259.2</v>
      </c>
      <c r="HK7" s="93">
        <v>258.27999999999997</v>
      </c>
      <c r="HL7" s="93">
        <v>257.37</v>
      </c>
      <c r="HM7" s="93">
        <v>256.45</v>
      </c>
      <c r="HN7" s="93">
        <v>255.54</v>
      </c>
      <c r="HO7" s="93">
        <v>254.63</v>
      </c>
      <c r="HP7" s="93">
        <v>253.72</v>
      </c>
      <c r="HQ7" s="93">
        <v>252.82</v>
      </c>
      <c r="HR7" s="93">
        <v>251.91</v>
      </c>
      <c r="HS7" s="93">
        <v>251</v>
      </c>
      <c r="HT7" s="93">
        <v>250.1</v>
      </c>
      <c r="HU7" s="93">
        <v>249.19</v>
      </c>
      <c r="HV7" s="93">
        <v>248.29</v>
      </c>
      <c r="HW7" s="93">
        <v>247.39</v>
      </c>
      <c r="HX7" s="93">
        <v>246.49</v>
      </c>
      <c r="HY7" s="93">
        <v>245.59</v>
      </c>
      <c r="HZ7" s="93">
        <v>244.7</v>
      </c>
      <c r="IA7" s="93">
        <v>243.8</v>
      </c>
      <c r="IB7" s="93">
        <v>242.91</v>
      </c>
      <c r="IC7" s="93">
        <v>242.01</v>
      </c>
      <c r="ID7" s="93">
        <v>241.12</v>
      </c>
      <c r="IE7" s="93">
        <v>240.23</v>
      </c>
      <c r="IF7" s="93">
        <v>239.34</v>
      </c>
      <c r="IG7" s="93">
        <v>238.45</v>
      </c>
      <c r="IH7" s="93">
        <v>237.56</v>
      </c>
      <c r="II7" s="93">
        <v>236.68</v>
      </c>
      <c r="IJ7" s="93">
        <v>235.79</v>
      </c>
      <c r="IK7" s="93">
        <v>234.91</v>
      </c>
      <c r="IL7" s="93">
        <v>234.03</v>
      </c>
      <c r="IM7" s="93">
        <v>233.15</v>
      </c>
      <c r="IN7" s="93">
        <v>232.27</v>
      </c>
      <c r="IO7" s="93">
        <v>231.39</v>
      </c>
      <c r="IP7" s="93">
        <v>230.52</v>
      </c>
      <c r="IQ7" s="93">
        <v>229.64</v>
      </c>
      <c r="IR7" s="93">
        <v>228.77</v>
      </c>
      <c r="IS7" s="93">
        <v>227.9</v>
      </c>
      <c r="IT7" s="93">
        <v>227.03</v>
      </c>
      <c r="IU7" s="93">
        <v>226.16</v>
      </c>
      <c r="IV7" s="93">
        <v>225.3</v>
      </c>
      <c r="IW7" s="93">
        <v>224.43</v>
      </c>
      <c r="IX7" s="93">
        <v>223.57</v>
      </c>
      <c r="IY7" s="93">
        <v>222.72</v>
      </c>
      <c r="IZ7" s="93">
        <v>221.86</v>
      </c>
      <c r="JA7" s="93">
        <v>221</v>
      </c>
      <c r="JB7" s="93">
        <v>220.15</v>
      </c>
      <c r="JC7" s="93">
        <v>219.3</v>
      </c>
      <c r="JD7" s="93">
        <v>218.44</v>
      </c>
      <c r="JE7" s="93">
        <v>217.59</v>
      </c>
      <c r="JF7" s="93">
        <v>216.74</v>
      </c>
      <c r="JG7" s="93">
        <v>215.89</v>
      </c>
      <c r="JH7" s="93">
        <v>215.05</v>
      </c>
      <c r="JI7" s="93">
        <v>214.2</v>
      </c>
      <c r="JJ7" s="93">
        <v>213.36</v>
      </c>
      <c r="JK7" s="93">
        <v>212.52</v>
      </c>
      <c r="JL7" s="93">
        <v>211.68</v>
      </c>
      <c r="JM7" s="93">
        <v>210.83</v>
      </c>
      <c r="JN7" s="93">
        <v>210</v>
      </c>
      <c r="JO7" s="93">
        <v>209.16</v>
      </c>
      <c r="JP7" s="93">
        <v>208.32</v>
      </c>
      <c r="JQ7" s="93">
        <v>207.49</v>
      </c>
      <c r="JR7" s="93">
        <v>206.65</v>
      </c>
      <c r="JS7" s="93">
        <v>205.82</v>
      </c>
      <c r="JT7" s="93">
        <v>204.98</v>
      </c>
      <c r="JU7" s="93">
        <v>204.15</v>
      </c>
      <c r="JV7" s="93">
        <v>203.32</v>
      </c>
      <c r="JW7" s="93">
        <v>202.49</v>
      </c>
      <c r="JX7" s="93">
        <v>201.66</v>
      </c>
      <c r="JY7" s="93">
        <v>200.83</v>
      </c>
      <c r="JZ7" s="93">
        <v>200</v>
      </c>
      <c r="KA7" s="93">
        <v>199.18</v>
      </c>
      <c r="KB7" s="93">
        <v>198.35</v>
      </c>
      <c r="KC7" s="93">
        <v>197.53</v>
      </c>
      <c r="KD7" s="93">
        <v>196.7</v>
      </c>
      <c r="KE7" s="93">
        <v>195.88</v>
      </c>
      <c r="KF7" s="93">
        <v>195.06</v>
      </c>
      <c r="KG7" s="93">
        <v>194.24</v>
      </c>
      <c r="KH7" s="93">
        <v>193.43</v>
      </c>
      <c r="KI7" s="93">
        <v>192.61</v>
      </c>
      <c r="KJ7" s="93">
        <v>191.8</v>
      </c>
      <c r="KK7" s="93">
        <v>190.98</v>
      </c>
      <c r="KL7" s="93">
        <v>190.17</v>
      </c>
      <c r="KM7" s="93">
        <v>189.36</v>
      </c>
      <c r="KN7" s="93">
        <v>188.55</v>
      </c>
      <c r="KO7" s="93">
        <v>187.74</v>
      </c>
      <c r="KP7" s="93">
        <v>186.93</v>
      </c>
      <c r="KQ7" s="93">
        <v>186.13</v>
      </c>
      <c r="KR7" s="98">
        <f t="shared" si="13"/>
        <v>185.27</v>
      </c>
      <c r="KS7" s="98">
        <f t="shared" si="14"/>
        <v>184.48</v>
      </c>
      <c r="KT7" s="98">
        <f t="shared" si="15"/>
        <v>183.66</v>
      </c>
      <c r="KU7" s="98">
        <f t="shared" si="12"/>
        <v>182.87</v>
      </c>
      <c r="KV7" s="98">
        <f t="shared" si="12"/>
        <v>182.09</v>
      </c>
      <c r="KW7" s="98">
        <f t="shared" si="12"/>
        <v>181.3</v>
      </c>
      <c r="KX7" s="98">
        <f t="shared" si="12"/>
        <v>180.51</v>
      </c>
      <c r="KY7" s="98">
        <f t="shared" si="12"/>
        <v>179.73</v>
      </c>
      <c r="KZ7" s="98">
        <f t="shared" si="12"/>
        <v>178.94</v>
      </c>
      <c r="LA7" s="98">
        <f t="shared" si="12"/>
        <v>178.16</v>
      </c>
      <c r="LB7" s="98">
        <f t="shared" si="12"/>
        <v>177.38</v>
      </c>
      <c r="LC7" s="98">
        <f t="shared" si="12"/>
        <v>176.6</v>
      </c>
      <c r="LD7" s="98">
        <f t="shared" si="12"/>
        <v>175.82</v>
      </c>
      <c r="LE7" s="98">
        <f t="shared" si="12"/>
        <v>175.04</v>
      </c>
      <c r="LF7" s="98">
        <f t="shared" si="12"/>
        <v>174.27</v>
      </c>
      <c r="LG7" s="98">
        <f t="shared" si="12"/>
        <v>173.5</v>
      </c>
      <c r="LH7" s="98">
        <f t="shared" si="12"/>
        <v>172.72</v>
      </c>
      <c r="LI7" s="98">
        <f t="shared" si="12"/>
        <v>171.95</v>
      </c>
      <c r="LJ7" s="98">
        <f t="shared" si="12"/>
        <v>171.18</v>
      </c>
      <c r="LK7" s="98">
        <f t="shared" si="12"/>
        <v>170.41</v>
      </c>
      <c r="LL7" s="98">
        <f t="shared" si="12"/>
        <v>169.64</v>
      </c>
      <c r="LM7" s="98">
        <f t="shared" si="12"/>
        <v>168.88</v>
      </c>
      <c r="LN7" s="98">
        <f t="shared" si="12"/>
        <v>168.11</v>
      </c>
      <c r="LO7" s="98">
        <f t="shared" si="12"/>
        <v>167.35</v>
      </c>
      <c r="LP7" s="98">
        <f t="shared" si="12"/>
        <v>166.59</v>
      </c>
      <c r="LQ7" s="98">
        <f t="shared" si="12"/>
        <v>165.83</v>
      </c>
      <c r="LR7" s="98">
        <f t="shared" si="12"/>
        <v>165.07</v>
      </c>
      <c r="LS7" s="98">
        <f t="shared" si="12"/>
        <v>164.31</v>
      </c>
      <c r="LT7" s="98">
        <f t="shared" si="12"/>
        <v>163.56</v>
      </c>
      <c r="LU7" s="98">
        <f t="shared" si="12"/>
        <v>162.81</v>
      </c>
      <c r="LV7" s="98">
        <f t="shared" si="12"/>
        <v>162.05000000000001</v>
      </c>
      <c r="LW7" s="98">
        <f t="shared" si="12"/>
        <v>161.30000000000001</v>
      </c>
      <c r="LX7" s="98">
        <f t="shared" si="12"/>
        <v>160.55000000000001</v>
      </c>
      <c r="LY7" s="98">
        <f t="shared" si="12"/>
        <v>159.80000000000001</v>
      </c>
      <c r="LZ7" s="98">
        <f t="shared" si="12"/>
        <v>159.06</v>
      </c>
      <c r="MA7" s="98">
        <f t="shared" si="12"/>
        <v>158.31</v>
      </c>
      <c r="MB7" s="98">
        <f t="shared" si="12"/>
        <v>157.57</v>
      </c>
      <c r="MC7" s="98">
        <f t="shared" si="12"/>
        <v>156.83000000000001</v>
      </c>
      <c r="MD7" s="98">
        <f t="shared" si="12"/>
        <v>156.09</v>
      </c>
      <c r="ME7" s="98">
        <f t="shared" si="12"/>
        <v>155.36000000000001</v>
      </c>
      <c r="MF7" s="98">
        <f t="shared" si="12"/>
        <v>154.62</v>
      </c>
      <c r="MG7" s="98">
        <f t="shared" si="12"/>
        <v>153.88999999999999</v>
      </c>
      <c r="MH7" s="98">
        <f t="shared" si="12"/>
        <v>153.15</v>
      </c>
      <c r="MI7" s="98">
        <f t="shared" si="12"/>
        <v>152.41999999999999</v>
      </c>
      <c r="MJ7" s="98">
        <f t="shared" si="12"/>
        <v>151.69</v>
      </c>
      <c r="MK7" s="98">
        <f t="shared" si="12"/>
        <v>150.96</v>
      </c>
      <c r="ML7" s="98">
        <f t="shared" si="12"/>
        <v>150.24</v>
      </c>
      <c r="MM7" s="98">
        <f t="shared" si="12"/>
        <v>149.51</v>
      </c>
      <c r="MN7" s="98">
        <f t="shared" si="12"/>
        <v>148.79</v>
      </c>
      <c r="MO7" s="98">
        <f t="shared" si="12"/>
        <v>148.07</v>
      </c>
      <c r="MP7" s="98">
        <f t="shared" si="12"/>
        <v>147.35</v>
      </c>
      <c r="MQ7" s="98">
        <f t="shared" si="12"/>
        <v>146.63999999999999</v>
      </c>
      <c r="MR7" s="98">
        <f t="shared" si="12"/>
        <v>145.91999999999999</v>
      </c>
      <c r="MS7" s="98">
        <f t="shared" si="12"/>
        <v>145.21</v>
      </c>
      <c r="MT7" s="98">
        <f t="shared" si="12"/>
        <v>144.49</v>
      </c>
      <c r="MU7" s="98">
        <f t="shared" si="12"/>
        <v>143.78</v>
      </c>
      <c r="MV7" s="98">
        <f t="shared" si="12"/>
        <v>143.07</v>
      </c>
      <c r="MW7" s="98">
        <f t="shared" si="12"/>
        <v>142.37</v>
      </c>
      <c r="MX7" s="98">
        <f t="shared" si="12"/>
        <v>141.66</v>
      </c>
      <c r="MY7" s="98">
        <f t="shared" si="12"/>
        <v>140.96</v>
      </c>
    </row>
    <row r="8" spans="1:363" ht="15.75" x14ac:dyDescent="0.25">
      <c r="A8" s="90" t="s">
        <v>6</v>
      </c>
      <c r="B8" s="95">
        <v>2018</v>
      </c>
      <c r="C8" s="93">
        <v>476.11</v>
      </c>
      <c r="D8" s="93">
        <v>475.07</v>
      </c>
      <c r="E8" s="93">
        <v>474.03</v>
      </c>
      <c r="F8" s="93">
        <v>472.99</v>
      </c>
      <c r="G8" s="93">
        <v>471.95</v>
      </c>
      <c r="H8" s="93">
        <v>470.91</v>
      </c>
      <c r="I8" s="93">
        <v>469.87</v>
      </c>
      <c r="J8" s="93">
        <v>468.83</v>
      </c>
      <c r="K8" s="93">
        <v>467.79</v>
      </c>
      <c r="L8" s="93">
        <v>466.75</v>
      </c>
      <c r="M8" s="93">
        <v>465.71</v>
      </c>
      <c r="N8" s="93">
        <v>464.67</v>
      </c>
      <c r="O8" s="93">
        <v>463.63</v>
      </c>
      <c r="P8" s="93">
        <v>462.59</v>
      </c>
      <c r="Q8" s="93">
        <v>461.56</v>
      </c>
      <c r="R8" s="93">
        <v>460.52</v>
      </c>
      <c r="S8" s="93">
        <v>459.48</v>
      </c>
      <c r="T8" s="93">
        <v>458.44</v>
      </c>
      <c r="U8" s="93">
        <v>457.4</v>
      </c>
      <c r="V8" s="93">
        <v>456.36</v>
      </c>
      <c r="W8" s="93">
        <v>455.33</v>
      </c>
      <c r="X8" s="93">
        <v>454.29</v>
      </c>
      <c r="Y8" s="93">
        <v>453.25</v>
      </c>
      <c r="Z8" s="93">
        <v>452.21</v>
      </c>
      <c r="AA8" s="93">
        <v>451.17</v>
      </c>
      <c r="AB8" s="93">
        <v>450.14</v>
      </c>
      <c r="AC8" s="93">
        <v>449.1</v>
      </c>
      <c r="AD8" s="93">
        <v>448.06</v>
      </c>
      <c r="AE8" s="93">
        <v>447.02</v>
      </c>
      <c r="AF8" s="93">
        <v>445.99</v>
      </c>
      <c r="AG8" s="93">
        <v>444.95</v>
      </c>
      <c r="AH8" s="93">
        <v>443.91</v>
      </c>
      <c r="AI8" s="93">
        <v>442.88</v>
      </c>
      <c r="AJ8" s="93">
        <v>441.84</v>
      </c>
      <c r="AK8" s="93">
        <v>440.8</v>
      </c>
      <c r="AL8" s="93">
        <v>439.76</v>
      </c>
      <c r="AM8" s="93">
        <v>438.73</v>
      </c>
      <c r="AN8" s="93">
        <v>437.69</v>
      </c>
      <c r="AO8" s="93">
        <v>436.66</v>
      </c>
      <c r="AP8" s="93">
        <v>435.62</v>
      </c>
      <c r="AQ8" s="93">
        <v>434.58</v>
      </c>
      <c r="AR8" s="93">
        <v>433.55</v>
      </c>
      <c r="AS8" s="93">
        <v>432.51</v>
      </c>
      <c r="AT8" s="93">
        <v>431.48</v>
      </c>
      <c r="AU8" s="93">
        <v>430.44</v>
      </c>
      <c r="AV8" s="93">
        <v>429.4</v>
      </c>
      <c r="AW8" s="93">
        <v>428.37</v>
      </c>
      <c r="AX8" s="93">
        <v>427.33</v>
      </c>
      <c r="AY8" s="93">
        <v>426.3</v>
      </c>
      <c r="AZ8" s="93">
        <v>425.26</v>
      </c>
      <c r="BA8" s="93">
        <v>424.23</v>
      </c>
      <c r="BB8" s="93">
        <v>423.19</v>
      </c>
      <c r="BC8" s="93">
        <v>422.16</v>
      </c>
      <c r="BD8" s="93">
        <v>421.13</v>
      </c>
      <c r="BE8" s="93">
        <v>420.09</v>
      </c>
      <c r="BF8" s="93">
        <v>419.06</v>
      </c>
      <c r="BG8" s="93">
        <v>418.02</v>
      </c>
      <c r="BH8" s="93">
        <v>416.99</v>
      </c>
      <c r="BI8" s="93">
        <v>415.95</v>
      </c>
      <c r="BJ8" s="93">
        <v>414.92</v>
      </c>
      <c r="BK8" s="93">
        <v>413.88</v>
      </c>
      <c r="BL8" s="93">
        <v>412.85</v>
      </c>
      <c r="BM8" s="93">
        <v>411.82</v>
      </c>
      <c r="BN8" s="93">
        <v>410.78</v>
      </c>
      <c r="BO8" s="93">
        <v>409.75</v>
      </c>
      <c r="BP8" s="93">
        <v>408.71</v>
      </c>
      <c r="BQ8" s="93">
        <v>407.68</v>
      </c>
      <c r="BR8" s="93">
        <v>406.65</v>
      </c>
      <c r="BS8" s="93">
        <v>405.61</v>
      </c>
      <c r="BT8" s="93">
        <v>404.58</v>
      </c>
      <c r="BU8" s="93">
        <v>403.55</v>
      </c>
      <c r="BV8" s="93">
        <v>402.52</v>
      </c>
      <c r="BW8" s="93">
        <v>401.49</v>
      </c>
      <c r="BX8" s="93">
        <v>400.46</v>
      </c>
      <c r="BY8" s="93">
        <v>399.43</v>
      </c>
      <c r="BZ8" s="93">
        <v>398.4</v>
      </c>
      <c r="CA8" s="93">
        <v>397.37</v>
      </c>
      <c r="CB8" s="93">
        <v>396.34</v>
      </c>
      <c r="CC8" s="93">
        <v>395.31</v>
      </c>
      <c r="CD8" s="93">
        <v>394.29</v>
      </c>
      <c r="CE8" s="93">
        <v>393.26</v>
      </c>
      <c r="CF8" s="93">
        <v>392.23</v>
      </c>
      <c r="CG8" s="93">
        <v>391.2</v>
      </c>
      <c r="CH8" s="93">
        <v>390.18</v>
      </c>
      <c r="CI8" s="93">
        <v>389.15</v>
      </c>
      <c r="CJ8" s="93">
        <v>388.12</v>
      </c>
      <c r="CK8" s="93">
        <v>387.1</v>
      </c>
      <c r="CL8" s="93">
        <v>386.07</v>
      </c>
      <c r="CM8" s="93">
        <v>385.05</v>
      </c>
      <c r="CN8" s="93">
        <v>384.02</v>
      </c>
      <c r="CO8" s="93">
        <v>383</v>
      </c>
      <c r="CP8" s="93">
        <v>381.97</v>
      </c>
      <c r="CQ8" s="93">
        <v>380.94</v>
      </c>
      <c r="CR8" s="93">
        <v>379.92</v>
      </c>
      <c r="CS8" s="93">
        <v>378.89</v>
      </c>
      <c r="CT8" s="93">
        <v>377.87</v>
      </c>
      <c r="CU8" s="93">
        <v>376.84</v>
      </c>
      <c r="CV8" s="93">
        <v>375.82</v>
      </c>
      <c r="CW8" s="93">
        <v>374.8</v>
      </c>
      <c r="CX8" s="93">
        <v>373.78</v>
      </c>
      <c r="CY8" s="93">
        <v>372.76</v>
      </c>
      <c r="CZ8" s="93">
        <v>371.73</v>
      </c>
      <c r="DA8" s="93">
        <v>370.71</v>
      </c>
      <c r="DB8" s="93">
        <v>369.69</v>
      </c>
      <c r="DC8" s="93">
        <v>368.67</v>
      </c>
      <c r="DD8" s="93">
        <v>367.65</v>
      </c>
      <c r="DE8" s="93">
        <v>366.63</v>
      </c>
      <c r="DF8" s="93">
        <v>365.61</v>
      </c>
      <c r="DG8" s="93">
        <v>364.59</v>
      </c>
      <c r="DH8" s="93">
        <v>363.57</v>
      </c>
      <c r="DI8" s="93">
        <v>362.55</v>
      </c>
      <c r="DJ8" s="93">
        <v>361.53</v>
      </c>
      <c r="DK8" s="93">
        <v>360.52</v>
      </c>
      <c r="DL8" s="93">
        <v>359.5</v>
      </c>
      <c r="DM8" s="93">
        <v>358.48</v>
      </c>
      <c r="DN8" s="93">
        <v>357.46</v>
      </c>
      <c r="DO8" s="93">
        <v>356.45</v>
      </c>
      <c r="DP8" s="93">
        <v>355.43</v>
      </c>
      <c r="DQ8" s="93">
        <v>354.42</v>
      </c>
      <c r="DR8" s="93">
        <v>353.4</v>
      </c>
      <c r="DS8" s="93">
        <v>352.38</v>
      </c>
      <c r="DT8" s="93">
        <v>351.37</v>
      </c>
      <c r="DU8" s="93">
        <v>350.36</v>
      </c>
      <c r="DV8" s="93">
        <v>349.35</v>
      </c>
      <c r="DW8" s="93">
        <v>348.34</v>
      </c>
      <c r="DX8" s="93">
        <v>347.33</v>
      </c>
      <c r="DY8" s="93">
        <v>346.32</v>
      </c>
      <c r="DZ8" s="93">
        <v>345.31</v>
      </c>
      <c r="EA8" s="93">
        <v>344.31</v>
      </c>
      <c r="EB8" s="93">
        <v>343.3</v>
      </c>
      <c r="EC8" s="93">
        <v>342.29</v>
      </c>
      <c r="ED8" s="93">
        <v>341.29</v>
      </c>
      <c r="EE8" s="93">
        <v>340.28</v>
      </c>
      <c r="EF8" s="93">
        <v>339.28</v>
      </c>
      <c r="EG8" s="93">
        <v>338.28</v>
      </c>
      <c r="EH8" s="93">
        <v>337.28</v>
      </c>
      <c r="EI8" s="93">
        <v>336.28</v>
      </c>
      <c r="EJ8" s="93">
        <v>335.29</v>
      </c>
      <c r="EK8" s="93">
        <v>334.29</v>
      </c>
      <c r="EL8" s="93">
        <v>333.29</v>
      </c>
      <c r="EM8" s="93">
        <v>332.29</v>
      </c>
      <c r="EN8" s="93">
        <v>331.3</v>
      </c>
      <c r="EO8" s="93">
        <v>330.3</v>
      </c>
      <c r="EP8" s="93">
        <v>329.31</v>
      </c>
      <c r="EQ8" s="93">
        <v>328.31</v>
      </c>
      <c r="ER8" s="93">
        <v>327.32</v>
      </c>
      <c r="ES8" s="93">
        <v>326.32</v>
      </c>
      <c r="ET8" s="93">
        <v>325.33999999999997</v>
      </c>
      <c r="EU8" s="93">
        <v>324.35000000000002</v>
      </c>
      <c r="EV8" s="93">
        <v>323.35000000000002</v>
      </c>
      <c r="EW8" s="93">
        <v>322.38</v>
      </c>
      <c r="EX8" s="93">
        <v>321.39</v>
      </c>
      <c r="EY8" s="93">
        <v>320.39999999999998</v>
      </c>
      <c r="EZ8" s="93">
        <v>319.41000000000003</v>
      </c>
      <c r="FA8" s="93">
        <v>318.43</v>
      </c>
      <c r="FB8" s="93">
        <v>317.44</v>
      </c>
      <c r="FC8" s="93">
        <v>316.45</v>
      </c>
      <c r="FD8" s="93">
        <v>315.47000000000003</v>
      </c>
      <c r="FE8" s="93">
        <v>314.49</v>
      </c>
      <c r="FF8" s="93">
        <v>313.51</v>
      </c>
      <c r="FG8" s="93">
        <v>312.52999999999997</v>
      </c>
      <c r="FH8" s="93">
        <v>311.56</v>
      </c>
      <c r="FI8" s="93">
        <v>310.57</v>
      </c>
      <c r="FJ8" s="93">
        <v>309.60000000000002</v>
      </c>
      <c r="FK8" s="93">
        <v>308.62</v>
      </c>
      <c r="FL8" s="93">
        <v>307.64999999999998</v>
      </c>
      <c r="FM8" s="93">
        <v>306.67</v>
      </c>
      <c r="FN8" s="93">
        <v>305.7</v>
      </c>
      <c r="FO8" s="93">
        <v>304.72000000000003</v>
      </c>
      <c r="FP8" s="93">
        <v>303.75</v>
      </c>
      <c r="FQ8" s="93">
        <v>302.77999999999997</v>
      </c>
      <c r="FR8" s="93">
        <v>301.81</v>
      </c>
      <c r="FS8" s="93">
        <v>300.83999999999997</v>
      </c>
      <c r="FT8" s="93">
        <v>299.87</v>
      </c>
      <c r="FU8" s="93">
        <v>298.89999999999998</v>
      </c>
      <c r="FV8" s="93">
        <v>297.93</v>
      </c>
      <c r="FW8" s="93">
        <v>296.97000000000003</v>
      </c>
      <c r="FX8" s="93">
        <v>296</v>
      </c>
      <c r="FY8" s="93">
        <v>295.02999999999997</v>
      </c>
      <c r="FZ8" s="93">
        <v>294.07</v>
      </c>
      <c r="GA8" s="93">
        <v>293.10000000000002</v>
      </c>
      <c r="GB8" s="93">
        <v>292.14</v>
      </c>
      <c r="GC8" s="93">
        <v>291.18</v>
      </c>
      <c r="GD8" s="93">
        <v>290.22000000000003</v>
      </c>
      <c r="GE8" s="93">
        <v>289.26</v>
      </c>
      <c r="GF8" s="93">
        <v>288.31</v>
      </c>
      <c r="GG8" s="93">
        <v>287.35000000000002</v>
      </c>
      <c r="GH8" s="93">
        <v>286.39</v>
      </c>
      <c r="GI8" s="93">
        <v>285.44</v>
      </c>
      <c r="GJ8" s="93">
        <v>284.48</v>
      </c>
      <c r="GK8" s="93">
        <v>283.52999999999997</v>
      </c>
      <c r="GL8" s="93">
        <v>282.57</v>
      </c>
      <c r="GM8" s="93">
        <v>281.62</v>
      </c>
      <c r="GN8" s="93">
        <v>280.68</v>
      </c>
      <c r="GO8" s="93">
        <v>279.73</v>
      </c>
      <c r="GP8" s="93">
        <v>278.79000000000002</v>
      </c>
      <c r="GQ8" s="93">
        <v>277.83999999999997</v>
      </c>
      <c r="GR8" s="93">
        <v>276.89999999999998</v>
      </c>
      <c r="GS8" s="93">
        <v>275.95999999999998</v>
      </c>
      <c r="GT8" s="93">
        <v>275.01</v>
      </c>
      <c r="GU8" s="93">
        <v>274.07</v>
      </c>
      <c r="GV8" s="93">
        <v>273.14</v>
      </c>
      <c r="GW8" s="93">
        <v>272.2</v>
      </c>
      <c r="GX8" s="93">
        <v>271.26</v>
      </c>
      <c r="GY8" s="93">
        <v>270.32</v>
      </c>
      <c r="GZ8" s="93">
        <v>269.39</v>
      </c>
      <c r="HA8" s="93">
        <v>268.45999999999998</v>
      </c>
      <c r="HB8" s="93">
        <v>267.52999999999997</v>
      </c>
      <c r="HC8" s="93">
        <v>266.60000000000002</v>
      </c>
      <c r="HD8" s="93">
        <v>265.67</v>
      </c>
      <c r="HE8" s="93">
        <v>264.74</v>
      </c>
      <c r="HF8" s="93">
        <v>263.81</v>
      </c>
      <c r="HG8" s="93">
        <v>262.88</v>
      </c>
      <c r="HH8" s="93">
        <v>261.95999999999998</v>
      </c>
      <c r="HI8" s="93">
        <v>261.04000000000002</v>
      </c>
      <c r="HJ8" s="93">
        <v>260.10000000000002</v>
      </c>
      <c r="HK8" s="93">
        <v>259.19</v>
      </c>
      <c r="HL8" s="93">
        <v>258.27999999999997</v>
      </c>
      <c r="HM8" s="93">
        <v>257.35000000000002</v>
      </c>
      <c r="HN8" s="93">
        <v>256.45</v>
      </c>
      <c r="HO8" s="93">
        <v>255.54</v>
      </c>
      <c r="HP8" s="93">
        <v>254.63</v>
      </c>
      <c r="HQ8" s="93">
        <v>253.72</v>
      </c>
      <c r="HR8" s="93">
        <v>252.81</v>
      </c>
      <c r="HS8" s="93">
        <v>251.9</v>
      </c>
      <c r="HT8" s="93">
        <v>251</v>
      </c>
      <c r="HU8" s="93">
        <v>250.09</v>
      </c>
      <c r="HV8" s="93">
        <v>249.19</v>
      </c>
      <c r="HW8" s="93">
        <v>248.28</v>
      </c>
      <c r="HX8" s="93">
        <v>247.38</v>
      </c>
      <c r="HY8" s="93">
        <v>246.49</v>
      </c>
      <c r="HZ8" s="93">
        <v>245.59</v>
      </c>
      <c r="IA8" s="93">
        <v>244.69</v>
      </c>
      <c r="IB8" s="93">
        <v>243.79</v>
      </c>
      <c r="IC8" s="93">
        <v>242.9</v>
      </c>
      <c r="ID8" s="93">
        <v>242.01</v>
      </c>
      <c r="IE8" s="93">
        <v>241.11</v>
      </c>
      <c r="IF8" s="93">
        <v>240.22</v>
      </c>
      <c r="IG8" s="93">
        <v>239.33</v>
      </c>
      <c r="IH8" s="93">
        <v>238.44</v>
      </c>
      <c r="II8" s="93">
        <v>237.55</v>
      </c>
      <c r="IJ8" s="93">
        <v>236.67</v>
      </c>
      <c r="IK8" s="93">
        <v>235.78</v>
      </c>
      <c r="IL8" s="93">
        <v>234.9</v>
      </c>
      <c r="IM8" s="93">
        <v>234.02</v>
      </c>
      <c r="IN8" s="93">
        <v>233.14</v>
      </c>
      <c r="IO8" s="93">
        <v>232.26</v>
      </c>
      <c r="IP8" s="93">
        <v>231.38</v>
      </c>
      <c r="IQ8" s="93">
        <v>230.51</v>
      </c>
      <c r="IR8" s="93">
        <v>229.63</v>
      </c>
      <c r="IS8" s="93">
        <v>228.76</v>
      </c>
      <c r="IT8" s="93">
        <v>227.89</v>
      </c>
      <c r="IU8" s="93">
        <v>227.01</v>
      </c>
      <c r="IV8" s="93">
        <v>226.15</v>
      </c>
      <c r="IW8" s="93">
        <v>225.29</v>
      </c>
      <c r="IX8" s="93">
        <v>224.43</v>
      </c>
      <c r="IY8" s="93">
        <v>223.57</v>
      </c>
      <c r="IZ8" s="93">
        <v>222.71</v>
      </c>
      <c r="JA8" s="93">
        <v>221.85</v>
      </c>
      <c r="JB8" s="93">
        <v>220.99</v>
      </c>
      <c r="JC8" s="93">
        <v>220.14</v>
      </c>
      <c r="JD8" s="93">
        <v>219.28</v>
      </c>
      <c r="JE8" s="93">
        <v>218.43</v>
      </c>
      <c r="JF8" s="93">
        <v>217.58</v>
      </c>
      <c r="JG8" s="93">
        <v>216.73</v>
      </c>
      <c r="JH8" s="93">
        <v>215.88</v>
      </c>
      <c r="JI8" s="93">
        <v>215.04</v>
      </c>
      <c r="JJ8" s="93">
        <v>214.19</v>
      </c>
      <c r="JK8" s="93">
        <v>213.35</v>
      </c>
      <c r="JL8" s="93">
        <v>212.5</v>
      </c>
      <c r="JM8" s="93">
        <v>211.66</v>
      </c>
      <c r="JN8" s="93">
        <v>210.82</v>
      </c>
      <c r="JO8" s="93">
        <v>209.98</v>
      </c>
      <c r="JP8" s="93">
        <v>209.14</v>
      </c>
      <c r="JQ8" s="93">
        <v>208.3</v>
      </c>
      <c r="JR8" s="93">
        <v>207.47</v>
      </c>
      <c r="JS8" s="93">
        <v>206.63</v>
      </c>
      <c r="JT8" s="93">
        <v>205.8</v>
      </c>
      <c r="JU8" s="93">
        <v>204.96</v>
      </c>
      <c r="JV8" s="93">
        <v>204.13</v>
      </c>
      <c r="JW8" s="93">
        <v>203.29</v>
      </c>
      <c r="JX8" s="93">
        <v>202.46</v>
      </c>
      <c r="JY8" s="93">
        <v>201.63</v>
      </c>
      <c r="JZ8" s="93">
        <v>200.8</v>
      </c>
      <c r="KA8" s="93">
        <v>199.98</v>
      </c>
      <c r="KB8" s="93">
        <v>199.15</v>
      </c>
      <c r="KC8" s="93">
        <v>198.32</v>
      </c>
      <c r="KD8" s="93">
        <v>197.5</v>
      </c>
      <c r="KE8" s="93">
        <v>196.67</v>
      </c>
      <c r="KF8" s="93">
        <v>195.85</v>
      </c>
      <c r="KG8" s="93">
        <v>195.03</v>
      </c>
      <c r="KH8" s="93">
        <v>194.21</v>
      </c>
      <c r="KI8" s="93">
        <v>193.39</v>
      </c>
      <c r="KJ8" s="93">
        <v>192.57</v>
      </c>
      <c r="KK8" s="93">
        <v>191.76</v>
      </c>
      <c r="KL8" s="93">
        <v>190.94</v>
      </c>
      <c r="KM8" s="93">
        <v>190.13</v>
      </c>
      <c r="KN8" s="93">
        <v>189.32</v>
      </c>
      <c r="KO8" s="93">
        <v>188.51</v>
      </c>
      <c r="KP8" s="93">
        <v>187.7</v>
      </c>
      <c r="KQ8" s="93">
        <v>186.89</v>
      </c>
      <c r="KR8" s="98">
        <f t="shared" si="13"/>
        <v>186.02</v>
      </c>
      <c r="KS8" s="98">
        <f t="shared" si="14"/>
        <v>185.23</v>
      </c>
      <c r="KT8" s="98">
        <f t="shared" si="15"/>
        <v>184.41</v>
      </c>
      <c r="KU8" s="98">
        <f t="shared" si="12"/>
        <v>183.62</v>
      </c>
      <c r="KV8" s="98">
        <f t="shared" si="12"/>
        <v>182.84</v>
      </c>
      <c r="KW8" s="98">
        <f t="shared" si="12"/>
        <v>182.05</v>
      </c>
      <c r="KX8" s="98">
        <f t="shared" si="12"/>
        <v>181.26</v>
      </c>
      <c r="KY8" s="98">
        <f t="shared" si="12"/>
        <v>180.48</v>
      </c>
      <c r="KZ8" s="98">
        <f t="shared" si="12"/>
        <v>179.69</v>
      </c>
      <c r="LA8" s="98">
        <f t="shared" si="12"/>
        <v>178.91</v>
      </c>
      <c r="LB8" s="98">
        <f t="shared" si="12"/>
        <v>178.13</v>
      </c>
      <c r="LC8" s="98">
        <f t="shared" si="12"/>
        <v>177.35</v>
      </c>
      <c r="LD8" s="98">
        <f t="shared" si="12"/>
        <v>176.57</v>
      </c>
      <c r="LE8" s="98">
        <f t="shared" si="12"/>
        <v>175.79</v>
      </c>
      <c r="LF8" s="98">
        <f t="shared" si="12"/>
        <v>175.02</v>
      </c>
      <c r="LG8" s="98">
        <f t="shared" si="12"/>
        <v>174.25</v>
      </c>
      <c r="LH8" s="98">
        <f t="shared" si="12"/>
        <v>173.47</v>
      </c>
      <c r="LI8" s="98">
        <f t="shared" si="12"/>
        <v>172.7</v>
      </c>
      <c r="LJ8" s="98">
        <f t="shared" si="12"/>
        <v>171.93</v>
      </c>
      <c r="LK8" s="98">
        <f t="shared" si="12"/>
        <v>171.16</v>
      </c>
      <c r="LL8" s="98">
        <f t="shared" si="12"/>
        <v>170.39</v>
      </c>
      <c r="LM8" s="98">
        <f t="shared" si="12"/>
        <v>169.63</v>
      </c>
      <c r="LN8" s="98">
        <f t="shared" si="12"/>
        <v>168.86</v>
      </c>
      <c r="LO8" s="98">
        <f t="shared" si="12"/>
        <v>168.1</v>
      </c>
      <c r="LP8" s="98">
        <f t="shared" si="12"/>
        <v>167.34</v>
      </c>
      <c r="LQ8" s="98">
        <f t="shared" si="12"/>
        <v>166.58</v>
      </c>
      <c r="LR8" s="98">
        <f t="shared" si="12"/>
        <v>165.82</v>
      </c>
      <c r="LS8" s="98">
        <f t="shared" si="12"/>
        <v>165.06</v>
      </c>
      <c r="LT8" s="98">
        <f t="shared" si="12"/>
        <v>164.31</v>
      </c>
      <c r="LU8" s="98">
        <f t="shared" si="12"/>
        <v>163.56</v>
      </c>
      <c r="LV8" s="98">
        <f t="shared" si="12"/>
        <v>162.80000000000001</v>
      </c>
      <c r="LW8" s="98">
        <f t="shared" ref="LW8:MY16" si="16">LW7+0.75</f>
        <v>162.05000000000001</v>
      </c>
      <c r="LX8" s="98">
        <f t="shared" si="16"/>
        <v>161.30000000000001</v>
      </c>
      <c r="LY8" s="98">
        <f t="shared" si="16"/>
        <v>160.55000000000001</v>
      </c>
      <c r="LZ8" s="98">
        <f t="shared" si="16"/>
        <v>159.81</v>
      </c>
      <c r="MA8" s="98">
        <f t="shared" si="16"/>
        <v>159.06</v>
      </c>
      <c r="MB8" s="98">
        <f t="shared" si="16"/>
        <v>158.32</v>
      </c>
      <c r="MC8" s="98">
        <f t="shared" si="16"/>
        <v>157.58000000000001</v>
      </c>
      <c r="MD8" s="98">
        <f t="shared" si="16"/>
        <v>156.84</v>
      </c>
      <c r="ME8" s="98">
        <f t="shared" si="16"/>
        <v>156.11000000000001</v>
      </c>
      <c r="MF8" s="98">
        <f t="shared" si="16"/>
        <v>155.37</v>
      </c>
      <c r="MG8" s="98">
        <f t="shared" si="16"/>
        <v>154.63999999999999</v>
      </c>
      <c r="MH8" s="98">
        <f t="shared" si="16"/>
        <v>153.9</v>
      </c>
      <c r="MI8" s="98">
        <f t="shared" si="16"/>
        <v>153.16999999999999</v>
      </c>
      <c r="MJ8" s="98">
        <f t="shared" si="16"/>
        <v>152.44</v>
      </c>
      <c r="MK8" s="98">
        <f t="shared" si="16"/>
        <v>151.71</v>
      </c>
      <c r="ML8" s="98">
        <f t="shared" si="16"/>
        <v>150.99</v>
      </c>
      <c r="MM8" s="98">
        <f t="shared" si="16"/>
        <v>150.26</v>
      </c>
      <c r="MN8" s="98">
        <f t="shared" si="16"/>
        <v>149.54</v>
      </c>
      <c r="MO8" s="98">
        <f t="shared" si="16"/>
        <v>148.82</v>
      </c>
      <c r="MP8" s="98">
        <f t="shared" si="16"/>
        <v>148.1</v>
      </c>
      <c r="MQ8" s="98">
        <f t="shared" si="16"/>
        <v>147.38999999999999</v>
      </c>
      <c r="MR8" s="98">
        <f t="shared" si="16"/>
        <v>146.66999999999999</v>
      </c>
      <c r="MS8" s="98">
        <f t="shared" si="16"/>
        <v>145.96</v>
      </c>
      <c r="MT8" s="98">
        <f t="shared" si="16"/>
        <v>145.24</v>
      </c>
      <c r="MU8" s="98">
        <f t="shared" si="16"/>
        <v>144.53</v>
      </c>
      <c r="MV8" s="98">
        <f t="shared" si="16"/>
        <v>143.82</v>
      </c>
      <c r="MW8" s="98">
        <f t="shared" si="16"/>
        <v>143.12</v>
      </c>
      <c r="MX8" s="98">
        <f t="shared" si="16"/>
        <v>142.41</v>
      </c>
      <c r="MY8" s="98">
        <f t="shared" si="16"/>
        <v>141.71</v>
      </c>
    </row>
    <row r="9" spans="1:363" ht="15.75" x14ac:dyDescent="0.25">
      <c r="A9" s="90" t="s">
        <v>6</v>
      </c>
      <c r="B9" s="95">
        <v>2019</v>
      </c>
      <c r="C9" s="93">
        <v>477.14</v>
      </c>
      <c r="D9" s="93">
        <v>476.1</v>
      </c>
      <c r="E9" s="93">
        <v>475.06</v>
      </c>
      <c r="F9" s="93">
        <v>474.02</v>
      </c>
      <c r="G9" s="93">
        <v>472.98</v>
      </c>
      <c r="H9" s="93">
        <v>471.94</v>
      </c>
      <c r="I9" s="93">
        <v>470.9</v>
      </c>
      <c r="J9" s="93">
        <v>469.86</v>
      </c>
      <c r="K9" s="93">
        <v>468.82</v>
      </c>
      <c r="L9" s="93">
        <v>467.79</v>
      </c>
      <c r="M9" s="93">
        <v>466.75</v>
      </c>
      <c r="N9" s="93">
        <v>465.71</v>
      </c>
      <c r="O9" s="93">
        <v>464.67</v>
      </c>
      <c r="P9" s="93">
        <v>463.63</v>
      </c>
      <c r="Q9" s="93">
        <v>462.59</v>
      </c>
      <c r="R9" s="93">
        <v>461.55</v>
      </c>
      <c r="S9" s="93">
        <v>460.51</v>
      </c>
      <c r="T9" s="93">
        <v>459.48</v>
      </c>
      <c r="U9" s="93">
        <v>458.44</v>
      </c>
      <c r="V9" s="93">
        <v>457.4</v>
      </c>
      <c r="W9" s="93">
        <v>456.36</v>
      </c>
      <c r="X9" s="93">
        <v>455.32</v>
      </c>
      <c r="Y9" s="93">
        <v>454.28</v>
      </c>
      <c r="Z9" s="93">
        <v>453.25</v>
      </c>
      <c r="AA9" s="93">
        <v>452.21</v>
      </c>
      <c r="AB9" s="93">
        <v>451.17</v>
      </c>
      <c r="AC9" s="93">
        <v>450.13</v>
      </c>
      <c r="AD9" s="93">
        <v>449.1</v>
      </c>
      <c r="AE9" s="93">
        <v>448.06</v>
      </c>
      <c r="AF9" s="93">
        <v>447.02</v>
      </c>
      <c r="AG9" s="93">
        <v>445.98</v>
      </c>
      <c r="AH9" s="93">
        <v>444.95</v>
      </c>
      <c r="AI9" s="93">
        <v>443.91</v>
      </c>
      <c r="AJ9" s="93">
        <v>442.87</v>
      </c>
      <c r="AK9" s="93">
        <v>441.84</v>
      </c>
      <c r="AL9" s="93">
        <v>440.8</v>
      </c>
      <c r="AM9" s="93">
        <v>439.76</v>
      </c>
      <c r="AN9" s="93">
        <v>438.73</v>
      </c>
      <c r="AO9" s="93">
        <v>437.69</v>
      </c>
      <c r="AP9" s="93">
        <v>436.65</v>
      </c>
      <c r="AQ9" s="93">
        <v>435.62</v>
      </c>
      <c r="AR9" s="93">
        <v>434.58</v>
      </c>
      <c r="AS9" s="93">
        <v>433.55</v>
      </c>
      <c r="AT9" s="93">
        <v>432.51</v>
      </c>
      <c r="AU9" s="93">
        <v>431.47</v>
      </c>
      <c r="AV9" s="93">
        <v>430.44</v>
      </c>
      <c r="AW9" s="93">
        <v>429.4</v>
      </c>
      <c r="AX9" s="93">
        <v>428.37</v>
      </c>
      <c r="AY9" s="93">
        <v>427.33</v>
      </c>
      <c r="AZ9" s="93">
        <v>426.3</v>
      </c>
      <c r="BA9" s="93">
        <v>425.26</v>
      </c>
      <c r="BB9" s="93">
        <v>424.23</v>
      </c>
      <c r="BC9" s="93">
        <v>423.19</v>
      </c>
      <c r="BD9" s="93">
        <v>422.16</v>
      </c>
      <c r="BE9" s="93">
        <v>421.12</v>
      </c>
      <c r="BF9" s="93">
        <v>420.09</v>
      </c>
      <c r="BG9" s="93">
        <v>419.05</v>
      </c>
      <c r="BH9" s="93">
        <v>418.02</v>
      </c>
      <c r="BI9" s="93">
        <v>416.98</v>
      </c>
      <c r="BJ9" s="93">
        <v>415.95</v>
      </c>
      <c r="BK9" s="93">
        <v>414.91</v>
      </c>
      <c r="BL9" s="93">
        <v>413.88</v>
      </c>
      <c r="BM9" s="93">
        <v>412.85</v>
      </c>
      <c r="BN9" s="93">
        <v>411.81</v>
      </c>
      <c r="BO9" s="93">
        <v>410.78</v>
      </c>
      <c r="BP9" s="93">
        <v>409.74</v>
      </c>
      <c r="BQ9" s="93">
        <v>408.71</v>
      </c>
      <c r="BR9" s="93">
        <v>407.68</v>
      </c>
      <c r="BS9" s="93">
        <v>406.64</v>
      </c>
      <c r="BT9" s="93">
        <v>405.61</v>
      </c>
      <c r="BU9" s="93">
        <v>404.58</v>
      </c>
      <c r="BV9" s="93">
        <v>403.55</v>
      </c>
      <c r="BW9" s="93">
        <v>402.51</v>
      </c>
      <c r="BX9" s="93">
        <v>401.48</v>
      </c>
      <c r="BY9" s="93">
        <v>400.45</v>
      </c>
      <c r="BZ9" s="93">
        <v>399.42</v>
      </c>
      <c r="CA9" s="93">
        <v>398.4</v>
      </c>
      <c r="CB9" s="93">
        <v>397.37</v>
      </c>
      <c r="CC9" s="93">
        <v>396.34</v>
      </c>
      <c r="CD9" s="93">
        <v>395.31</v>
      </c>
      <c r="CE9" s="93">
        <v>394.28</v>
      </c>
      <c r="CF9" s="93">
        <v>393.26</v>
      </c>
      <c r="CG9" s="93">
        <v>392.23</v>
      </c>
      <c r="CH9" s="93">
        <v>391.2</v>
      </c>
      <c r="CI9" s="93">
        <v>390.17</v>
      </c>
      <c r="CJ9" s="93">
        <v>389.15</v>
      </c>
      <c r="CK9" s="93">
        <v>388.12</v>
      </c>
      <c r="CL9" s="93">
        <v>387.09</v>
      </c>
      <c r="CM9" s="93">
        <v>386.07</v>
      </c>
      <c r="CN9" s="93">
        <v>385.04</v>
      </c>
      <c r="CO9" s="93">
        <v>384.02</v>
      </c>
      <c r="CP9" s="93">
        <v>382.99</v>
      </c>
      <c r="CQ9" s="93">
        <v>381.96</v>
      </c>
      <c r="CR9" s="93">
        <v>380.94</v>
      </c>
      <c r="CS9" s="93">
        <v>379.91</v>
      </c>
      <c r="CT9" s="93">
        <v>378.89</v>
      </c>
      <c r="CU9" s="93">
        <v>377.86</v>
      </c>
      <c r="CV9" s="93">
        <v>376.84</v>
      </c>
      <c r="CW9" s="93">
        <v>375.82</v>
      </c>
      <c r="CX9" s="93">
        <v>374.79</v>
      </c>
      <c r="CY9" s="93">
        <v>373.77</v>
      </c>
      <c r="CZ9" s="93">
        <v>372.75</v>
      </c>
      <c r="DA9" s="93">
        <v>371.73</v>
      </c>
      <c r="DB9" s="93">
        <v>370.71</v>
      </c>
      <c r="DC9" s="93">
        <v>369.68</v>
      </c>
      <c r="DD9" s="93">
        <v>368.66</v>
      </c>
      <c r="DE9" s="93">
        <v>367.64</v>
      </c>
      <c r="DF9" s="93">
        <v>366.62</v>
      </c>
      <c r="DG9" s="93">
        <v>365.6</v>
      </c>
      <c r="DH9" s="93">
        <v>364.58</v>
      </c>
      <c r="DI9" s="93">
        <v>363.56</v>
      </c>
      <c r="DJ9" s="93">
        <v>362.54</v>
      </c>
      <c r="DK9" s="93">
        <v>361.52</v>
      </c>
      <c r="DL9" s="93">
        <v>360.51</v>
      </c>
      <c r="DM9" s="93">
        <v>359.49</v>
      </c>
      <c r="DN9" s="93">
        <v>358.47</v>
      </c>
      <c r="DO9" s="93">
        <v>357.45</v>
      </c>
      <c r="DP9" s="93">
        <v>356.44</v>
      </c>
      <c r="DQ9" s="93">
        <v>355.42</v>
      </c>
      <c r="DR9" s="93">
        <v>354.4</v>
      </c>
      <c r="DS9" s="93">
        <v>353.39</v>
      </c>
      <c r="DT9" s="93">
        <v>352.37</v>
      </c>
      <c r="DU9" s="93">
        <v>351.36</v>
      </c>
      <c r="DV9" s="93">
        <v>350.35</v>
      </c>
      <c r="DW9" s="93">
        <v>349.34</v>
      </c>
      <c r="DX9" s="93">
        <v>348.33</v>
      </c>
      <c r="DY9" s="93">
        <v>347.32</v>
      </c>
      <c r="DZ9" s="93">
        <v>346.31</v>
      </c>
      <c r="EA9" s="93">
        <v>345.3</v>
      </c>
      <c r="EB9" s="93">
        <v>344.3</v>
      </c>
      <c r="EC9" s="93">
        <v>343.29</v>
      </c>
      <c r="ED9" s="93">
        <v>342.28</v>
      </c>
      <c r="EE9" s="93">
        <v>341.28</v>
      </c>
      <c r="EF9" s="93">
        <v>340.27</v>
      </c>
      <c r="EG9" s="93">
        <v>339.27</v>
      </c>
      <c r="EH9" s="93">
        <v>338.27</v>
      </c>
      <c r="EI9" s="93">
        <v>337.27</v>
      </c>
      <c r="EJ9" s="93">
        <v>336.27</v>
      </c>
      <c r="EK9" s="93">
        <v>335.28</v>
      </c>
      <c r="EL9" s="93">
        <v>334.28</v>
      </c>
      <c r="EM9" s="93">
        <v>333.28</v>
      </c>
      <c r="EN9" s="93">
        <v>332.29</v>
      </c>
      <c r="EO9" s="93">
        <v>331.29</v>
      </c>
      <c r="EP9" s="93">
        <v>330.29</v>
      </c>
      <c r="EQ9" s="93">
        <v>329.3</v>
      </c>
      <c r="ER9" s="93">
        <v>328.31</v>
      </c>
      <c r="ES9" s="93">
        <v>327.31</v>
      </c>
      <c r="ET9" s="93">
        <v>326.32</v>
      </c>
      <c r="EU9" s="93">
        <v>325.32</v>
      </c>
      <c r="EV9" s="93">
        <v>324.33999999999997</v>
      </c>
      <c r="EW9" s="93">
        <v>323.35000000000002</v>
      </c>
      <c r="EX9" s="93">
        <v>322.37</v>
      </c>
      <c r="EY9" s="93">
        <v>321.38</v>
      </c>
      <c r="EZ9" s="93">
        <v>320.39</v>
      </c>
      <c r="FA9" s="93">
        <v>319.39999999999998</v>
      </c>
      <c r="FB9" s="93">
        <v>318.41000000000003</v>
      </c>
      <c r="FC9" s="93">
        <v>317.43</v>
      </c>
      <c r="FD9" s="93">
        <v>316.45</v>
      </c>
      <c r="FE9" s="93">
        <v>315.47000000000003</v>
      </c>
      <c r="FF9" s="93">
        <v>314.48</v>
      </c>
      <c r="FG9" s="93">
        <v>313.5</v>
      </c>
      <c r="FH9" s="93">
        <v>312.51</v>
      </c>
      <c r="FI9" s="93">
        <v>311.54000000000002</v>
      </c>
      <c r="FJ9" s="93">
        <v>310.57</v>
      </c>
      <c r="FK9" s="93">
        <v>309.58999999999997</v>
      </c>
      <c r="FL9" s="93">
        <v>308.60000000000002</v>
      </c>
      <c r="FM9" s="93">
        <v>307.64</v>
      </c>
      <c r="FN9" s="93">
        <v>306.66000000000003</v>
      </c>
      <c r="FO9" s="93">
        <v>305.68</v>
      </c>
      <c r="FP9" s="93">
        <v>304.70999999999998</v>
      </c>
      <c r="FQ9" s="93">
        <v>303.74</v>
      </c>
      <c r="FR9" s="93">
        <v>302.76</v>
      </c>
      <c r="FS9" s="93">
        <v>301.79000000000002</v>
      </c>
      <c r="FT9" s="93">
        <v>300.82</v>
      </c>
      <c r="FU9" s="93">
        <v>299.85000000000002</v>
      </c>
      <c r="FV9" s="93">
        <v>298.89</v>
      </c>
      <c r="FW9" s="93">
        <v>297.92</v>
      </c>
      <c r="FX9" s="93">
        <v>296.95</v>
      </c>
      <c r="FY9" s="93">
        <v>295.99</v>
      </c>
      <c r="FZ9" s="93">
        <v>295.01</v>
      </c>
      <c r="GA9" s="93">
        <v>294.06</v>
      </c>
      <c r="GB9" s="93">
        <v>293.08999999999997</v>
      </c>
      <c r="GC9" s="93">
        <v>292.13</v>
      </c>
      <c r="GD9" s="93">
        <v>291.17</v>
      </c>
      <c r="GE9" s="93">
        <v>290.20999999999998</v>
      </c>
      <c r="GF9" s="93">
        <v>289.25</v>
      </c>
      <c r="GG9" s="93">
        <v>288.29000000000002</v>
      </c>
      <c r="GH9" s="93">
        <v>287.33999999999997</v>
      </c>
      <c r="GI9" s="93">
        <v>286.38</v>
      </c>
      <c r="GJ9" s="93">
        <v>285.42</v>
      </c>
      <c r="GK9" s="93">
        <v>284.47000000000003</v>
      </c>
      <c r="GL9" s="93">
        <v>283.51</v>
      </c>
      <c r="GM9" s="93">
        <v>282.56</v>
      </c>
      <c r="GN9" s="93">
        <v>281.60000000000002</v>
      </c>
      <c r="GO9" s="93">
        <v>280.67</v>
      </c>
      <c r="GP9" s="93">
        <v>279.72000000000003</v>
      </c>
      <c r="GQ9" s="93">
        <v>278.76</v>
      </c>
      <c r="GR9" s="93">
        <v>277.82</v>
      </c>
      <c r="GS9" s="93">
        <v>276.89</v>
      </c>
      <c r="GT9" s="93">
        <v>275.94</v>
      </c>
      <c r="GU9" s="93">
        <v>275</v>
      </c>
      <c r="GV9" s="93">
        <v>274.06</v>
      </c>
      <c r="GW9" s="93">
        <v>273.12</v>
      </c>
      <c r="GX9" s="93">
        <v>272.18</v>
      </c>
      <c r="GY9" s="93">
        <v>271.25</v>
      </c>
      <c r="GZ9" s="93">
        <v>270.31</v>
      </c>
      <c r="HA9" s="93">
        <v>269.38</v>
      </c>
      <c r="HB9" s="93">
        <v>268.44</v>
      </c>
      <c r="HC9" s="93">
        <v>267.51</v>
      </c>
      <c r="HD9" s="93">
        <v>266.57</v>
      </c>
      <c r="HE9" s="93">
        <v>265.64999999999998</v>
      </c>
      <c r="HF9" s="93">
        <v>264.72000000000003</v>
      </c>
      <c r="HG9" s="93">
        <v>263.79000000000002</v>
      </c>
      <c r="HH9" s="93">
        <v>262.87</v>
      </c>
      <c r="HI9" s="93">
        <v>261.95</v>
      </c>
      <c r="HJ9" s="93">
        <v>261.01</v>
      </c>
      <c r="HK9" s="93">
        <v>260.10000000000002</v>
      </c>
      <c r="HL9" s="93">
        <v>259.18</v>
      </c>
      <c r="HM9" s="93">
        <v>258.26</v>
      </c>
      <c r="HN9" s="93">
        <v>257.35000000000002</v>
      </c>
      <c r="HO9" s="93">
        <v>256.44</v>
      </c>
      <c r="HP9" s="93">
        <v>255.53</v>
      </c>
      <c r="HQ9" s="93">
        <v>254.62</v>
      </c>
      <c r="HR9" s="93">
        <v>253.71</v>
      </c>
      <c r="HS9" s="93">
        <v>252.8</v>
      </c>
      <c r="HT9" s="93">
        <v>251.89</v>
      </c>
      <c r="HU9" s="93">
        <v>250.99</v>
      </c>
      <c r="HV9" s="93">
        <v>250.08</v>
      </c>
      <c r="HW9" s="93">
        <v>249.18</v>
      </c>
      <c r="HX9" s="93">
        <v>248.27</v>
      </c>
      <c r="HY9" s="93">
        <v>247.37</v>
      </c>
      <c r="HZ9" s="93">
        <v>246.47</v>
      </c>
      <c r="IA9" s="93">
        <v>245.58</v>
      </c>
      <c r="IB9" s="93">
        <v>244.68</v>
      </c>
      <c r="IC9" s="93">
        <v>243.78</v>
      </c>
      <c r="ID9" s="93">
        <v>242.89</v>
      </c>
      <c r="IE9" s="93">
        <v>241.99</v>
      </c>
      <c r="IF9" s="93">
        <v>241.1</v>
      </c>
      <c r="IG9" s="93">
        <v>240.21</v>
      </c>
      <c r="IH9" s="93">
        <v>239.32</v>
      </c>
      <c r="II9" s="93">
        <v>238.43</v>
      </c>
      <c r="IJ9" s="93">
        <v>237.54</v>
      </c>
      <c r="IK9" s="93">
        <v>236.65</v>
      </c>
      <c r="IL9" s="93">
        <v>235.77</v>
      </c>
      <c r="IM9" s="93">
        <v>234.89</v>
      </c>
      <c r="IN9" s="93">
        <v>234</v>
      </c>
      <c r="IO9" s="93">
        <v>233.12</v>
      </c>
      <c r="IP9" s="93">
        <v>232.24</v>
      </c>
      <c r="IQ9" s="93">
        <v>231.37</v>
      </c>
      <c r="IR9" s="93">
        <v>230.49</v>
      </c>
      <c r="IS9" s="93">
        <v>229.61</v>
      </c>
      <c r="IT9" s="93">
        <v>228.74</v>
      </c>
      <c r="IU9" s="93">
        <v>227.87</v>
      </c>
      <c r="IV9" s="93">
        <v>227</v>
      </c>
      <c r="IW9" s="93">
        <v>226.14</v>
      </c>
      <c r="IX9" s="93">
        <v>225.27</v>
      </c>
      <c r="IY9" s="93">
        <v>224.41</v>
      </c>
      <c r="IZ9" s="93">
        <v>223.55</v>
      </c>
      <c r="JA9" s="93">
        <v>222.69</v>
      </c>
      <c r="JB9" s="93">
        <v>221.83</v>
      </c>
      <c r="JC9" s="93">
        <v>220.98</v>
      </c>
      <c r="JD9" s="93">
        <v>220.12</v>
      </c>
      <c r="JE9" s="93">
        <v>219.27</v>
      </c>
      <c r="JF9" s="93">
        <v>218.41</v>
      </c>
      <c r="JG9" s="93">
        <v>217.56</v>
      </c>
      <c r="JH9" s="93">
        <v>216.71</v>
      </c>
      <c r="JI9" s="93">
        <v>215.86</v>
      </c>
      <c r="JJ9" s="93">
        <v>215.02</v>
      </c>
      <c r="JK9" s="93">
        <v>214.17</v>
      </c>
      <c r="JL9" s="93">
        <v>213.33</v>
      </c>
      <c r="JM9" s="93">
        <v>212.48</v>
      </c>
      <c r="JN9" s="93">
        <v>211.64</v>
      </c>
      <c r="JO9" s="93">
        <v>210.8</v>
      </c>
      <c r="JP9" s="93">
        <v>209.96</v>
      </c>
      <c r="JQ9" s="93">
        <v>209.12</v>
      </c>
      <c r="JR9" s="93">
        <v>208.28</v>
      </c>
      <c r="JS9" s="93">
        <v>207.44</v>
      </c>
      <c r="JT9" s="93">
        <v>206.61</v>
      </c>
      <c r="JU9" s="93">
        <v>205.77</v>
      </c>
      <c r="JV9" s="93">
        <v>204.93</v>
      </c>
      <c r="JW9" s="93">
        <v>204.1</v>
      </c>
      <c r="JX9" s="93">
        <v>203.26</v>
      </c>
      <c r="JY9" s="93">
        <v>202.43</v>
      </c>
      <c r="JZ9" s="93">
        <v>201.6</v>
      </c>
      <c r="KA9" s="93">
        <v>200.77</v>
      </c>
      <c r="KB9" s="93">
        <v>199.94</v>
      </c>
      <c r="KC9" s="93">
        <v>199.11</v>
      </c>
      <c r="KD9" s="93">
        <v>198.28</v>
      </c>
      <c r="KE9" s="93">
        <v>197.46</v>
      </c>
      <c r="KF9" s="93">
        <v>196.63</v>
      </c>
      <c r="KG9" s="93">
        <v>195.81</v>
      </c>
      <c r="KH9" s="93">
        <v>194.99</v>
      </c>
      <c r="KI9" s="93">
        <v>194.17</v>
      </c>
      <c r="KJ9" s="93">
        <v>193.35</v>
      </c>
      <c r="KK9" s="93">
        <v>192.53</v>
      </c>
      <c r="KL9" s="93">
        <v>191.71</v>
      </c>
      <c r="KM9" s="93">
        <v>190.9</v>
      </c>
      <c r="KN9" s="93">
        <v>190.08</v>
      </c>
      <c r="KO9" s="93">
        <v>189.27</v>
      </c>
      <c r="KP9" s="93">
        <v>188.46</v>
      </c>
      <c r="KQ9" s="93">
        <v>187.65</v>
      </c>
      <c r="KR9" s="98">
        <f t="shared" si="13"/>
        <v>186.77</v>
      </c>
      <c r="KS9" s="98">
        <f t="shared" si="14"/>
        <v>185.98</v>
      </c>
      <c r="KT9" s="98">
        <f t="shared" si="15"/>
        <v>185.16</v>
      </c>
      <c r="KU9" s="98">
        <f t="shared" si="15"/>
        <v>184.37</v>
      </c>
      <c r="KV9" s="98">
        <f t="shared" si="15"/>
        <v>183.59</v>
      </c>
      <c r="KW9" s="98">
        <f t="shared" si="15"/>
        <v>182.8</v>
      </c>
      <c r="KX9" s="98">
        <f t="shared" si="15"/>
        <v>182.01</v>
      </c>
      <c r="KY9" s="98">
        <f t="shared" si="15"/>
        <v>181.23</v>
      </c>
      <c r="KZ9" s="98">
        <f t="shared" si="15"/>
        <v>180.44</v>
      </c>
      <c r="LA9" s="98">
        <f t="shared" si="15"/>
        <v>179.66</v>
      </c>
      <c r="LB9" s="98">
        <f t="shared" si="15"/>
        <v>178.88</v>
      </c>
      <c r="LC9" s="98">
        <f t="shared" si="15"/>
        <v>178.1</v>
      </c>
      <c r="LD9" s="98">
        <f t="shared" si="15"/>
        <v>177.32</v>
      </c>
      <c r="LE9" s="98">
        <f t="shared" si="15"/>
        <v>176.54</v>
      </c>
      <c r="LF9" s="98">
        <f t="shared" si="15"/>
        <v>175.77</v>
      </c>
      <c r="LG9" s="98">
        <f t="shared" si="15"/>
        <v>175</v>
      </c>
      <c r="LH9" s="98">
        <f t="shared" si="15"/>
        <v>174.22</v>
      </c>
      <c r="LI9" s="98">
        <f t="shared" si="15"/>
        <v>173.45</v>
      </c>
      <c r="LJ9" s="98">
        <f t="shared" ref="LJ9:LY24" si="17">LJ8+0.75</f>
        <v>172.68</v>
      </c>
      <c r="LK9" s="98">
        <f t="shared" si="17"/>
        <v>171.91</v>
      </c>
      <c r="LL9" s="98">
        <f t="shared" si="17"/>
        <v>171.14</v>
      </c>
      <c r="LM9" s="98">
        <f t="shared" si="17"/>
        <v>170.38</v>
      </c>
      <c r="LN9" s="98">
        <f t="shared" si="17"/>
        <v>169.61</v>
      </c>
      <c r="LO9" s="98">
        <f t="shared" si="17"/>
        <v>168.85</v>
      </c>
      <c r="LP9" s="98">
        <f t="shared" si="17"/>
        <v>168.09</v>
      </c>
      <c r="LQ9" s="98">
        <f t="shared" si="17"/>
        <v>167.33</v>
      </c>
      <c r="LR9" s="98">
        <f t="shared" si="17"/>
        <v>166.57</v>
      </c>
      <c r="LS9" s="98">
        <f t="shared" si="17"/>
        <v>165.81</v>
      </c>
      <c r="LT9" s="98">
        <f t="shared" si="17"/>
        <v>165.06</v>
      </c>
      <c r="LU9" s="98">
        <f t="shared" si="17"/>
        <v>164.31</v>
      </c>
      <c r="LV9" s="98">
        <f t="shared" si="17"/>
        <v>163.55000000000001</v>
      </c>
      <c r="LW9" s="98">
        <f t="shared" si="16"/>
        <v>162.80000000000001</v>
      </c>
      <c r="LX9" s="98">
        <f t="shared" si="16"/>
        <v>162.05000000000001</v>
      </c>
      <c r="LY9" s="98">
        <f t="shared" si="16"/>
        <v>161.30000000000001</v>
      </c>
      <c r="LZ9" s="98">
        <f t="shared" si="16"/>
        <v>160.56</v>
      </c>
      <c r="MA9" s="98">
        <f t="shared" si="16"/>
        <v>159.81</v>
      </c>
      <c r="MB9" s="98">
        <f t="shared" si="16"/>
        <v>159.07</v>
      </c>
      <c r="MC9" s="98">
        <f t="shared" si="16"/>
        <v>158.33000000000001</v>
      </c>
      <c r="MD9" s="98">
        <f t="shared" si="16"/>
        <v>157.59</v>
      </c>
      <c r="ME9" s="98">
        <f t="shared" si="16"/>
        <v>156.86000000000001</v>
      </c>
      <c r="MF9" s="98">
        <f t="shared" si="16"/>
        <v>156.12</v>
      </c>
      <c r="MG9" s="98">
        <f t="shared" si="16"/>
        <v>155.38999999999999</v>
      </c>
      <c r="MH9" s="98">
        <f t="shared" si="16"/>
        <v>154.65</v>
      </c>
      <c r="MI9" s="98">
        <f t="shared" si="16"/>
        <v>153.91999999999999</v>
      </c>
      <c r="MJ9" s="98">
        <f t="shared" si="16"/>
        <v>153.19</v>
      </c>
      <c r="MK9" s="98">
        <f t="shared" si="16"/>
        <v>152.46</v>
      </c>
      <c r="ML9" s="98">
        <f t="shared" si="16"/>
        <v>151.74</v>
      </c>
      <c r="MM9" s="98">
        <f t="shared" si="16"/>
        <v>151.01</v>
      </c>
      <c r="MN9" s="98">
        <f t="shared" si="16"/>
        <v>150.29</v>
      </c>
      <c r="MO9" s="98">
        <f t="shared" si="16"/>
        <v>149.57</v>
      </c>
      <c r="MP9" s="98">
        <f t="shared" si="16"/>
        <v>148.85</v>
      </c>
      <c r="MQ9" s="98">
        <f t="shared" si="16"/>
        <v>148.13999999999999</v>
      </c>
      <c r="MR9" s="98">
        <f t="shared" si="16"/>
        <v>147.41999999999999</v>
      </c>
      <c r="MS9" s="98">
        <f t="shared" si="16"/>
        <v>146.71</v>
      </c>
      <c r="MT9" s="98">
        <f t="shared" si="16"/>
        <v>145.99</v>
      </c>
      <c r="MU9" s="98">
        <f t="shared" si="16"/>
        <v>145.28</v>
      </c>
      <c r="MV9" s="98">
        <f t="shared" si="16"/>
        <v>144.57</v>
      </c>
      <c r="MW9" s="98">
        <f t="shared" si="16"/>
        <v>143.87</v>
      </c>
      <c r="MX9" s="98">
        <f t="shared" si="16"/>
        <v>143.16</v>
      </c>
      <c r="MY9" s="98">
        <f t="shared" si="16"/>
        <v>142.46</v>
      </c>
    </row>
    <row r="10" spans="1:363" ht="15.75" x14ac:dyDescent="0.25">
      <c r="A10" s="90" t="s">
        <v>6</v>
      </c>
      <c r="B10" s="95">
        <v>2020</v>
      </c>
      <c r="C10" s="93">
        <v>478.17</v>
      </c>
      <c r="D10" s="93">
        <v>477.13</v>
      </c>
      <c r="E10" s="93">
        <v>476.09</v>
      </c>
      <c r="F10" s="93">
        <v>475.05</v>
      </c>
      <c r="G10" s="93">
        <v>474.01</v>
      </c>
      <c r="H10" s="93">
        <v>472.97</v>
      </c>
      <c r="I10" s="93">
        <v>471.93</v>
      </c>
      <c r="J10" s="93">
        <v>470.89</v>
      </c>
      <c r="K10" s="93">
        <v>469.85</v>
      </c>
      <c r="L10" s="93">
        <v>468.81</v>
      </c>
      <c r="M10" s="93">
        <v>467.77</v>
      </c>
      <c r="N10" s="93">
        <v>466.73</v>
      </c>
      <c r="O10" s="93">
        <v>465.69</v>
      </c>
      <c r="P10" s="93">
        <v>464.66</v>
      </c>
      <c r="Q10" s="93">
        <v>463.62</v>
      </c>
      <c r="R10" s="93">
        <v>462.58</v>
      </c>
      <c r="S10" s="93">
        <v>461.54</v>
      </c>
      <c r="T10" s="93">
        <v>460.5</v>
      </c>
      <c r="U10" s="93">
        <v>459.46</v>
      </c>
      <c r="V10" s="93">
        <v>458.43</v>
      </c>
      <c r="W10" s="93">
        <v>457.39</v>
      </c>
      <c r="X10" s="93">
        <v>456.35</v>
      </c>
      <c r="Y10" s="93">
        <v>455.31</v>
      </c>
      <c r="Z10" s="93">
        <v>454.27</v>
      </c>
      <c r="AA10" s="93">
        <v>453.24</v>
      </c>
      <c r="AB10" s="93">
        <v>452.2</v>
      </c>
      <c r="AC10" s="93">
        <v>451.16</v>
      </c>
      <c r="AD10" s="93">
        <v>450.12</v>
      </c>
      <c r="AE10" s="93">
        <v>449.09</v>
      </c>
      <c r="AF10" s="93">
        <v>448.05</v>
      </c>
      <c r="AG10" s="93">
        <v>447.01</v>
      </c>
      <c r="AH10" s="93">
        <v>445.97</v>
      </c>
      <c r="AI10" s="93">
        <v>444.94</v>
      </c>
      <c r="AJ10" s="93">
        <v>443.9</v>
      </c>
      <c r="AK10" s="93">
        <v>442.86</v>
      </c>
      <c r="AL10" s="93">
        <v>441.83</v>
      </c>
      <c r="AM10" s="93">
        <v>440.79</v>
      </c>
      <c r="AN10" s="93">
        <v>439.75</v>
      </c>
      <c r="AO10" s="93">
        <v>438.72</v>
      </c>
      <c r="AP10" s="93">
        <v>437.68</v>
      </c>
      <c r="AQ10" s="93">
        <v>436.64</v>
      </c>
      <c r="AR10" s="93">
        <v>435.61</v>
      </c>
      <c r="AS10" s="93">
        <v>434.57</v>
      </c>
      <c r="AT10" s="93">
        <v>433.54</v>
      </c>
      <c r="AU10" s="93">
        <v>432.5</v>
      </c>
      <c r="AV10" s="93">
        <v>431.46</v>
      </c>
      <c r="AW10" s="93">
        <v>430.43</v>
      </c>
      <c r="AX10" s="93">
        <v>429.39</v>
      </c>
      <c r="AY10" s="93">
        <v>428.36</v>
      </c>
      <c r="AZ10" s="93">
        <v>427.32</v>
      </c>
      <c r="BA10" s="93">
        <v>426.29</v>
      </c>
      <c r="BB10" s="93">
        <v>425.25</v>
      </c>
      <c r="BC10" s="93">
        <v>424.22</v>
      </c>
      <c r="BD10" s="93">
        <v>423.18</v>
      </c>
      <c r="BE10" s="93">
        <v>422.15</v>
      </c>
      <c r="BF10" s="93">
        <v>421.11</v>
      </c>
      <c r="BG10" s="93">
        <v>420.08</v>
      </c>
      <c r="BH10" s="93">
        <v>419.04</v>
      </c>
      <c r="BI10" s="93">
        <v>418.01</v>
      </c>
      <c r="BJ10" s="93">
        <v>416.97</v>
      </c>
      <c r="BK10" s="93">
        <v>415.94</v>
      </c>
      <c r="BL10" s="93">
        <v>414.9</v>
      </c>
      <c r="BM10" s="93">
        <v>413.87</v>
      </c>
      <c r="BN10" s="93">
        <v>412.84</v>
      </c>
      <c r="BO10" s="93">
        <v>411.8</v>
      </c>
      <c r="BP10" s="93">
        <v>410.77</v>
      </c>
      <c r="BQ10" s="93">
        <v>409.73</v>
      </c>
      <c r="BR10" s="93">
        <v>408.7</v>
      </c>
      <c r="BS10" s="93">
        <v>407.67</v>
      </c>
      <c r="BT10" s="93">
        <v>406.63</v>
      </c>
      <c r="BU10" s="93">
        <v>405.6</v>
      </c>
      <c r="BV10" s="93">
        <v>404.57</v>
      </c>
      <c r="BW10" s="93">
        <v>403.53</v>
      </c>
      <c r="BX10" s="93">
        <v>402.5</v>
      </c>
      <c r="BY10" s="93">
        <v>401.47</v>
      </c>
      <c r="BZ10" s="93">
        <v>400.44</v>
      </c>
      <c r="CA10" s="93">
        <v>399.42</v>
      </c>
      <c r="CB10" s="93">
        <v>398.39</v>
      </c>
      <c r="CC10" s="93">
        <v>397.36</v>
      </c>
      <c r="CD10" s="93">
        <v>396.33</v>
      </c>
      <c r="CE10" s="93">
        <v>395.3</v>
      </c>
      <c r="CF10" s="93">
        <v>394.27</v>
      </c>
      <c r="CG10" s="93">
        <v>393.24</v>
      </c>
      <c r="CH10" s="93">
        <v>392.22</v>
      </c>
      <c r="CI10" s="93">
        <v>391.19</v>
      </c>
      <c r="CJ10" s="93">
        <v>390.16</v>
      </c>
      <c r="CK10" s="93">
        <v>389.14</v>
      </c>
      <c r="CL10" s="93">
        <v>388.11</v>
      </c>
      <c r="CM10" s="93">
        <v>387.08</v>
      </c>
      <c r="CN10" s="93">
        <v>386.06</v>
      </c>
      <c r="CO10" s="93">
        <v>385.03</v>
      </c>
      <c r="CP10" s="93">
        <v>384</v>
      </c>
      <c r="CQ10" s="93">
        <v>382.98</v>
      </c>
      <c r="CR10" s="93">
        <v>381.95</v>
      </c>
      <c r="CS10" s="93">
        <v>380.92</v>
      </c>
      <c r="CT10" s="93">
        <v>379.9</v>
      </c>
      <c r="CU10" s="93">
        <v>378.87</v>
      </c>
      <c r="CV10" s="93">
        <v>377.85</v>
      </c>
      <c r="CW10" s="93">
        <v>376.83</v>
      </c>
      <c r="CX10" s="93">
        <v>375.8</v>
      </c>
      <c r="CY10" s="93">
        <v>374.78</v>
      </c>
      <c r="CZ10" s="93">
        <v>373.76</v>
      </c>
      <c r="DA10" s="93">
        <v>372.73</v>
      </c>
      <c r="DB10" s="93">
        <v>371.71</v>
      </c>
      <c r="DC10" s="93">
        <v>370.69</v>
      </c>
      <c r="DD10" s="93">
        <v>369.67</v>
      </c>
      <c r="DE10" s="93">
        <v>368.65</v>
      </c>
      <c r="DF10" s="93">
        <v>367.62</v>
      </c>
      <c r="DG10" s="93">
        <v>366.6</v>
      </c>
      <c r="DH10" s="93">
        <v>365.58</v>
      </c>
      <c r="DI10" s="93">
        <v>364.56</v>
      </c>
      <c r="DJ10" s="93">
        <v>363.54</v>
      </c>
      <c r="DK10" s="93">
        <v>362.53</v>
      </c>
      <c r="DL10" s="93">
        <v>361.51</v>
      </c>
      <c r="DM10" s="93">
        <v>360.49</v>
      </c>
      <c r="DN10" s="93">
        <v>359.47</v>
      </c>
      <c r="DO10" s="93">
        <v>358.45</v>
      </c>
      <c r="DP10" s="93">
        <v>357.43</v>
      </c>
      <c r="DQ10" s="93">
        <v>356.42</v>
      </c>
      <c r="DR10" s="93">
        <v>355.4</v>
      </c>
      <c r="DS10" s="93">
        <v>354.38</v>
      </c>
      <c r="DT10" s="93">
        <v>353.37</v>
      </c>
      <c r="DU10" s="93">
        <v>352.36</v>
      </c>
      <c r="DV10" s="93">
        <v>351.35</v>
      </c>
      <c r="DW10" s="93">
        <v>350.33</v>
      </c>
      <c r="DX10" s="93">
        <v>349.32</v>
      </c>
      <c r="DY10" s="93">
        <v>348.31</v>
      </c>
      <c r="DZ10" s="93">
        <v>347.3</v>
      </c>
      <c r="EA10" s="93">
        <v>346.29</v>
      </c>
      <c r="EB10" s="93">
        <v>345.29</v>
      </c>
      <c r="EC10" s="93">
        <v>344.28</v>
      </c>
      <c r="ED10" s="93">
        <v>343.27</v>
      </c>
      <c r="EE10" s="93">
        <v>342.26</v>
      </c>
      <c r="EF10" s="93">
        <v>341.26</v>
      </c>
      <c r="EG10" s="93">
        <v>340.26</v>
      </c>
      <c r="EH10" s="93">
        <v>339.26</v>
      </c>
      <c r="EI10" s="93">
        <v>338.26</v>
      </c>
      <c r="EJ10" s="93">
        <v>337.26</v>
      </c>
      <c r="EK10" s="93">
        <v>336.26</v>
      </c>
      <c r="EL10" s="93">
        <v>335.26</v>
      </c>
      <c r="EM10" s="93">
        <v>334.26</v>
      </c>
      <c r="EN10" s="93">
        <v>333.27</v>
      </c>
      <c r="EO10" s="93">
        <v>332.27</v>
      </c>
      <c r="EP10" s="93">
        <v>331.27</v>
      </c>
      <c r="EQ10" s="93">
        <v>330.28</v>
      </c>
      <c r="ER10" s="93">
        <v>329.28</v>
      </c>
      <c r="ES10" s="93">
        <v>328.29</v>
      </c>
      <c r="ET10" s="93">
        <v>327.29000000000002</v>
      </c>
      <c r="EU10" s="93">
        <v>326.31</v>
      </c>
      <c r="EV10" s="93">
        <v>325.32</v>
      </c>
      <c r="EW10" s="93">
        <v>324.32</v>
      </c>
      <c r="EX10" s="93">
        <v>323.33999999999997</v>
      </c>
      <c r="EY10" s="93">
        <v>322.35000000000002</v>
      </c>
      <c r="EZ10" s="93">
        <v>321.35000000000002</v>
      </c>
      <c r="FA10" s="93">
        <v>320.37</v>
      </c>
      <c r="FB10" s="93">
        <v>319.38</v>
      </c>
      <c r="FC10" s="93">
        <v>318.39999999999998</v>
      </c>
      <c r="FD10" s="93">
        <v>317.41000000000003</v>
      </c>
      <c r="FE10" s="93">
        <v>316.43</v>
      </c>
      <c r="FF10" s="93">
        <v>315.45</v>
      </c>
      <c r="FG10" s="93">
        <v>314.47000000000003</v>
      </c>
      <c r="FH10" s="93">
        <v>313.49</v>
      </c>
      <c r="FI10" s="93">
        <v>312.51</v>
      </c>
      <c r="FJ10" s="93">
        <v>311.52999999999997</v>
      </c>
      <c r="FK10" s="93">
        <v>310.54000000000002</v>
      </c>
      <c r="FL10" s="93">
        <v>309.57</v>
      </c>
      <c r="FM10" s="93">
        <v>308.60000000000002</v>
      </c>
      <c r="FN10" s="93">
        <v>307.62</v>
      </c>
      <c r="FO10" s="93">
        <v>306.64</v>
      </c>
      <c r="FP10" s="93">
        <v>305.67</v>
      </c>
      <c r="FQ10" s="93">
        <v>304.7</v>
      </c>
      <c r="FR10" s="93">
        <v>303.72000000000003</v>
      </c>
      <c r="FS10" s="93">
        <v>302.75</v>
      </c>
      <c r="FT10" s="93">
        <v>301.77999999999997</v>
      </c>
      <c r="FU10" s="93">
        <v>300.81</v>
      </c>
      <c r="FV10" s="93">
        <v>299.83999999999997</v>
      </c>
      <c r="FW10" s="93">
        <v>298.87</v>
      </c>
      <c r="FX10" s="93">
        <v>297.89999999999998</v>
      </c>
      <c r="FY10" s="93">
        <v>296.93</v>
      </c>
      <c r="FZ10" s="93">
        <v>295.97000000000003</v>
      </c>
      <c r="GA10" s="93">
        <v>295</v>
      </c>
      <c r="GB10" s="93">
        <v>294.04000000000002</v>
      </c>
      <c r="GC10" s="93">
        <v>293.07</v>
      </c>
      <c r="GD10" s="93">
        <v>292.10000000000002</v>
      </c>
      <c r="GE10" s="93">
        <v>291.14999999999998</v>
      </c>
      <c r="GF10" s="93">
        <v>290.19</v>
      </c>
      <c r="GG10" s="93">
        <v>289.23</v>
      </c>
      <c r="GH10" s="93">
        <v>288.26</v>
      </c>
      <c r="GI10" s="93">
        <v>287.32</v>
      </c>
      <c r="GJ10" s="93">
        <v>286.35000000000002</v>
      </c>
      <c r="GK10" s="93">
        <v>285.39999999999998</v>
      </c>
      <c r="GL10" s="93">
        <v>284.45</v>
      </c>
      <c r="GM10" s="93">
        <v>283.49</v>
      </c>
      <c r="GN10" s="93">
        <v>282.54000000000002</v>
      </c>
      <c r="GO10" s="93">
        <v>281.60000000000002</v>
      </c>
      <c r="GP10" s="93">
        <v>280.64999999999998</v>
      </c>
      <c r="GQ10" s="93">
        <v>279.7</v>
      </c>
      <c r="GR10" s="93">
        <v>278.76</v>
      </c>
      <c r="GS10" s="93">
        <v>277.81</v>
      </c>
      <c r="GT10" s="93">
        <v>276.87</v>
      </c>
      <c r="GU10" s="93">
        <v>275.93</v>
      </c>
      <c r="GV10" s="93">
        <v>274.98</v>
      </c>
      <c r="GW10" s="93">
        <v>274.04000000000002</v>
      </c>
      <c r="GX10" s="93">
        <v>273.10000000000002</v>
      </c>
      <c r="GY10" s="93">
        <v>272.16000000000003</v>
      </c>
      <c r="GZ10" s="93">
        <v>271.23</v>
      </c>
      <c r="HA10" s="93">
        <v>270.29000000000002</v>
      </c>
      <c r="HB10" s="93">
        <v>269.35000000000002</v>
      </c>
      <c r="HC10" s="93">
        <v>268.43</v>
      </c>
      <c r="HD10" s="93">
        <v>267.49</v>
      </c>
      <c r="HE10" s="93">
        <v>266.56</v>
      </c>
      <c r="HF10" s="93">
        <v>265.63</v>
      </c>
      <c r="HG10" s="93">
        <v>264.7</v>
      </c>
      <c r="HH10" s="93">
        <v>263.77999999999997</v>
      </c>
      <c r="HI10" s="93">
        <v>262.85000000000002</v>
      </c>
      <c r="HJ10" s="93">
        <v>261.93</v>
      </c>
      <c r="HK10" s="93">
        <v>261</v>
      </c>
      <c r="HL10" s="93">
        <v>260.07</v>
      </c>
      <c r="HM10" s="93">
        <v>259.17</v>
      </c>
      <c r="HN10" s="93">
        <v>258.25</v>
      </c>
      <c r="HO10" s="93">
        <v>257.33999999999997</v>
      </c>
      <c r="HP10" s="93">
        <v>256.42</v>
      </c>
      <c r="HQ10" s="93">
        <v>255.51</v>
      </c>
      <c r="HR10" s="93">
        <v>254.6</v>
      </c>
      <c r="HS10" s="93">
        <v>253.69</v>
      </c>
      <c r="HT10" s="93">
        <v>252.78</v>
      </c>
      <c r="HU10" s="93">
        <v>251.87</v>
      </c>
      <c r="HV10" s="93">
        <v>250.97</v>
      </c>
      <c r="HW10" s="93">
        <v>250.06</v>
      </c>
      <c r="HX10" s="93">
        <v>249.16</v>
      </c>
      <c r="HY10" s="93">
        <v>248.26</v>
      </c>
      <c r="HZ10" s="93">
        <v>247.36</v>
      </c>
      <c r="IA10" s="93">
        <v>246.46</v>
      </c>
      <c r="IB10" s="93">
        <v>245.56</v>
      </c>
      <c r="IC10" s="93">
        <v>244.66</v>
      </c>
      <c r="ID10" s="93">
        <v>243.76</v>
      </c>
      <c r="IE10" s="93">
        <v>242.87</v>
      </c>
      <c r="IF10" s="93">
        <v>241.97</v>
      </c>
      <c r="IG10" s="93">
        <v>241.08</v>
      </c>
      <c r="IH10" s="93">
        <v>240.19</v>
      </c>
      <c r="II10" s="93">
        <v>239.29</v>
      </c>
      <c r="IJ10" s="93">
        <v>238.41</v>
      </c>
      <c r="IK10" s="93">
        <v>237.52</v>
      </c>
      <c r="IL10" s="93">
        <v>236.63</v>
      </c>
      <c r="IM10" s="93">
        <v>235.75</v>
      </c>
      <c r="IN10" s="93">
        <v>234.86</v>
      </c>
      <c r="IO10" s="93">
        <v>233.98</v>
      </c>
      <c r="IP10" s="93">
        <v>233.1</v>
      </c>
      <c r="IQ10" s="93">
        <v>232.22</v>
      </c>
      <c r="IR10" s="93">
        <v>231.34</v>
      </c>
      <c r="IS10" s="93">
        <v>230.47</v>
      </c>
      <c r="IT10" s="93">
        <v>229.59</v>
      </c>
      <c r="IU10" s="93">
        <v>228.71</v>
      </c>
      <c r="IV10" s="93">
        <v>227.85</v>
      </c>
      <c r="IW10" s="93">
        <v>226.98</v>
      </c>
      <c r="IX10" s="93">
        <v>226.12</v>
      </c>
      <c r="IY10" s="93">
        <v>225.25</v>
      </c>
      <c r="IZ10" s="93">
        <v>224.39</v>
      </c>
      <c r="JA10" s="93">
        <v>223.53</v>
      </c>
      <c r="JB10" s="93">
        <v>222.67</v>
      </c>
      <c r="JC10" s="93">
        <v>221.81</v>
      </c>
      <c r="JD10" s="93">
        <v>220.96</v>
      </c>
      <c r="JE10" s="93">
        <v>220.1</v>
      </c>
      <c r="JF10" s="93">
        <v>219.24</v>
      </c>
      <c r="JG10" s="93">
        <v>218.39</v>
      </c>
      <c r="JH10" s="93">
        <v>217.54</v>
      </c>
      <c r="JI10" s="93">
        <v>216.69</v>
      </c>
      <c r="JJ10" s="93">
        <v>215.84</v>
      </c>
      <c r="JK10" s="93">
        <v>214.99</v>
      </c>
      <c r="JL10" s="93">
        <v>214.15</v>
      </c>
      <c r="JM10" s="93">
        <v>213.3</v>
      </c>
      <c r="JN10" s="93">
        <v>212.46</v>
      </c>
      <c r="JO10" s="93">
        <v>211.61</v>
      </c>
      <c r="JP10" s="93">
        <v>210.77</v>
      </c>
      <c r="JQ10" s="93">
        <v>209.93</v>
      </c>
      <c r="JR10" s="93">
        <v>209.09</v>
      </c>
      <c r="JS10" s="93">
        <v>208.25</v>
      </c>
      <c r="JT10" s="93">
        <v>207.41</v>
      </c>
      <c r="JU10" s="93">
        <v>206.57</v>
      </c>
      <c r="JV10" s="93">
        <v>205.73</v>
      </c>
      <c r="JW10" s="93">
        <v>204.9</v>
      </c>
      <c r="JX10" s="93">
        <v>204.06</v>
      </c>
      <c r="JY10" s="93">
        <v>203.23</v>
      </c>
      <c r="JZ10" s="93">
        <v>202.39</v>
      </c>
      <c r="KA10" s="93">
        <v>201.56</v>
      </c>
      <c r="KB10" s="93">
        <v>200.73</v>
      </c>
      <c r="KC10" s="93">
        <v>199.9</v>
      </c>
      <c r="KD10" s="93">
        <v>199.07</v>
      </c>
      <c r="KE10" s="93">
        <v>198.24</v>
      </c>
      <c r="KF10" s="93">
        <v>197.41</v>
      </c>
      <c r="KG10" s="93">
        <v>196.59</v>
      </c>
      <c r="KH10" s="93">
        <v>195.77</v>
      </c>
      <c r="KI10" s="93">
        <v>194.94</v>
      </c>
      <c r="KJ10" s="93">
        <v>194.12</v>
      </c>
      <c r="KK10" s="93">
        <v>193.3</v>
      </c>
      <c r="KL10" s="93">
        <v>192.48</v>
      </c>
      <c r="KM10" s="93">
        <v>191.66</v>
      </c>
      <c r="KN10" s="93">
        <v>190.85</v>
      </c>
      <c r="KO10" s="93">
        <v>190.03</v>
      </c>
      <c r="KP10" s="93">
        <v>189.22</v>
      </c>
      <c r="KQ10" s="93">
        <v>188.41</v>
      </c>
      <c r="KR10" s="98">
        <f t="shared" si="13"/>
        <v>187.52</v>
      </c>
      <c r="KS10" s="98">
        <f t="shared" si="14"/>
        <v>186.73</v>
      </c>
      <c r="KT10" s="98">
        <f t="shared" si="15"/>
        <v>185.91</v>
      </c>
      <c r="KU10" s="98">
        <f t="shared" si="15"/>
        <v>185.12</v>
      </c>
      <c r="KV10" s="98">
        <f t="shared" si="15"/>
        <v>184.34</v>
      </c>
      <c r="KW10" s="98">
        <f t="shared" si="15"/>
        <v>183.55</v>
      </c>
      <c r="KX10" s="98">
        <f t="shared" si="15"/>
        <v>182.76</v>
      </c>
      <c r="KY10" s="98">
        <f t="shared" si="15"/>
        <v>181.98</v>
      </c>
      <c r="KZ10" s="98">
        <f t="shared" si="15"/>
        <v>181.19</v>
      </c>
      <c r="LA10" s="98">
        <f t="shared" si="15"/>
        <v>180.41</v>
      </c>
      <c r="LB10" s="98">
        <f t="shared" si="15"/>
        <v>179.63</v>
      </c>
      <c r="LC10" s="98">
        <f t="shared" si="15"/>
        <v>178.85</v>
      </c>
      <c r="LD10" s="98">
        <f t="shared" si="15"/>
        <v>178.07</v>
      </c>
      <c r="LE10" s="98">
        <f t="shared" si="15"/>
        <v>177.29</v>
      </c>
      <c r="LF10" s="98">
        <f t="shared" si="15"/>
        <v>176.52</v>
      </c>
      <c r="LG10" s="98">
        <f t="shared" si="15"/>
        <v>175.75</v>
      </c>
      <c r="LH10" s="98">
        <f t="shared" si="15"/>
        <v>174.97</v>
      </c>
      <c r="LI10" s="98">
        <f t="shared" si="15"/>
        <v>174.2</v>
      </c>
      <c r="LJ10" s="98">
        <f t="shared" si="17"/>
        <v>173.43</v>
      </c>
      <c r="LK10" s="98">
        <f t="shared" si="17"/>
        <v>172.66</v>
      </c>
      <c r="LL10" s="98">
        <f t="shared" si="17"/>
        <v>171.89</v>
      </c>
      <c r="LM10" s="98">
        <f t="shared" si="17"/>
        <v>171.13</v>
      </c>
      <c r="LN10" s="98">
        <f t="shared" si="17"/>
        <v>170.36</v>
      </c>
      <c r="LO10" s="98">
        <f t="shared" si="17"/>
        <v>169.6</v>
      </c>
      <c r="LP10" s="98">
        <f t="shared" si="17"/>
        <v>168.84</v>
      </c>
      <c r="LQ10" s="98">
        <f t="shared" si="17"/>
        <v>168.08</v>
      </c>
      <c r="LR10" s="98">
        <f t="shared" si="17"/>
        <v>167.32</v>
      </c>
      <c r="LS10" s="98">
        <f t="shared" si="17"/>
        <v>166.56</v>
      </c>
      <c r="LT10" s="98">
        <f t="shared" si="17"/>
        <v>165.81</v>
      </c>
      <c r="LU10" s="98">
        <f t="shared" si="17"/>
        <v>165.06</v>
      </c>
      <c r="LV10" s="98">
        <f t="shared" si="17"/>
        <v>164.3</v>
      </c>
      <c r="LW10" s="98">
        <f t="shared" si="16"/>
        <v>163.55000000000001</v>
      </c>
      <c r="LX10" s="98">
        <f t="shared" si="16"/>
        <v>162.80000000000001</v>
      </c>
      <c r="LY10" s="98">
        <f t="shared" si="16"/>
        <v>162.05000000000001</v>
      </c>
      <c r="LZ10" s="98">
        <f t="shared" si="16"/>
        <v>161.31</v>
      </c>
      <c r="MA10" s="98">
        <f t="shared" si="16"/>
        <v>160.56</v>
      </c>
      <c r="MB10" s="98">
        <f t="shared" si="16"/>
        <v>159.82</v>
      </c>
      <c r="MC10" s="98">
        <f t="shared" si="16"/>
        <v>159.08000000000001</v>
      </c>
      <c r="MD10" s="98">
        <f t="shared" si="16"/>
        <v>158.34</v>
      </c>
      <c r="ME10" s="98">
        <f t="shared" si="16"/>
        <v>157.61000000000001</v>
      </c>
      <c r="MF10" s="98">
        <f t="shared" si="16"/>
        <v>156.87</v>
      </c>
      <c r="MG10" s="98">
        <f t="shared" si="16"/>
        <v>156.13999999999999</v>
      </c>
      <c r="MH10" s="98">
        <f t="shared" si="16"/>
        <v>155.4</v>
      </c>
      <c r="MI10" s="98">
        <f t="shared" si="16"/>
        <v>154.66999999999999</v>
      </c>
      <c r="MJ10" s="98">
        <f t="shared" si="16"/>
        <v>153.94</v>
      </c>
      <c r="MK10" s="98">
        <f t="shared" si="16"/>
        <v>153.21</v>
      </c>
      <c r="ML10" s="98">
        <f t="shared" si="16"/>
        <v>152.49</v>
      </c>
      <c r="MM10" s="98">
        <f t="shared" si="16"/>
        <v>151.76</v>
      </c>
      <c r="MN10" s="98">
        <f t="shared" si="16"/>
        <v>151.04</v>
      </c>
      <c r="MO10" s="98">
        <f t="shared" si="16"/>
        <v>150.32</v>
      </c>
      <c r="MP10" s="98">
        <f t="shared" si="16"/>
        <v>149.6</v>
      </c>
      <c r="MQ10" s="98">
        <f t="shared" si="16"/>
        <v>148.88999999999999</v>
      </c>
      <c r="MR10" s="98">
        <f t="shared" si="16"/>
        <v>148.16999999999999</v>
      </c>
      <c r="MS10" s="98">
        <f t="shared" si="16"/>
        <v>147.46</v>
      </c>
      <c r="MT10" s="98">
        <f t="shared" si="16"/>
        <v>146.74</v>
      </c>
      <c r="MU10" s="98">
        <f t="shared" si="16"/>
        <v>146.03</v>
      </c>
      <c r="MV10" s="98">
        <f t="shared" si="16"/>
        <v>145.32</v>
      </c>
      <c r="MW10" s="98">
        <f t="shared" si="16"/>
        <v>144.62</v>
      </c>
      <c r="MX10" s="98">
        <f t="shared" si="16"/>
        <v>143.91</v>
      </c>
      <c r="MY10" s="98">
        <f t="shared" si="16"/>
        <v>143.21</v>
      </c>
    </row>
    <row r="11" spans="1:363" ht="15.75" x14ac:dyDescent="0.25">
      <c r="A11" s="90" t="s">
        <v>6</v>
      </c>
      <c r="B11" s="95">
        <v>2021</v>
      </c>
      <c r="C11" s="93">
        <v>479.19</v>
      </c>
      <c r="D11" s="93">
        <v>478.15</v>
      </c>
      <c r="E11" s="93">
        <v>477.11</v>
      </c>
      <c r="F11" s="93">
        <v>476.07</v>
      </c>
      <c r="G11" s="93">
        <v>475.03</v>
      </c>
      <c r="H11" s="93">
        <v>473.99</v>
      </c>
      <c r="I11" s="93">
        <v>472.95</v>
      </c>
      <c r="J11" s="93">
        <v>471.91</v>
      </c>
      <c r="K11" s="93">
        <v>470.87</v>
      </c>
      <c r="L11" s="93">
        <v>469.83</v>
      </c>
      <c r="M11" s="93">
        <v>468.79</v>
      </c>
      <c r="N11" s="93">
        <v>467.75</v>
      </c>
      <c r="O11" s="93">
        <v>466.72</v>
      </c>
      <c r="P11" s="93">
        <v>465.68</v>
      </c>
      <c r="Q11" s="93">
        <v>464.64</v>
      </c>
      <c r="R11" s="93">
        <v>463.6</v>
      </c>
      <c r="S11" s="93">
        <v>462.56</v>
      </c>
      <c r="T11" s="93">
        <v>461.52</v>
      </c>
      <c r="U11" s="93">
        <v>460.49</v>
      </c>
      <c r="V11" s="93">
        <v>459.45</v>
      </c>
      <c r="W11" s="93">
        <v>458.41</v>
      </c>
      <c r="X11" s="93">
        <v>457.37</v>
      </c>
      <c r="Y11" s="93">
        <v>456.33</v>
      </c>
      <c r="Z11" s="93">
        <v>455.29</v>
      </c>
      <c r="AA11" s="93">
        <v>454.26</v>
      </c>
      <c r="AB11" s="93">
        <v>453.22</v>
      </c>
      <c r="AC11" s="93">
        <v>452.18</v>
      </c>
      <c r="AD11" s="93">
        <v>451.14</v>
      </c>
      <c r="AE11" s="93">
        <v>450.11</v>
      </c>
      <c r="AF11" s="93">
        <v>449.07</v>
      </c>
      <c r="AG11" s="93">
        <v>448.03</v>
      </c>
      <c r="AH11" s="93">
        <v>446.99</v>
      </c>
      <c r="AI11" s="93">
        <v>445.96</v>
      </c>
      <c r="AJ11" s="93">
        <v>444.92</v>
      </c>
      <c r="AK11" s="93">
        <v>443.88</v>
      </c>
      <c r="AL11" s="93">
        <v>442.85</v>
      </c>
      <c r="AM11" s="93">
        <v>441.81</v>
      </c>
      <c r="AN11" s="93">
        <v>440.77</v>
      </c>
      <c r="AO11" s="93">
        <v>439.74</v>
      </c>
      <c r="AP11" s="93">
        <v>438.7</v>
      </c>
      <c r="AQ11" s="93">
        <v>437.66</v>
      </c>
      <c r="AR11" s="93">
        <v>436.63</v>
      </c>
      <c r="AS11" s="93">
        <v>435.59</v>
      </c>
      <c r="AT11" s="93">
        <v>434.56</v>
      </c>
      <c r="AU11" s="93">
        <v>433.52</v>
      </c>
      <c r="AV11" s="93">
        <v>432.48</v>
      </c>
      <c r="AW11" s="93">
        <v>431.45</v>
      </c>
      <c r="AX11" s="93">
        <v>430.41</v>
      </c>
      <c r="AY11" s="93">
        <v>429.38</v>
      </c>
      <c r="AZ11" s="93">
        <v>428.34</v>
      </c>
      <c r="BA11" s="93">
        <v>427.31</v>
      </c>
      <c r="BB11" s="93">
        <v>426.27</v>
      </c>
      <c r="BC11" s="93">
        <v>425.24</v>
      </c>
      <c r="BD11" s="93">
        <v>424.2</v>
      </c>
      <c r="BE11" s="93">
        <v>423.17</v>
      </c>
      <c r="BF11" s="93">
        <v>422.13</v>
      </c>
      <c r="BG11" s="93">
        <v>421.1</v>
      </c>
      <c r="BH11" s="93">
        <v>420.06</v>
      </c>
      <c r="BI11" s="93">
        <v>419.03</v>
      </c>
      <c r="BJ11" s="93">
        <v>417.99</v>
      </c>
      <c r="BK11" s="93">
        <v>416.96</v>
      </c>
      <c r="BL11" s="93">
        <v>415.92</v>
      </c>
      <c r="BM11" s="93">
        <v>414.89</v>
      </c>
      <c r="BN11" s="93">
        <v>413.85</v>
      </c>
      <c r="BO11" s="93">
        <v>412.82</v>
      </c>
      <c r="BP11" s="93">
        <v>411.78</v>
      </c>
      <c r="BQ11" s="93">
        <v>410.75</v>
      </c>
      <c r="BR11" s="93">
        <v>409.71</v>
      </c>
      <c r="BS11" s="93">
        <v>408.68</v>
      </c>
      <c r="BT11" s="93">
        <v>407.65</v>
      </c>
      <c r="BU11" s="93">
        <v>406.61</v>
      </c>
      <c r="BV11" s="93">
        <v>405.58</v>
      </c>
      <c r="BW11" s="93">
        <v>404.55</v>
      </c>
      <c r="BX11" s="93">
        <v>403.52</v>
      </c>
      <c r="BY11" s="93">
        <v>402.49</v>
      </c>
      <c r="BZ11" s="93">
        <v>401.46</v>
      </c>
      <c r="CA11" s="93">
        <v>400.43</v>
      </c>
      <c r="CB11" s="93">
        <v>399.4</v>
      </c>
      <c r="CC11" s="93">
        <v>398.37</v>
      </c>
      <c r="CD11" s="93">
        <v>397.34</v>
      </c>
      <c r="CE11" s="93">
        <v>396.31</v>
      </c>
      <c r="CF11" s="93">
        <v>395.28</v>
      </c>
      <c r="CG11" s="93">
        <v>394.26</v>
      </c>
      <c r="CH11" s="93">
        <v>393.23</v>
      </c>
      <c r="CI11" s="93">
        <v>392.2</v>
      </c>
      <c r="CJ11" s="93">
        <v>391.17</v>
      </c>
      <c r="CK11" s="93">
        <v>390.14</v>
      </c>
      <c r="CL11" s="93">
        <v>389.12</v>
      </c>
      <c r="CM11" s="93">
        <v>388.09</v>
      </c>
      <c r="CN11" s="93">
        <v>387.06</v>
      </c>
      <c r="CO11" s="93">
        <v>386.04</v>
      </c>
      <c r="CP11" s="93">
        <v>385.01</v>
      </c>
      <c r="CQ11" s="93">
        <v>383.98</v>
      </c>
      <c r="CR11" s="93">
        <v>382.96</v>
      </c>
      <c r="CS11" s="93">
        <v>381.93</v>
      </c>
      <c r="CT11" s="93">
        <v>380.9</v>
      </c>
      <c r="CU11" s="93">
        <v>379.88</v>
      </c>
      <c r="CV11" s="93">
        <v>378.85</v>
      </c>
      <c r="CW11" s="93">
        <v>377.83</v>
      </c>
      <c r="CX11" s="93">
        <v>376.81</v>
      </c>
      <c r="CY11" s="93">
        <v>375.78</v>
      </c>
      <c r="CZ11" s="93">
        <v>374.76</v>
      </c>
      <c r="DA11" s="93">
        <v>373.74</v>
      </c>
      <c r="DB11" s="93">
        <v>372.71</v>
      </c>
      <c r="DC11" s="93">
        <v>371.69</v>
      </c>
      <c r="DD11" s="93">
        <v>370.67</v>
      </c>
      <c r="DE11" s="93">
        <v>369.64</v>
      </c>
      <c r="DF11" s="93">
        <v>368.62</v>
      </c>
      <c r="DG11" s="93">
        <v>367.6</v>
      </c>
      <c r="DH11" s="93">
        <v>366.58</v>
      </c>
      <c r="DI11" s="93">
        <v>365.56</v>
      </c>
      <c r="DJ11" s="93">
        <v>364.54</v>
      </c>
      <c r="DK11" s="93">
        <v>363.52</v>
      </c>
      <c r="DL11" s="93">
        <v>362.5</v>
      </c>
      <c r="DM11" s="93">
        <v>361.48</v>
      </c>
      <c r="DN11" s="93">
        <v>360.46</v>
      </c>
      <c r="DO11" s="93">
        <v>359.44</v>
      </c>
      <c r="DP11" s="93">
        <v>358.43</v>
      </c>
      <c r="DQ11" s="93">
        <v>357.41</v>
      </c>
      <c r="DR11" s="93">
        <v>356.39</v>
      </c>
      <c r="DS11" s="93">
        <v>355.37</v>
      </c>
      <c r="DT11" s="93">
        <v>354.36</v>
      </c>
      <c r="DU11" s="93">
        <v>353.35</v>
      </c>
      <c r="DV11" s="93">
        <v>352.33</v>
      </c>
      <c r="DW11" s="93">
        <v>351.32</v>
      </c>
      <c r="DX11" s="93">
        <v>350.31</v>
      </c>
      <c r="DY11" s="93">
        <v>349.3</v>
      </c>
      <c r="DZ11" s="93">
        <v>348.29</v>
      </c>
      <c r="EA11" s="93">
        <v>347.28</v>
      </c>
      <c r="EB11" s="93">
        <v>346.27</v>
      </c>
      <c r="EC11" s="93">
        <v>345.26</v>
      </c>
      <c r="ED11" s="93">
        <v>344.25</v>
      </c>
      <c r="EE11" s="93">
        <v>343.25</v>
      </c>
      <c r="EF11" s="93">
        <v>342.24</v>
      </c>
      <c r="EG11" s="93">
        <v>341.24</v>
      </c>
      <c r="EH11" s="93">
        <v>340.24</v>
      </c>
      <c r="EI11" s="93">
        <v>339.24</v>
      </c>
      <c r="EJ11" s="93">
        <v>338.24</v>
      </c>
      <c r="EK11" s="93">
        <v>337.24</v>
      </c>
      <c r="EL11" s="93">
        <v>336.24</v>
      </c>
      <c r="EM11" s="93">
        <v>335.24</v>
      </c>
      <c r="EN11" s="93">
        <v>334.24</v>
      </c>
      <c r="EO11" s="93">
        <v>333.24</v>
      </c>
      <c r="EP11" s="93">
        <v>332.25</v>
      </c>
      <c r="EQ11" s="93">
        <v>331.25</v>
      </c>
      <c r="ER11" s="93">
        <v>330.26</v>
      </c>
      <c r="ES11" s="93">
        <v>329.26</v>
      </c>
      <c r="ET11" s="93">
        <v>328.27</v>
      </c>
      <c r="EU11" s="93">
        <v>327.27999999999997</v>
      </c>
      <c r="EV11" s="93">
        <v>326.29000000000002</v>
      </c>
      <c r="EW11" s="93">
        <v>325.29000000000002</v>
      </c>
      <c r="EX11" s="93">
        <v>324.31</v>
      </c>
      <c r="EY11" s="93">
        <v>323.32</v>
      </c>
      <c r="EZ11" s="93">
        <v>322.32</v>
      </c>
      <c r="FA11" s="93">
        <v>321.33999999999997</v>
      </c>
      <c r="FB11" s="93">
        <v>320.35000000000002</v>
      </c>
      <c r="FC11" s="93">
        <v>319.35000000000002</v>
      </c>
      <c r="FD11" s="93">
        <v>318.38</v>
      </c>
      <c r="FE11" s="93">
        <v>317.39</v>
      </c>
      <c r="FF11" s="93">
        <v>316.41000000000003</v>
      </c>
      <c r="FG11" s="93">
        <v>315.43</v>
      </c>
      <c r="FH11" s="93">
        <v>314.45</v>
      </c>
      <c r="FI11" s="93">
        <v>313.47000000000003</v>
      </c>
      <c r="FJ11" s="93">
        <v>312.49</v>
      </c>
      <c r="FK11" s="93">
        <v>311.51</v>
      </c>
      <c r="FL11" s="93">
        <v>310.52999999999997</v>
      </c>
      <c r="FM11" s="93">
        <v>309.54000000000002</v>
      </c>
      <c r="FN11" s="93">
        <v>308.57</v>
      </c>
      <c r="FO11" s="93">
        <v>307.58999999999997</v>
      </c>
      <c r="FP11" s="93">
        <v>306.62</v>
      </c>
      <c r="FQ11" s="93">
        <v>305.64999999999998</v>
      </c>
      <c r="FR11" s="93">
        <v>304.67</v>
      </c>
      <c r="FS11" s="93">
        <v>303.7</v>
      </c>
      <c r="FT11" s="93">
        <v>302.73</v>
      </c>
      <c r="FU11" s="93">
        <v>301.76</v>
      </c>
      <c r="FV11" s="93">
        <v>300.79000000000002</v>
      </c>
      <c r="FW11" s="93">
        <v>299.82</v>
      </c>
      <c r="FX11" s="93">
        <v>298.85000000000002</v>
      </c>
      <c r="FY11" s="93">
        <v>297.88</v>
      </c>
      <c r="FZ11" s="93">
        <v>296.91000000000003</v>
      </c>
      <c r="GA11" s="93">
        <v>295.94</v>
      </c>
      <c r="GB11" s="93">
        <v>294.98</v>
      </c>
      <c r="GC11" s="93">
        <v>294.01</v>
      </c>
      <c r="GD11" s="93">
        <v>293.04000000000002</v>
      </c>
      <c r="GE11" s="93">
        <v>292.08999999999997</v>
      </c>
      <c r="GF11" s="93">
        <v>291.13</v>
      </c>
      <c r="GG11" s="93">
        <v>290.17</v>
      </c>
      <c r="GH11" s="93">
        <v>289.20999999999998</v>
      </c>
      <c r="GI11" s="93">
        <v>288.25</v>
      </c>
      <c r="GJ11" s="93">
        <v>287.29000000000002</v>
      </c>
      <c r="GK11" s="93">
        <v>286.32</v>
      </c>
      <c r="GL11" s="93">
        <v>285.38</v>
      </c>
      <c r="GM11" s="93">
        <v>284.42</v>
      </c>
      <c r="GN11" s="93">
        <v>283.47000000000003</v>
      </c>
      <c r="GO11" s="93">
        <v>282.51</v>
      </c>
      <c r="GP11" s="93">
        <v>281.57</v>
      </c>
      <c r="GQ11" s="93">
        <v>280.63</v>
      </c>
      <c r="GR11" s="93">
        <v>279.68</v>
      </c>
      <c r="GS11" s="93">
        <v>278.73</v>
      </c>
      <c r="GT11" s="93">
        <v>277.79000000000002</v>
      </c>
      <c r="GU11" s="93">
        <v>276.83999999999997</v>
      </c>
      <c r="GV11" s="93">
        <v>275.89999999999998</v>
      </c>
      <c r="GW11" s="93">
        <v>274.95999999999998</v>
      </c>
      <c r="GX11" s="93">
        <v>274.01</v>
      </c>
      <c r="GY11" s="93">
        <v>273.07</v>
      </c>
      <c r="GZ11" s="93">
        <v>272.14</v>
      </c>
      <c r="HA11" s="93">
        <v>271.2</v>
      </c>
      <c r="HB11" s="93">
        <v>270.26</v>
      </c>
      <c r="HC11" s="93">
        <v>269.32</v>
      </c>
      <c r="HD11" s="93">
        <v>268.39999999999998</v>
      </c>
      <c r="HE11" s="93">
        <v>267.47000000000003</v>
      </c>
      <c r="HF11" s="93">
        <v>266.54000000000002</v>
      </c>
      <c r="HG11" s="93">
        <v>265.60000000000002</v>
      </c>
      <c r="HH11" s="93">
        <v>264.68</v>
      </c>
      <c r="HI11" s="93">
        <v>263.75</v>
      </c>
      <c r="HJ11" s="93">
        <v>262.82</v>
      </c>
      <c r="HK11" s="93">
        <v>261.89999999999998</v>
      </c>
      <c r="HL11" s="93">
        <v>260.98</v>
      </c>
      <c r="HM11" s="93">
        <v>260.06</v>
      </c>
      <c r="HN11" s="93">
        <v>259.14999999999998</v>
      </c>
      <c r="HO11" s="93">
        <v>258.23</v>
      </c>
      <c r="HP11" s="93">
        <v>257.32</v>
      </c>
      <c r="HQ11" s="93">
        <v>256.39999999999998</v>
      </c>
      <c r="HR11" s="93">
        <v>255.49</v>
      </c>
      <c r="HS11" s="93">
        <v>254.58</v>
      </c>
      <c r="HT11" s="93">
        <v>253.67</v>
      </c>
      <c r="HU11" s="93">
        <v>252.76</v>
      </c>
      <c r="HV11" s="93">
        <v>251.85</v>
      </c>
      <c r="HW11" s="93">
        <v>250.94</v>
      </c>
      <c r="HX11" s="93">
        <v>250.04</v>
      </c>
      <c r="HY11" s="93">
        <v>249.14</v>
      </c>
      <c r="HZ11" s="93">
        <v>248.23</v>
      </c>
      <c r="IA11" s="93">
        <v>247.33</v>
      </c>
      <c r="IB11" s="93">
        <v>246.43</v>
      </c>
      <c r="IC11" s="93">
        <v>245.53</v>
      </c>
      <c r="ID11" s="93">
        <v>244.63</v>
      </c>
      <c r="IE11" s="93">
        <v>243.74</v>
      </c>
      <c r="IF11" s="93">
        <v>242.84</v>
      </c>
      <c r="IG11" s="93">
        <v>241.94</v>
      </c>
      <c r="IH11" s="93">
        <v>241.05</v>
      </c>
      <c r="II11" s="93">
        <v>240.16</v>
      </c>
      <c r="IJ11" s="93">
        <v>239.27</v>
      </c>
      <c r="IK11" s="93">
        <v>238.38</v>
      </c>
      <c r="IL11" s="93">
        <v>237.49</v>
      </c>
      <c r="IM11" s="93">
        <v>236.61</v>
      </c>
      <c r="IN11" s="93">
        <v>235.72</v>
      </c>
      <c r="IO11" s="93">
        <v>234.84</v>
      </c>
      <c r="IP11" s="93">
        <v>233.95</v>
      </c>
      <c r="IQ11" s="93">
        <v>233.07</v>
      </c>
      <c r="IR11" s="93">
        <v>232.19</v>
      </c>
      <c r="IS11" s="93">
        <v>231.31</v>
      </c>
      <c r="IT11" s="93">
        <v>230.44</v>
      </c>
      <c r="IU11" s="93">
        <v>229.56</v>
      </c>
      <c r="IV11" s="93">
        <v>228.69</v>
      </c>
      <c r="IW11" s="93">
        <v>227.82</v>
      </c>
      <c r="IX11" s="93">
        <v>226.96</v>
      </c>
      <c r="IY11" s="93">
        <v>226.09</v>
      </c>
      <c r="IZ11" s="93">
        <v>225.23</v>
      </c>
      <c r="JA11" s="93">
        <v>224.37</v>
      </c>
      <c r="JB11" s="93">
        <v>223.5</v>
      </c>
      <c r="JC11" s="93">
        <v>222.64</v>
      </c>
      <c r="JD11" s="93">
        <v>221.79</v>
      </c>
      <c r="JE11" s="93">
        <v>220.93</v>
      </c>
      <c r="JF11" s="93">
        <v>220.07</v>
      </c>
      <c r="JG11" s="93">
        <v>219.22</v>
      </c>
      <c r="JH11" s="93">
        <v>218.36</v>
      </c>
      <c r="JI11" s="93">
        <v>217.51</v>
      </c>
      <c r="JJ11" s="93">
        <v>216.66</v>
      </c>
      <c r="JK11" s="93">
        <v>215.81</v>
      </c>
      <c r="JL11" s="93">
        <v>214.96</v>
      </c>
      <c r="JM11" s="93">
        <v>214.12</v>
      </c>
      <c r="JN11" s="93">
        <v>213.27</v>
      </c>
      <c r="JO11" s="93">
        <v>212.42</v>
      </c>
      <c r="JP11" s="93">
        <v>211.58</v>
      </c>
      <c r="JQ11" s="93">
        <v>210.74</v>
      </c>
      <c r="JR11" s="93">
        <v>209.9</v>
      </c>
      <c r="JS11" s="93">
        <v>209.05</v>
      </c>
      <c r="JT11" s="93">
        <v>208.21</v>
      </c>
      <c r="JU11" s="93">
        <v>207.37</v>
      </c>
      <c r="JV11" s="93">
        <v>206.53</v>
      </c>
      <c r="JW11" s="93">
        <v>205.69</v>
      </c>
      <c r="JX11" s="93">
        <v>204.86</v>
      </c>
      <c r="JY11" s="93">
        <v>204.02</v>
      </c>
      <c r="JZ11" s="93">
        <v>203.18</v>
      </c>
      <c r="KA11" s="93">
        <v>202.35</v>
      </c>
      <c r="KB11" s="93">
        <v>201.51</v>
      </c>
      <c r="KC11" s="93">
        <v>200.68</v>
      </c>
      <c r="KD11" s="93">
        <v>199.85</v>
      </c>
      <c r="KE11" s="93">
        <v>199.02</v>
      </c>
      <c r="KF11" s="93">
        <v>198.19</v>
      </c>
      <c r="KG11" s="93">
        <v>197.36</v>
      </c>
      <c r="KH11" s="93">
        <v>196.54</v>
      </c>
      <c r="KI11" s="93">
        <v>195.71</v>
      </c>
      <c r="KJ11" s="93">
        <v>194.89</v>
      </c>
      <c r="KK11" s="93">
        <v>194.07</v>
      </c>
      <c r="KL11" s="93">
        <v>193.25</v>
      </c>
      <c r="KM11" s="93">
        <v>192.43</v>
      </c>
      <c r="KN11" s="93">
        <v>191.61</v>
      </c>
      <c r="KO11" s="93">
        <v>190.79</v>
      </c>
      <c r="KP11" s="93">
        <v>189.97</v>
      </c>
      <c r="KQ11" s="93">
        <v>189.16</v>
      </c>
      <c r="KR11" s="98">
        <f t="shared" si="13"/>
        <v>188.27</v>
      </c>
      <c r="KS11" s="98">
        <f t="shared" si="14"/>
        <v>187.48</v>
      </c>
      <c r="KT11" s="98">
        <f t="shared" si="15"/>
        <v>186.66</v>
      </c>
      <c r="KU11" s="98">
        <f t="shared" si="15"/>
        <v>185.87</v>
      </c>
      <c r="KV11" s="98">
        <f t="shared" si="15"/>
        <v>185.09</v>
      </c>
      <c r="KW11" s="98">
        <f t="shared" si="15"/>
        <v>184.3</v>
      </c>
      <c r="KX11" s="98">
        <f t="shared" si="15"/>
        <v>183.51</v>
      </c>
      <c r="KY11" s="98">
        <f t="shared" si="15"/>
        <v>182.73</v>
      </c>
      <c r="KZ11" s="98">
        <f t="shared" si="15"/>
        <v>181.94</v>
      </c>
      <c r="LA11" s="98">
        <f t="shared" si="15"/>
        <v>181.16</v>
      </c>
      <c r="LB11" s="98">
        <f t="shared" si="15"/>
        <v>180.38</v>
      </c>
      <c r="LC11" s="98">
        <f t="shared" si="15"/>
        <v>179.6</v>
      </c>
      <c r="LD11" s="98">
        <f t="shared" si="15"/>
        <v>178.82</v>
      </c>
      <c r="LE11" s="98">
        <f t="shared" si="15"/>
        <v>178.04</v>
      </c>
      <c r="LF11" s="98">
        <f t="shared" si="15"/>
        <v>177.27</v>
      </c>
      <c r="LG11" s="98">
        <f t="shared" si="15"/>
        <v>176.5</v>
      </c>
      <c r="LH11" s="98">
        <f t="shared" si="15"/>
        <v>175.72</v>
      </c>
      <c r="LI11" s="98">
        <f t="shared" si="15"/>
        <v>174.95</v>
      </c>
      <c r="LJ11" s="98">
        <f t="shared" si="17"/>
        <v>174.18</v>
      </c>
      <c r="LK11" s="98">
        <f t="shared" si="17"/>
        <v>173.41</v>
      </c>
      <c r="LL11" s="98">
        <f t="shared" si="17"/>
        <v>172.64</v>
      </c>
      <c r="LM11" s="98">
        <f t="shared" si="17"/>
        <v>171.88</v>
      </c>
      <c r="LN11" s="98">
        <f t="shared" si="17"/>
        <v>171.11</v>
      </c>
      <c r="LO11" s="98">
        <f t="shared" si="17"/>
        <v>170.35</v>
      </c>
      <c r="LP11" s="98">
        <f t="shared" si="17"/>
        <v>169.59</v>
      </c>
      <c r="LQ11" s="98">
        <f t="shared" si="17"/>
        <v>168.83</v>
      </c>
      <c r="LR11" s="98">
        <f t="shared" si="17"/>
        <v>168.07</v>
      </c>
      <c r="LS11" s="98">
        <f t="shared" si="17"/>
        <v>167.31</v>
      </c>
      <c r="LT11" s="98">
        <f t="shared" si="17"/>
        <v>166.56</v>
      </c>
      <c r="LU11" s="98">
        <f t="shared" si="17"/>
        <v>165.81</v>
      </c>
      <c r="LV11" s="98">
        <f t="shared" si="17"/>
        <v>165.05</v>
      </c>
      <c r="LW11" s="98">
        <f t="shared" si="16"/>
        <v>164.3</v>
      </c>
      <c r="LX11" s="98">
        <f t="shared" si="16"/>
        <v>163.55000000000001</v>
      </c>
      <c r="LY11" s="98">
        <f t="shared" si="16"/>
        <v>162.80000000000001</v>
      </c>
      <c r="LZ11" s="98">
        <f t="shared" si="16"/>
        <v>162.06</v>
      </c>
      <c r="MA11" s="98">
        <f t="shared" si="16"/>
        <v>161.31</v>
      </c>
      <c r="MB11" s="98">
        <f t="shared" si="16"/>
        <v>160.57</v>
      </c>
      <c r="MC11" s="98">
        <f t="shared" si="16"/>
        <v>159.83000000000001</v>
      </c>
      <c r="MD11" s="98">
        <f t="shared" si="16"/>
        <v>159.09</v>
      </c>
      <c r="ME11" s="98">
        <f t="shared" si="16"/>
        <v>158.36000000000001</v>
      </c>
      <c r="MF11" s="98">
        <f t="shared" si="16"/>
        <v>157.62</v>
      </c>
      <c r="MG11" s="98">
        <f t="shared" si="16"/>
        <v>156.88999999999999</v>
      </c>
      <c r="MH11" s="98">
        <f t="shared" si="16"/>
        <v>156.15</v>
      </c>
      <c r="MI11" s="98">
        <f t="shared" si="16"/>
        <v>155.41999999999999</v>
      </c>
      <c r="MJ11" s="98">
        <f t="shared" si="16"/>
        <v>154.69</v>
      </c>
      <c r="MK11" s="98">
        <f t="shared" si="16"/>
        <v>153.96</v>
      </c>
      <c r="ML11" s="98">
        <f t="shared" si="16"/>
        <v>153.24</v>
      </c>
      <c r="MM11" s="98">
        <f t="shared" si="16"/>
        <v>152.51</v>
      </c>
      <c r="MN11" s="98">
        <f t="shared" si="16"/>
        <v>151.79</v>
      </c>
      <c r="MO11" s="98">
        <f t="shared" si="16"/>
        <v>151.07</v>
      </c>
      <c r="MP11" s="98">
        <f t="shared" si="16"/>
        <v>150.35</v>
      </c>
      <c r="MQ11" s="98">
        <f t="shared" si="16"/>
        <v>149.63999999999999</v>
      </c>
      <c r="MR11" s="98">
        <f t="shared" si="16"/>
        <v>148.91999999999999</v>
      </c>
      <c r="MS11" s="98">
        <f t="shared" si="16"/>
        <v>148.21</v>
      </c>
      <c r="MT11" s="98">
        <f t="shared" si="16"/>
        <v>147.49</v>
      </c>
      <c r="MU11" s="98">
        <f t="shared" si="16"/>
        <v>146.78</v>
      </c>
      <c r="MV11" s="98">
        <f t="shared" si="16"/>
        <v>146.07</v>
      </c>
      <c r="MW11" s="98">
        <f t="shared" si="16"/>
        <v>145.37</v>
      </c>
      <c r="MX11" s="98">
        <f t="shared" si="16"/>
        <v>144.66</v>
      </c>
      <c r="MY11" s="98">
        <f t="shared" si="16"/>
        <v>143.96</v>
      </c>
    </row>
    <row r="12" spans="1:363" ht="15.75" x14ac:dyDescent="0.25">
      <c r="A12" s="90" t="s">
        <v>6</v>
      </c>
      <c r="B12" s="95">
        <v>2022</v>
      </c>
      <c r="C12" s="93">
        <v>480.2</v>
      </c>
      <c r="D12" s="93">
        <v>479.16</v>
      </c>
      <c r="E12" s="93">
        <v>478.12</v>
      </c>
      <c r="F12" s="93">
        <v>477.08</v>
      </c>
      <c r="G12" s="93">
        <v>476.04</v>
      </c>
      <c r="H12" s="93">
        <v>475</v>
      </c>
      <c r="I12" s="93">
        <v>473.96</v>
      </c>
      <c r="J12" s="93">
        <v>472.92</v>
      </c>
      <c r="K12" s="93">
        <v>471.88</v>
      </c>
      <c r="L12" s="93">
        <v>470.85</v>
      </c>
      <c r="M12" s="93">
        <v>469.81</v>
      </c>
      <c r="N12" s="93">
        <v>468.77</v>
      </c>
      <c r="O12" s="93">
        <v>467.73</v>
      </c>
      <c r="P12" s="93">
        <v>466.69</v>
      </c>
      <c r="Q12" s="93">
        <v>465.65</v>
      </c>
      <c r="R12" s="93">
        <v>464.61</v>
      </c>
      <c r="S12" s="93">
        <v>463.57</v>
      </c>
      <c r="T12" s="93">
        <v>462.54</v>
      </c>
      <c r="U12" s="93">
        <v>461.5</v>
      </c>
      <c r="V12" s="93">
        <v>460.46</v>
      </c>
      <c r="W12" s="93">
        <v>459.42</v>
      </c>
      <c r="X12" s="93">
        <v>458.38</v>
      </c>
      <c r="Y12" s="93">
        <v>457.35</v>
      </c>
      <c r="Z12" s="93">
        <v>456.31</v>
      </c>
      <c r="AA12" s="93">
        <v>455.27</v>
      </c>
      <c r="AB12" s="93">
        <v>454.23</v>
      </c>
      <c r="AC12" s="93">
        <v>453.19</v>
      </c>
      <c r="AD12" s="93">
        <v>452.16</v>
      </c>
      <c r="AE12" s="93">
        <v>451.12</v>
      </c>
      <c r="AF12" s="93">
        <v>450.08</v>
      </c>
      <c r="AG12" s="93">
        <v>449.05</v>
      </c>
      <c r="AH12" s="93">
        <v>448.01</v>
      </c>
      <c r="AI12" s="93">
        <v>446.97</v>
      </c>
      <c r="AJ12" s="93">
        <v>445.93</v>
      </c>
      <c r="AK12" s="93">
        <v>444.9</v>
      </c>
      <c r="AL12" s="93">
        <v>443.86</v>
      </c>
      <c r="AM12" s="93">
        <v>442.82</v>
      </c>
      <c r="AN12" s="93">
        <v>441.79</v>
      </c>
      <c r="AO12" s="93">
        <v>440.75</v>
      </c>
      <c r="AP12" s="93">
        <v>439.71</v>
      </c>
      <c r="AQ12" s="93">
        <v>438.68</v>
      </c>
      <c r="AR12" s="93">
        <v>437.64</v>
      </c>
      <c r="AS12" s="93">
        <v>436.6</v>
      </c>
      <c r="AT12" s="93">
        <v>435.57</v>
      </c>
      <c r="AU12" s="93">
        <v>434.53</v>
      </c>
      <c r="AV12" s="93">
        <v>433.5</v>
      </c>
      <c r="AW12" s="93">
        <v>432.46</v>
      </c>
      <c r="AX12" s="93">
        <v>431.42</v>
      </c>
      <c r="AY12" s="93">
        <v>430.39</v>
      </c>
      <c r="AZ12" s="93">
        <v>429.35</v>
      </c>
      <c r="BA12" s="93">
        <v>428.32</v>
      </c>
      <c r="BB12" s="93">
        <v>427.28</v>
      </c>
      <c r="BC12" s="93">
        <v>426.25</v>
      </c>
      <c r="BD12" s="93">
        <v>425.21</v>
      </c>
      <c r="BE12" s="93">
        <v>424.18</v>
      </c>
      <c r="BF12" s="93">
        <v>423.14</v>
      </c>
      <c r="BG12" s="93">
        <v>422.11</v>
      </c>
      <c r="BH12" s="93">
        <v>421.07</v>
      </c>
      <c r="BI12" s="93">
        <v>420.04</v>
      </c>
      <c r="BJ12" s="93">
        <v>419</v>
      </c>
      <c r="BK12" s="93">
        <v>417.97</v>
      </c>
      <c r="BL12" s="93">
        <v>416.93</v>
      </c>
      <c r="BM12" s="93">
        <v>415.9</v>
      </c>
      <c r="BN12" s="93">
        <v>414.86</v>
      </c>
      <c r="BO12" s="93">
        <v>413.83</v>
      </c>
      <c r="BP12" s="93">
        <v>412.79</v>
      </c>
      <c r="BQ12" s="93">
        <v>411.76</v>
      </c>
      <c r="BR12" s="93">
        <v>410.72</v>
      </c>
      <c r="BS12" s="93">
        <v>409.69</v>
      </c>
      <c r="BT12" s="93">
        <v>408.66</v>
      </c>
      <c r="BU12" s="93">
        <v>407.62</v>
      </c>
      <c r="BV12" s="93">
        <v>406.59</v>
      </c>
      <c r="BW12" s="93">
        <v>405.56</v>
      </c>
      <c r="BX12" s="93">
        <v>404.53</v>
      </c>
      <c r="BY12" s="93">
        <v>403.49</v>
      </c>
      <c r="BZ12" s="93">
        <v>402.46</v>
      </c>
      <c r="CA12" s="93">
        <v>401.43</v>
      </c>
      <c r="CB12" s="93">
        <v>400.4</v>
      </c>
      <c r="CC12" s="93">
        <v>399.37</v>
      </c>
      <c r="CD12" s="93">
        <v>398.35</v>
      </c>
      <c r="CE12" s="93">
        <v>397.32</v>
      </c>
      <c r="CF12" s="93">
        <v>396.29</v>
      </c>
      <c r="CG12" s="93">
        <v>395.26</v>
      </c>
      <c r="CH12" s="93">
        <v>394.23</v>
      </c>
      <c r="CI12" s="93">
        <v>393.2</v>
      </c>
      <c r="CJ12" s="93">
        <v>392.17</v>
      </c>
      <c r="CK12" s="93">
        <v>391.15</v>
      </c>
      <c r="CL12" s="93">
        <v>390.12</v>
      </c>
      <c r="CM12" s="93">
        <v>389.09</v>
      </c>
      <c r="CN12" s="93">
        <v>388.06</v>
      </c>
      <c r="CO12" s="93">
        <v>387.04</v>
      </c>
      <c r="CP12" s="93">
        <v>386.01</v>
      </c>
      <c r="CQ12" s="93">
        <v>384.98</v>
      </c>
      <c r="CR12" s="93">
        <v>383.95</v>
      </c>
      <c r="CS12" s="93">
        <v>382.93</v>
      </c>
      <c r="CT12" s="93">
        <v>381.9</v>
      </c>
      <c r="CU12" s="93">
        <v>380.87</v>
      </c>
      <c r="CV12" s="93">
        <v>379.85</v>
      </c>
      <c r="CW12" s="93">
        <v>378.83</v>
      </c>
      <c r="CX12" s="93">
        <v>377.8</v>
      </c>
      <c r="CY12" s="93">
        <v>376.78</v>
      </c>
      <c r="CZ12" s="93">
        <v>375.75</v>
      </c>
      <c r="DA12" s="93">
        <v>374.73</v>
      </c>
      <c r="DB12" s="93">
        <v>373.71</v>
      </c>
      <c r="DC12" s="93">
        <v>372.68</v>
      </c>
      <c r="DD12" s="93">
        <v>371.66</v>
      </c>
      <c r="DE12" s="93">
        <v>370.64</v>
      </c>
      <c r="DF12" s="93">
        <v>369.61</v>
      </c>
      <c r="DG12" s="93">
        <v>368.59</v>
      </c>
      <c r="DH12" s="93">
        <v>367.57</v>
      </c>
      <c r="DI12" s="93">
        <v>366.55</v>
      </c>
      <c r="DJ12" s="93">
        <v>365.53</v>
      </c>
      <c r="DK12" s="93">
        <v>364.51</v>
      </c>
      <c r="DL12" s="93">
        <v>363.49</v>
      </c>
      <c r="DM12" s="93">
        <v>362.47</v>
      </c>
      <c r="DN12" s="93">
        <v>361.45</v>
      </c>
      <c r="DO12" s="93">
        <v>360.43</v>
      </c>
      <c r="DP12" s="93">
        <v>359.41</v>
      </c>
      <c r="DQ12" s="93">
        <v>358.39</v>
      </c>
      <c r="DR12" s="93">
        <v>357.38</v>
      </c>
      <c r="DS12" s="93">
        <v>356.36</v>
      </c>
      <c r="DT12" s="93">
        <v>355.34</v>
      </c>
      <c r="DU12" s="93">
        <v>354.33</v>
      </c>
      <c r="DV12" s="93">
        <v>353.32</v>
      </c>
      <c r="DW12" s="93">
        <v>352.3</v>
      </c>
      <c r="DX12" s="93">
        <v>351.29</v>
      </c>
      <c r="DY12" s="93">
        <v>350.28</v>
      </c>
      <c r="DZ12" s="93">
        <v>349.27</v>
      </c>
      <c r="EA12" s="93">
        <v>348.26</v>
      </c>
      <c r="EB12" s="93">
        <v>347.25</v>
      </c>
      <c r="EC12" s="93">
        <v>346.24</v>
      </c>
      <c r="ED12" s="93">
        <v>345.23</v>
      </c>
      <c r="EE12" s="93">
        <v>344.22</v>
      </c>
      <c r="EF12" s="93">
        <v>343.22</v>
      </c>
      <c r="EG12" s="93">
        <v>342.22</v>
      </c>
      <c r="EH12" s="93">
        <v>341.21</v>
      </c>
      <c r="EI12" s="93">
        <v>340.21</v>
      </c>
      <c r="EJ12" s="93">
        <v>339.21</v>
      </c>
      <c r="EK12" s="93">
        <v>338.21</v>
      </c>
      <c r="EL12" s="93">
        <v>337.21</v>
      </c>
      <c r="EM12" s="93">
        <v>336.21</v>
      </c>
      <c r="EN12" s="93">
        <v>335.21</v>
      </c>
      <c r="EO12" s="93">
        <v>334.21</v>
      </c>
      <c r="EP12" s="93">
        <v>333.21</v>
      </c>
      <c r="EQ12" s="93">
        <v>332.22</v>
      </c>
      <c r="ER12" s="93">
        <v>331.22</v>
      </c>
      <c r="ES12" s="93">
        <v>330.23</v>
      </c>
      <c r="ET12" s="93">
        <v>329.24</v>
      </c>
      <c r="EU12" s="93">
        <v>328.24</v>
      </c>
      <c r="EV12" s="93">
        <v>327.25</v>
      </c>
      <c r="EW12" s="93">
        <v>326.26</v>
      </c>
      <c r="EX12" s="93">
        <v>325.26</v>
      </c>
      <c r="EY12" s="93">
        <v>324.27999999999997</v>
      </c>
      <c r="EZ12" s="93">
        <v>323.29000000000002</v>
      </c>
      <c r="FA12" s="93">
        <v>322.29000000000002</v>
      </c>
      <c r="FB12" s="93">
        <v>321.31</v>
      </c>
      <c r="FC12" s="93">
        <v>320.32</v>
      </c>
      <c r="FD12" s="93">
        <v>319.32</v>
      </c>
      <c r="FE12" s="93">
        <v>318.35000000000002</v>
      </c>
      <c r="FF12" s="93">
        <v>317.37</v>
      </c>
      <c r="FG12" s="93">
        <v>316.38</v>
      </c>
      <c r="FH12" s="93">
        <v>315.39999999999998</v>
      </c>
      <c r="FI12" s="93">
        <v>314.42</v>
      </c>
      <c r="FJ12" s="93">
        <v>313.44</v>
      </c>
      <c r="FK12" s="93">
        <v>312.45999999999998</v>
      </c>
      <c r="FL12" s="93">
        <v>311.48</v>
      </c>
      <c r="FM12" s="93">
        <v>310.5</v>
      </c>
      <c r="FN12" s="93">
        <v>309.51</v>
      </c>
      <c r="FO12" s="93">
        <v>308.54000000000002</v>
      </c>
      <c r="FP12" s="93">
        <v>307.57</v>
      </c>
      <c r="FQ12" s="93">
        <v>306.58999999999997</v>
      </c>
      <c r="FR12" s="93">
        <v>305.62</v>
      </c>
      <c r="FS12" s="93">
        <v>304.64</v>
      </c>
      <c r="FT12" s="93">
        <v>303.67</v>
      </c>
      <c r="FU12" s="93">
        <v>302.7</v>
      </c>
      <c r="FV12" s="93">
        <v>301.73</v>
      </c>
      <c r="FW12" s="93">
        <v>300.76</v>
      </c>
      <c r="FX12" s="93">
        <v>299.79000000000002</v>
      </c>
      <c r="FY12" s="93">
        <v>298.82</v>
      </c>
      <c r="FZ12" s="93">
        <v>297.85000000000002</v>
      </c>
      <c r="GA12" s="93">
        <v>296.88</v>
      </c>
      <c r="GB12" s="93">
        <v>295.91000000000003</v>
      </c>
      <c r="GC12" s="93">
        <v>294.95</v>
      </c>
      <c r="GD12" s="93">
        <v>293.98</v>
      </c>
      <c r="GE12" s="93">
        <v>293.01</v>
      </c>
      <c r="GF12" s="93">
        <v>292.06</v>
      </c>
      <c r="GG12" s="93">
        <v>291.10000000000002</v>
      </c>
      <c r="GH12" s="93">
        <v>290.14</v>
      </c>
      <c r="GI12" s="93">
        <v>289.18</v>
      </c>
      <c r="GJ12" s="93">
        <v>288.22000000000003</v>
      </c>
      <c r="GK12" s="93">
        <v>287.26</v>
      </c>
      <c r="GL12" s="93">
        <v>286.29000000000002</v>
      </c>
      <c r="GM12" s="93">
        <v>285.33999999999997</v>
      </c>
      <c r="GN12" s="93">
        <v>284.39</v>
      </c>
      <c r="GO12" s="93">
        <v>283.44</v>
      </c>
      <c r="GP12" s="93">
        <v>282.49</v>
      </c>
      <c r="GQ12" s="93">
        <v>281.54000000000002</v>
      </c>
      <c r="GR12" s="93">
        <v>280.60000000000002</v>
      </c>
      <c r="GS12" s="93">
        <v>279.64999999999998</v>
      </c>
      <c r="GT12" s="93">
        <v>278.7</v>
      </c>
      <c r="GU12" s="93">
        <v>277.76</v>
      </c>
      <c r="GV12" s="93">
        <v>276.81</v>
      </c>
      <c r="GW12" s="93">
        <v>275.87</v>
      </c>
      <c r="GX12" s="93">
        <v>274.93</v>
      </c>
      <c r="GY12" s="93">
        <v>273.99</v>
      </c>
      <c r="GZ12" s="93">
        <v>273.04000000000002</v>
      </c>
      <c r="HA12" s="93">
        <v>272.10000000000002</v>
      </c>
      <c r="HB12" s="93">
        <v>271.17</v>
      </c>
      <c r="HC12" s="93">
        <v>270.24</v>
      </c>
      <c r="HD12" s="93">
        <v>269.29000000000002</v>
      </c>
      <c r="HE12" s="93">
        <v>268.37</v>
      </c>
      <c r="HF12" s="93">
        <v>267.44</v>
      </c>
      <c r="HG12" s="93">
        <v>266.51</v>
      </c>
      <c r="HH12" s="93">
        <v>265.57</v>
      </c>
      <c r="HI12" s="93">
        <v>264.64999999999998</v>
      </c>
      <c r="HJ12" s="93">
        <v>263.72000000000003</v>
      </c>
      <c r="HK12" s="93">
        <v>262.79000000000002</v>
      </c>
      <c r="HL12" s="93">
        <v>261.87</v>
      </c>
      <c r="HM12" s="93">
        <v>260.95</v>
      </c>
      <c r="HN12" s="93">
        <v>260.04000000000002</v>
      </c>
      <c r="HO12" s="93">
        <v>259.12</v>
      </c>
      <c r="HP12" s="93">
        <v>258.2</v>
      </c>
      <c r="HQ12" s="93">
        <v>257.29000000000002</v>
      </c>
      <c r="HR12" s="93">
        <v>256.37</v>
      </c>
      <c r="HS12" s="93">
        <v>255.46</v>
      </c>
      <c r="HT12" s="93">
        <v>254.55</v>
      </c>
      <c r="HU12" s="93">
        <v>253.64</v>
      </c>
      <c r="HV12" s="93">
        <v>252.73</v>
      </c>
      <c r="HW12" s="93">
        <v>251.82</v>
      </c>
      <c r="HX12" s="93">
        <v>250.91</v>
      </c>
      <c r="HY12" s="93">
        <v>250.01</v>
      </c>
      <c r="HZ12" s="93">
        <v>249.11</v>
      </c>
      <c r="IA12" s="93">
        <v>248.2</v>
      </c>
      <c r="IB12" s="93">
        <v>247.3</v>
      </c>
      <c r="IC12" s="93">
        <v>246.4</v>
      </c>
      <c r="ID12" s="93">
        <v>245.5</v>
      </c>
      <c r="IE12" s="93">
        <v>244.6</v>
      </c>
      <c r="IF12" s="93">
        <v>243.7</v>
      </c>
      <c r="IG12" s="93">
        <v>242.81</v>
      </c>
      <c r="IH12" s="93">
        <v>241.91</v>
      </c>
      <c r="II12" s="93">
        <v>241.02</v>
      </c>
      <c r="IJ12" s="93">
        <v>240.13</v>
      </c>
      <c r="IK12" s="93">
        <v>239.24</v>
      </c>
      <c r="IL12" s="93">
        <v>238.35</v>
      </c>
      <c r="IM12" s="93">
        <v>237.46</v>
      </c>
      <c r="IN12" s="93">
        <v>236.57</v>
      </c>
      <c r="IO12" s="93">
        <v>235.69</v>
      </c>
      <c r="IP12" s="93">
        <v>234.8</v>
      </c>
      <c r="IQ12" s="93">
        <v>233.92</v>
      </c>
      <c r="IR12" s="93">
        <v>233.04</v>
      </c>
      <c r="IS12" s="93">
        <v>232.16</v>
      </c>
      <c r="IT12" s="93">
        <v>231.28</v>
      </c>
      <c r="IU12" s="93">
        <v>230.4</v>
      </c>
      <c r="IV12" s="93">
        <v>229.53</v>
      </c>
      <c r="IW12" s="93">
        <v>228.66</v>
      </c>
      <c r="IX12" s="93">
        <v>227.79</v>
      </c>
      <c r="IY12" s="93">
        <v>226.93</v>
      </c>
      <c r="IZ12" s="93">
        <v>226.06</v>
      </c>
      <c r="JA12" s="93">
        <v>225.2</v>
      </c>
      <c r="JB12" s="93">
        <v>224.33</v>
      </c>
      <c r="JC12" s="93">
        <v>223.47</v>
      </c>
      <c r="JD12" s="93">
        <v>222.61</v>
      </c>
      <c r="JE12" s="93">
        <v>221.75</v>
      </c>
      <c r="JF12" s="93">
        <v>220.89</v>
      </c>
      <c r="JG12" s="93">
        <v>220.04</v>
      </c>
      <c r="JH12" s="93">
        <v>219.18</v>
      </c>
      <c r="JI12" s="93">
        <v>218.33</v>
      </c>
      <c r="JJ12" s="93">
        <v>217.48</v>
      </c>
      <c r="JK12" s="93">
        <v>216.63</v>
      </c>
      <c r="JL12" s="93">
        <v>215.77</v>
      </c>
      <c r="JM12" s="93">
        <v>214.93</v>
      </c>
      <c r="JN12" s="93">
        <v>214.08</v>
      </c>
      <c r="JO12" s="93">
        <v>213.23</v>
      </c>
      <c r="JP12" s="93">
        <v>212.39</v>
      </c>
      <c r="JQ12" s="93">
        <v>211.54</v>
      </c>
      <c r="JR12" s="93">
        <v>210.7</v>
      </c>
      <c r="JS12" s="93">
        <v>209.85</v>
      </c>
      <c r="JT12" s="93">
        <v>209.01</v>
      </c>
      <c r="JU12" s="93">
        <v>208.17</v>
      </c>
      <c r="JV12" s="93">
        <v>207.33</v>
      </c>
      <c r="JW12" s="93">
        <v>206.49</v>
      </c>
      <c r="JX12" s="93">
        <v>205.65</v>
      </c>
      <c r="JY12" s="93">
        <v>204.81</v>
      </c>
      <c r="JZ12" s="93">
        <v>203.97</v>
      </c>
      <c r="KA12" s="93">
        <v>203.13</v>
      </c>
      <c r="KB12" s="93">
        <v>202.3</v>
      </c>
      <c r="KC12" s="93">
        <v>201.46</v>
      </c>
      <c r="KD12" s="93">
        <v>200.63</v>
      </c>
      <c r="KE12" s="93">
        <v>199.79</v>
      </c>
      <c r="KF12" s="93">
        <v>198.96</v>
      </c>
      <c r="KG12" s="93">
        <v>198.14</v>
      </c>
      <c r="KH12" s="93">
        <v>197.31</v>
      </c>
      <c r="KI12" s="93">
        <v>196.48</v>
      </c>
      <c r="KJ12" s="93">
        <v>195.65</v>
      </c>
      <c r="KK12" s="93">
        <v>194.83</v>
      </c>
      <c r="KL12" s="93">
        <v>194.01</v>
      </c>
      <c r="KM12" s="93">
        <v>193.18</v>
      </c>
      <c r="KN12" s="93">
        <v>192.36</v>
      </c>
      <c r="KO12" s="93">
        <v>191.54</v>
      </c>
      <c r="KP12" s="93">
        <v>190.73</v>
      </c>
      <c r="KQ12" s="93">
        <v>189.91</v>
      </c>
      <c r="KR12" s="98">
        <f t="shared" si="13"/>
        <v>189.02</v>
      </c>
      <c r="KS12" s="98">
        <f t="shared" si="14"/>
        <v>188.23</v>
      </c>
      <c r="KT12" s="98">
        <f t="shared" si="15"/>
        <v>187.41</v>
      </c>
      <c r="KU12" s="98">
        <f t="shared" si="15"/>
        <v>186.62</v>
      </c>
      <c r="KV12" s="98">
        <f t="shared" si="15"/>
        <v>185.84</v>
      </c>
      <c r="KW12" s="98">
        <f t="shared" si="15"/>
        <v>185.05</v>
      </c>
      <c r="KX12" s="98">
        <f t="shared" si="15"/>
        <v>184.26</v>
      </c>
      <c r="KY12" s="98">
        <f t="shared" si="15"/>
        <v>183.48</v>
      </c>
      <c r="KZ12" s="98">
        <f t="shared" si="15"/>
        <v>182.69</v>
      </c>
      <c r="LA12" s="98">
        <f t="shared" si="15"/>
        <v>181.91</v>
      </c>
      <c r="LB12" s="98">
        <f t="shared" si="15"/>
        <v>181.13</v>
      </c>
      <c r="LC12" s="98">
        <f t="shared" si="15"/>
        <v>180.35</v>
      </c>
      <c r="LD12" s="98">
        <f t="shared" si="15"/>
        <v>179.57</v>
      </c>
      <c r="LE12" s="98">
        <f t="shared" si="15"/>
        <v>178.79</v>
      </c>
      <c r="LF12" s="98">
        <f t="shared" si="15"/>
        <v>178.02</v>
      </c>
      <c r="LG12" s="98">
        <f t="shared" si="15"/>
        <v>177.25</v>
      </c>
      <c r="LH12" s="98">
        <f t="shared" si="15"/>
        <v>176.47</v>
      </c>
      <c r="LI12" s="98">
        <f t="shared" si="15"/>
        <v>175.7</v>
      </c>
      <c r="LJ12" s="98">
        <f t="shared" si="17"/>
        <v>174.93</v>
      </c>
      <c r="LK12" s="98">
        <f t="shared" si="17"/>
        <v>174.16</v>
      </c>
      <c r="LL12" s="98">
        <f t="shared" si="17"/>
        <v>173.39</v>
      </c>
      <c r="LM12" s="98">
        <f t="shared" si="17"/>
        <v>172.63</v>
      </c>
      <c r="LN12" s="98">
        <f t="shared" si="17"/>
        <v>171.86</v>
      </c>
      <c r="LO12" s="98">
        <f t="shared" si="17"/>
        <v>171.1</v>
      </c>
      <c r="LP12" s="98">
        <f t="shared" si="17"/>
        <v>170.34</v>
      </c>
      <c r="LQ12" s="98">
        <f t="shared" si="17"/>
        <v>169.58</v>
      </c>
      <c r="LR12" s="98">
        <f t="shared" si="17"/>
        <v>168.82</v>
      </c>
      <c r="LS12" s="98">
        <f t="shared" si="17"/>
        <v>168.06</v>
      </c>
      <c r="LT12" s="98">
        <f t="shared" si="17"/>
        <v>167.31</v>
      </c>
      <c r="LU12" s="98">
        <f t="shared" si="17"/>
        <v>166.56</v>
      </c>
      <c r="LV12" s="98">
        <f t="shared" si="17"/>
        <v>165.8</v>
      </c>
      <c r="LW12" s="98">
        <f t="shared" si="16"/>
        <v>165.05</v>
      </c>
      <c r="LX12" s="98">
        <f t="shared" si="16"/>
        <v>164.3</v>
      </c>
      <c r="LY12" s="98">
        <f t="shared" si="16"/>
        <v>163.55000000000001</v>
      </c>
      <c r="LZ12" s="98">
        <f t="shared" si="16"/>
        <v>162.81</v>
      </c>
      <c r="MA12" s="98">
        <f t="shared" si="16"/>
        <v>162.06</v>
      </c>
      <c r="MB12" s="98">
        <f t="shared" si="16"/>
        <v>161.32</v>
      </c>
      <c r="MC12" s="98">
        <f t="shared" si="16"/>
        <v>160.58000000000001</v>
      </c>
      <c r="MD12" s="98">
        <f t="shared" si="16"/>
        <v>159.84</v>
      </c>
      <c r="ME12" s="98">
        <f t="shared" si="16"/>
        <v>159.11000000000001</v>
      </c>
      <c r="MF12" s="98">
        <f t="shared" si="16"/>
        <v>158.37</v>
      </c>
      <c r="MG12" s="98">
        <f t="shared" si="16"/>
        <v>157.63999999999999</v>
      </c>
      <c r="MH12" s="98">
        <f t="shared" si="16"/>
        <v>156.9</v>
      </c>
      <c r="MI12" s="98">
        <f t="shared" si="16"/>
        <v>156.16999999999999</v>
      </c>
      <c r="MJ12" s="98">
        <f t="shared" si="16"/>
        <v>155.44</v>
      </c>
      <c r="MK12" s="98">
        <f t="shared" si="16"/>
        <v>154.71</v>
      </c>
      <c r="ML12" s="98">
        <f t="shared" si="16"/>
        <v>153.99</v>
      </c>
      <c r="MM12" s="98">
        <f t="shared" si="16"/>
        <v>153.26</v>
      </c>
      <c r="MN12" s="98">
        <f t="shared" si="16"/>
        <v>152.54</v>
      </c>
      <c r="MO12" s="98">
        <f t="shared" si="16"/>
        <v>151.82</v>
      </c>
      <c r="MP12" s="98">
        <f t="shared" si="16"/>
        <v>151.1</v>
      </c>
      <c r="MQ12" s="98">
        <f t="shared" si="16"/>
        <v>150.38999999999999</v>
      </c>
      <c r="MR12" s="98">
        <f t="shared" si="16"/>
        <v>149.66999999999999</v>
      </c>
      <c r="MS12" s="98">
        <f t="shared" si="16"/>
        <v>148.96</v>
      </c>
      <c r="MT12" s="98">
        <f t="shared" si="16"/>
        <v>148.24</v>
      </c>
      <c r="MU12" s="98">
        <f t="shared" si="16"/>
        <v>147.53</v>
      </c>
      <c r="MV12" s="98">
        <f t="shared" si="16"/>
        <v>146.82</v>
      </c>
      <c r="MW12" s="98">
        <f t="shared" si="16"/>
        <v>146.12</v>
      </c>
      <c r="MX12" s="98">
        <f t="shared" si="16"/>
        <v>145.41</v>
      </c>
      <c r="MY12" s="98">
        <f t="shared" si="16"/>
        <v>144.71</v>
      </c>
    </row>
    <row r="13" spans="1:363" ht="15.75" x14ac:dyDescent="0.25">
      <c r="A13" s="90" t="s">
        <v>6</v>
      </c>
      <c r="B13" s="95">
        <v>2023</v>
      </c>
      <c r="C13" s="93">
        <v>481.2</v>
      </c>
      <c r="D13" s="93">
        <v>480.16</v>
      </c>
      <c r="E13" s="93">
        <v>479.12</v>
      </c>
      <c r="F13" s="93">
        <v>478.09</v>
      </c>
      <c r="G13" s="93">
        <v>477.05</v>
      </c>
      <c r="H13" s="93">
        <v>476.01</v>
      </c>
      <c r="I13" s="93">
        <v>474.97</v>
      </c>
      <c r="J13" s="93">
        <v>473.93</v>
      </c>
      <c r="K13" s="93">
        <v>472.89</v>
      </c>
      <c r="L13" s="93">
        <v>471.85</v>
      </c>
      <c r="M13" s="93">
        <v>470.81</v>
      </c>
      <c r="N13" s="93">
        <v>469.77</v>
      </c>
      <c r="O13" s="93">
        <v>468.73</v>
      </c>
      <c r="P13" s="93">
        <v>467.7</v>
      </c>
      <c r="Q13" s="93">
        <v>466.66</v>
      </c>
      <c r="R13" s="93">
        <v>465.62</v>
      </c>
      <c r="S13" s="93">
        <v>464.58</v>
      </c>
      <c r="T13" s="93">
        <v>463.54</v>
      </c>
      <c r="U13" s="93">
        <v>462.5</v>
      </c>
      <c r="V13" s="93">
        <v>461.47</v>
      </c>
      <c r="W13" s="93">
        <v>460.43</v>
      </c>
      <c r="X13" s="93">
        <v>459.39</v>
      </c>
      <c r="Y13" s="93">
        <v>458.35</v>
      </c>
      <c r="Z13" s="93">
        <v>457.31</v>
      </c>
      <c r="AA13" s="93">
        <v>456.28</v>
      </c>
      <c r="AB13" s="93">
        <v>455.24</v>
      </c>
      <c r="AC13" s="93">
        <v>454.2</v>
      </c>
      <c r="AD13" s="93">
        <v>453.16</v>
      </c>
      <c r="AE13" s="93">
        <v>452.13</v>
      </c>
      <c r="AF13" s="93">
        <v>451.09</v>
      </c>
      <c r="AG13" s="93">
        <v>450.05</v>
      </c>
      <c r="AH13" s="93">
        <v>449.01</v>
      </c>
      <c r="AI13" s="93">
        <v>447.98</v>
      </c>
      <c r="AJ13" s="93">
        <v>446.94</v>
      </c>
      <c r="AK13" s="93">
        <v>445.9</v>
      </c>
      <c r="AL13" s="93">
        <v>444.87</v>
      </c>
      <c r="AM13" s="93">
        <v>443.83</v>
      </c>
      <c r="AN13" s="93">
        <v>442.79</v>
      </c>
      <c r="AO13" s="93">
        <v>441.76</v>
      </c>
      <c r="AP13" s="93">
        <v>440.72</v>
      </c>
      <c r="AQ13" s="93">
        <v>439.68</v>
      </c>
      <c r="AR13" s="93">
        <v>438.65</v>
      </c>
      <c r="AS13" s="93">
        <v>437.61</v>
      </c>
      <c r="AT13" s="93">
        <v>436.57</v>
      </c>
      <c r="AU13" s="93">
        <v>435.54</v>
      </c>
      <c r="AV13" s="93">
        <v>434.5</v>
      </c>
      <c r="AW13" s="93">
        <v>433.47</v>
      </c>
      <c r="AX13" s="93">
        <v>432.43</v>
      </c>
      <c r="AY13" s="93">
        <v>431.39</v>
      </c>
      <c r="AZ13" s="93">
        <v>430.36</v>
      </c>
      <c r="BA13" s="93">
        <v>429.32</v>
      </c>
      <c r="BB13" s="93">
        <v>428.29</v>
      </c>
      <c r="BC13" s="93">
        <v>427.25</v>
      </c>
      <c r="BD13" s="93">
        <v>426.22</v>
      </c>
      <c r="BE13" s="93">
        <v>425.18</v>
      </c>
      <c r="BF13" s="93">
        <v>424.15</v>
      </c>
      <c r="BG13" s="93">
        <v>423.11</v>
      </c>
      <c r="BH13" s="93">
        <v>422.08</v>
      </c>
      <c r="BI13" s="93">
        <v>421.04</v>
      </c>
      <c r="BJ13" s="93">
        <v>420</v>
      </c>
      <c r="BK13" s="93">
        <v>418.97</v>
      </c>
      <c r="BL13" s="93">
        <v>417.93</v>
      </c>
      <c r="BM13" s="93">
        <v>416.9</v>
      </c>
      <c r="BN13" s="93">
        <v>415.86</v>
      </c>
      <c r="BO13" s="93">
        <v>414.83</v>
      </c>
      <c r="BP13" s="93">
        <v>413.79</v>
      </c>
      <c r="BQ13" s="93">
        <v>412.76</v>
      </c>
      <c r="BR13" s="93">
        <v>411.73</v>
      </c>
      <c r="BS13" s="93">
        <v>410.69</v>
      </c>
      <c r="BT13" s="93">
        <v>409.66</v>
      </c>
      <c r="BU13" s="93">
        <v>408.62</v>
      </c>
      <c r="BV13" s="93">
        <v>407.59</v>
      </c>
      <c r="BW13" s="93">
        <v>406.56</v>
      </c>
      <c r="BX13" s="93">
        <v>405.53</v>
      </c>
      <c r="BY13" s="93">
        <v>404.49</v>
      </c>
      <c r="BZ13" s="93">
        <v>403.46</v>
      </c>
      <c r="CA13" s="93">
        <v>402.43</v>
      </c>
      <c r="CB13" s="93">
        <v>401.4</v>
      </c>
      <c r="CC13" s="93">
        <v>400.37</v>
      </c>
      <c r="CD13" s="93">
        <v>399.34</v>
      </c>
      <c r="CE13" s="93">
        <v>398.32</v>
      </c>
      <c r="CF13" s="93">
        <v>397.29</v>
      </c>
      <c r="CG13" s="93">
        <v>396.26</v>
      </c>
      <c r="CH13" s="93">
        <v>395.23</v>
      </c>
      <c r="CI13" s="93">
        <v>394.2</v>
      </c>
      <c r="CJ13" s="93">
        <v>393.17</v>
      </c>
      <c r="CK13" s="93">
        <v>392.14</v>
      </c>
      <c r="CL13" s="93">
        <v>391.11</v>
      </c>
      <c r="CM13" s="93">
        <v>390.09</v>
      </c>
      <c r="CN13" s="93">
        <v>389.06</v>
      </c>
      <c r="CO13" s="93">
        <v>388.03</v>
      </c>
      <c r="CP13" s="93">
        <v>387</v>
      </c>
      <c r="CQ13" s="93">
        <v>385.98</v>
      </c>
      <c r="CR13" s="93">
        <v>384.95</v>
      </c>
      <c r="CS13" s="93">
        <v>383.92</v>
      </c>
      <c r="CT13" s="93">
        <v>382.89</v>
      </c>
      <c r="CU13" s="93">
        <v>381.87</v>
      </c>
      <c r="CV13" s="93">
        <v>380.84</v>
      </c>
      <c r="CW13" s="93">
        <v>379.82</v>
      </c>
      <c r="CX13" s="93">
        <v>378.79</v>
      </c>
      <c r="CY13" s="93">
        <v>377.77</v>
      </c>
      <c r="CZ13" s="93">
        <v>376.74</v>
      </c>
      <c r="DA13" s="93">
        <v>375.72</v>
      </c>
      <c r="DB13" s="93">
        <v>374.69</v>
      </c>
      <c r="DC13" s="93">
        <v>373.67</v>
      </c>
      <c r="DD13" s="93">
        <v>372.65</v>
      </c>
      <c r="DE13" s="93">
        <v>371.62</v>
      </c>
      <c r="DF13" s="93">
        <v>370.6</v>
      </c>
      <c r="DG13" s="93">
        <v>369.58</v>
      </c>
      <c r="DH13" s="93">
        <v>368.56</v>
      </c>
      <c r="DI13" s="93">
        <v>367.53</v>
      </c>
      <c r="DJ13" s="93">
        <v>366.51</v>
      </c>
      <c r="DK13" s="93">
        <v>365.49</v>
      </c>
      <c r="DL13" s="93">
        <v>364.47</v>
      </c>
      <c r="DM13" s="93">
        <v>363.45</v>
      </c>
      <c r="DN13" s="93">
        <v>362.43</v>
      </c>
      <c r="DO13" s="93">
        <v>361.41</v>
      </c>
      <c r="DP13" s="93">
        <v>360.39</v>
      </c>
      <c r="DQ13" s="93">
        <v>359.37</v>
      </c>
      <c r="DR13" s="93">
        <v>358.35</v>
      </c>
      <c r="DS13" s="93">
        <v>357.34</v>
      </c>
      <c r="DT13" s="93">
        <v>356.32</v>
      </c>
      <c r="DU13" s="93">
        <v>355.31</v>
      </c>
      <c r="DV13" s="93">
        <v>354.29</v>
      </c>
      <c r="DW13" s="93">
        <v>353.28</v>
      </c>
      <c r="DX13" s="93">
        <v>352.27</v>
      </c>
      <c r="DY13" s="93">
        <v>351.25</v>
      </c>
      <c r="DZ13" s="93">
        <v>350.24</v>
      </c>
      <c r="EA13" s="93">
        <v>349.23</v>
      </c>
      <c r="EB13" s="93">
        <v>348.22</v>
      </c>
      <c r="EC13" s="93">
        <v>347.21</v>
      </c>
      <c r="ED13" s="93">
        <v>346.2</v>
      </c>
      <c r="EE13" s="93">
        <v>345.19</v>
      </c>
      <c r="EF13" s="93">
        <v>344.19</v>
      </c>
      <c r="EG13" s="93">
        <v>343.18</v>
      </c>
      <c r="EH13" s="93">
        <v>342.18</v>
      </c>
      <c r="EI13" s="93">
        <v>341.18</v>
      </c>
      <c r="EJ13" s="93">
        <v>340.18</v>
      </c>
      <c r="EK13" s="93">
        <v>339.18</v>
      </c>
      <c r="EL13" s="93">
        <v>338.17</v>
      </c>
      <c r="EM13" s="93">
        <v>337.17</v>
      </c>
      <c r="EN13" s="93">
        <v>336.17</v>
      </c>
      <c r="EO13" s="93">
        <v>335.18</v>
      </c>
      <c r="EP13" s="93">
        <v>334.18</v>
      </c>
      <c r="EQ13" s="93">
        <v>333.18</v>
      </c>
      <c r="ER13" s="93">
        <v>332.18</v>
      </c>
      <c r="ES13" s="93">
        <v>331.19</v>
      </c>
      <c r="ET13" s="93">
        <v>330.19</v>
      </c>
      <c r="EU13" s="93">
        <v>329.2</v>
      </c>
      <c r="EV13" s="93">
        <v>328.21</v>
      </c>
      <c r="EW13" s="93">
        <v>327.22000000000003</v>
      </c>
      <c r="EX13" s="93">
        <v>326.22000000000003</v>
      </c>
      <c r="EY13" s="93">
        <v>325.23</v>
      </c>
      <c r="EZ13" s="93">
        <v>324.24</v>
      </c>
      <c r="FA13" s="93">
        <v>323.25</v>
      </c>
      <c r="FB13" s="93">
        <v>322.26</v>
      </c>
      <c r="FC13" s="93">
        <v>321.26</v>
      </c>
      <c r="FD13" s="93">
        <v>320.27999999999997</v>
      </c>
      <c r="FE13" s="93">
        <v>319.29000000000002</v>
      </c>
      <c r="FF13" s="93">
        <v>318.32</v>
      </c>
      <c r="FG13" s="93">
        <v>317.32</v>
      </c>
      <c r="FH13" s="93">
        <v>316.35000000000002</v>
      </c>
      <c r="FI13" s="93">
        <v>315.37</v>
      </c>
      <c r="FJ13" s="93">
        <v>314.38</v>
      </c>
      <c r="FK13" s="93">
        <v>313.39999999999998</v>
      </c>
      <c r="FL13" s="93">
        <v>312.42</v>
      </c>
      <c r="FM13" s="93">
        <v>311.44</v>
      </c>
      <c r="FN13" s="93">
        <v>310.45999999999998</v>
      </c>
      <c r="FO13" s="93">
        <v>309.48</v>
      </c>
      <c r="FP13" s="93">
        <v>308.51</v>
      </c>
      <c r="FQ13" s="93">
        <v>307.52999999999997</v>
      </c>
      <c r="FR13" s="93">
        <v>306.56</v>
      </c>
      <c r="FS13" s="93">
        <v>305.57</v>
      </c>
      <c r="FT13" s="93">
        <v>304.60000000000002</v>
      </c>
      <c r="FU13" s="93">
        <v>303.64</v>
      </c>
      <c r="FV13" s="93">
        <v>302.66000000000003</v>
      </c>
      <c r="FW13" s="93">
        <v>301.69</v>
      </c>
      <c r="FX13" s="93">
        <v>300.72000000000003</v>
      </c>
      <c r="FY13" s="93">
        <v>299.75</v>
      </c>
      <c r="FZ13" s="93">
        <v>298.77999999999997</v>
      </c>
      <c r="GA13" s="93">
        <v>297.81</v>
      </c>
      <c r="GB13" s="93">
        <v>296.83999999999997</v>
      </c>
      <c r="GC13" s="93">
        <v>295.88</v>
      </c>
      <c r="GD13" s="93">
        <v>294.91000000000003</v>
      </c>
      <c r="GE13" s="93">
        <v>293.95</v>
      </c>
      <c r="GF13" s="93">
        <v>292.98</v>
      </c>
      <c r="GG13" s="93">
        <v>292.01</v>
      </c>
      <c r="GH13" s="93">
        <v>291.06</v>
      </c>
      <c r="GI13" s="93">
        <v>290.10000000000002</v>
      </c>
      <c r="GJ13" s="93">
        <v>289.14</v>
      </c>
      <c r="GK13" s="93">
        <v>288.18</v>
      </c>
      <c r="GL13" s="93">
        <v>287.22000000000003</v>
      </c>
      <c r="GM13" s="93">
        <v>286.26</v>
      </c>
      <c r="GN13" s="93">
        <v>285.31</v>
      </c>
      <c r="GO13" s="93">
        <v>284.35000000000002</v>
      </c>
      <c r="GP13" s="93">
        <v>283.41000000000003</v>
      </c>
      <c r="GQ13" s="93">
        <v>282.45999999999998</v>
      </c>
      <c r="GR13" s="93">
        <v>281.51</v>
      </c>
      <c r="GS13" s="93">
        <v>280.56</v>
      </c>
      <c r="GT13" s="93">
        <v>279.60000000000002</v>
      </c>
      <c r="GU13" s="93">
        <v>278.67</v>
      </c>
      <c r="GV13" s="93">
        <v>277.72000000000003</v>
      </c>
      <c r="GW13" s="93">
        <v>276.77999999999997</v>
      </c>
      <c r="GX13" s="93">
        <v>275.82</v>
      </c>
      <c r="GY13" s="93">
        <v>274.89</v>
      </c>
      <c r="GZ13" s="93">
        <v>273.95</v>
      </c>
      <c r="HA13" s="93">
        <v>273.01</v>
      </c>
      <c r="HB13" s="93">
        <v>272.07</v>
      </c>
      <c r="HC13" s="93">
        <v>271.14</v>
      </c>
      <c r="HD13" s="93">
        <v>270.2</v>
      </c>
      <c r="HE13" s="93">
        <v>269.26</v>
      </c>
      <c r="HF13" s="93">
        <v>268.32</v>
      </c>
      <c r="HG13" s="93">
        <v>267.39999999999998</v>
      </c>
      <c r="HH13" s="93">
        <v>266.47000000000003</v>
      </c>
      <c r="HI13" s="93">
        <v>265.54000000000002</v>
      </c>
      <c r="HJ13" s="93">
        <v>264.60000000000002</v>
      </c>
      <c r="HK13" s="93">
        <v>263.68</v>
      </c>
      <c r="HL13" s="93">
        <v>262.76</v>
      </c>
      <c r="HM13" s="93">
        <v>261.83999999999997</v>
      </c>
      <c r="HN13" s="93">
        <v>260.92</v>
      </c>
      <c r="HO13" s="93">
        <v>260</v>
      </c>
      <c r="HP13" s="93">
        <v>259.07</v>
      </c>
      <c r="HQ13" s="93">
        <v>258.17</v>
      </c>
      <c r="HR13" s="93">
        <v>257.25</v>
      </c>
      <c r="HS13" s="93">
        <v>256.33999999999997</v>
      </c>
      <c r="HT13" s="93">
        <v>255.43</v>
      </c>
      <c r="HU13" s="93">
        <v>254.51</v>
      </c>
      <c r="HV13" s="93">
        <v>253.6</v>
      </c>
      <c r="HW13" s="93">
        <v>252.69</v>
      </c>
      <c r="HX13" s="93">
        <v>251.79</v>
      </c>
      <c r="HY13" s="93">
        <v>250.88</v>
      </c>
      <c r="HZ13" s="93">
        <v>249.97</v>
      </c>
      <c r="IA13" s="93">
        <v>249.07</v>
      </c>
      <c r="IB13" s="93">
        <v>248.17</v>
      </c>
      <c r="IC13" s="93">
        <v>247.26</v>
      </c>
      <c r="ID13" s="93">
        <v>246.36</v>
      </c>
      <c r="IE13" s="93">
        <v>245.46</v>
      </c>
      <c r="IF13" s="93">
        <v>244.56</v>
      </c>
      <c r="IG13" s="93">
        <v>243.67</v>
      </c>
      <c r="IH13" s="93">
        <v>242.77</v>
      </c>
      <c r="II13" s="93">
        <v>241.87</v>
      </c>
      <c r="IJ13" s="93">
        <v>240.98</v>
      </c>
      <c r="IK13" s="93">
        <v>240.09</v>
      </c>
      <c r="IL13" s="93">
        <v>239.2</v>
      </c>
      <c r="IM13" s="93">
        <v>238.31</v>
      </c>
      <c r="IN13" s="93">
        <v>237.42</v>
      </c>
      <c r="IO13" s="93">
        <v>236.53</v>
      </c>
      <c r="IP13" s="93">
        <v>235.65</v>
      </c>
      <c r="IQ13" s="93">
        <v>234.76</v>
      </c>
      <c r="IR13" s="93">
        <v>233.88</v>
      </c>
      <c r="IS13" s="93">
        <v>233</v>
      </c>
      <c r="IT13" s="93">
        <v>232.12</v>
      </c>
      <c r="IU13" s="93">
        <v>231.24</v>
      </c>
      <c r="IV13" s="93">
        <v>230.36</v>
      </c>
      <c r="IW13" s="93">
        <v>229.49</v>
      </c>
      <c r="IX13" s="93">
        <v>228.62</v>
      </c>
      <c r="IY13" s="93">
        <v>227.76</v>
      </c>
      <c r="IZ13" s="93">
        <v>226.89</v>
      </c>
      <c r="JA13" s="93">
        <v>226.02</v>
      </c>
      <c r="JB13" s="93">
        <v>225.16</v>
      </c>
      <c r="JC13" s="93">
        <v>224.3</v>
      </c>
      <c r="JD13" s="93">
        <v>223.43</v>
      </c>
      <c r="JE13" s="93">
        <v>222.57</v>
      </c>
      <c r="JF13" s="93">
        <v>221.71</v>
      </c>
      <c r="JG13" s="93">
        <v>220.85</v>
      </c>
      <c r="JH13" s="93">
        <v>220</v>
      </c>
      <c r="JI13" s="93">
        <v>219.14</v>
      </c>
      <c r="JJ13" s="93">
        <v>218.29</v>
      </c>
      <c r="JK13" s="93">
        <v>217.44</v>
      </c>
      <c r="JL13" s="93">
        <v>216.58</v>
      </c>
      <c r="JM13" s="93">
        <v>215.73</v>
      </c>
      <c r="JN13" s="93">
        <v>214.88</v>
      </c>
      <c r="JO13" s="93">
        <v>214.03</v>
      </c>
      <c r="JP13" s="93">
        <v>213.19</v>
      </c>
      <c r="JQ13" s="93">
        <v>212.34</v>
      </c>
      <c r="JR13" s="93">
        <v>211.5</v>
      </c>
      <c r="JS13" s="93">
        <v>210.65</v>
      </c>
      <c r="JT13" s="93">
        <v>209.81</v>
      </c>
      <c r="JU13" s="93">
        <v>208.96</v>
      </c>
      <c r="JV13" s="93">
        <v>208.12</v>
      </c>
      <c r="JW13" s="93">
        <v>207.27</v>
      </c>
      <c r="JX13" s="93">
        <v>206.43</v>
      </c>
      <c r="JY13" s="93">
        <v>205.59</v>
      </c>
      <c r="JZ13" s="93">
        <v>204.75</v>
      </c>
      <c r="KA13" s="93">
        <v>203.91</v>
      </c>
      <c r="KB13" s="93">
        <v>203.07</v>
      </c>
      <c r="KC13" s="93">
        <v>202.24</v>
      </c>
      <c r="KD13" s="93">
        <v>201.4</v>
      </c>
      <c r="KE13" s="93">
        <v>200.57</v>
      </c>
      <c r="KF13" s="93">
        <v>199.73</v>
      </c>
      <c r="KG13" s="93">
        <v>198.9</v>
      </c>
      <c r="KH13" s="93">
        <v>198.07</v>
      </c>
      <c r="KI13" s="93">
        <v>197.24</v>
      </c>
      <c r="KJ13" s="93">
        <v>196.42</v>
      </c>
      <c r="KK13" s="93">
        <v>195.59</v>
      </c>
      <c r="KL13" s="93">
        <v>194.76</v>
      </c>
      <c r="KM13" s="93">
        <v>193.94</v>
      </c>
      <c r="KN13" s="93">
        <v>193.12</v>
      </c>
      <c r="KO13" s="93">
        <v>192.29</v>
      </c>
      <c r="KP13" s="93">
        <v>191.47</v>
      </c>
      <c r="KQ13" s="93">
        <v>190.66</v>
      </c>
      <c r="KR13" s="98">
        <f t="shared" si="13"/>
        <v>189.77</v>
      </c>
      <c r="KS13" s="98">
        <f t="shared" si="14"/>
        <v>188.98</v>
      </c>
      <c r="KT13" s="98">
        <f t="shared" si="15"/>
        <v>188.16</v>
      </c>
      <c r="KU13" s="98">
        <f t="shared" si="15"/>
        <v>187.37</v>
      </c>
      <c r="KV13" s="98">
        <f t="shared" si="15"/>
        <v>186.59</v>
      </c>
      <c r="KW13" s="98">
        <f t="shared" si="15"/>
        <v>185.8</v>
      </c>
      <c r="KX13" s="98">
        <f t="shared" si="15"/>
        <v>185.01</v>
      </c>
      <c r="KY13" s="98">
        <f t="shared" si="15"/>
        <v>184.23</v>
      </c>
      <c r="KZ13" s="98">
        <f t="shared" si="15"/>
        <v>183.44</v>
      </c>
      <c r="LA13" s="98">
        <f t="shared" si="15"/>
        <v>182.66</v>
      </c>
      <c r="LB13" s="98">
        <f t="shared" si="15"/>
        <v>181.88</v>
      </c>
      <c r="LC13" s="98">
        <f t="shared" si="15"/>
        <v>181.1</v>
      </c>
      <c r="LD13" s="98">
        <f t="shared" si="15"/>
        <v>180.32</v>
      </c>
      <c r="LE13" s="98">
        <f t="shared" si="15"/>
        <v>179.54</v>
      </c>
      <c r="LF13" s="98">
        <f t="shared" si="15"/>
        <v>178.77</v>
      </c>
      <c r="LG13" s="98">
        <f t="shared" si="15"/>
        <v>178</v>
      </c>
      <c r="LH13" s="98">
        <f t="shared" si="15"/>
        <v>177.22</v>
      </c>
      <c r="LI13" s="98">
        <f t="shared" si="15"/>
        <v>176.45</v>
      </c>
      <c r="LJ13" s="98">
        <f t="shared" si="17"/>
        <v>175.68</v>
      </c>
      <c r="LK13" s="98">
        <f t="shared" si="17"/>
        <v>174.91</v>
      </c>
      <c r="LL13" s="98">
        <f t="shared" si="17"/>
        <v>174.14</v>
      </c>
      <c r="LM13" s="98">
        <f t="shared" si="17"/>
        <v>173.38</v>
      </c>
      <c r="LN13" s="98">
        <f t="shared" si="17"/>
        <v>172.61</v>
      </c>
      <c r="LO13" s="98">
        <f t="shared" si="17"/>
        <v>171.85</v>
      </c>
      <c r="LP13" s="98">
        <f t="shared" si="17"/>
        <v>171.09</v>
      </c>
      <c r="LQ13" s="98">
        <f t="shared" si="17"/>
        <v>170.33</v>
      </c>
      <c r="LR13" s="98">
        <f t="shared" si="17"/>
        <v>169.57</v>
      </c>
      <c r="LS13" s="98">
        <f t="shared" si="17"/>
        <v>168.81</v>
      </c>
      <c r="LT13" s="98">
        <f t="shared" si="17"/>
        <v>168.06</v>
      </c>
      <c r="LU13" s="98">
        <f t="shared" si="17"/>
        <v>167.31</v>
      </c>
      <c r="LV13" s="98">
        <f t="shared" si="17"/>
        <v>166.55</v>
      </c>
      <c r="LW13" s="98">
        <f t="shared" si="16"/>
        <v>165.8</v>
      </c>
      <c r="LX13" s="98">
        <f t="shared" si="16"/>
        <v>165.05</v>
      </c>
      <c r="LY13" s="98">
        <f t="shared" si="16"/>
        <v>164.3</v>
      </c>
      <c r="LZ13" s="98">
        <f t="shared" si="16"/>
        <v>163.56</v>
      </c>
      <c r="MA13" s="98">
        <f t="shared" si="16"/>
        <v>162.81</v>
      </c>
      <c r="MB13" s="98">
        <f t="shared" si="16"/>
        <v>162.07</v>
      </c>
      <c r="MC13" s="98">
        <f t="shared" si="16"/>
        <v>161.33000000000001</v>
      </c>
      <c r="MD13" s="98">
        <f t="shared" si="16"/>
        <v>160.59</v>
      </c>
      <c r="ME13" s="98">
        <f t="shared" si="16"/>
        <v>159.86000000000001</v>
      </c>
      <c r="MF13" s="98">
        <f t="shared" si="16"/>
        <v>159.12</v>
      </c>
      <c r="MG13" s="98">
        <f t="shared" si="16"/>
        <v>158.38999999999999</v>
      </c>
      <c r="MH13" s="98">
        <f t="shared" si="16"/>
        <v>157.65</v>
      </c>
      <c r="MI13" s="98">
        <f t="shared" si="16"/>
        <v>156.91999999999999</v>
      </c>
      <c r="MJ13" s="98">
        <f t="shared" si="16"/>
        <v>156.19</v>
      </c>
      <c r="MK13" s="98">
        <f t="shared" si="16"/>
        <v>155.46</v>
      </c>
      <c r="ML13" s="98">
        <f t="shared" si="16"/>
        <v>154.74</v>
      </c>
      <c r="MM13" s="98">
        <f t="shared" si="16"/>
        <v>154.01</v>
      </c>
      <c r="MN13" s="98">
        <f t="shared" si="16"/>
        <v>153.29</v>
      </c>
      <c r="MO13" s="98">
        <f t="shared" si="16"/>
        <v>152.57</v>
      </c>
      <c r="MP13" s="98">
        <f t="shared" si="16"/>
        <v>151.85</v>
      </c>
      <c r="MQ13" s="98">
        <f t="shared" si="16"/>
        <v>151.13999999999999</v>
      </c>
      <c r="MR13" s="98">
        <f t="shared" si="16"/>
        <v>150.41999999999999</v>
      </c>
      <c r="MS13" s="98">
        <f t="shared" si="16"/>
        <v>149.71</v>
      </c>
      <c r="MT13" s="98">
        <f t="shared" si="16"/>
        <v>148.99</v>
      </c>
      <c r="MU13" s="98">
        <f t="shared" si="16"/>
        <v>148.28</v>
      </c>
      <c r="MV13" s="98">
        <f t="shared" si="16"/>
        <v>147.57</v>
      </c>
      <c r="MW13" s="98">
        <f t="shared" si="16"/>
        <v>146.87</v>
      </c>
      <c r="MX13" s="98">
        <f t="shared" si="16"/>
        <v>146.16</v>
      </c>
      <c r="MY13" s="98">
        <f t="shared" si="16"/>
        <v>145.46</v>
      </c>
    </row>
    <row r="14" spans="1:363" ht="15.75" x14ac:dyDescent="0.25">
      <c r="A14" s="90" t="s">
        <v>6</v>
      </c>
      <c r="B14" s="95">
        <v>2024</v>
      </c>
      <c r="C14" s="93">
        <v>482.2</v>
      </c>
      <c r="D14" s="93">
        <v>481.16</v>
      </c>
      <c r="E14" s="93">
        <v>480.12</v>
      </c>
      <c r="F14" s="93">
        <v>479.08</v>
      </c>
      <c r="G14" s="93">
        <v>478.04</v>
      </c>
      <c r="H14" s="93">
        <v>477.01</v>
      </c>
      <c r="I14" s="93">
        <v>475.97</v>
      </c>
      <c r="J14" s="93">
        <v>474.93</v>
      </c>
      <c r="K14" s="93">
        <v>473.89</v>
      </c>
      <c r="L14" s="93">
        <v>472.85</v>
      </c>
      <c r="M14" s="93">
        <v>471.81</v>
      </c>
      <c r="N14" s="93">
        <v>470.77</v>
      </c>
      <c r="O14" s="93">
        <v>469.73</v>
      </c>
      <c r="P14" s="93">
        <v>468.7</v>
      </c>
      <c r="Q14" s="93">
        <v>467.66</v>
      </c>
      <c r="R14" s="93">
        <v>466.62</v>
      </c>
      <c r="S14" s="93">
        <v>465.58</v>
      </c>
      <c r="T14" s="93">
        <v>464.54</v>
      </c>
      <c r="U14" s="93">
        <v>463.5</v>
      </c>
      <c r="V14" s="93">
        <v>462.47</v>
      </c>
      <c r="W14" s="93">
        <v>461.43</v>
      </c>
      <c r="X14" s="93">
        <v>460.39</v>
      </c>
      <c r="Y14" s="93">
        <v>459.35</v>
      </c>
      <c r="Z14" s="93">
        <v>458.31</v>
      </c>
      <c r="AA14" s="93">
        <v>457.28</v>
      </c>
      <c r="AB14" s="93">
        <v>456.24</v>
      </c>
      <c r="AC14" s="93">
        <v>455.2</v>
      </c>
      <c r="AD14" s="93">
        <v>454.16</v>
      </c>
      <c r="AE14" s="93">
        <v>453.13</v>
      </c>
      <c r="AF14" s="93">
        <v>452.09</v>
      </c>
      <c r="AG14" s="93">
        <v>451.05</v>
      </c>
      <c r="AH14" s="93">
        <v>450.01</v>
      </c>
      <c r="AI14" s="93">
        <v>448.98</v>
      </c>
      <c r="AJ14" s="93">
        <v>447.94</v>
      </c>
      <c r="AK14" s="93">
        <v>446.9</v>
      </c>
      <c r="AL14" s="93">
        <v>445.87</v>
      </c>
      <c r="AM14" s="93">
        <v>444.83</v>
      </c>
      <c r="AN14" s="93">
        <v>443.79</v>
      </c>
      <c r="AO14" s="93">
        <v>442.76</v>
      </c>
      <c r="AP14" s="93">
        <v>441.72</v>
      </c>
      <c r="AQ14" s="93">
        <v>440.68</v>
      </c>
      <c r="AR14" s="93">
        <v>439.65</v>
      </c>
      <c r="AS14" s="93">
        <v>438.61</v>
      </c>
      <c r="AT14" s="93">
        <v>437.57</v>
      </c>
      <c r="AU14" s="93">
        <v>436.54</v>
      </c>
      <c r="AV14" s="93">
        <v>435.5</v>
      </c>
      <c r="AW14" s="93">
        <v>434.46</v>
      </c>
      <c r="AX14" s="93">
        <v>433.43</v>
      </c>
      <c r="AY14" s="93">
        <v>432.39</v>
      </c>
      <c r="AZ14" s="93">
        <v>431.36</v>
      </c>
      <c r="BA14" s="93">
        <v>430.32</v>
      </c>
      <c r="BB14" s="93">
        <v>429.29</v>
      </c>
      <c r="BC14" s="93">
        <v>428.25</v>
      </c>
      <c r="BD14" s="93">
        <v>427.21</v>
      </c>
      <c r="BE14" s="93">
        <v>426.18</v>
      </c>
      <c r="BF14" s="93">
        <v>425.14</v>
      </c>
      <c r="BG14" s="93">
        <v>424.11</v>
      </c>
      <c r="BH14" s="93">
        <v>423.07</v>
      </c>
      <c r="BI14" s="93">
        <v>422.04</v>
      </c>
      <c r="BJ14" s="93">
        <v>421</v>
      </c>
      <c r="BK14" s="93">
        <v>419.97</v>
      </c>
      <c r="BL14" s="93">
        <v>418.93</v>
      </c>
      <c r="BM14" s="93">
        <v>417.9</v>
      </c>
      <c r="BN14" s="93">
        <v>416.86</v>
      </c>
      <c r="BO14" s="93">
        <v>415.83</v>
      </c>
      <c r="BP14" s="93">
        <v>414.79</v>
      </c>
      <c r="BQ14" s="93">
        <v>413.76</v>
      </c>
      <c r="BR14" s="93">
        <v>412.72</v>
      </c>
      <c r="BS14" s="93">
        <v>411.69</v>
      </c>
      <c r="BT14" s="93">
        <v>410.65</v>
      </c>
      <c r="BU14" s="93">
        <v>409.62</v>
      </c>
      <c r="BV14" s="93">
        <v>408.58</v>
      </c>
      <c r="BW14" s="93">
        <v>407.55</v>
      </c>
      <c r="BX14" s="93">
        <v>406.52</v>
      </c>
      <c r="BY14" s="93">
        <v>405.49</v>
      </c>
      <c r="BZ14" s="93">
        <v>404.46</v>
      </c>
      <c r="CA14" s="93">
        <v>403.43</v>
      </c>
      <c r="CB14" s="93">
        <v>402.4</v>
      </c>
      <c r="CC14" s="93">
        <v>401.37</v>
      </c>
      <c r="CD14" s="93">
        <v>400.34</v>
      </c>
      <c r="CE14" s="93">
        <v>399.31</v>
      </c>
      <c r="CF14" s="93">
        <v>398.28</v>
      </c>
      <c r="CG14" s="93">
        <v>397.25</v>
      </c>
      <c r="CH14" s="93">
        <v>396.22</v>
      </c>
      <c r="CI14" s="93">
        <v>395.19</v>
      </c>
      <c r="CJ14" s="93">
        <v>394.16</v>
      </c>
      <c r="CK14" s="93">
        <v>393.13</v>
      </c>
      <c r="CL14" s="93">
        <v>392.1</v>
      </c>
      <c r="CM14" s="93">
        <v>391.08</v>
      </c>
      <c r="CN14" s="93">
        <v>390.05</v>
      </c>
      <c r="CO14" s="93">
        <v>389.02</v>
      </c>
      <c r="CP14" s="93">
        <v>387.99</v>
      </c>
      <c r="CQ14" s="93">
        <v>386.96</v>
      </c>
      <c r="CR14" s="93">
        <v>385.93</v>
      </c>
      <c r="CS14" s="93">
        <v>384.91</v>
      </c>
      <c r="CT14" s="93">
        <v>383.88</v>
      </c>
      <c r="CU14" s="93">
        <v>382.85</v>
      </c>
      <c r="CV14" s="93">
        <v>381.83</v>
      </c>
      <c r="CW14" s="93">
        <v>380.8</v>
      </c>
      <c r="CX14" s="93">
        <v>379.78</v>
      </c>
      <c r="CY14" s="93">
        <v>378.75</v>
      </c>
      <c r="CZ14" s="93">
        <v>377.73</v>
      </c>
      <c r="DA14" s="93">
        <v>376.7</v>
      </c>
      <c r="DB14" s="93">
        <v>375.68</v>
      </c>
      <c r="DC14" s="93">
        <v>374.65</v>
      </c>
      <c r="DD14" s="93">
        <v>373.63</v>
      </c>
      <c r="DE14" s="93">
        <v>372.6</v>
      </c>
      <c r="DF14" s="93">
        <v>371.58</v>
      </c>
      <c r="DG14" s="93">
        <v>370.56</v>
      </c>
      <c r="DH14" s="93">
        <v>369.53</v>
      </c>
      <c r="DI14" s="93">
        <v>368.51</v>
      </c>
      <c r="DJ14" s="93">
        <v>367.49</v>
      </c>
      <c r="DK14" s="93">
        <v>366.47</v>
      </c>
      <c r="DL14" s="93">
        <v>365.45</v>
      </c>
      <c r="DM14" s="93">
        <v>364.43</v>
      </c>
      <c r="DN14" s="93">
        <v>363.41</v>
      </c>
      <c r="DO14" s="93">
        <v>362.39</v>
      </c>
      <c r="DP14" s="93">
        <v>361.37</v>
      </c>
      <c r="DQ14" s="93">
        <v>360.35</v>
      </c>
      <c r="DR14" s="93">
        <v>359.33</v>
      </c>
      <c r="DS14" s="93">
        <v>358.31</v>
      </c>
      <c r="DT14" s="93">
        <v>357.29</v>
      </c>
      <c r="DU14" s="93">
        <v>356.28</v>
      </c>
      <c r="DV14" s="93">
        <v>355.26</v>
      </c>
      <c r="DW14" s="93">
        <v>354.25</v>
      </c>
      <c r="DX14" s="93">
        <v>353.24</v>
      </c>
      <c r="DY14" s="93">
        <v>352.22</v>
      </c>
      <c r="DZ14" s="93">
        <v>351.21</v>
      </c>
      <c r="EA14" s="93">
        <v>350.2</v>
      </c>
      <c r="EB14" s="93">
        <v>349.19</v>
      </c>
      <c r="EC14" s="93">
        <v>348.18</v>
      </c>
      <c r="ED14" s="93">
        <v>347.17</v>
      </c>
      <c r="EE14" s="93">
        <v>346.16</v>
      </c>
      <c r="EF14" s="93">
        <v>345.15</v>
      </c>
      <c r="EG14" s="93">
        <v>344.15</v>
      </c>
      <c r="EH14" s="93">
        <v>343.14</v>
      </c>
      <c r="EI14" s="93">
        <v>342.14</v>
      </c>
      <c r="EJ14" s="93">
        <v>341.14</v>
      </c>
      <c r="EK14" s="93">
        <v>340.14</v>
      </c>
      <c r="EL14" s="93">
        <v>339.13</v>
      </c>
      <c r="EM14" s="93">
        <v>338.13</v>
      </c>
      <c r="EN14" s="93">
        <v>337.13</v>
      </c>
      <c r="EO14" s="93">
        <v>336.13</v>
      </c>
      <c r="EP14" s="93">
        <v>335.13</v>
      </c>
      <c r="EQ14" s="93">
        <v>334.13</v>
      </c>
      <c r="ER14" s="93">
        <v>333.14</v>
      </c>
      <c r="ES14" s="93">
        <v>332.14</v>
      </c>
      <c r="ET14" s="93">
        <v>331.15</v>
      </c>
      <c r="EU14" s="93">
        <v>330.15</v>
      </c>
      <c r="EV14" s="93">
        <v>329.16</v>
      </c>
      <c r="EW14" s="93">
        <v>328.17</v>
      </c>
      <c r="EX14" s="93">
        <v>327.17</v>
      </c>
      <c r="EY14" s="93">
        <v>326.18</v>
      </c>
      <c r="EZ14" s="93">
        <v>325.19</v>
      </c>
      <c r="FA14" s="93">
        <v>324.2</v>
      </c>
      <c r="FB14" s="93">
        <v>323.20999999999998</v>
      </c>
      <c r="FC14" s="93">
        <v>322.22000000000003</v>
      </c>
      <c r="FD14" s="93">
        <v>321.23</v>
      </c>
      <c r="FE14" s="93">
        <v>320.24</v>
      </c>
      <c r="FF14" s="93">
        <v>319.26</v>
      </c>
      <c r="FG14" s="93">
        <v>318.27999999999997</v>
      </c>
      <c r="FH14" s="93">
        <v>317.29000000000002</v>
      </c>
      <c r="FI14" s="93">
        <v>316.31</v>
      </c>
      <c r="FJ14" s="93">
        <v>315.32</v>
      </c>
      <c r="FK14" s="93">
        <v>314.33999999999997</v>
      </c>
      <c r="FL14" s="93">
        <v>313.35000000000002</v>
      </c>
      <c r="FM14" s="93">
        <v>312.38</v>
      </c>
      <c r="FN14" s="93">
        <v>311.39999999999998</v>
      </c>
      <c r="FO14" s="93">
        <v>310.42</v>
      </c>
      <c r="FP14" s="93">
        <v>309.44</v>
      </c>
      <c r="FQ14" s="93">
        <v>308.47000000000003</v>
      </c>
      <c r="FR14" s="93">
        <v>307.49</v>
      </c>
      <c r="FS14" s="93">
        <v>306.51</v>
      </c>
      <c r="FT14" s="93">
        <v>305.54000000000002</v>
      </c>
      <c r="FU14" s="93">
        <v>304.57</v>
      </c>
      <c r="FV14" s="93">
        <v>303.58999999999997</v>
      </c>
      <c r="FW14" s="93">
        <v>302.62</v>
      </c>
      <c r="FX14" s="93">
        <v>301.64999999999998</v>
      </c>
      <c r="FY14" s="93">
        <v>300.68</v>
      </c>
      <c r="FZ14" s="93">
        <v>299.70999999999998</v>
      </c>
      <c r="GA14" s="93">
        <v>298.74</v>
      </c>
      <c r="GB14" s="93">
        <v>297.76</v>
      </c>
      <c r="GC14" s="93">
        <v>296.79000000000002</v>
      </c>
      <c r="GD14" s="93">
        <v>295.82</v>
      </c>
      <c r="GE14" s="93">
        <v>294.87</v>
      </c>
      <c r="GF14" s="93">
        <v>293.91000000000003</v>
      </c>
      <c r="GG14" s="93">
        <v>292.94</v>
      </c>
      <c r="GH14" s="93">
        <v>291.98</v>
      </c>
      <c r="GI14" s="93">
        <v>291.01</v>
      </c>
      <c r="GJ14" s="93">
        <v>290.04000000000002</v>
      </c>
      <c r="GK14" s="93">
        <v>289.08999999999997</v>
      </c>
      <c r="GL14" s="93">
        <v>288.13</v>
      </c>
      <c r="GM14" s="93">
        <v>287.18</v>
      </c>
      <c r="GN14" s="93">
        <v>286.22000000000003</v>
      </c>
      <c r="GO14" s="93">
        <v>285.26</v>
      </c>
      <c r="GP14" s="93">
        <v>284.32</v>
      </c>
      <c r="GQ14" s="93">
        <v>283.37</v>
      </c>
      <c r="GR14" s="93">
        <v>282.42</v>
      </c>
      <c r="GS14" s="93">
        <v>281.47000000000003</v>
      </c>
      <c r="GT14" s="93">
        <v>280.51</v>
      </c>
      <c r="GU14" s="93">
        <v>279.57</v>
      </c>
      <c r="GV14" s="93">
        <v>278.63</v>
      </c>
      <c r="GW14" s="93">
        <v>277.68</v>
      </c>
      <c r="GX14" s="93">
        <v>276.73</v>
      </c>
      <c r="GY14" s="93">
        <v>275.79000000000002</v>
      </c>
      <c r="GZ14" s="93">
        <v>274.85000000000002</v>
      </c>
      <c r="HA14" s="93">
        <v>273.91000000000003</v>
      </c>
      <c r="HB14" s="93">
        <v>272.97000000000003</v>
      </c>
      <c r="HC14" s="93">
        <v>272.02999999999997</v>
      </c>
      <c r="HD14" s="93">
        <v>271.10000000000002</v>
      </c>
      <c r="HE14" s="93">
        <v>270.16000000000003</v>
      </c>
      <c r="HF14" s="93">
        <v>269.22000000000003</v>
      </c>
      <c r="HG14" s="93">
        <v>268.29000000000002</v>
      </c>
      <c r="HH14" s="93">
        <v>267.35000000000002</v>
      </c>
      <c r="HI14" s="93">
        <v>266.43</v>
      </c>
      <c r="HJ14" s="93">
        <v>265.5</v>
      </c>
      <c r="HK14" s="93">
        <v>264.57</v>
      </c>
      <c r="HL14" s="93">
        <v>263.64</v>
      </c>
      <c r="HM14" s="93">
        <v>262.72000000000003</v>
      </c>
      <c r="HN14" s="93">
        <v>261.79000000000002</v>
      </c>
      <c r="HO14" s="93">
        <v>260.88</v>
      </c>
      <c r="HP14" s="93">
        <v>259.95999999999998</v>
      </c>
      <c r="HQ14" s="93">
        <v>259.04000000000002</v>
      </c>
      <c r="HR14" s="93">
        <v>258.13</v>
      </c>
      <c r="HS14" s="93">
        <v>257.20999999999998</v>
      </c>
      <c r="HT14" s="93">
        <v>256.29000000000002</v>
      </c>
      <c r="HU14" s="93">
        <v>255.39</v>
      </c>
      <c r="HV14" s="93">
        <v>254.47</v>
      </c>
      <c r="HW14" s="93">
        <v>253.56</v>
      </c>
      <c r="HX14" s="93">
        <v>252.65</v>
      </c>
      <c r="HY14" s="93">
        <v>251.75</v>
      </c>
      <c r="HZ14" s="93">
        <v>250.84</v>
      </c>
      <c r="IA14" s="93">
        <v>249.93</v>
      </c>
      <c r="IB14" s="93">
        <v>249.03</v>
      </c>
      <c r="IC14" s="93">
        <v>248.13</v>
      </c>
      <c r="ID14" s="93">
        <v>247.22</v>
      </c>
      <c r="IE14" s="93">
        <v>246.32</v>
      </c>
      <c r="IF14" s="93">
        <v>245.42</v>
      </c>
      <c r="IG14" s="93">
        <v>244.52</v>
      </c>
      <c r="IH14" s="93">
        <v>243.62</v>
      </c>
      <c r="II14" s="93">
        <v>242.72</v>
      </c>
      <c r="IJ14" s="93">
        <v>241.83</v>
      </c>
      <c r="IK14" s="93">
        <v>240.94</v>
      </c>
      <c r="IL14" s="93">
        <v>240.04</v>
      </c>
      <c r="IM14" s="93">
        <v>239.15</v>
      </c>
      <c r="IN14" s="93">
        <v>238.26</v>
      </c>
      <c r="IO14" s="93">
        <v>237.37</v>
      </c>
      <c r="IP14" s="93">
        <v>236.49</v>
      </c>
      <c r="IQ14" s="93">
        <v>235.6</v>
      </c>
      <c r="IR14" s="93">
        <v>234.72</v>
      </c>
      <c r="IS14" s="93">
        <v>233.83</v>
      </c>
      <c r="IT14" s="93">
        <v>232.95</v>
      </c>
      <c r="IU14" s="93">
        <v>232.07</v>
      </c>
      <c r="IV14" s="93">
        <v>231.19</v>
      </c>
      <c r="IW14" s="93">
        <v>230.32</v>
      </c>
      <c r="IX14" s="93">
        <v>229.45</v>
      </c>
      <c r="IY14" s="93">
        <v>228.58</v>
      </c>
      <c r="IZ14" s="93">
        <v>227.71</v>
      </c>
      <c r="JA14" s="93">
        <v>226.85</v>
      </c>
      <c r="JB14" s="93">
        <v>225.98</v>
      </c>
      <c r="JC14" s="93">
        <v>225.12</v>
      </c>
      <c r="JD14" s="93">
        <v>224.25</v>
      </c>
      <c r="JE14" s="93">
        <v>223.39</v>
      </c>
      <c r="JF14" s="93">
        <v>222.53</v>
      </c>
      <c r="JG14" s="93">
        <v>221.67</v>
      </c>
      <c r="JH14" s="93">
        <v>220.81</v>
      </c>
      <c r="JI14" s="93">
        <v>219.95</v>
      </c>
      <c r="JJ14" s="93">
        <v>219.1</v>
      </c>
      <c r="JK14" s="93">
        <v>218.24</v>
      </c>
      <c r="JL14" s="93">
        <v>217.39</v>
      </c>
      <c r="JM14" s="93">
        <v>216.54</v>
      </c>
      <c r="JN14" s="93">
        <v>215.68</v>
      </c>
      <c r="JO14" s="93">
        <v>214.83</v>
      </c>
      <c r="JP14" s="93">
        <v>213.99</v>
      </c>
      <c r="JQ14" s="93">
        <v>213.14</v>
      </c>
      <c r="JR14" s="93">
        <v>212.29</v>
      </c>
      <c r="JS14" s="93">
        <v>211.44</v>
      </c>
      <c r="JT14" s="93">
        <v>210.6</v>
      </c>
      <c r="JU14" s="93">
        <v>209.75</v>
      </c>
      <c r="JV14" s="93">
        <v>208.9</v>
      </c>
      <c r="JW14" s="93">
        <v>208.06</v>
      </c>
      <c r="JX14" s="93">
        <v>207.21</v>
      </c>
      <c r="JY14" s="93">
        <v>206.37</v>
      </c>
      <c r="JZ14" s="93">
        <v>205.53</v>
      </c>
      <c r="KA14" s="93">
        <v>204.69</v>
      </c>
      <c r="KB14" s="93">
        <v>203.85</v>
      </c>
      <c r="KC14" s="93">
        <v>203.01</v>
      </c>
      <c r="KD14" s="93">
        <v>202.17</v>
      </c>
      <c r="KE14" s="93">
        <v>201.34</v>
      </c>
      <c r="KF14" s="93">
        <v>200.5</v>
      </c>
      <c r="KG14" s="93">
        <v>199.67</v>
      </c>
      <c r="KH14" s="93">
        <v>198.84</v>
      </c>
      <c r="KI14" s="93">
        <v>198</v>
      </c>
      <c r="KJ14" s="93">
        <v>197.17</v>
      </c>
      <c r="KK14" s="93">
        <v>196.35</v>
      </c>
      <c r="KL14" s="93">
        <v>195.52</v>
      </c>
      <c r="KM14" s="93">
        <v>194.69</v>
      </c>
      <c r="KN14" s="93">
        <v>193.87</v>
      </c>
      <c r="KO14" s="93">
        <v>193.04</v>
      </c>
      <c r="KP14" s="93">
        <v>192.22</v>
      </c>
      <c r="KQ14" s="93">
        <v>191.4</v>
      </c>
      <c r="KR14" s="98">
        <f t="shared" si="13"/>
        <v>190.52</v>
      </c>
      <c r="KS14" s="98">
        <f t="shared" si="14"/>
        <v>189.73</v>
      </c>
      <c r="KT14" s="98">
        <f t="shared" si="15"/>
        <v>188.91</v>
      </c>
      <c r="KU14" s="98">
        <f t="shared" si="15"/>
        <v>188.12</v>
      </c>
      <c r="KV14" s="98">
        <f t="shared" si="15"/>
        <v>187.34</v>
      </c>
      <c r="KW14" s="98">
        <f t="shared" si="15"/>
        <v>186.55</v>
      </c>
      <c r="KX14" s="98">
        <f t="shared" si="15"/>
        <v>185.76</v>
      </c>
      <c r="KY14" s="98">
        <f t="shared" si="15"/>
        <v>184.98</v>
      </c>
      <c r="KZ14" s="98">
        <f t="shared" si="15"/>
        <v>184.19</v>
      </c>
      <c r="LA14" s="98">
        <f t="shared" si="15"/>
        <v>183.41</v>
      </c>
      <c r="LB14" s="98">
        <f t="shared" si="15"/>
        <v>182.63</v>
      </c>
      <c r="LC14" s="98">
        <f t="shared" si="15"/>
        <v>181.85</v>
      </c>
      <c r="LD14" s="98">
        <f t="shared" si="15"/>
        <v>181.07</v>
      </c>
      <c r="LE14" s="98">
        <f t="shared" si="15"/>
        <v>180.29</v>
      </c>
      <c r="LF14" s="98">
        <f t="shared" si="15"/>
        <v>179.52</v>
      </c>
      <c r="LG14" s="98">
        <f t="shared" si="15"/>
        <v>178.75</v>
      </c>
      <c r="LH14" s="98">
        <f t="shared" si="15"/>
        <v>177.97</v>
      </c>
      <c r="LI14" s="98">
        <f t="shared" si="15"/>
        <v>177.2</v>
      </c>
      <c r="LJ14" s="98">
        <f t="shared" si="17"/>
        <v>176.43</v>
      </c>
      <c r="LK14" s="98">
        <f t="shared" si="17"/>
        <v>175.66</v>
      </c>
      <c r="LL14" s="98">
        <f t="shared" si="17"/>
        <v>174.89</v>
      </c>
      <c r="LM14" s="98">
        <f t="shared" si="17"/>
        <v>174.13</v>
      </c>
      <c r="LN14" s="98">
        <f t="shared" si="17"/>
        <v>173.36</v>
      </c>
      <c r="LO14" s="98">
        <f t="shared" si="17"/>
        <v>172.6</v>
      </c>
      <c r="LP14" s="98">
        <f t="shared" si="17"/>
        <v>171.84</v>
      </c>
      <c r="LQ14" s="98">
        <f t="shared" si="17"/>
        <v>171.08</v>
      </c>
      <c r="LR14" s="98">
        <f t="shared" si="17"/>
        <v>170.32</v>
      </c>
      <c r="LS14" s="98">
        <f t="shared" si="17"/>
        <v>169.56</v>
      </c>
      <c r="LT14" s="98">
        <f t="shared" si="17"/>
        <v>168.81</v>
      </c>
      <c r="LU14" s="98">
        <f t="shared" si="17"/>
        <v>168.06</v>
      </c>
      <c r="LV14" s="98">
        <f t="shared" si="17"/>
        <v>167.3</v>
      </c>
      <c r="LW14" s="98">
        <f t="shared" si="16"/>
        <v>166.55</v>
      </c>
      <c r="LX14" s="98">
        <f t="shared" si="16"/>
        <v>165.8</v>
      </c>
      <c r="LY14" s="98">
        <f t="shared" si="16"/>
        <v>165.05</v>
      </c>
      <c r="LZ14" s="98">
        <f t="shared" si="16"/>
        <v>164.31</v>
      </c>
      <c r="MA14" s="98">
        <f t="shared" si="16"/>
        <v>163.56</v>
      </c>
      <c r="MB14" s="98">
        <f t="shared" si="16"/>
        <v>162.82</v>
      </c>
      <c r="MC14" s="98">
        <f t="shared" si="16"/>
        <v>162.08000000000001</v>
      </c>
      <c r="MD14" s="98">
        <f t="shared" si="16"/>
        <v>161.34</v>
      </c>
      <c r="ME14" s="98">
        <f t="shared" si="16"/>
        <v>160.61000000000001</v>
      </c>
      <c r="MF14" s="98">
        <f t="shared" si="16"/>
        <v>159.87</v>
      </c>
      <c r="MG14" s="98">
        <f t="shared" si="16"/>
        <v>159.13999999999999</v>
      </c>
      <c r="MH14" s="98">
        <f t="shared" si="16"/>
        <v>158.4</v>
      </c>
      <c r="MI14" s="98">
        <f t="shared" si="16"/>
        <v>157.66999999999999</v>
      </c>
      <c r="MJ14" s="98">
        <f t="shared" si="16"/>
        <v>156.94</v>
      </c>
      <c r="MK14" s="98">
        <f t="shared" si="16"/>
        <v>156.21</v>
      </c>
      <c r="ML14" s="98">
        <f t="shared" si="16"/>
        <v>155.49</v>
      </c>
      <c r="MM14" s="98">
        <f t="shared" si="16"/>
        <v>154.76</v>
      </c>
      <c r="MN14" s="98">
        <f t="shared" si="16"/>
        <v>154.04</v>
      </c>
      <c r="MO14" s="98">
        <f t="shared" si="16"/>
        <v>153.32</v>
      </c>
      <c r="MP14" s="98">
        <f t="shared" si="16"/>
        <v>152.6</v>
      </c>
      <c r="MQ14" s="98">
        <f t="shared" si="16"/>
        <v>151.88999999999999</v>
      </c>
      <c r="MR14" s="98">
        <f t="shared" si="16"/>
        <v>151.16999999999999</v>
      </c>
      <c r="MS14" s="98">
        <f t="shared" si="16"/>
        <v>150.46</v>
      </c>
      <c r="MT14" s="98">
        <f t="shared" si="16"/>
        <v>149.74</v>
      </c>
      <c r="MU14" s="98">
        <f t="shared" si="16"/>
        <v>149.03</v>
      </c>
      <c r="MV14" s="98">
        <f t="shared" si="16"/>
        <v>148.32</v>
      </c>
      <c r="MW14" s="98">
        <f t="shared" si="16"/>
        <v>147.62</v>
      </c>
      <c r="MX14" s="98">
        <f t="shared" si="16"/>
        <v>146.91</v>
      </c>
      <c r="MY14" s="98">
        <f t="shared" si="16"/>
        <v>146.21</v>
      </c>
    </row>
    <row r="15" spans="1:363" ht="15.75" x14ac:dyDescent="0.25">
      <c r="A15" s="90" t="s">
        <v>6</v>
      </c>
      <c r="B15" s="95">
        <v>2025</v>
      </c>
      <c r="C15" s="93">
        <v>483.19</v>
      </c>
      <c r="D15" s="93">
        <v>482.15</v>
      </c>
      <c r="E15" s="93">
        <v>481.11</v>
      </c>
      <c r="F15" s="93">
        <v>480.07</v>
      </c>
      <c r="G15" s="93">
        <v>479.04</v>
      </c>
      <c r="H15" s="93">
        <v>478</v>
      </c>
      <c r="I15" s="93">
        <v>476.96</v>
      </c>
      <c r="J15" s="93">
        <v>475.92</v>
      </c>
      <c r="K15" s="93">
        <v>474.88</v>
      </c>
      <c r="L15" s="93">
        <v>473.84</v>
      </c>
      <c r="M15" s="93">
        <v>472.8</v>
      </c>
      <c r="N15" s="93">
        <v>471.76</v>
      </c>
      <c r="O15" s="93">
        <v>470.73</v>
      </c>
      <c r="P15" s="93">
        <v>469.69</v>
      </c>
      <c r="Q15" s="93">
        <v>468.65</v>
      </c>
      <c r="R15" s="93">
        <v>467.61</v>
      </c>
      <c r="S15" s="93">
        <v>466.57</v>
      </c>
      <c r="T15" s="93">
        <v>465.53</v>
      </c>
      <c r="U15" s="93">
        <v>464.5</v>
      </c>
      <c r="V15" s="93">
        <v>463.46</v>
      </c>
      <c r="W15" s="93">
        <v>462.42</v>
      </c>
      <c r="X15" s="93">
        <v>461.38</v>
      </c>
      <c r="Y15" s="93">
        <v>460.34</v>
      </c>
      <c r="Z15" s="93">
        <v>459.31</v>
      </c>
      <c r="AA15" s="93">
        <v>458.27</v>
      </c>
      <c r="AB15" s="93">
        <v>457.23</v>
      </c>
      <c r="AC15" s="93">
        <v>456.19</v>
      </c>
      <c r="AD15" s="93">
        <v>455.16</v>
      </c>
      <c r="AE15" s="93">
        <v>454.12</v>
      </c>
      <c r="AF15" s="93">
        <v>453.08</v>
      </c>
      <c r="AG15" s="93">
        <v>452.04</v>
      </c>
      <c r="AH15" s="93">
        <v>451.01</v>
      </c>
      <c r="AI15" s="93">
        <v>449.97</v>
      </c>
      <c r="AJ15" s="93">
        <v>448.93</v>
      </c>
      <c r="AK15" s="93">
        <v>447.9</v>
      </c>
      <c r="AL15" s="93">
        <v>446.86</v>
      </c>
      <c r="AM15" s="93">
        <v>445.82</v>
      </c>
      <c r="AN15" s="93">
        <v>444.78</v>
      </c>
      <c r="AO15" s="93">
        <v>443.75</v>
      </c>
      <c r="AP15" s="93">
        <v>442.71</v>
      </c>
      <c r="AQ15" s="93">
        <v>441.67</v>
      </c>
      <c r="AR15" s="93">
        <v>440.64</v>
      </c>
      <c r="AS15" s="93">
        <v>439.6</v>
      </c>
      <c r="AT15" s="93">
        <v>438.56</v>
      </c>
      <c r="AU15" s="93">
        <v>437.53</v>
      </c>
      <c r="AV15" s="93">
        <v>436.49</v>
      </c>
      <c r="AW15" s="93">
        <v>435.46</v>
      </c>
      <c r="AX15" s="93">
        <v>434.42</v>
      </c>
      <c r="AY15" s="93">
        <v>433.38</v>
      </c>
      <c r="AZ15" s="93">
        <v>432.35</v>
      </c>
      <c r="BA15" s="93">
        <v>431.31</v>
      </c>
      <c r="BB15" s="93">
        <v>430.28</v>
      </c>
      <c r="BC15" s="93">
        <v>429.24</v>
      </c>
      <c r="BD15" s="93">
        <v>428.21</v>
      </c>
      <c r="BE15" s="93">
        <v>427.17</v>
      </c>
      <c r="BF15" s="93">
        <v>426.13</v>
      </c>
      <c r="BG15" s="93">
        <v>425.1</v>
      </c>
      <c r="BH15" s="93">
        <v>424.06</v>
      </c>
      <c r="BI15" s="93">
        <v>423.03</v>
      </c>
      <c r="BJ15" s="93">
        <v>421.99</v>
      </c>
      <c r="BK15" s="93">
        <v>420.96</v>
      </c>
      <c r="BL15" s="93">
        <v>419.92</v>
      </c>
      <c r="BM15" s="93">
        <v>418.89</v>
      </c>
      <c r="BN15" s="93">
        <v>417.85</v>
      </c>
      <c r="BO15" s="93">
        <v>416.81</v>
      </c>
      <c r="BP15" s="93">
        <v>415.78</v>
      </c>
      <c r="BQ15" s="93">
        <v>414.74</v>
      </c>
      <c r="BR15" s="93">
        <v>413.71</v>
      </c>
      <c r="BS15" s="93">
        <v>412.67</v>
      </c>
      <c r="BT15" s="93">
        <v>411.64</v>
      </c>
      <c r="BU15" s="93">
        <v>410.61</v>
      </c>
      <c r="BV15" s="93">
        <v>409.57</v>
      </c>
      <c r="BW15" s="93">
        <v>408.54</v>
      </c>
      <c r="BX15" s="93">
        <v>407.51</v>
      </c>
      <c r="BY15" s="93">
        <v>406.48</v>
      </c>
      <c r="BZ15" s="93">
        <v>405.44</v>
      </c>
      <c r="CA15" s="93">
        <v>404.41</v>
      </c>
      <c r="CB15" s="93">
        <v>403.38</v>
      </c>
      <c r="CC15" s="93">
        <v>402.35</v>
      </c>
      <c r="CD15" s="93">
        <v>401.32</v>
      </c>
      <c r="CE15" s="93">
        <v>400.29</v>
      </c>
      <c r="CF15" s="93">
        <v>399.26</v>
      </c>
      <c r="CG15" s="93">
        <v>398.23</v>
      </c>
      <c r="CH15" s="93">
        <v>397.2</v>
      </c>
      <c r="CI15" s="93">
        <v>396.17</v>
      </c>
      <c r="CJ15" s="93">
        <v>395.14</v>
      </c>
      <c r="CK15" s="93">
        <v>394.12</v>
      </c>
      <c r="CL15" s="93">
        <v>393.09</v>
      </c>
      <c r="CM15" s="93">
        <v>392.06</v>
      </c>
      <c r="CN15" s="93">
        <v>391.03</v>
      </c>
      <c r="CO15" s="93">
        <v>390</v>
      </c>
      <c r="CP15" s="93">
        <v>388.97</v>
      </c>
      <c r="CQ15" s="93">
        <v>387.94</v>
      </c>
      <c r="CR15" s="93">
        <v>386.91</v>
      </c>
      <c r="CS15" s="93">
        <v>385.89</v>
      </c>
      <c r="CT15" s="93">
        <v>384.86</v>
      </c>
      <c r="CU15" s="93">
        <v>383.83</v>
      </c>
      <c r="CV15" s="93">
        <v>382.8</v>
      </c>
      <c r="CW15" s="93">
        <v>381.78</v>
      </c>
      <c r="CX15" s="93">
        <v>380.75</v>
      </c>
      <c r="CY15" s="93">
        <v>379.73</v>
      </c>
      <c r="CZ15" s="93">
        <v>378.7</v>
      </c>
      <c r="DA15" s="93">
        <v>377.68</v>
      </c>
      <c r="DB15" s="93">
        <v>376.65</v>
      </c>
      <c r="DC15" s="93">
        <v>375.63</v>
      </c>
      <c r="DD15" s="93">
        <v>374.6</v>
      </c>
      <c r="DE15" s="93">
        <v>373.58</v>
      </c>
      <c r="DF15" s="93">
        <v>372.55</v>
      </c>
      <c r="DG15" s="93">
        <v>371.53</v>
      </c>
      <c r="DH15" s="93">
        <v>370.51</v>
      </c>
      <c r="DI15" s="93">
        <v>369.48</v>
      </c>
      <c r="DJ15" s="93">
        <v>368.46</v>
      </c>
      <c r="DK15" s="93">
        <v>367.44</v>
      </c>
      <c r="DL15" s="93">
        <v>366.42</v>
      </c>
      <c r="DM15" s="93">
        <v>365.4</v>
      </c>
      <c r="DN15" s="93">
        <v>364.38</v>
      </c>
      <c r="DO15" s="93">
        <v>363.36</v>
      </c>
      <c r="DP15" s="93">
        <v>362.34</v>
      </c>
      <c r="DQ15" s="93">
        <v>361.31</v>
      </c>
      <c r="DR15" s="93">
        <v>360.29</v>
      </c>
      <c r="DS15" s="93">
        <v>359.28</v>
      </c>
      <c r="DT15" s="93">
        <v>358.26</v>
      </c>
      <c r="DU15" s="93">
        <v>357.24</v>
      </c>
      <c r="DV15" s="93">
        <v>356.23</v>
      </c>
      <c r="DW15" s="93">
        <v>355.21</v>
      </c>
      <c r="DX15" s="93">
        <v>354.2</v>
      </c>
      <c r="DY15" s="93">
        <v>353.19</v>
      </c>
      <c r="DZ15" s="93">
        <v>352.17</v>
      </c>
      <c r="EA15" s="93">
        <v>351.16</v>
      </c>
      <c r="EB15" s="93">
        <v>350.15</v>
      </c>
      <c r="EC15" s="93">
        <v>349.14</v>
      </c>
      <c r="ED15" s="93">
        <v>348.13</v>
      </c>
      <c r="EE15" s="93">
        <v>347.12</v>
      </c>
      <c r="EF15" s="93">
        <v>346.11</v>
      </c>
      <c r="EG15" s="93">
        <v>345.11</v>
      </c>
      <c r="EH15" s="93">
        <v>344.1</v>
      </c>
      <c r="EI15" s="93">
        <v>343.1</v>
      </c>
      <c r="EJ15" s="93">
        <v>342.09</v>
      </c>
      <c r="EK15" s="93">
        <v>341.09</v>
      </c>
      <c r="EL15" s="93">
        <v>340.09</v>
      </c>
      <c r="EM15" s="93">
        <v>339.09</v>
      </c>
      <c r="EN15" s="93">
        <v>338.09</v>
      </c>
      <c r="EO15" s="93">
        <v>337.08</v>
      </c>
      <c r="EP15" s="93">
        <v>336.08</v>
      </c>
      <c r="EQ15" s="93">
        <v>335.08</v>
      </c>
      <c r="ER15" s="93">
        <v>334.09</v>
      </c>
      <c r="ES15" s="93">
        <v>333.09</v>
      </c>
      <c r="ET15" s="93">
        <v>332.1</v>
      </c>
      <c r="EU15" s="93">
        <v>331.1</v>
      </c>
      <c r="EV15" s="93">
        <v>330.11</v>
      </c>
      <c r="EW15" s="93">
        <v>329.11</v>
      </c>
      <c r="EX15" s="93">
        <v>328.12</v>
      </c>
      <c r="EY15" s="93">
        <v>327.13</v>
      </c>
      <c r="EZ15" s="93">
        <v>326.13</v>
      </c>
      <c r="FA15" s="93">
        <v>325.14</v>
      </c>
      <c r="FB15" s="93">
        <v>324.14999999999998</v>
      </c>
      <c r="FC15" s="93">
        <v>323.16000000000003</v>
      </c>
      <c r="FD15" s="93">
        <v>322.17</v>
      </c>
      <c r="FE15" s="93">
        <v>321.18</v>
      </c>
      <c r="FF15" s="93">
        <v>320.2</v>
      </c>
      <c r="FG15" s="93">
        <v>319.20999999999998</v>
      </c>
      <c r="FH15" s="93">
        <v>318.23</v>
      </c>
      <c r="FI15" s="93">
        <v>317.25</v>
      </c>
      <c r="FJ15" s="93">
        <v>316.26</v>
      </c>
      <c r="FK15" s="93">
        <v>315.27999999999997</v>
      </c>
      <c r="FL15" s="93">
        <v>314.29000000000002</v>
      </c>
      <c r="FM15" s="93">
        <v>313.31</v>
      </c>
      <c r="FN15" s="93">
        <v>312.32</v>
      </c>
      <c r="FO15" s="93">
        <v>311.35000000000002</v>
      </c>
      <c r="FP15" s="93">
        <v>310.37</v>
      </c>
      <c r="FQ15" s="93">
        <v>309.39999999999998</v>
      </c>
      <c r="FR15" s="93">
        <v>308.42</v>
      </c>
      <c r="FS15" s="93">
        <v>307.44</v>
      </c>
      <c r="FT15" s="93">
        <v>306.47000000000003</v>
      </c>
      <c r="FU15" s="93">
        <v>305.49</v>
      </c>
      <c r="FV15" s="93">
        <v>304.51</v>
      </c>
      <c r="FW15" s="93">
        <v>303.54000000000002</v>
      </c>
      <c r="FX15" s="93">
        <v>302.57</v>
      </c>
      <c r="FY15" s="93">
        <v>301.60000000000002</v>
      </c>
      <c r="FZ15" s="93">
        <v>300.63</v>
      </c>
      <c r="GA15" s="93">
        <v>299.66000000000003</v>
      </c>
      <c r="GB15" s="93">
        <v>298.69</v>
      </c>
      <c r="GC15" s="93">
        <v>297.72000000000003</v>
      </c>
      <c r="GD15" s="93">
        <v>296.75</v>
      </c>
      <c r="GE15" s="93">
        <v>295.79000000000002</v>
      </c>
      <c r="GF15" s="93">
        <v>294.82</v>
      </c>
      <c r="GG15" s="93">
        <v>293.85000000000002</v>
      </c>
      <c r="GH15" s="93">
        <v>292.89</v>
      </c>
      <c r="GI15" s="93">
        <v>291.93</v>
      </c>
      <c r="GJ15" s="93">
        <v>290.97000000000003</v>
      </c>
      <c r="GK15" s="93">
        <v>290</v>
      </c>
      <c r="GL15" s="93">
        <v>289.04000000000002</v>
      </c>
      <c r="GM15" s="93">
        <v>288.07</v>
      </c>
      <c r="GN15" s="93">
        <v>287.13</v>
      </c>
      <c r="GO15" s="93">
        <v>286.18</v>
      </c>
      <c r="GP15" s="93">
        <v>285.22000000000003</v>
      </c>
      <c r="GQ15" s="93">
        <v>284.26</v>
      </c>
      <c r="GR15" s="93">
        <v>283.32</v>
      </c>
      <c r="GS15" s="93">
        <v>282.37</v>
      </c>
      <c r="GT15" s="93">
        <v>281.42</v>
      </c>
      <c r="GU15" s="93">
        <v>280.47000000000003</v>
      </c>
      <c r="GV15" s="93">
        <v>279.51</v>
      </c>
      <c r="GW15" s="93">
        <v>278.57</v>
      </c>
      <c r="GX15" s="93">
        <v>277.63</v>
      </c>
      <c r="GY15" s="93">
        <v>276.69</v>
      </c>
      <c r="GZ15" s="93">
        <v>275.74</v>
      </c>
      <c r="HA15" s="93">
        <v>274.79000000000002</v>
      </c>
      <c r="HB15" s="93">
        <v>273.85000000000002</v>
      </c>
      <c r="HC15" s="93">
        <v>272.92</v>
      </c>
      <c r="HD15" s="93">
        <v>271.98</v>
      </c>
      <c r="HE15" s="93">
        <v>271.04000000000002</v>
      </c>
      <c r="HF15" s="93">
        <v>270.10000000000002</v>
      </c>
      <c r="HG15" s="93">
        <v>269.18</v>
      </c>
      <c r="HH15" s="93">
        <v>268.24</v>
      </c>
      <c r="HI15" s="93">
        <v>267.31</v>
      </c>
      <c r="HJ15" s="93">
        <v>266.38</v>
      </c>
      <c r="HK15" s="93">
        <v>265.45</v>
      </c>
      <c r="HL15" s="93">
        <v>264.51</v>
      </c>
      <c r="HM15" s="93">
        <v>263.60000000000002</v>
      </c>
      <c r="HN15" s="93">
        <v>262.68</v>
      </c>
      <c r="HO15" s="93">
        <v>261.76</v>
      </c>
      <c r="HP15" s="93">
        <v>260.83999999999997</v>
      </c>
      <c r="HQ15" s="93">
        <v>259.92</v>
      </c>
      <c r="HR15" s="93">
        <v>259</v>
      </c>
      <c r="HS15" s="93">
        <v>258.07</v>
      </c>
      <c r="HT15" s="93">
        <v>257.17</v>
      </c>
      <c r="HU15" s="93">
        <v>256.25</v>
      </c>
      <c r="HV15" s="93">
        <v>255.34</v>
      </c>
      <c r="HW15" s="93">
        <v>254.43</v>
      </c>
      <c r="HX15" s="93">
        <v>253.52</v>
      </c>
      <c r="HY15" s="93">
        <v>252.61</v>
      </c>
      <c r="HZ15" s="93">
        <v>251.7</v>
      </c>
      <c r="IA15" s="93">
        <v>250.79</v>
      </c>
      <c r="IB15" s="93">
        <v>249.89</v>
      </c>
      <c r="IC15" s="93">
        <v>248.98</v>
      </c>
      <c r="ID15" s="93">
        <v>248.08</v>
      </c>
      <c r="IE15" s="93">
        <v>247.17</v>
      </c>
      <c r="IF15" s="93">
        <v>246.27</v>
      </c>
      <c r="IG15" s="93">
        <v>245.37</v>
      </c>
      <c r="IH15" s="93">
        <v>244.47</v>
      </c>
      <c r="II15" s="93">
        <v>243.57</v>
      </c>
      <c r="IJ15" s="93">
        <v>242.68</v>
      </c>
      <c r="IK15" s="93">
        <v>241.78</v>
      </c>
      <c r="IL15" s="93">
        <v>240.89</v>
      </c>
      <c r="IM15" s="93">
        <v>239.99</v>
      </c>
      <c r="IN15" s="93">
        <v>239.1</v>
      </c>
      <c r="IO15" s="93">
        <v>238.21</v>
      </c>
      <c r="IP15" s="93">
        <v>237.32</v>
      </c>
      <c r="IQ15" s="93">
        <v>236.44</v>
      </c>
      <c r="IR15" s="93">
        <v>235.55</v>
      </c>
      <c r="IS15" s="93">
        <v>234.66</v>
      </c>
      <c r="IT15" s="93">
        <v>233.78</v>
      </c>
      <c r="IU15" s="93">
        <v>232.9</v>
      </c>
      <c r="IV15" s="93">
        <v>232.02</v>
      </c>
      <c r="IW15" s="93">
        <v>231.15</v>
      </c>
      <c r="IX15" s="93">
        <v>230.28</v>
      </c>
      <c r="IY15" s="93">
        <v>229.4</v>
      </c>
      <c r="IZ15" s="93">
        <v>228.53</v>
      </c>
      <c r="JA15" s="93">
        <v>227.67</v>
      </c>
      <c r="JB15" s="93">
        <v>226.8</v>
      </c>
      <c r="JC15" s="93">
        <v>225.93</v>
      </c>
      <c r="JD15" s="93">
        <v>225.07</v>
      </c>
      <c r="JE15" s="93">
        <v>224.2</v>
      </c>
      <c r="JF15" s="93">
        <v>223.34</v>
      </c>
      <c r="JG15" s="93">
        <v>222.48</v>
      </c>
      <c r="JH15" s="93">
        <v>221.62</v>
      </c>
      <c r="JI15" s="93">
        <v>220.76</v>
      </c>
      <c r="JJ15" s="93">
        <v>219.9</v>
      </c>
      <c r="JK15" s="93">
        <v>219.04</v>
      </c>
      <c r="JL15" s="93">
        <v>218.19</v>
      </c>
      <c r="JM15" s="93">
        <v>217.34</v>
      </c>
      <c r="JN15" s="93">
        <v>216.48</v>
      </c>
      <c r="JO15" s="93">
        <v>215.63</v>
      </c>
      <c r="JP15" s="93">
        <v>214.78</v>
      </c>
      <c r="JQ15" s="93">
        <v>213.93</v>
      </c>
      <c r="JR15" s="93">
        <v>213.08</v>
      </c>
      <c r="JS15" s="93">
        <v>212.23</v>
      </c>
      <c r="JT15" s="93">
        <v>211.38</v>
      </c>
      <c r="JU15" s="93">
        <v>210.53</v>
      </c>
      <c r="JV15" s="93">
        <v>209.69</v>
      </c>
      <c r="JW15" s="93">
        <v>208.84</v>
      </c>
      <c r="JX15" s="93">
        <v>207.99</v>
      </c>
      <c r="JY15" s="93">
        <v>207.15</v>
      </c>
      <c r="JZ15" s="93">
        <v>206.31</v>
      </c>
      <c r="KA15" s="93">
        <v>205.46</v>
      </c>
      <c r="KB15" s="93">
        <v>204.62</v>
      </c>
      <c r="KC15" s="93">
        <v>203.78</v>
      </c>
      <c r="KD15" s="93">
        <v>202.94</v>
      </c>
      <c r="KE15" s="93">
        <v>202.1</v>
      </c>
      <c r="KF15" s="93">
        <v>201.26</v>
      </c>
      <c r="KG15" s="93">
        <v>200.43</v>
      </c>
      <c r="KH15" s="93">
        <v>199.59</v>
      </c>
      <c r="KI15" s="93">
        <v>198.76</v>
      </c>
      <c r="KJ15" s="93">
        <v>197.93</v>
      </c>
      <c r="KK15" s="93">
        <v>197.1</v>
      </c>
      <c r="KL15" s="93">
        <v>196.27</v>
      </c>
      <c r="KM15" s="93">
        <v>195.44</v>
      </c>
      <c r="KN15" s="93">
        <v>194.61</v>
      </c>
      <c r="KO15" s="93">
        <v>193.79</v>
      </c>
      <c r="KP15" s="93">
        <v>192.96</v>
      </c>
      <c r="KQ15" s="93">
        <v>192.14</v>
      </c>
      <c r="KR15" s="98">
        <f t="shared" si="13"/>
        <v>191.27</v>
      </c>
      <c r="KS15" s="98">
        <f t="shared" si="14"/>
        <v>190.48</v>
      </c>
      <c r="KT15" s="98">
        <f t="shared" si="15"/>
        <v>189.66</v>
      </c>
      <c r="KU15" s="98">
        <f t="shared" si="15"/>
        <v>188.87</v>
      </c>
      <c r="KV15" s="98">
        <f t="shared" si="15"/>
        <v>188.09</v>
      </c>
      <c r="KW15" s="98">
        <f t="shared" si="15"/>
        <v>187.3</v>
      </c>
      <c r="KX15" s="98">
        <f t="shared" si="15"/>
        <v>186.51</v>
      </c>
      <c r="KY15" s="98">
        <f t="shared" si="15"/>
        <v>185.73</v>
      </c>
      <c r="KZ15" s="98">
        <f t="shared" si="15"/>
        <v>184.94</v>
      </c>
      <c r="LA15" s="98">
        <f t="shared" si="15"/>
        <v>184.16</v>
      </c>
      <c r="LB15" s="98">
        <f t="shared" si="15"/>
        <v>183.38</v>
      </c>
      <c r="LC15" s="98">
        <f t="shared" si="15"/>
        <v>182.6</v>
      </c>
      <c r="LD15" s="98">
        <f t="shared" si="15"/>
        <v>181.82</v>
      </c>
      <c r="LE15" s="98">
        <f t="shared" si="15"/>
        <v>181.04</v>
      </c>
      <c r="LF15" s="98">
        <f t="shared" si="15"/>
        <v>180.27</v>
      </c>
      <c r="LG15" s="98">
        <f t="shared" si="15"/>
        <v>179.5</v>
      </c>
      <c r="LH15" s="98">
        <f t="shared" si="15"/>
        <v>178.72</v>
      </c>
      <c r="LI15" s="98">
        <f t="shared" si="15"/>
        <v>177.95</v>
      </c>
      <c r="LJ15" s="98">
        <f t="shared" si="17"/>
        <v>177.18</v>
      </c>
      <c r="LK15" s="98">
        <f t="shared" si="17"/>
        <v>176.41</v>
      </c>
      <c r="LL15" s="98">
        <f t="shared" si="17"/>
        <v>175.64</v>
      </c>
      <c r="LM15" s="98">
        <f t="shared" si="17"/>
        <v>174.88</v>
      </c>
      <c r="LN15" s="98">
        <f t="shared" si="17"/>
        <v>174.11</v>
      </c>
      <c r="LO15" s="98">
        <f t="shared" si="17"/>
        <v>173.35</v>
      </c>
      <c r="LP15" s="98">
        <f t="shared" si="17"/>
        <v>172.59</v>
      </c>
      <c r="LQ15" s="98">
        <f t="shared" si="17"/>
        <v>171.83</v>
      </c>
      <c r="LR15" s="98">
        <f t="shared" si="17"/>
        <v>171.07</v>
      </c>
      <c r="LS15" s="98">
        <f t="shared" si="17"/>
        <v>170.31</v>
      </c>
      <c r="LT15" s="98">
        <f t="shared" si="17"/>
        <v>169.56</v>
      </c>
      <c r="LU15" s="98">
        <f t="shared" si="17"/>
        <v>168.81</v>
      </c>
      <c r="LV15" s="98">
        <f t="shared" si="17"/>
        <v>168.05</v>
      </c>
      <c r="LW15" s="98">
        <f t="shared" si="16"/>
        <v>167.3</v>
      </c>
      <c r="LX15" s="98">
        <f t="shared" si="16"/>
        <v>166.55</v>
      </c>
      <c r="LY15" s="98">
        <f t="shared" si="16"/>
        <v>165.8</v>
      </c>
      <c r="LZ15" s="98">
        <f t="shared" si="16"/>
        <v>165.06</v>
      </c>
      <c r="MA15" s="98">
        <f t="shared" si="16"/>
        <v>164.31</v>
      </c>
      <c r="MB15" s="98">
        <f t="shared" si="16"/>
        <v>163.57</v>
      </c>
      <c r="MC15" s="98">
        <f t="shared" si="16"/>
        <v>162.83000000000001</v>
      </c>
      <c r="MD15" s="98">
        <f t="shared" si="16"/>
        <v>162.09</v>
      </c>
      <c r="ME15" s="98">
        <f t="shared" si="16"/>
        <v>161.36000000000001</v>
      </c>
      <c r="MF15" s="98">
        <f t="shared" si="16"/>
        <v>160.62</v>
      </c>
      <c r="MG15" s="98">
        <f t="shared" si="16"/>
        <v>159.88999999999999</v>
      </c>
      <c r="MH15" s="98">
        <f t="shared" si="16"/>
        <v>159.15</v>
      </c>
      <c r="MI15" s="98">
        <f t="shared" si="16"/>
        <v>158.41999999999999</v>
      </c>
      <c r="MJ15" s="98">
        <f t="shared" si="16"/>
        <v>157.69</v>
      </c>
      <c r="MK15" s="98">
        <f t="shared" si="16"/>
        <v>156.96</v>
      </c>
      <c r="ML15" s="98">
        <f t="shared" si="16"/>
        <v>156.24</v>
      </c>
      <c r="MM15" s="98">
        <f t="shared" si="16"/>
        <v>155.51</v>
      </c>
      <c r="MN15" s="98">
        <f t="shared" si="16"/>
        <v>154.79</v>
      </c>
      <c r="MO15" s="98">
        <f t="shared" si="16"/>
        <v>154.07</v>
      </c>
      <c r="MP15" s="98">
        <f t="shared" si="16"/>
        <v>153.35</v>
      </c>
      <c r="MQ15" s="98">
        <f t="shared" si="16"/>
        <v>152.63999999999999</v>
      </c>
      <c r="MR15" s="98">
        <f t="shared" si="16"/>
        <v>151.91999999999999</v>
      </c>
      <c r="MS15" s="98">
        <f t="shared" si="16"/>
        <v>151.21</v>
      </c>
      <c r="MT15" s="98">
        <f t="shared" si="16"/>
        <v>150.49</v>
      </c>
      <c r="MU15" s="98">
        <f t="shared" si="16"/>
        <v>149.78</v>
      </c>
      <c r="MV15" s="98">
        <f t="shared" si="16"/>
        <v>149.07</v>
      </c>
      <c r="MW15" s="98">
        <f t="shared" si="16"/>
        <v>148.37</v>
      </c>
      <c r="MX15" s="98">
        <f t="shared" si="16"/>
        <v>147.66</v>
      </c>
      <c r="MY15" s="98">
        <f t="shared" si="16"/>
        <v>146.96</v>
      </c>
    </row>
    <row r="16" spans="1:363" ht="15.75" x14ac:dyDescent="0.25">
      <c r="A16" s="90" t="s">
        <v>6</v>
      </c>
      <c r="B16" s="95">
        <v>2026</v>
      </c>
      <c r="C16" s="93">
        <v>484.18</v>
      </c>
      <c r="D16" s="93">
        <v>483.14</v>
      </c>
      <c r="E16" s="93">
        <v>482.1</v>
      </c>
      <c r="F16" s="93">
        <v>481.06</v>
      </c>
      <c r="G16" s="93">
        <v>480.02</v>
      </c>
      <c r="H16" s="93">
        <v>478.98</v>
      </c>
      <c r="I16" s="93">
        <v>477.94</v>
      </c>
      <c r="J16" s="93">
        <v>476.9</v>
      </c>
      <c r="K16" s="93">
        <v>475.87</v>
      </c>
      <c r="L16" s="93">
        <v>474.83</v>
      </c>
      <c r="M16" s="93">
        <v>473.79</v>
      </c>
      <c r="N16" s="93">
        <v>472.75</v>
      </c>
      <c r="O16" s="93">
        <v>471.71</v>
      </c>
      <c r="P16" s="93">
        <v>470.67</v>
      </c>
      <c r="Q16" s="93">
        <v>469.64</v>
      </c>
      <c r="R16" s="93">
        <v>468.6</v>
      </c>
      <c r="S16" s="93">
        <v>467.56</v>
      </c>
      <c r="T16" s="93">
        <v>466.52</v>
      </c>
      <c r="U16" s="93">
        <v>465.48</v>
      </c>
      <c r="V16" s="93">
        <v>464.44</v>
      </c>
      <c r="W16" s="93">
        <v>463.41</v>
      </c>
      <c r="X16" s="93">
        <v>462.37</v>
      </c>
      <c r="Y16" s="93">
        <v>461.33</v>
      </c>
      <c r="Z16" s="93">
        <v>460.29</v>
      </c>
      <c r="AA16" s="93">
        <v>459.25</v>
      </c>
      <c r="AB16" s="93">
        <v>458.22</v>
      </c>
      <c r="AC16" s="93">
        <v>457.18</v>
      </c>
      <c r="AD16" s="93">
        <v>456.14</v>
      </c>
      <c r="AE16" s="93">
        <v>455.1</v>
      </c>
      <c r="AF16" s="93">
        <v>454.07</v>
      </c>
      <c r="AG16" s="93">
        <v>453.03</v>
      </c>
      <c r="AH16" s="93">
        <v>451.99</v>
      </c>
      <c r="AI16" s="93">
        <v>450.96</v>
      </c>
      <c r="AJ16" s="93">
        <v>449.92</v>
      </c>
      <c r="AK16" s="93">
        <v>448.88</v>
      </c>
      <c r="AL16" s="93">
        <v>447.84</v>
      </c>
      <c r="AM16" s="93">
        <v>446.81</v>
      </c>
      <c r="AN16" s="93">
        <v>445.77</v>
      </c>
      <c r="AO16" s="93">
        <v>444.73</v>
      </c>
      <c r="AP16" s="93">
        <v>443.7</v>
      </c>
      <c r="AQ16" s="93">
        <v>442.66</v>
      </c>
      <c r="AR16" s="93">
        <v>441.62</v>
      </c>
      <c r="AS16" s="93">
        <v>440.59</v>
      </c>
      <c r="AT16" s="93">
        <v>439.55</v>
      </c>
      <c r="AU16" s="93">
        <v>438.51</v>
      </c>
      <c r="AV16" s="93">
        <v>437.48</v>
      </c>
      <c r="AW16" s="93">
        <v>436.44</v>
      </c>
      <c r="AX16" s="93">
        <v>435.4</v>
      </c>
      <c r="AY16" s="93">
        <v>434.37</v>
      </c>
      <c r="AZ16" s="93">
        <v>433.33</v>
      </c>
      <c r="BA16" s="93">
        <v>432.3</v>
      </c>
      <c r="BB16" s="93">
        <v>431.26</v>
      </c>
      <c r="BC16" s="93">
        <v>430.23</v>
      </c>
      <c r="BD16" s="93">
        <v>429.19</v>
      </c>
      <c r="BE16" s="93">
        <v>428.15</v>
      </c>
      <c r="BF16" s="93">
        <v>427.12</v>
      </c>
      <c r="BG16" s="93">
        <v>426.08</v>
      </c>
      <c r="BH16" s="93">
        <v>425.05</v>
      </c>
      <c r="BI16" s="93">
        <v>424.01</v>
      </c>
      <c r="BJ16" s="93">
        <v>422.98</v>
      </c>
      <c r="BK16" s="93">
        <v>421.94</v>
      </c>
      <c r="BL16" s="93">
        <v>420.9</v>
      </c>
      <c r="BM16" s="93">
        <v>419.87</v>
      </c>
      <c r="BN16" s="93">
        <v>418.83</v>
      </c>
      <c r="BO16" s="93">
        <v>417.8</v>
      </c>
      <c r="BP16" s="93">
        <v>416.76</v>
      </c>
      <c r="BQ16" s="93">
        <v>415.73</v>
      </c>
      <c r="BR16" s="93">
        <v>414.69</v>
      </c>
      <c r="BS16" s="93">
        <v>413.66</v>
      </c>
      <c r="BT16" s="93">
        <v>412.62</v>
      </c>
      <c r="BU16" s="93">
        <v>411.59</v>
      </c>
      <c r="BV16" s="93">
        <v>410.55</v>
      </c>
      <c r="BW16" s="93">
        <v>409.52</v>
      </c>
      <c r="BX16" s="93">
        <v>408.49</v>
      </c>
      <c r="BY16" s="93">
        <v>407.46</v>
      </c>
      <c r="BZ16" s="93">
        <v>406.42</v>
      </c>
      <c r="CA16" s="93">
        <v>405.39</v>
      </c>
      <c r="CB16" s="93">
        <v>404.36</v>
      </c>
      <c r="CC16" s="93">
        <v>403.33</v>
      </c>
      <c r="CD16" s="93">
        <v>402.3</v>
      </c>
      <c r="CE16" s="93">
        <v>401.27</v>
      </c>
      <c r="CF16" s="93">
        <v>400.24</v>
      </c>
      <c r="CG16" s="93">
        <v>399.21</v>
      </c>
      <c r="CH16" s="93">
        <v>398.18</v>
      </c>
      <c r="CI16" s="93">
        <v>397.15</v>
      </c>
      <c r="CJ16" s="93">
        <v>396.12</v>
      </c>
      <c r="CK16" s="93">
        <v>395.09</v>
      </c>
      <c r="CL16" s="93">
        <v>394.06</v>
      </c>
      <c r="CM16" s="93">
        <v>393.03</v>
      </c>
      <c r="CN16" s="93">
        <v>392</v>
      </c>
      <c r="CO16" s="93">
        <v>390.97</v>
      </c>
      <c r="CP16" s="93">
        <v>389.95</v>
      </c>
      <c r="CQ16" s="93">
        <v>388.92</v>
      </c>
      <c r="CR16" s="93">
        <v>387.89</v>
      </c>
      <c r="CS16" s="93">
        <v>386.86</v>
      </c>
      <c r="CT16" s="93">
        <v>385.83</v>
      </c>
      <c r="CU16" s="93">
        <v>384.8</v>
      </c>
      <c r="CV16" s="93">
        <v>383.78</v>
      </c>
      <c r="CW16" s="93">
        <v>382.75</v>
      </c>
      <c r="CX16" s="93">
        <v>381.72</v>
      </c>
      <c r="CY16" s="93">
        <v>380.7</v>
      </c>
      <c r="CZ16" s="93">
        <v>379.67</v>
      </c>
      <c r="DA16" s="93">
        <v>378.65</v>
      </c>
      <c r="DB16" s="93">
        <v>377.62</v>
      </c>
      <c r="DC16" s="93">
        <v>376.6</v>
      </c>
      <c r="DD16" s="93">
        <v>375.57</v>
      </c>
      <c r="DE16" s="93">
        <v>374.55</v>
      </c>
      <c r="DF16" s="93">
        <v>373.52</v>
      </c>
      <c r="DG16" s="93">
        <v>372.5</v>
      </c>
      <c r="DH16" s="93">
        <v>371.47</v>
      </c>
      <c r="DI16" s="93">
        <v>370.45</v>
      </c>
      <c r="DJ16" s="93">
        <v>369.43</v>
      </c>
      <c r="DK16" s="93">
        <v>368.41</v>
      </c>
      <c r="DL16" s="93">
        <v>367.38</v>
      </c>
      <c r="DM16" s="93">
        <v>366.36</v>
      </c>
      <c r="DN16" s="93">
        <v>365.34</v>
      </c>
      <c r="DO16" s="93">
        <v>364.32</v>
      </c>
      <c r="DP16" s="93">
        <v>363.3</v>
      </c>
      <c r="DQ16" s="93">
        <v>362.28</v>
      </c>
      <c r="DR16" s="93">
        <v>361.26</v>
      </c>
      <c r="DS16" s="93">
        <v>360.24</v>
      </c>
      <c r="DT16" s="93">
        <v>359.22</v>
      </c>
      <c r="DU16" s="93">
        <v>358.2</v>
      </c>
      <c r="DV16" s="93">
        <v>357.19</v>
      </c>
      <c r="DW16" s="93">
        <v>356.17</v>
      </c>
      <c r="DX16" s="93">
        <v>355.16</v>
      </c>
      <c r="DY16" s="93">
        <v>354.14</v>
      </c>
      <c r="DZ16" s="93">
        <v>353.13</v>
      </c>
      <c r="EA16" s="93">
        <v>352.12</v>
      </c>
      <c r="EB16" s="93">
        <v>351.1</v>
      </c>
      <c r="EC16" s="93">
        <v>350.09</v>
      </c>
      <c r="ED16" s="93">
        <v>349.08</v>
      </c>
      <c r="EE16" s="93">
        <v>348.07</v>
      </c>
      <c r="EF16" s="93">
        <v>347.06</v>
      </c>
      <c r="EG16" s="93">
        <v>346.06</v>
      </c>
      <c r="EH16" s="93">
        <v>345.05</v>
      </c>
      <c r="EI16" s="93">
        <v>344.05</v>
      </c>
      <c r="EJ16" s="93">
        <v>343.04</v>
      </c>
      <c r="EK16" s="93">
        <v>342.04</v>
      </c>
      <c r="EL16" s="93">
        <v>341.04</v>
      </c>
      <c r="EM16" s="93">
        <v>340.04</v>
      </c>
      <c r="EN16" s="93">
        <v>339.03</v>
      </c>
      <c r="EO16" s="93">
        <v>338.03</v>
      </c>
      <c r="EP16" s="93">
        <v>337.03</v>
      </c>
      <c r="EQ16" s="93">
        <v>336.03</v>
      </c>
      <c r="ER16" s="93">
        <v>335.03</v>
      </c>
      <c r="ES16" s="93">
        <v>334.04</v>
      </c>
      <c r="ET16" s="93">
        <v>333.04</v>
      </c>
      <c r="EU16" s="93">
        <v>332.04</v>
      </c>
      <c r="EV16" s="93">
        <v>331.05</v>
      </c>
      <c r="EW16" s="93">
        <v>330.05</v>
      </c>
      <c r="EX16" s="93">
        <v>329.06</v>
      </c>
      <c r="EY16" s="93">
        <v>328.07</v>
      </c>
      <c r="EZ16" s="93">
        <v>327.07</v>
      </c>
      <c r="FA16" s="93">
        <v>326.07</v>
      </c>
      <c r="FB16" s="93">
        <v>325.08999999999997</v>
      </c>
      <c r="FC16" s="93">
        <v>324.08999999999997</v>
      </c>
      <c r="FD16" s="93">
        <v>323.10000000000002</v>
      </c>
      <c r="FE16" s="93">
        <v>322.12</v>
      </c>
      <c r="FF16" s="93">
        <v>321.13</v>
      </c>
      <c r="FG16" s="93">
        <v>320.14999999999998</v>
      </c>
      <c r="FH16" s="93">
        <v>319.16000000000003</v>
      </c>
      <c r="FI16" s="93">
        <v>318.18</v>
      </c>
      <c r="FJ16" s="93">
        <v>317.19</v>
      </c>
      <c r="FK16" s="93">
        <v>316.20999999999998</v>
      </c>
      <c r="FL16" s="93">
        <v>315.23</v>
      </c>
      <c r="FM16" s="93">
        <v>314.24</v>
      </c>
      <c r="FN16" s="93">
        <v>313.26</v>
      </c>
      <c r="FO16" s="93">
        <v>312.27999999999997</v>
      </c>
      <c r="FP16" s="93">
        <v>311.29000000000002</v>
      </c>
      <c r="FQ16" s="93">
        <v>310.32</v>
      </c>
      <c r="FR16" s="93">
        <v>309.33999999999997</v>
      </c>
      <c r="FS16" s="93">
        <v>308.37</v>
      </c>
      <c r="FT16" s="93">
        <v>307.39</v>
      </c>
      <c r="FU16" s="93">
        <v>306.41000000000003</v>
      </c>
      <c r="FV16" s="93">
        <v>305.44</v>
      </c>
      <c r="FW16" s="93">
        <v>304.45999999999998</v>
      </c>
      <c r="FX16" s="93">
        <v>303.49</v>
      </c>
      <c r="FY16" s="93">
        <v>302.51</v>
      </c>
      <c r="FZ16" s="93">
        <v>301.54000000000002</v>
      </c>
      <c r="GA16" s="93">
        <v>300.57</v>
      </c>
      <c r="GB16" s="93">
        <v>299.60000000000002</v>
      </c>
      <c r="GC16" s="93">
        <v>298.63</v>
      </c>
      <c r="GD16" s="93">
        <v>297.67</v>
      </c>
      <c r="GE16" s="93">
        <v>296.7</v>
      </c>
      <c r="GF16" s="93">
        <v>295.73</v>
      </c>
      <c r="GG16" s="93">
        <v>294.76</v>
      </c>
      <c r="GH16" s="93">
        <v>293.79000000000002</v>
      </c>
      <c r="GI16" s="93">
        <v>292.83999999999997</v>
      </c>
      <c r="GJ16" s="93">
        <v>291.87</v>
      </c>
      <c r="GK16" s="93">
        <v>290.91000000000003</v>
      </c>
      <c r="GL16" s="93">
        <v>289.95</v>
      </c>
      <c r="GM16" s="93">
        <v>288.99</v>
      </c>
      <c r="GN16" s="93">
        <v>288.02999999999997</v>
      </c>
      <c r="GO16" s="93">
        <v>287.07</v>
      </c>
      <c r="GP16" s="93">
        <v>286.12</v>
      </c>
      <c r="GQ16" s="93">
        <v>285.17</v>
      </c>
      <c r="GR16" s="93">
        <v>284.22000000000003</v>
      </c>
      <c r="GS16" s="93">
        <v>283.26</v>
      </c>
      <c r="GT16" s="93">
        <v>282.32</v>
      </c>
      <c r="GU16" s="93">
        <v>281.37</v>
      </c>
      <c r="GV16" s="93">
        <v>280.42</v>
      </c>
      <c r="GW16" s="93">
        <v>279.47000000000003</v>
      </c>
      <c r="GX16" s="93">
        <v>278.51</v>
      </c>
      <c r="GY16" s="93">
        <v>277.57</v>
      </c>
      <c r="GZ16" s="93">
        <v>276.63</v>
      </c>
      <c r="HA16" s="93">
        <v>275.69</v>
      </c>
      <c r="HB16" s="93">
        <v>274.75</v>
      </c>
      <c r="HC16" s="93">
        <v>273.81</v>
      </c>
      <c r="HD16" s="93">
        <v>272.87</v>
      </c>
      <c r="HE16" s="93">
        <v>271.93</v>
      </c>
      <c r="HF16" s="93">
        <v>270.99</v>
      </c>
      <c r="HG16" s="93">
        <v>270.06</v>
      </c>
      <c r="HH16" s="93">
        <v>269.12</v>
      </c>
      <c r="HI16" s="93">
        <v>268.19</v>
      </c>
      <c r="HJ16" s="93">
        <v>267.25</v>
      </c>
      <c r="HK16" s="93">
        <v>266.32</v>
      </c>
      <c r="HL16" s="93">
        <v>265.39999999999998</v>
      </c>
      <c r="HM16" s="93">
        <v>264.47000000000003</v>
      </c>
      <c r="HN16" s="93">
        <v>263.54000000000002</v>
      </c>
      <c r="HO16" s="93">
        <v>262.63</v>
      </c>
      <c r="HP16" s="93">
        <v>261.70999999999998</v>
      </c>
      <c r="HQ16" s="93">
        <v>260.79000000000002</v>
      </c>
      <c r="HR16" s="93">
        <v>259.87</v>
      </c>
      <c r="HS16" s="93">
        <v>258.95</v>
      </c>
      <c r="HT16" s="93">
        <v>258.02999999999997</v>
      </c>
      <c r="HU16" s="93">
        <v>257.12</v>
      </c>
      <c r="HV16" s="93">
        <v>256.2</v>
      </c>
      <c r="HW16" s="93">
        <v>255.29</v>
      </c>
      <c r="HX16" s="93">
        <v>254.38</v>
      </c>
      <c r="HY16" s="93">
        <v>253.46</v>
      </c>
      <c r="HZ16" s="93">
        <v>252.56</v>
      </c>
      <c r="IA16" s="93">
        <v>251.65</v>
      </c>
      <c r="IB16" s="93">
        <v>250.74</v>
      </c>
      <c r="IC16" s="93">
        <v>249.83</v>
      </c>
      <c r="ID16" s="93">
        <v>248.93</v>
      </c>
      <c r="IE16" s="93">
        <v>248.02</v>
      </c>
      <c r="IF16" s="93">
        <v>247.12</v>
      </c>
      <c r="IG16" s="93">
        <v>246.22</v>
      </c>
      <c r="IH16" s="93">
        <v>245.31</v>
      </c>
      <c r="II16" s="93">
        <v>244.41</v>
      </c>
      <c r="IJ16" s="93">
        <v>243.52</v>
      </c>
      <c r="IK16" s="93">
        <v>242.62</v>
      </c>
      <c r="IL16" s="93">
        <v>241.73</v>
      </c>
      <c r="IM16" s="93">
        <v>240.83</v>
      </c>
      <c r="IN16" s="93">
        <v>239.94</v>
      </c>
      <c r="IO16" s="93">
        <v>239.05</v>
      </c>
      <c r="IP16" s="93">
        <v>238.16</v>
      </c>
      <c r="IQ16" s="93">
        <v>237.27</v>
      </c>
      <c r="IR16" s="93">
        <v>236.38</v>
      </c>
      <c r="IS16" s="93">
        <v>235.49</v>
      </c>
      <c r="IT16" s="93">
        <v>234.61</v>
      </c>
      <c r="IU16" s="93">
        <v>233.72</v>
      </c>
      <c r="IV16" s="93">
        <v>232.84</v>
      </c>
      <c r="IW16" s="93">
        <v>231.97</v>
      </c>
      <c r="IX16" s="93">
        <v>231.09</v>
      </c>
      <c r="IY16" s="93">
        <v>230.22</v>
      </c>
      <c r="IZ16" s="93">
        <v>229.35</v>
      </c>
      <c r="JA16" s="93">
        <v>228.48</v>
      </c>
      <c r="JB16" s="93">
        <v>227.61</v>
      </c>
      <c r="JC16" s="93">
        <v>226.74</v>
      </c>
      <c r="JD16" s="93">
        <v>225.88</v>
      </c>
      <c r="JE16" s="93">
        <v>225.01</v>
      </c>
      <c r="JF16" s="93">
        <v>224.15</v>
      </c>
      <c r="JG16" s="93">
        <v>223.28</v>
      </c>
      <c r="JH16" s="93">
        <v>222.42</v>
      </c>
      <c r="JI16" s="93">
        <v>221.56</v>
      </c>
      <c r="JJ16" s="93">
        <v>220.7</v>
      </c>
      <c r="JK16" s="93">
        <v>219.84</v>
      </c>
      <c r="JL16" s="93">
        <v>218.99</v>
      </c>
      <c r="JM16" s="93">
        <v>218.13</v>
      </c>
      <c r="JN16" s="93">
        <v>217.28</v>
      </c>
      <c r="JO16" s="93">
        <v>216.42</v>
      </c>
      <c r="JP16" s="93">
        <v>215.57</v>
      </c>
      <c r="JQ16" s="93">
        <v>214.72</v>
      </c>
      <c r="JR16" s="93">
        <v>213.87</v>
      </c>
      <c r="JS16" s="93">
        <v>213.02</v>
      </c>
      <c r="JT16" s="93">
        <v>212.17</v>
      </c>
      <c r="JU16" s="93">
        <v>211.32</v>
      </c>
      <c r="JV16" s="93">
        <v>210.47</v>
      </c>
      <c r="JW16" s="93">
        <v>209.62</v>
      </c>
      <c r="JX16" s="93">
        <v>208.77</v>
      </c>
      <c r="JY16" s="93">
        <v>207.92</v>
      </c>
      <c r="JZ16" s="93">
        <v>207.08</v>
      </c>
      <c r="KA16" s="93">
        <v>206.23</v>
      </c>
      <c r="KB16" s="93">
        <v>205.39</v>
      </c>
      <c r="KC16" s="93">
        <v>204.55</v>
      </c>
      <c r="KD16" s="93">
        <v>203.7</v>
      </c>
      <c r="KE16" s="93">
        <v>202.86</v>
      </c>
      <c r="KF16" s="93">
        <v>202.02</v>
      </c>
      <c r="KG16" s="93">
        <v>201.19</v>
      </c>
      <c r="KH16" s="93">
        <v>200.35</v>
      </c>
      <c r="KI16" s="93">
        <v>199.51</v>
      </c>
      <c r="KJ16" s="93">
        <v>198.68</v>
      </c>
      <c r="KK16" s="93">
        <v>197.85</v>
      </c>
      <c r="KL16" s="93">
        <v>197.02</v>
      </c>
      <c r="KM16" s="93">
        <v>196.18</v>
      </c>
      <c r="KN16" s="93">
        <v>195.36</v>
      </c>
      <c r="KO16" s="93">
        <v>194.53</v>
      </c>
      <c r="KP16" s="93">
        <v>193.7</v>
      </c>
      <c r="KQ16" s="93">
        <v>192.88</v>
      </c>
      <c r="KR16" s="98">
        <f t="shared" si="13"/>
        <v>192.02</v>
      </c>
      <c r="KS16" s="98">
        <f t="shared" si="14"/>
        <v>191.23</v>
      </c>
      <c r="KT16" s="98">
        <f t="shared" si="15"/>
        <v>190.41</v>
      </c>
      <c r="KU16" s="98">
        <f t="shared" si="15"/>
        <v>189.62</v>
      </c>
      <c r="KV16" s="98">
        <f t="shared" si="15"/>
        <v>188.84</v>
      </c>
      <c r="KW16" s="98">
        <f t="shared" si="15"/>
        <v>188.05</v>
      </c>
      <c r="KX16" s="98">
        <f t="shared" si="15"/>
        <v>187.26</v>
      </c>
      <c r="KY16" s="98">
        <f t="shared" si="15"/>
        <v>186.48</v>
      </c>
      <c r="KZ16" s="98">
        <f t="shared" si="15"/>
        <v>185.69</v>
      </c>
      <c r="LA16" s="98">
        <f t="shared" si="15"/>
        <v>184.91</v>
      </c>
      <c r="LB16" s="98">
        <f t="shared" si="15"/>
        <v>184.13</v>
      </c>
      <c r="LC16" s="98">
        <f t="shared" si="15"/>
        <v>183.35</v>
      </c>
      <c r="LD16" s="98">
        <f t="shared" si="15"/>
        <v>182.57</v>
      </c>
      <c r="LE16" s="98">
        <f t="shared" si="15"/>
        <v>181.79</v>
      </c>
      <c r="LF16" s="98">
        <f t="shared" si="15"/>
        <v>181.02</v>
      </c>
      <c r="LG16" s="98">
        <f t="shared" si="15"/>
        <v>180.25</v>
      </c>
      <c r="LH16" s="98">
        <f t="shared" si="15"/>
        <v>179.47</v>
      </c>
      <c r="LI16" s="98">
        <f t="shared" si="15"/>
        <v>178.7</v>
      </c>
      <c r="LJ16" s="98">
        <f t="shared" si="17"/>
        <v>177.93</v>
      </c>
      <c r="LK16" s="98">
        <f t="shared" si="17"/>
        <v>177.16</v>
      </c>
      <c r="LL16" s="98">
        <f t="shared" si="17"/>
        <v>176.39</v>
      </c>
      <c r="LM16" s="98">
        <f t="shared" si="17"/>
        <v>175.63</v>
      </c>
      <c r="LN16" s="98">
        <f t="shared" si="17"/>
        <v>174.86</v>
      </c>
      <c r="LO16" s="98">
        <f t="shared" si="17"/>
        <v>174.1</v>
      </c>
      <c r="LP16" s="98">
        <f t="shared" si="17"/>
        <v>173.34</v>
      </c>
      <c r="LQ16" s="98">
        <f t="shared" si="17"/>
        <v>172.58</v>
      </c>
      <c r="LR16" s="98">
        <f t="shared" si="17"/>
        <v>171.82</v>
      </c>
      <c r="LS16" s="98">
        <f t="shared" si="17"/>
        <v>171.06</v>
      </c>
      <c r="LT16" s="98">
        <f t="shared" si="17"/>
        <v>170.31</v>
      </c>
      <c r="LU16" s="98">
        <f t="shared" si="17"/>
        <v>169.56</v>
      </c>
      <c r="LV16" s="98">
        <f t="shared" si="17"/>
        <v>168.8</v>
      </c>
      <c r="LW16" s="98">
        <f t="shared" si="16"/>
        <v>168.05</v>
      </c>
      <c r="LX16" s="98">
        <f t="shared" si="16"/>
        <v>167.3</v>
      </c>
      <c r="LY16" s="98">
        <f t="shared" si="16"/>
        <v>166.55</v>
      </c>
      <c r="LZ16" s="98">
        <f t="shared" si="16"/>
        <v>165.81</v>
      </c>
      <c r="MA16" s="98">
        <f t="shared" si="16"/>
        <v>165.06</v>
      </c>
      <c r="MB16" s="98">
        <f t="shared" si="16"/>
        <v>164.32</v>
      </c>
      <c r="MC16" s="98">
        <f t="shared" si="16"/>
        <v>163.58000000000001</v>
      </c>
      <c r="MD16" s="98">
        <f t="shared" si="16"/>
        <v>162.84</v>
      </c>
      <c r="ME16" s="98">
        <f t="shared" si="16"/>
        <v>162.11000000000001</v>
      </c>
      <c r="MF16" s="98">
        <f t="shared" si="16"/>
        <v>161.37</v>
      </c>
      <c r="MG16" s="98">
        <f t="shared" si="16"/>
        <v>160.63999999999999</v>
      </c>
      <c r="MH16" s="98">
        <f t="shared" si="16"/>
        <v>159.9</v>
      </c>
      <c r="MI16" s="98">
        <f t="shared" si="16"/>
        <v>159.16999999999999</v>
      </c>
      <c r="MJ16" s="98">
        <f t="shared" si="16"/>
        <v>158.44</v>
      </c>
      <c r="MK16" s="98">
        <f t="shared" si="16"/>
        <v>157.71</v>
      </c>
      <c r="ML16" s="98">
        <f t="shared" si="16"/>
        <v>156.99</v>
      </c>
      <c r="MM16" s="98">
        <f t="shared" si="16"/>
        <v>156.26</v>
      </c>
      <c r="MN16" s="98">
        <f t="shared" si="16"/>
        <v>155.54</v>
      </c>
      <c r="MO16" s="98">
        <f t="shared" si="16"/>
        <v>154.82</v>
      </c>
      <c r="MP16" s="98">
        <f t="shared" si="16"/>
        <v>154.1</v>
      </c>
      <c r="MQ16" s="98">
        <f t="shared" si="16"/>
        <v>153.38999999999999</v>
      </c>
      <c r="MR16" s="98">
        <f t="shared" si="16"/>
        <v>152.66999999999999</v>
      </c>
      <c r="MS16" s="98">
        <f t="shared" si="16"/>
        <v>151.96</v>
      </c>
      <c r="MT16" s="98">
        <f t="shared" ref="MT16:MY31" si="18">MT15+0.75</f>
        <v>151.24</v>
      </c>
      <c r="MU16" s="98">
        <f t="shared" si="18"/>
        <v>150.53</v>
      </c>
      <c r="MV16" s="98">
        <f t="shared" si="18"/>
        <v>149.82</v>
      </c>
      <c r="MW16" s="98">
        <f t="shared" si="18"/>
        <v>149.12</v>
      </c>
      <c r="MX16" s="98">
        <f t="shared" si="18"/>
        <v>148.41</v>
      </c>
      <c r="MY16" s="98">
        <f t="shared" si="18"/>
        <v>147.71</v>
      </c>
    </row>
    <row r="17" spans="1:363" ht="15.75" x14ac:dyDescent="0.25">
      <c r="A17" s="90" t="s">
        <v>6</v>
      </c>
      <c r="B17" s="95">
        <v>2027</v>
      </c>
      <c r="C17" s="93">
        <v>485.15</v>
      </c>
      <c r="D17" s="93">
        <v>484.11</v>
      </c>
      <c r="E17" s="93">
        <v>483.08</v>
      </c>
      <c r="F17" s="93">
        <v>482.04</v>
      </c>
      <c r="G17" s="93">
        <v>481</v>
      </c>
      <c r="H17" s="93">
        <v>479.96</v>
      </c>
      <c r="I17" s="93">
        <v>478.92</v>
      </c>
      <c r="J17" s="93">
        <v>477.88</v>
      </c>
      <c r="K17" s="93">
        <v>476.84</v>
      </c>
      <c r="L17" s="93">
        <v>475.81</v>
      </c>
      <c r="M17" s="93">
        <v>474.77</v>
      </c>
      <c r="N17" s="93">
        <v>473.73</v>
      </c>
      <c r="O17" s="93">
        <v>472.69</v>
      </c>
      <c r="P17" s="93">
        <v>471.65</v>
      </c>
      <c r="Q17" s="93">
        <v>470.61</v>
      </c>
      <c r="R17" s="93">
        <v>469.58</v>
      </c>
      <c r="S17" s="93">
        <v>468.54</v>
      </c>
      <c r="T17" s="93">
        <v>467.5</v>
      </c>
      <c r="U17" s="93">
        <v>466.46</v>
      </c>
      <c r="V17" s="93">
        <v>465.42</v>
      </c>
      <c r="W17" s="93">
        <v>464.39</v>
      </c>
      <c r="X17" s="93">
        <v>463.35</v>
      </c>
      <c r="Y17" s="93">
        <v>462.31</v>
      </c>
      <c r="Z17" s="93">
        <v>461.27</v>
      </c>
      <c r="AA17" s="93">
        <v>460.23</v>
      </c>
      <c r="AB17" s="93">
        <v>459.2</v>
      </c>
      <c r="AC17" s="93">
        <v>458.16</v>
      </c>
      <c r="AD17" s="93">
        <v>457.12</v>
      </c>
      <c r="AE17" s="93">
        <v>456.08</v>
      </c>
      <c r="AF17" s="93">
        <v>455.05</v>
      </c>
      <c r="AG17" s="93">
        <v>454.01</v>
      </c>
      <c r="AH17" s="93">
        <v>452.97</v>
      </c>
      <c r="AI17" s="93">
        <v>451.93</v>
      </c>
      <c r="AJ17" s="93">
        <v>450.9</v>
      </c>
      <c r="AK17" s="93">
        <v>449.86</v>
      </c>
      <c r="AL17" s="93">
        <v>448.82</v>
      </c>
      <c r="AM17" s="93">
        <v>447.79</v>
      </c>
      <c r="AN17" s="93">
        <v>446.75</v>
      </c>
      <c r="AO17" s="93">
        <v>445.71</v>
      </c>
      <c r="AP17" s="93">
        <v>444.68</v>
      </c>
      <c r="AQ17" s="93">
        <v>443.64</v>
      </c>
      <c r="AR17" s="93">
        <v>442.6</v>
      </c>
      <c r="AS17" s="93">
        <v>441.57</v>
      </c>
      <c r="AT17" s="93">
        <v>440.53</v>
      </c>
      <c r="AU17" s="93">
        <v>439.49</v>
      </c>
      <c r="AV17" s="93">
        <v>438.46</v>
      </c>
      <c r="AW17" s="93">
        <v>437.42</v>
      </c>
      <c r="AX17" s="93">
        <v>436.38</v>
      </c>
      <c r="AY17" s="93">
        <v>435.35</v>
      </c>
      <c r="AZ17" s="93">
        <v>434.31</v>
      </c>
      <c r="BA17" s="93">
        <v>433.27</v>
      </c>
      <c r="BB17" s="93">
        <v>432.24</v>
      </c>
      <c r="BC17" s="93">
        <v>431.2</v>
      </c>
      <c r="BD17" s="93">
        <v>430.17</v>
      </c>
      <c r="BE17" s="93">
        <v>429.13</v>
      </c>
      <c r="BF17" s="93">
        <v>428.1</v>
      </c>
      <c r="BG17" s="93">
        <v>427.06</v>
      </c>
      <c r="BH17" s="93">
        <v>426.02</v>
      </c>
      <c r="BI17" s="93">
        <v>424.99</v>
      </c>
      <c r="BJ17" s="93">
        <v>423.95</v>
      </c>
      <c r="BK17" s="93">
        <v>422.92</v>
      </c>
      <c r="BL17" s="93">
        <v>421.88</v>
      </c>
      <c r="BM17" s="93">
        <v>420.84</v>
      </c>
      <c r="BN17" s="93">
        <v>419.81</v>
      </c>
      <c r="BO17" s="93">
        <v>418.77</v>
      </c>
      <c r="BP17" s="93">
        <v>417.74</v>
      </c>
      <c r="BQ17" s="93">
        <v>416.7</v>
      </c>
      <c r="BR17" s="93">
        <v>415.67</v>
      </c>
      <c r="BS17" s="93">
        <v>414.63</v>
      </c>
      <c r="BT17" s="93">
        <v>413.6</v>
      </c>
      <c r="BU17" s="93">
        <v>412.56</v>
      </c>
      <c r="BV17" s="93">
        <v>411.53</v>
      </c>
      <c r="BW17" s="93">
        <v>410.49</v>
      </c>
      <c r="BX17" s="93">
        <v>409.46</v>
      </c>
      <c r="BY17" s="93">
        <v>408.43</v>
      </c>
      <c r="BZ17" s="93">
        <v>407.4</v>
      </c>
      <c r="CA17" s="93">
        <v>406.37</v>
      </c>
      <c r="CB17" s="93">
        <v>405.34</v>
      </c>
      <c r="CC17" s="93">
        <v>404.3</v>
      </c>
      <c r="CD17" s="93">
        <v>403.27</v>
      </c>
      <c r="CE17" s="93">
        <v>402.24</v>
      </c>
      <c r="CF17" s="93">
        <v>401.21</v>
      </c>
      <c r="CG17" s="93">
        <v>400.18</v>
      </c>
      <c r="CH17" s="93">
        <v>399.15</v>
      </c>
      <c r="CI17" s="93">
        <v>398.12</v>
      </c>
      <c r="CJ17" s="93">
        <v>397.09</v>
      </c>
      <c r="CK17" s="93">
        <v>396.06</v>
      </c>
      <c r="CL17" s="93">
        <v>395.03</v>
      </c>
      <c r="CM17" s="93">
        <v>394</v>
      </c>
      <c r="CN17" s="93">
        <v>392.97</v>
      </c>
      <c r="CO17" s="93">
        <v>391.94</v>
      </c>
      <c r="CP17" s="93">
        <v>390.91</v>
      </c>
      <c r="CQ17" s="93">
        <v>389.88</v>
      </c>
      <c r="CR17" s="93">
        <v>388.86</v>
      </c>
      <c r="CS17" s="93">
        <v>387.83</v>
      </c>
      <c r="CT17" s="93">
        <v>386.8</v>
      </c>
      <c r="CU17" s="93">
        <v>385.77</v>
      </c>
      <c r="CV17" s="93">
        <v>384.74</v>
      </c>
      <c r="CW17" s="93">
        <v>383.72</v>
      </c>
      <c r="CX17" s="93">
        <v>382.69</v>
      </c>
      <c r="CY17" s="93">
        <v>381.66</v>
      </c>
      <c r="CZ17" s="93">
        <v>380.64</v>
      </c>
      <c r="DA17" s="93">
        <v>379.61</v>
      </c>
      <c r="DB17" s="93">
        <v>378.58</v>
      </c>
      <c r="DC17" s="93">
        <v>377.56</v>
      </c>
      <c r="DD17" s="93">
        <v>376.53</v>
      </c>
      <c r="DE17" s="93">
        <v>375.51</v>
      </c>
      <c r="DF17" s="93">
        <v>374.48</v>
      </c>
      <c r="DG17" s="93">
        <v>373.46</v>
      </c>
      <c r="DH17" s="93">
        <v>372.43</v>
      </c>
      <c r="DI17" s="93">
        <v>371.41</v>
      </c>
      <c r="DJ17" s="93">
        <v>370.39</v>
      </c>
      <c r="DK17" s="93">
        <v>369.36</v>
      </c>
      <c r="DL17" s="93">
        <v>368.34</v>
      </c>
      <c r="DM17" s="93">
        <v>367.32</v>
      </c>
      <c r="DN17" s="93">
        <v>366.3</v>
      </c>
      <c r="DO17" s="93">
        <v>365.28</v>
      </c>
      <c r="DP17" s="93">
        <v>364.25</v>
      </c>
      <c r="DQ17" s="93">
        <v>363.23</v>
      </c>
      <c r="DR17" s="93">
        <v>362.21</v>
      </c>
      <c r="DS17" s="93">
        <v>361.19</v>
      </c>
      <c r="DT17" s="93">
        <v>360.17</v>
      </c>
      <c r="DU17" s="93">
        <v>359.16</v>
      </c>
      <c r="DV17" s="93">
        <v>358.14</v>
      </c>
      <c r="DW17" s="93">
        <v>357.12</v>
      </c>
      <c r="DX17" s="93">
        <v>356.11</v>
      </c>
      <c r="DY17" s="93">
        <v>355.09</v>
      </c>
      <c r="DZ17" s="93">
        <v>354.08</v>
      </c>
      <c r="EA17" s="93">
        <v>353.07</v>
      </c>
      <c r="EB17" s="93">
        <v>352.05</v>
      </c>
      <c r="EC17" s="93">
        <v>351.04</v>
      </c>
      <c r="ED17" s="93">
        <v>350.03</v>
      </c>
      <c r="EE17" s="93">
        <v>349.02</v>
      </c>
      <c r="EF17" s="93">
        <v>348.01</v>
      </c>
      <c r="EG17" s="93">
        <v>347</v>
      </c>
      <c r="EH17" s="93">
        <v>346</v>
      </c>
      <c r="EI17" s="93">
        <v>344.99</v>
      </c>
      <c r="EJ17" s="93">
        <v>343.99</v>
      </c>
      <c r="EK17" s="93">
        <v>342.98</v>
      </c>
      <c r="EL17" s="93">
        <v>341.98</v>
      </c>
      <c r="EM17" s="93">
        <v>340.98</v>
      </c>
      <c r="EN17" s="93">
        <v>339.97</v>
      </c>
      <c r="EO17" s="93">
        <v>338.97</v>
      </c>
      <c r="EP17" s="93">
        <v>337.97</v>
      </c>
      <c r="EQ17" s="93">
        <v>336.97</v>
      </c>
      <c r="ER17" s="93">
        <v>335.97</v>
      </c>
      <c r="ES17" s="93">
        <v>334.97</v>
      </c>
      <c r="ET17" s="93">
        <v>333.98</v>
      </c>
      <c r="EU17" s="93">
        <v>332.98</v>
      </c>
      <c r="EV17" s="93">
        <v>331.98</v>
      </c>
      <c r="EW17" s="93">
        <v>330.99</v>
      </c>
      <c r="EX17" s="93">
        <v>329.99</v>
      </c>
      <c r="EY17" s="93">
        <v>329</v>
      </c>
      <c r="EZ17" s="93">
        <v>328</v>
      </c>
      <c r="FA17" s="93">
        <v>327.01</v>
      </c>
      <c r="FB17" s="93">
        <v>326.01</v>
      </c>
      <c r="FC17" s="93">
        <v>325.01</v>
      </c>
      <c r="FD17" s="93">
        <v>324.04000000000002</v>
      </c>
      <c r="FE17" s="93">
        <v>323.04000000000002</v>
      </c>
      <c r="FF17" s="93">
        <v>322.06</v>
      </c>
      <c r="FG17" s="93">
        <v>321.07</v>
      </c>
      <c r="FH17" s="93">
        <v>320.08999999999997</v>
      </c>
      <c r="FI17" s="93">
        <v>319.10000000000002</v>
      </c>
      <c r="FJ17" s="93">
        <v>318.12</v>
      </c>
      <c r="FK17" s="93">
        <v>317.13</v>
      </c>
      <c r="FL17" s="93">
        <v>316.14999999999998</v>
      </c>
      <c r="FM17" s="93">
        <v>315.17</v>
      </c>
      <c r="FN17" s="93">
        <v>314.18</v>
      </c>
      <c r="FO17" s="93">
        <v>313.2</v>
      </c>
      <c r="FP17" s="93">
        <v>312.22000000000003</v>
      </c>
      <c r="FQ17" s="93">
        <v>311.24</v>
      </c>
      <c r="FR17" s="93">
        <v>310.26</v>
      </c>
      <c r="FS17" s="93">
        <v>309.27999999999997</v>
      </c>
      <c r="FT17" s="93">
        <v>308.31</v>
      </c>
      <c r="FU17" s="93">
        <v>307.32</v>
      </c>
      <c r="FV17" s="93">
        <v>306.35000000000002</v>
      </c>
      <c r="FW17" s="93">
        <v>305.38</v>
      </c>
      <c r="FX17" s="93">
        <v>304.39999999999998</v>
      </c>
      <c r="FY17" s="93">
        <v>303.43</v>
      </c>
      <c r="FZ17" s="93">
        <v>302.45</v>
      </c>
      <c r="GA17" s="93">
        <v>301.48</v>
      </c>
      <c r="GB17" s="93">
        <v>300.51</v>
      </c>
      <c r="GC17" s="93">
        <v>299.54000000000002</v>
      </c>
      <c r="GD17" s="93">
        <v>298.57</v>
      </c>
      <c r="GE17" s="93">
        <v>297.60000000000002</v>
      </c>
      <c r="GF17" s="93">
        <v>296.64</v>
      </c>
      <c r="GG17" s="93">
        <v>295.67</v>
      </c>
      <c r="GH17" s="93">
        <v>294.7</v>
      </c>
      <c r="GI17" s="93">
        <v>293.74</v>
      </c>
      <c r="GJ17" s="93">
        <v>292.76</v>
      </c>
      <c r="GK17" s="93">
        <v>291.81</v>
      </c>
      <c r="GL17" s="93">
        <v>290.85000000000002</v>
      </c>
      <c r="GM17" s="93">
        <v>289.88</v>
      </c>
      <c r="GN17" s="93">
        <v>288.93</v>
      </c>
      <c r="GO17" s="93">
        <v>287.97000000000003</v>
      </c>
      <c r="GP17" s="93">
        <v>287.01</v>
      </c>
      <c r="GQ17" s="93">
        <v>286.06</v>
      </c>
      <c r="GR17" s="93">
        <v>285.10000000000002</v>
      </c>
      <c r="GS17" s="93">
        <v>284.16000000000003</v>
      </c>
      <c r="GT17" s="93">
        <v>283.20999999999998</v>
      </c>
      <c r="GU17" s="93">
        <v>282.26</v>
      </c>
      <c r="GV17" s="93">
        <v>281.31</v>
      </c>
      <c r="GW17" s="93">
        <v>280.35000000000002</v>
      </c>
      <c r="GX17" s="93">
        <v>279.41000000000003</v>
      </c>
      <c r="GY17" s="93">
        <v>278.45999999999998</v>
      </c>
      <c r="GZ17" s="93">
        <v>277.51</v>
      </c>
      <c r="HA17" s="93">
        <v>276.57</v>
      </c>
      <c r="HB17" s="93">
        <v>275.63</v>
      </c>
      <c r="HC17" s="93">
        <v>274.69</v>
      </c>
      <c r="HD17" s="93">
        <v>273.75</v>
      </c>
      <c r="HE17" s="93">
        <v>272.81</v>
      </c>
      <c r="HF17" s="93">
        <v>271.87</v>
      </c>
      <c r="HG17" s="93">
        <v>270.93</v>
      </c>
      <c r="HH17" s="93">
        <v>270</v>
      </c>
      <c r="HI17" s="93">
        <v>269.06</v>
      </c>
      <c r="HJ17" s="93">
        <v>268.13</v>
      </c>
      <c r="HK17" s="93">
        <v>267.19</v>
      </c>
      <c r="HL17" s="93">
        <v>266.26</v>
      </c>
      <c r="HM17" s="93">
        <v>265.33999999999997</v>
      </c>
      <c r="HN17" s="93">
        <v>264.42</v>
      </c>
      <c r="HO17" s="93">
        <v>263.49</v>
      </c>
      <c r="HP17" s="93">
        <v>262.57</v>
      </c>
      <c r="HQ17" s="93">
        <v>261.64999999999998</v>
      </c>
      <c r="HR17" s="93">
        <v>260.73</v>
      </c>
      <c r="HS17" s="93">
        <v>259.81</v>
      </c>
      <c r="HT17" s="93">
        <v>258.89</v>
      </c>
      <c r="HU17" s="93">
        <v>257.97000000000003</v>
      </c>
      <c r="HV17" s="93">
        <v>257.06</v>
      </c>
      <c r="HW17" s="93">
        <v>256.14</v>
      </c>
      <c r="HX17" s="93">
        <v>255.23</v>
      </c>
      <c r="HY17" s="93">
        <v>254.32</v>
      </c>
      <c r="HZ17" s="93">
        <v>253.41</v>
      </c>
      <c r="IA17" s="93">
        <v>252.5</v>
      </c>
      <c r="IB17" s="93">
        <v>251.59</v>
      </c>
      <c r="IC17" s="93">
        <v>250.68</v>
      </c>
      <c r="ID17" s="93">
        <v>249.77</v>
      </c>
      <c r="IE17" s="93">
        <v>248.87</v>
      </c>
      <c r="IF17" s="93">
        <v>247.96</v>
      </c>
      <c r="IG17" s="93">
        <v>247.06</v>
      </c>
      <c r="IH17" s="93">
        <v>246.16</v>
      </c>
      <c r="II17" s="93">
        <v>245.25</v>
      </c>
      <c r="IJ17" s="93">
        <v>244.35</v>
      </c>
      <c r="IK17" s="93">
        <v>243.46</v>
      </c>
      <c r="IL17" s="93">
        <v>242.56</v>
      </c>
      <c r="IM17" s="93">
        <v>241.66</v>
      </c>
      <c r="IN17" s="93">
        <v>240.77</v>
      </c>
      <c r="IO17" s="93">
        <v>239.88</v>
      </c>
      <c r="IP17" s="93">
        <v>238.98</v>
      </c>
      <c r="IQ17" s="93">
        <v>238.09</v>
      </c>
      <c r="IR17" s="93">
        <v>237.2</v>
      </c>
      <c r="IS17" s="93">
        <v>236.31</v>
      </c>
      <c r="IT17" s="93">
        <v>235.43</v>
      </c>
      <c r="IU17" s="93">
        <v>234.54</v>
      </c>
      <c r="IV17" s="93">
        <v>233.66</v>
      </c>
      <c r="IW17" s="93">
        <v>232.79</v>
      </c>
      <c r="IX17" s="93">
        <v>231.91</v>
      </c>
      <c r="IY17" s="93">
        <v>231.04</v>
      </c>
      <c r="IZ17" s="93">
        <v>230.16</v>
      </c>
      <c r="JA17" s="93">
        <v>229.29</v>
      </c>
      <c r="JB17" s="93">
        <v>228.42</v>
      </c>
      <c r="JC17" s="93">
        <v>227.55</v>
      </c>
      <c r="JD17" s="93">
        <v>226.68</v>
      </c>
      <c r="JE17" s="93">
        <v>225.81</v>
      </c>
      <c r="JF17" s="93">
        <v>224.95</v>
      </c>
      <c r="JG17" s="93">
        <v>224.08</v>
      </c>
      <c r="JH17" s="93">
        <v>223.22</v>
      </c>
      <c r="JI17" s="93">
        <v>222.36</v>
      </c>
      <c r="JJ17" s="93">
        <v>221.5</v>
      </c>
      <c r="JK17" s="93">
        <v>220.64</v>
      </c>
      <c r="JL17" s="93">
        <v>219.78</v>
      </c>
      <c r="JM17" s="93">
        <v>218.92</v>
      </c>
      <c r="JN17" s="93">
        <v>218.07</v>
      </c>
      <c r="JO17" s="93">
        <v>217.21</v>
      </c>
      <c r="JP17" s="93">
        <v>216.36</v>
      </c>
      <c r="JQ17" s="93">
        <v>215.5</v>
      </c>
      <c r="JR17" s="93">
        <v>214.65</v>
      </c>
      <c r="JS17" s="93">
        <v>213.8</v>
      </c>
      <c r="JT17" s="93">
        <v>212.95</v>
      </c>
      <c r="JU17" s="93">
        <v>212.09</v>
      </c>
      <c r="JV17" s="93">
        <v>211.24</v>
      </c>
      <c r="JW17" s="93">
        <v>210.39</v>
      </c>
      <c r="JX17" s="93">
        <v>209.54</v>
      </c>
      <c r="JY17" s="93">
        <v>208.69</v>
      </c>
      <c r="JZ17" s="93">
        <v>207.85</v>
      </c>
      <c r="KA17" s="93">
        <v>207</v>
      </c>
      <c r="KB17" s="93">
        <v>206.15</v>
      </c>
      <c r="KC17" s="93">
        <v>205.31</v>
      </c>
      <c r="KD17" s="93">
        <v>204.46</v>
      </c>
      <c r="KE17" s="93">
        <v>203.62</v>
      </c>
      <c r="KF17" s="93">
        <v>202.78</v>
      </c>
      <c r="KG17" s="93">
        <v>201.94</v>
      </c>
      <c r="KH17" s="93">
        <v>201.1</v>
      </c>
      <c r="KI17" s="93">
        <v>200.26</v>
      </c>
      <c r="KJ17" s="93">
        <v>199.43</v>
      </c>
      <c r="KK17" s="93">
        <v>198.59</v>
      </c>
      <c r="KL17" s="93">
        <v>197.76</v>
      </c>
      <c r="KM17" s="93">
        <v>196.93</v>
      </c>
      <c r="KN17" s="93">
        <v>196.09</v>
      </c>
      <c r="KO17" s="93">
        <v>195.26</v>
      </c>
      <c r="KP17" s="93">
        <v>194.44</v>
      </c>
      <c r="KQ17" s="93">
        <v>193.61</v>
      </c>
      <c r="KR17" s="98">
        <f t="shared" si="13"/>
        <v>192.77</v>
      </c>
      <c r="KS17" s="98">
        <f t="shared" si="14"/>
        <v>191.98</v>
      </c>
      <c r="KT17" s="98">
        <f t="shared" si="15"/>
        <v>191.16</v>
      </c>
      <c r="KU17" s="98">
        <f t="shared" si="15"/>
        <v>190.37</v>
      </c>
      <c r="KV17" s="98">
        <f t="shared" si="15"/>
        <v>189.59</v>
      </c>
      <c r="KW17" s="98">
        <f t="shared" si="15"/>
        <v>188.8</v>
      </c>
      <c r="KX17" s="98">
        <f t="shared" si="15"/>
        <v>188.01</v>
      </c>
      <c r="KY17" s="98">
        <f t="shared" si="15"/>
        <v>187.23</v>
      </c>
      <c r="KZ17" s="98">
        <f t="shared" si="15"/>
        <v>186.44</v>
      </c>
      <c r="LA17" s="98">
        <f t="shared" si="15"/>
        <v>185.66</v>
      </c>
      <c r="LB17" s="98">
        <f t="shared" si="15"/>
        <v>184.88</v>
      </c>
      <c r="LC17" s="98">
        <f t="shared" si="15"/>
        <v>184.1</v>
      </c>
      <c r="LD17" s="98">
        <f t="shared" si="15"/>
        <v>183.32</v>
      </c>
      <c r="LE17" s="98">
        <f t="shared" si="15"/>
        <v>182.54</v>
      </c>
      <c r="LF17" s="98">
        <f t="shared" si="15"/>
        <v>181.77</v>
      </c>
      <c r="LG17" s="98">
        <f t="shared" si="15"/>
        <v>181</v>
      </c>
      <c r="LH17" s="98">
        <f t="shared" si="15"/>
        <v>180.22</v>
      </c>
      <c r="LI17" s="98">
        <f t="shared" si="15"/>
        <v>179.45</v>
      </c>
      <c r="LJ17" s="98">
        <f t="shared" si="17"/>
        <v>178.68</v>
      </c>
      <c r="LK17" s="98">
        <f t="shared" si="17"/>
        <v>177.91</v>
      </c>
      <c r="LL17" s="98">
        <f t="shared" si="17"/>
        <v>177.14</v>
      </c>
      <c r="LM17" s="98">
        <f t="shared" si="17"/>
        <v>176.38</v>
      </c>
      <c r="LN17" s="98">
        <f t="shared" si="17"/>
        <v>175.61</v>
      </c>
      <c r="LO17" s="98">
        <f t="shared" si="17"/>
        <v>174.85</v>
      </c>
      <c r="LP17" s="98">
        <f t="shared" si="17"/>
        <v>174.09</v>
      </c>
      <c r="LQ17" s="98">
        <f t="shared" si="17"/>
        <v>173.33</v>
      </c>
      <c r="LR17" s="98">
        <f t="shared" si="17"/>
        <v>172.57</v>
      </c>
      <c r="LS17" s="98">
        <f t="shared" si="17"/>
        <v>171.81</v>
      </c>
      <c r="LT17" s="98">
        <f t="shared" si="17"/>
        <v>171.06</v>
      </c>
      <c r="LU17" s="98">
        <f t="shared" si="17"/>
        <v>170.31</v>
      </c>
      <c r="LV17" s="98">
        <f t="shared" si="17"/>
        <v>169.55</v>
      </c>
      <c r="LW17" s="98">
        <f t="shared" si="17"/>
        <v>168.8</v>
      </c>
      <c r="LX17" s="98">
        <f t="shared" si="17"/>
        <v>168.05</v>
      </c>
      <c r="LY17" s="98">
        <f t="shared" si="17"/>
        <v>167.3</v>
      </c>
      <c r="LZ17" s="98">
        <f t="shared" ref="LZ17:MS29" si="19">LZ16+0.75</f>
        <v>166.56</v>
      </c>
      <c r="MA17" s="98">
        <f t="shared" si="19"/>
        <v>165.81</v>
      </c>
      <c r="MB17" s="98">
        <f t="shared" si="19"/>
        <v>165.07</v>
      </c>
      <c r="MC17" s="98">
        <f t="shared" si="19"/>
        <v>164.33</v>
      </c>
      <c r="MD17" s="98">
        <f t="shared" si="19"/>
        <v>163.59</v>
      </c>
      <c r="ME17" s="98">
        <f t="shared" si="19"/>
        <v>162.86000000000001</v>
      </c>
      <c r="MF17" s="98">
        <f t="shared" si="19"/>
        <v>162.12</v>
      </c>
      <c r="MG17" s="98">
        <f t="shared" si="19"/>
        <v>161.38999999999999</v>
      </c>
      <c r="MH17" s="98">
        <f t="shared" si="19"/>
        <v>160.65</v>
      </c>
      <c r="MI17" s="98">
        <f t="shared" si="19"/>
        <v>159.91999999999999</v>
      </c>
      <c r="MJ17" s="98">
        <f t="shared" si="19"/>
        <v>159.19</v>
      </c>
      <c r="MK17" s="98">
        <f t="shared" si="19"/>
        <v>158.46</v>
      </c>
      <c r="ML17" s="98">
        <f t="shared" si="19"/>
        <v>157.74</v>
      </c>
      <c r="MM17" s="98">
        <f t="shared" si="19"/>
        <v>157.01</v>
      </c>
      <c r="MN17" s="98">
        <f t="shared" si="19"/>
        <v>156.29</v>
      </c>
      <c r="MO17" s="98">
        <f t="shared" si="19"/>
        <v>155.57</v>
      </c>
      <c r="MP17" s="98">
        <f t="shared" si="19"/>
        <v>154.85</v>
      </c>
      <c r="MQ17" s="98">
        <f t="shared" si="19"/>
        <v>154.13999999999999</v>
      </c>
      <c r="MR17" s="98">
        <f t="shared" si="19"/>
        <v>153.41999999999999</v>
      </c>
      <c r="MS17" s="98">
        <f t="shared" si="19"/>
        <v>152.71</v>
      </c>
      <c r="MT17" s="98">
        <f t="shared" si="18"/>
        <v>151.99</v>
      </c>
      <c r="MU17" s="98">
        <f t="shared" si="18"/>
        <v>151.28</v>
      </c>
      <c r="MV17" s="98">
        <f t="shared" si="18"/>
        <v>150.57</v>
      </c>
      <c r="MW17" s="98">
        <f t="shared" si="18"/>
        <v>149.87</v>
      </c>
      <c r="MX17" s="98">
        <f t="shared" si="18"/>
        <v>149.16</v>
      </c>
      <c r="MY17" s="98">
        <f t="shared" si="18"/>
        <v>148.46</v>
      </c>
    </row>
    <row r="18" spans="1:363" ht="15.75" x14ac:dyDescent="0.25">
      <c r="A18" s="90" t="s">
        <v>6</v>
      </c>
      <c r="B18" s="95">
        <v>2028</v>
      </c>
      <c r="C18" s="93">
        <v>486.12</v>
      </c>
      <c r="D18" s="93">
        <v>485.09</v>
      </c>
      <c r="E18" s="93">
        <v>484.05</v>
      </c>
      <c r="F18" s="93">
        <v>483.01</v>
      </c>
      <c r="G18" s="93">
        <v>481.97</v>
      </c>
      <c r="H18" s="93">
        <v>480.93</v>
      </c>
      <c r="I18" s="93">
        <v>479.89</v>
      </c>
      <c r="J18" s="93">
        <v>478.85</v>
      </c>
      <c r="K18" s="93">
        <v>477.82</v>
      </c>
      <c r="L18" s="93">
        <v>476.78</v>
      </c>
      <c r="M18" s="93">
        <v>475.74</v>
      </c>
      <c r="N18" s="93">
        <v>474.7</v>
      </c>
      <c r="O18" s="93">
        <v>473.66</v>
      </c>
      <c r="P18" s="93">
        <v>472.62</v>
      </c>
      <c r="Q18" s="93">
        <v>471.59</v>
      </c>
      <c r="R18" s="93">
        <v>470.55</v>
      </c>
      <c r="S18" s="93">
        <v>469.51</v>
      </c>
      <c r="T18" s="93">
        <v>468.47</v>
      </c>
      <c r="U18" s="93">
        <v>467.43</v>
      </c>
      <c r="V18" s="93">
        <v>466.4</v>
      </c>
      <c r="W18" s="93">
        <v>465.36</v>
      </c>
      <c r="X18" s="93">
        <v>464.32</v>
      </c>
      <c r="Y18" s="93">
        <v>463.28</v>
      </c>
      <c r="Z18" s="93">
        <v>462.24</v>
      </c>
      <c r="AA18" s="93">
        <v>461.21</v>
      </c>
      <c r="AB18" s="93">
        <v>460.17</v>
      </c>
      <c r="AC18" s="93">
        <v>459.13</v>
      </c>
      <c r="AD18" s="93">
        <v>458.09</v>
      </c>
      <c r="AE18" s="93">
        <v>457.06</v>
      </c>
      <c r="AF18" s="93">
        <v>456.02</v>
      </c>
      <c r="AG18" s="93">
        <v>454.98</v>
      </c>
      <c r="AH18" s="93">
        <v>453.94</v>
      </c>
      <c r="AI18" s="93">
        <v>452.91</v>
      </c>
      <c r="AJ18" s="93">
        <v>451.87</v>
      </c>
      <c r="AK18" s="93">
        <v>450.83</v>
      </c>
      <c r="AL18" s="93">
        <v>449.8</v>
      </c>
      <c r="AM18" s="93">
        <v>448.76</v>
      </c>
      <c r="AN18" s="93">
        <v>447.72</v>
      </c>
      <c r="AO18" s="93">
        <v>446.68</v>
      </c>
      <c r="AP18" s="93">
        <v>445.65</v>
      </c>
      <c r="AQ18" s="93">
        <v>444.61</v>
      </c>
      <c r="AR18" s="93">
        <v>443.57</v>
      </c>
      <c r="AS18" s="93">
        <v>442.54</v>
      </c>
      <c r="AT18" s="93">
        <v>441.5</v>
      </c>
      <c r="AU18" s="93">
        <v>440.46</v>
      </c>
      <c r="AV18" s="93">
        <v>439.43</v>
      </c>
      <c r="AW18" s="93">
        <v>438.39</v>
      </c>
      <c r="AX18" s="93">
        <v>437.35</v>
      </c>
      <c r="AY18" s="93">
        <v>436.32</v>
      </c>
      <c r="AZ18" s="93">
        <v>435.28</v>
      </c>
      <c r="BA18" s="93">
        <v>434.25</v>
      </c>
      <c r="BB18" s="93">
        <v>433.21</v>
      </c>
      <c r="BC18" s="93">
        <v>432.17</v>
      </c>
      <c r="BD18" s="93">
        <v>431.14</v>
      </c>
      <c r="BE18" s="93">
        <v>430.1</v>
      </c>
      <c r="BF18" s="93">
        <v>429.07</v>
      </c>
      <c r="BG18" s="93">
        <v>428.03</v>
      </c>
      <c r="BH18" s="93">
        <v>426.99</v>
      </c>
      <c r="BI18" s="93">
        <v>425.96</v>
      </c>
      <c r="BJ18" s="93">
        <v>424.92</v>
      </c>
      <c r="BK18" s="93">
        <v>423.89</v>
      </c>
      <c r="BL18" s="93">
        <v>422.85</v>
      </c>
      <c r="BM18" s="93">
        <v>421.81</v>
      </c>
      <c r="BN18" s="93">
        <v>420.78</v>
      </c>
      <c r="BO18" s="93">
        <v>419.74</v>
      </c>
      <c r="BP18" s="93">
        <v>418.71</v>
      </c>
      <c r="BQ18" s="93">
        <v>417.67</v>
      </c>
      <c r="BR18" s="93">
        <v>416.64</v>
      </c>
      <c r="BS18" s="93">
        <v>415.6</v>
      </c>
      <c r="BT18" s="93">
        <v>414.57</v>
      </c>
      <c r="BU18" s="93">
        <v>413.53</v>
      </c>
      <c r="BV18" s="93">
        <v>412.5</v>
      </c>
      <c r="BW18" s="93">
        <v>411.46</v>
      </c>
      <c r="BX18" s="93">
        <v>410.43</v>
      </c>
      <c r="BY18" s="93">
        <v>409.4</v>
      </c>
      <c r="BZ18" s="93">
        <v>408.37</v>
      </c>
      <c r="CA18" s="93">
        <v>407.33</v>
      </c>
      <c r="CB18" s="93">
        <v>406.3</v>
      </c>
      <c r="CC18" s="93">
        <v>405.27</v>
      </c>
      <c r="CD18" s="93">
        <v>404.24</v>
      </c>
      <c r="CE18" s="93">
        <v>403.21</v>
      </c>
      <c r="CF18" s="93">
        <v>402.18</v>
      </c>
      <c r="CG18" s="93">
        <v>401.15</v>
      </c>
      <c r="CH18" s="93">
        <v>400.12</v>
      </c>
      <c r="CI18" s="93">
        <v>399.09</v>
      </c>
      <c r="CJ18" s="93">
        <v>398.06</v>
      </c>
      <c r="CK18" s="93">
        <v>397.03</v>
      </c>
      <c r="CL18" s="93">
        <v>396</v>
      </c>
      <c r="CM18" s="93">
        <v>394.97</v>
      </c>
      <c r="CN18" s="93">
        <v>393.94</v>
      </c>
      <c r="CO18" s="93">
        <v>392.91</v>
      </c>
      <c r="CP18" s="93">
        <v>391.88</v>
      </c>
      <c r="CQ18" s="93">
        <v>390.85</v>
      </c>
      <c r="CR18" s="93">
        <v>389.82</v>
      </c>
      <c r="CS18" s="93">
        <v>388.79</v>
      </c>
      <c r="CT18" s="93">
        <v>387.76</v>
      </c>
      <c r="CU18" s="93">
        <v>386.73</v>
      </c>
      <c r="CV18" s="93">
        <v>385.7</v>
      </c>
      <c r="CW18" s="93">
        <v>384.67</v>
      </c>
      <c r="CX18" s="93">
        <v>383.65</v>
      </c>
      <c r="CY18" s="93">
        <v>382.62</v>
      </c>
      <c r="CZ18" s="93">
        <v>381.59</v>
      </c>
      <c r="DA18" s="93">
        <v>380.57</v>
      </c>
      <c r="DB18" s="93">
        <v>379.54</v>
      </c>
      <c r="DC18" s="93">
        <v>378.52</v>
      </c>
      <c r="DD18" s="93">
        <v>377.49</v>
      </c>
      <c r="DE18" s="93">
        <v>376.46</v>
      </c>
      <c r="DF18" s="93">
        <v>375.44</v>
      </c>
      <c r="DG18" s="93">
        <v>374.41</v>
      </c>
      <c r="DH18" s="93">
        <v>373.39</v>
      </c>
      <c r="DI18" s="93">
        <v>372.36</v>
      </c>
      <c r="DJ18" s="93">
        <v>371.34</v>
      </c>
      <c r="DK18" s="93">
        <v>370.32</v>
      </c>
      <c r="DL18" s="93">
        <v>369.29</v>
      </c>
      <c r="DM18" s="93">
        <v>368.27</v>
      </c>
      <c r="DN18" s="93">
        <v>367.25</v>
      </c>
      <c r="DO18" s="93">
        <v>366.23</v>
      </c>
      <c r="DP18" s="93">
        <v>365.2</v>
      </c>
      <c r="DQ18" s="93">
        <v>364.18</v>
      </c>
      <c r="DR18" s="93">
        <v>363.16</v>
      </c>
      <c r="DS18" s="93">
        <v>362.14</v>
      </c>
      <c r="DT18" s="93">
        <v>361.12</v>
      </c>
      <c r="DU18" s="93">
        <v>360.1</v>
      </c>
      <c r="DV18" s="93">
        <v>359.09</v>
      </c>
      <c r="DW18" s="93">
        <v>358.07</v>
      </c>
      <c r="DX18" s="93">
        <v>357.06</v>
      </c>
      <c r="DY18" s="93">
        <v>356.04</v>
      </c>
      <c r="DZ18" s="93">
        <v>355.03</v>
      </c>
      <c r="EA18" s="93">
        <v>354.01</v>
      </c>
      <c r="EB18" s="93">
        <v>353</v>
      </c>
      <c r="EC18" s="93">
        <v>351.98</v>
      </c>
      <c r="ED18" s="93">
        <v>350.97</v>
      </c>
      <c r="EE18" s="93">
        <v>349.96</v>
      </c>
      <c r="EF18" s="93">
        <v>348.95</v>
      </c>
      <c r="EG18" s="93">
        <v>347.94</v>
      </c>
      <c r="EH18" s="93">
        <v>346.94</v>
      </c>
      <c r="EI18" s="93">
        <v>345.93</v>
      </c>
      <c r="EJ18" s="93">
        <v>344.93</v>
      </c>
      <c r="EK18" s="93">
        <v>343.92</v>
      </c>
      <c r="EL18" s="93">
        <v>342.92</v>
      </c>
      <c r="EM18" s="93">
        <v>341.91</v>
      </c>
      <c r="EN18" s="93">
        <v>340.91</v>
      </c>
      <c r="EO18" s="93">
        <v>339.91</v>
      </c>
      <c r="EP18" s="93">
        <v>338.9</v>
      </c>
      <c r="EQ18" s="93">
        <v>337.9</v>
      </c>
      <c r="ER18" s="93">
        <v>336.9</v>
      </c>
      <c r="ES18" s="93">
        <v>335.91</v>
      </c>
      <c r="ET18" s="93">
        <v>334.91</v>
      </c>
      <c r="EU18" s="93">
        <v>333.91</v>
      </c>
      <c r="EV18" s="93">
        <v>332.91</v>
      </c>
      <c r="EW18" s="93">
        <v>331.92</v>
      </c>
      <c r="EX18" s="93">
        <v>330.92</v>
      </c>
      <c r="EY18" s="93">
        <v>329.93</v>
      </c>
      <c r="EZ18" s="93">
        <v>328.93</v>
      </c>
      <c r="FA18" s="93">
        <v>327.94</v>
      </c>
      <c r="FB18" s="93">
        <v>326.94</v>
      </c>
      <c r="FC18" s="93">
        <v>325.95</v>
      </c>
      <c r="FD18" s="93">
        <v>324.95999999999998</v>
      </c>
      <c r="FE18" s="93">
        <v>323.97000000000003</v>
      </c>
      <c r="FF18" s="93">
        <v>322.98</v>
      </c>
      <c r="FG18" s="93">
        <v>322</v>
      </c>
      <c r="FH18" s="93">
        <v>321.01</v>
      </c>
      <c r="FI18" s="93">
        <v>320.01</v>
      </c>
      <c r="FJ18" s="93">
        <v>319.04000000000002</v>
      </c>
      <c r="FK18" s="93">
        <v>318.04000000000002</v>
      </c>
      <c r="FL18" s="93">
        <v>317.07</v>
      </c>
      <c r="FM18" s="93">
        <v>316.07</v>
      </c>
      <c r="FN18" s="93">
        <v>315.10000000000002</v>
      </c>
      <c r="FO18" s="93">
        <v>314.12</v>
      </c>
      <c r="FP18" s="93">
        <v>313.14</v>
      </c>
      <c r="FQ18" s="93">
        <v>312.16000000000003</v>
      </c>
      <c r="FR18" s="93">
        <v>311.18</v>
      </c>
      <c r="FS18" s="93">
        <v>310.2</v>
      </c>
      <c r="FT18" s="93">
        <v>309.22000000000003</v>
      </c>
      <c r="FU18" s="93">
        <v>308.24</v>
      </c>
      <c r="FV18" s="93">
        <v>307.26</v>
      </c>
      <c r="FW18" s="93">
        <v>306.29000000000002</v>
      </c>
      <c r="FX18" s="93">
        <v>305.31</v>
      </c>
      <c r="FY18" s="93">
        <v>304.33999999999997</v>
      </c>
      <c r="FZ18" s="93">
        <v>303.35000000000002</v>
      </c>
      <c r="GA18" s="93">
        <v>302.39</v>
      </c>
      <c r="GB18" s="93">
        <v>301.42</v>
      </c>
      <c r="GC18" s="93">
        <v>300.45</v>
      </c>
      <c r="GD18" s="93">
        <v>299.48</v>
      </c>
      <c r="GE18" s="93">
        <v>298.51</v>
      </c>
      <c r="GF18" s="93">
        <v>297.54000000000002</v>
      </c>
      <c r="GG18" s="93">
        <v>296.57</v>
      </c>
      <c r="GH18" s="93">
        <v>295.60000000000002</v>
      </c>
      <c r="GI18" s="93">
        <v>294.64</v>
      </c>
      <c r="GJ18" s="93">
        <v>293.67</v>
      </c>
      <c r="GK18" s="93">
        <v>292.70999999999998</v>
      </c>
      <c r="GL18" s="93">
        <v>291.74</v>
      </c>
      <c r="GM18" s="93">
        <v>290.77999999999997</v>
      </c>
      <c r="GN18" s="93">
        <v>289.82</v>
      </c>
      <c r="GO18" s="93">
        <v>288.85000000000002</v>
      </c>
      <c r="GP18" s="93">
        <v>287.91000000000003</v>
      </c>
      <c r="GQ18" s="93">
        <v>286.95</v>
      </c>
      <c r="GR18" s="93">
        <v>286</v>
      </c>
      <c r="GS18" s="93">
        <v>285.04000000000002</v>
      </c>
      <c r="GT18" s="93">
        <v>284.08999999999997</v>
      </c>
      <c r="GU18" s="93">
        <v>283.14</v>
      </c>
      <c r="GV18" s="93">
        <v>282.19</v>
      </c>
      <c r="GW18" s="93">
        <v>281.24</v>
      </c>
      <c r="GX18" s="93">
        <v>280.29000000000002</v>
      </c>
      <c r="GY18" s="93">
        <v>279.33999999999997</v>
      </c>
      <c r="GZ18" s="93">
        <v>278.39999999999998</v>
      </c>
      <c r="HA18" s="93">
        <v>277.45</v>
      </c>
      <c r="HB18" s="93">
        <v>276.51</v>
      </c>
      <c r="HC18" s="93">
        <v>275.57</v>
      </c>
      <c r="HD18" s="93">
        <v>274.62</v>
      </c>
      <c r="HE18" s="93">
        <v>273.68</v>
      </c>
      <c r="HF18" s="93">
        <v>272.74</v>
      </c>
      <c r="HG18" s="93">
        <v>271.79000000000002</v>
      </c>
      <c r="HH18" s="93">
        <v>270.87</v>
      </c>
      <c r="HI18" s="93">
        <v>269.93</v>
      </c>
      <c r="HJ18" s="93">
        <v>268.99</v>
      </c>
      <c r="HK18" s="93">
        <v>268.06</v>
      </c>
      <c r="HL18" s="93">
        <v>267.13</v>
      </c>
      <c r="HM18" s="93">
        <v>266.2</v>
      </c>
      <c r="HN18" s="93">
        <v>265.27999999999997</v>
      </c>
      <c r="HO18" s="93">
        <v>264.35000000000002</v>
      </c>
      <c r="HP18" s="93">
        <v>263.43</v>
      </c>
      <c r="HQ18" s="93">
        <v>262.51</v>
      </c>
      <c r="HR18" s="93">
        <v>261.58999999999997</v>
      </c>
      <c r="HS18" s="93">
        <v>260.67</v>
      </c>
      <c r="HT18" s="93">
        <v>259.75</v>
      </c>
      <c r="HU18" s="93">
        <v>258.82</v>
      </c>
      <c r="HV18" s="93">
        <v>257.91000000000003</v>
      </c>
      <c r="HW18" s="93">
        <v>256.99</v>
      </c>
      <c r="HX18" s="93">
        <v>256.07</v>
      </c>
      <c r="HY18" s="93">
        <v>255.17</v>
      </c>
      <c r="HZ18" s="93">
        <v>254.25</v>
      </c>
      <c r="IA18" s="93">
        <v>253.34</v>
      </c>
      <c r="IB18" s="93">
        <v>252.43</v>
      </c>
      <c r="IC18" s="93">
        <v>251.52</v>
      </c>
      <c r="ID18" s="93">
        <v>250.61</v>
      </c>
      <c r="IE18" s="93">
        <v>249.71</v>
      </c>
      <c r="IF18" s="93">
        <v>248.8</v>
      </c>
      <c r="IG18" s="93">
        <v>247.9</v>
      </c>
      <c r="IH18" s="93">
        <v>246.99</v>
      </c>
      <c r="II18" s="93">
        <v>246.09</v>
      </c>
      <c r="IJ18" s="93">
        <v>245.19</v>
      </c>
      <c r="IK18" s="93">
        <v>244.29</v>
      </c>
      <c r="IL18" s="93">
        <v>243.39</v>
      </c>
      <c r="IM18" s="93">
        <v>242.49</v>
      </c>
      <c r="IN18" s="93">
        <v>241.6</v>
      </c>
      <c r="IO18" s="93">
        <v>240.7</v>
      </c>
      <c r="IP18" s="93">
        <v>239.81</v>
      </c>
      <c r="IQ18" s="93">
        <v>238.92</v>
      </c>
      <c r="IR18" s="93">
        <v>238.02</v>
      </c>
      <c r="IS18" s="93">
        <v>237.13</v>
      </c>
      <c r="IT18" s="93">
        <v>236.24</v>
      </c>
      <c r="IU18" s="93">
        <v>235.36</v>
      </c>
      <c r="IV18" s="93">
        <v>234.48</v>
      </c>
      <c r="IW18" s="93">
        <v>233.6</v>
      </c>
      <c r="IX18" s="93">
        <v>232.72</v>
      </c>
      <c r="IY18" s="93">
        <v>231.85</v>
      </c>
      <c r="IZ18" s="93">
        <v>230.97</v>
      </c>
      <c r="JA18" s="93">
        <v>230.1</v>
      </c>
      <c r="JB18" s="93">
        <v>229.23</v>
      </c>
      <c r="JC18" s="93">
        <v>228.36</v>
      </c>
      <c r="JD18" s="93">
        <v>227.48</v>
      </c>
      <c r="JE18" s="93">
        <v>226.62</v>
      </c>
      <c r="JF18" s="93">
        <v>225.75</v>
      </c>
      <c r="JG18" s="93">
        <v>224.88</v>
      </c>
      <c r="JH18" s="93">
        <v>224.02</v>
      </c>
      <c r="JI18" s="93">
        <v>223.15</v>
      </c>
      <c r="JJ18" s="93">
        <v>222.29</v>
      </c>
      <c r="JK18" s="93">
        <v>221.43</v>
      </c>
      <c r="JL18" s="93">
        <v>220.57</v>
      </c>
      <c r="JM18" s="93">
        <v>219.71</v>
      </c>
      <c r="JN18" s="93">
        <v>218.85</v>
      </c>
      <c r="JO18" s="93">
        <v>218</v>
      </c>
      <c r="JP18" s="93">
        <v>217.14</v>
      </c>
      <c r="JQ18" s="93">
        <v>216.28</v>
      </c>
      <c r="JR18" s="93">
        <v>215.43</v>
      </c>
      <c r="JS18" s="93">
        <v>214.58</v>
      </c>
      <c r="JT18" s="93">
        <v>213.72</v>
      </c>
      <c r="JU18" s="93">
        <v>212.87</v>
      </c>
      <c r="JV18" s="93">
        <v>212.01</v>
      </c>
      <c r="JW18" s="93">
        <v>211.16</v>
      </c>
      <c r="JX18" s="93">
        <v>210.31</v>
      </c>
      <c r="JY18" s="93">
        <v>209.46</v>
      </c>
      <c r="JZ18" s="93">
        <v>208.61</v>
      </c>
      <c r="KA18" s="93">
        <v>207.76</v>
      </c>
      <c r="KB18" s="93">
        <v>206.91</v>
      </c>
      <c r="KC18" s="93">
        <v>206.07</v>
      </c>
      <c r="KD18" s="93">
        <v>205.22</v>
      </c>
      <c r="KE18" s="93">
        <v>204.37</v>
      </c>
      <c r="KF18" s="93">
        <v>203.53</v>
      </c>
      <c r="KG18" s="93">
        <v>202.69</v>
      </c>
      <c r="KH18" s="93">
        <v>201.85</v>
      </c>
      <c r="KI18" s="93">
        <v>201.01</v>
      </c>
      <c r="KJ18" s="93">
        <v>200.17</v>
      </c>
      <c r="KK18" s="93">
        <v>199.34</v>
      </c>
      <c r="KL18" s="93">
        <v>198.5</v>
      </c>
      <c r="KM18" s="93">
        <v>197.66</v>
      </c>
      <c r="KN18" s="93">
        <v>196.83</v>
      </c>
      <c r="KO18" s="93">
        <v>196</v>
      </c>
      <c r="KP18" s="93">
        <v>195.17</v>
      </c>
      <c r="KQ18" s="93">
        <v>194.34</v>
      </c>
      <c r="KR18" s="98">
        <f t="shared" si="13"/>
        <v>193.52</v>
      </c>
      <c r="KS18" s="98">
        <f t="shared" si="14"/>
        <v>192.73</v>
      </c>
      <c r="KT18" s="98">
        <f t="shared" si="15"/>
        <v>191.91</v>
      </c>
      <c r="KU18" s="98">
        <f t="shared" si="15"/>
        <v>191.12</v>
      </c>
      <c r="KV18" s="98">
        <f t="shared" si="15"/>
        <v>190.34</v>
      </c>
      <c r="KW18" s="98">
        <f t="shared" si="15"/>
        <v>189.55</v>
      </c>
      <c r="KX18" s="98">
        <f t="shared" si="15"/>
        <v>188.76</v>
      </c>
      <c r="KY18" s="98">
        <f t="shared" si="15"/>
        <v>187.98</v>
      </c>
      <c r="KZ18" s="98">
        <f t="shared" si="15"/>
        <v>187.19</v>
      </c>
      <c r="LA18" s="98">
        <f t="shared" si="15"/>
        <v>186.41</v>
      </c>
      <c r="LB18" s="98">
        <f t="shared" si="15"/>
        <v>185.63</v>
      </c>
      <c r="LC18" s="98">
        <f t="shared" si="15"/>
        <v>184.85</v>
      </c>
      <c r="LD18" s="98">
        <f t="shared" si="15"/>
        <v>184.07</v>
      </c>
      <c r="LE18" s="98">
        <f t="shared" si="15"/>
        <v>183.29</v>
      </c>
      <c r="LF18" s="98">
        <f t="shared" si="15"/>
        <v>182.52</v>
      </c>
      <c r="LG18" s="98">
        <f t="shared" si="15"/>
        <v>181.75</v>
      </c>
      <c r="LH18" s="98">
        <f t="shared" si="15"/>
        <v>180.97</v>
      </c>
      <c r="LI18" s="98">
        <f t="shared" si="15"/>
        <v>180.2</v>
      </c>
      <c r="LJ18" s="98">
        <f t="shared" si="17"/>
        <v>179.43</v>
      </c>
      <c r="LK18" s="98">
        <f t="shared" si="17"/>
        <v>178.66</v>
      </c>
      <c r="LL18" s="98">
        <f t="shared" si="17"/>
        <v>177.89</v>
      </c>
      <c r="LM18" s="98">
        <f t="shared" si="17"/>
        <v>177.13</v>
      </c>
      <c r="LN18" s="98">
        <f t="shared" si="17"/>
        <v>176.36</v>
      </c>
      <c r="LO18" s="98">
        <f t="shared" si="17"/>
        <v>175.6</v>
      </c>
      <c r="LP18" s="98">
        <f t="shared" si="17"/>
        <v>174.84</v>
      </c>
      <c r="LQ18" s="98">
        <f t="shared" si="17"/>
        <v>174.08</v>
      </c>
      <c r="LR18" s="98">
        <f t="shared" si="17"/>
        <v>173.32</v>
      </c>
      <c r="LS18" s="98">
        <f t="shared" si="17"/>
        <v>172.56</v>
      </c>
      <c r="LT18" s="98">
        <f t="shared" si="17"/>
        <v>171.81</v>
      </c>
      <c r="LU18" s="98">
        <f t="shared" si="17"/>
        <v>171.06</v>
      </c>
      <c r="LV18" s="98">
        <f t="shared" si="17"/>
        <v>170.3</v>
      </c>
      <c r="LW18" s="98">
        <f t="shared" si="17"/>
        <v>169.55</v>
      </c>
      <c r="LX18" s="98">
        <f t="shared" si="17"/>
        <v>168.8</v>
      </c>
      <c r="LY18" s="98">
        <f t="shared" si="17"/>
        <v>168.05</v>
      </c>
      <c r="LZ18" s="98">
        <f t="shared" si="19"/>
        <v>167.31</v>
      </c>
      <c r="MA18" s="98">
        <f t="shared" si="19"/>
        <v>166.56</v>
      </c>
      <c r="MB18" s="98">
        <f t="shared" si="19"/>
        <v>165.82</v>
      </c>
      <c r="MC18" s="98">
        <f t="shared" si="19"/>
        <v>165.08</v>
      </c>
      <c r="MD18" s="98">
        <f t="shared" si="19"/>
        <v>164.34</v>
      </c>
      <c r="ME18" s="98">
        <f t="shared" si="19"/>
        <v>163.61000000000001</v>
      </c>
      <c r="MF18" s="98">
        <f t="shared" si="19"/>
        <v>162.87</v>
      </c>
      <c r="MG18" s="98">
        <f t="shared" si="19"/>
        <v>162.13999999999999</v>
      </c>
      <c r="MH18" s="98">
        <f t="shared" si="19"/>
        <v>161.4</v>
      </c>
      <c r="MI18" s="98">
        <f t="shared" si="19"/>
        <v>160.66999999999999</v>
      </c>
      <c r="MJ18" s="98">
        <f t="shared" si="19"/>
        <v>159.94</v>
      </c>
      <c r="MK18" s="98">
        <f t="shared" si="19"/>
        <v>159.21</v>
      </c>
      <c r="ML18" s="98">
        <f t="shared" si="19"/>
        <v>158.49</v>
      </c>
      <c r="MM18" s="98">
        <f t="shared" si="19"/>
        <v>157.76</v>
      </c>
      <c r="MN18" s="98">
        <f t="shared" si="19"/>
        <v>157.04</v>
      </c>
      <c r="MO18" s="98">
        <f t="shared" si="19"/>
        <v>156.32</v>
      </c>
      <c r="MP18" s="98">
        <f t="shared" si="19"/>
        <v>155.6</v>
      </c>
      <c r="MQ18" s="98">
        <f t="shared" si="19"/>
        <v>154.88999999999999</v>
      </c>
      <c r="MR18" s="98">
        <f t="shared" si="19"/>
        <v>154.16999999999999</v>
      </c>
      <c r="MS18" s="98">
        <f t="shared" si="19"/>
        <v>153.46</v>
      </c>
      <c r="MT18" s="98">
        <f t="shared" si="18"/>
        <v>152.74</v>
      </c>
      <c r="MU18" s="98">
        <f t="shared" si="18"/>
        <v>152.03</v>
      </c>
      <c r="MV18" s="98">
        <f t="shared" si="18"/>
        <v>151.32</v>
      </c>
      <c r="MW18" s="98">
        <f t="shared" si="18"/>
        <v>150.62</v>
      </c>
      <c r="MX18" s="98">
        <f t="shared" si="18"/>
        <v>149.91</v>
      </c>
      <c r="MY18" s="98">
        <f t="shared" si="18"/>
        <v>149.21</v>
      </c>
    </row>
    <row r="19" spans="1:363" ht="15.75" x14ac:dyDescent="0.25">
      <c r="A19" s="90" t="s">
        <v>6</v>
      </c>
      <c r="B19" s="95">
        <v>2029</v>
      </c>
      <c r="C19" s="93">
        <v>487.09</v>
      </c>
      <c r="D19" s="93">
        <v>486.05</v>
      </c>
      <c r="E19" s="93">
        <v>485.01</v>
      </c>
      <c r="F19" s="93">
        <v>483.97</v>
      </c>
      <c r="G19" s="93">
        <v>482.93</v>
      </c>
      <c r="H19" s="93">
        <v>481.9</v>
      </c>
      <c r="I19" s="93">
        <v>480.86</v>
      </c>
      <c r="J19" s="93">
        <v>479.82</v>
      </c>
      <c r="K19" s="93">
        <v>478.78</v>
      </c>
      <c r="L19" s="93">
        <v>477.74</v>
      </c>
      <c r="M19" s="93">
        <v>476.7</v>
      </c>
      <c r="N19" s="93">
        <v>475.67</v>
      </c>
      <c r="O19" s="93">
        <v>474.63</v>
      </c>
      <c r="P19" s="93">
        <v>473.59</v>
      </c>
      <c r="Q19" s="93">
        <v>472.55</v>
      </c>
      <c r="R19" s="93">
        <v>471.51</v>
      </c>
      <c r="S19" s="93">
        <v>470.47</v>
      </c>
      <c r="T19" s="93">
        <v>469.44</v>
      </c>
      <c r="U19" s="93">
        <v>468.4</v>
      </c>
      <c r="V19" s="93">
        <v>467.36</v>
      </c>
      <c r="W19" s="93">
        <v>466.32</v>
      </c>
      <c r="X19" s="93">
        <v>465.29</v>
      </c>
      <c r="Y19" s="93">
        <v>464.25</v>
      </c>
      <c r="Z19" s="93">
        <v>463.21</v>
      </c>
      <c r="AA19" s="93">
        <v>462.17</v>
      </c>
      <c r="AB19" s="93">
        <v>461.13</v>
      </c>
      <c r="AC19" s="93">
        <v>460.1</v>
      </c>
      <c r="AD19" s="93">
        <v>459.06</v>
      </c>
      <c r="AE19" s="93">
        <v>458.02</v>
      </c>
      <c r="AF19" s="93">
        <v>456.98</v>
      </c>
      <c r="AG19" s="93">
        <v>455.95</v>
      </c>
      <c r="AH19" s="93">
        <v>454.91</v>
      </c>
      <c r="AI19" s="93">
        <v>453.87</v>
      </c>
      <c r="AJ19" s="93">
        <v>452.84</v>
      </c>
      <c r="AK19" s="93">
        <v>451.8</v>
      </c>
      <c r="AL19" s="93">
        <v>450.76</v>
      </c>
      <c r="AM19" s="93">
        <v>449.72</v>
      </c>
      <c r="AN19" s="93">
        <v>448.69</v>
      </c>
      <c r="AO19" s="93">
        <v>447.65</v>
      </c>
      <c r="AP19" s="93">
        <v>446.61</v>
      </c>
      <c r="AQ19" s="93">
        <v>445.58</v>
      </c>
      <c r="AR19" s="93">
        <v>444.54</v>
      </c>
      <c r="AS19" s="93">
        <v>443.5</v>
      </c>
      <c r="AT19" s="93">
        <v>442.47</v>
      </c>
      <c r="AU19" s="93">
        <v>441.43</v>
      </c>
      <c r="AV19" s="93">
        <v>440.39</v>
      </c>
      <c r="AW19" s="93">
        <v>439.36</v>
      </c>
      <c r="AX19" s="93">
        <v>438.32</v>
      </c>
      <c r="AY19" s="93">
        <v>437.28</v>
      </c>
      <c r="AZ19" s="93">
        <v>436.25</v>
      </c>
      <c r="BA19" s="93">
        <v>435.21</v>
      </c>
      <c r="BB19" s="93">
        <v>434.17</v>
      </c>
      <c r="BC19" s="93">
        <v>433.14</v>
      </c>
      <c r="BD19" s="93">
        <v>432.1</v>
      </c>
      <c r="BE19" s="93">
        <v>431.07</v>
      </c>
      <c r="BF19" s="93">
        <v>430.03</v>
      </c>
      <c r="BG19" s="93">
        <v>428.99</v>
      </c>
      <c r="BH19" s="93">
        <v>427.96</v>
      </c>
      <c r="BI19" s="93">
        <v>426.92</v>
      </c>
      <c r="BJ19" s="93">
        <v>425.89</v>
      </c>
      <c r="BK19" s="93">
        <v>424.85</v>
      </c>
      <c r="BL19" s="93">
        <v>423.81</v>
      </c>
      <c r="BM19" s="93">
        <v>422.78</v>
      </c>
      <c r="BN19" s="93">
        <v>421.74</v>
      </c>
      <c r="BO19" s="93">
        <v>420.71</v>
      </c>
      <c r="BP19" s="93">
        <v>419.67</v>
      </c>
      <c r="BQ19" s="93">
        <v>418.63</v>
      </c>
      <c r="BR19" s="93">
        <v>417.6</v>
      </c>
      <c r="BS19" s="93">
        <v>416.56</v>
      </c>
      <c r="BT19" s="93">
        <v>415.53</v>
      </c>
      <c r="BU19" s="93">
        <v>414.49</v>
      </c>
      <c r="BV19" s="93">
        <v>413.46</v>
      </c>
      <c r="BW19" s="93">
        <v>412.42</v>
      </c>
      <c r="BX19" s="93">
        <v>411.39</v>
      </c>
      <c r="BY19" s="93">
        <v>410.36</v>
      </c>
      <c r="BZ19" s="93">
        <v>409.33</v>
      </c>
      <c r="CA19" s="93">
        <v>408.29</v>
      </c>
      <c r="CB19" s="93">
        <v>407.26</v>
      </c>
      <c r="CC19" s="93">
        <v>406.23</v>
      </c>
      <c r="CD19" s="93">
        <v>405.2</v>
      </c>
      <c r="CE19" s="93">
        <v>404.17</v>
      </c>
      <c r="CF19" s="93">
        <v>403.14</v>
      </c>
      <c r="CG19" s="93">
        <v>402.11</v>
      </c>
      <c r="CH19" s="93">
        <v>401.08</v>
      </c>
      <c r="CI19" s="93">
        <v>400.04</v>
      </c>
      <c r="CJ19" s="93">
        <v>399.01</v>
      </c>
      <c r="CK19" s="93">
        <v>397.98</v>
      </c>
      <c r="CL19" s="93">
        <v>396.95</v>
      </c>
      <c r="CM19" s="93">
        <v>395.92</v>
      </c>
      <c r="CN19" s="93">
        <v>394.89</v>
      </c>
      <c r="CO19" s="93">
        <v>393.86</v>
      </c>
      <c r="CP19" s="93">
        <v>392.83</v>
      </c>
      <c r="CQ19" s="93">
        <v>391.8</v>
      </c>
      <c r="CR19" s="93">
        <v>390.77</v>
      </c>
      <c r="CS19" s="93">
        <v>389.74</v>
      </c>
      <c r="CT19" s="93">
        <v>388.71</v>
      </c>
      <c r="CU19" s="93">
        <v>387.68</v>
      </c>
      <c r="CV19" s="93">
        <v>386.65</v>
      </c>
      <c r="CW19" s="93">
        <v>385.63</v>
      </c>
      <c r="CX19" s="93">
        <v>384.6</v>
      </c>
      <c r="CY19" s="93">
        <v>383.57</v>
      </c>
      <c r="CZ19" s="93">
        <v>382.55</v>
      </c>
      <c r="DA19" s="93">
        <v>381.52</v>
      </c>
      <c r="DB19" s="93">
        <v>380.49</v>
      </c>
      <c r="DC19" s="93">
        <v>379.47</v>
      </c>
      <c r="DD19" s="93">
        <v>378.44</v>
      </c>
      <c r="DE19" s="93">
        <v>377.41</v>
      </c>
      <c r="DF19" s="93">
        <v>376.39</v>
      </c>
      <c r="DG19" s="93">
        <v>375.36</v>
      </c>
      <c r="DH19" s="93">
        <v>374.34</v>
      </c>
      <c r="DI19" s="93">
        <v>373.31</v>
      </c>
      <c r="DJ19" s="93">
        <v>372.29</v>
      </c>
      <c r="DK19" s="93">
        <v>371.26</v>
      </c>
      <c r="DL19" s="93">
        <v>370.24</v>
      </c>
      <c r="DM19" s="93">
        <v>369.22</v>
      </c>
      <c r="DN19" s="93">
        <v>368.19</v>
      </c>
      <c r="DO19" s="93">
        <v>367.17</v>
      </c>
      <c r="DP19" s="93">
        <v>366.15</v>
      </c>
      <c r="DQ19" s="93">
        <v>365.13</v>
      </c>
      <c r="DR19" s="93">
        <v>364.1</v>
      </c>
      <c r="DS19" s="93">
        <v>363.08</v>
      </c>
      <c r="DT19" s="93">
        <v>362.06</v>
      </c>
      <c r="DU19" s="93">
        <v>361.05</v>
      </c>
      <c r="DV19" s="93">
        <v>360.03</v>
      </c>
      <c r="DW19" s="93">
        <v>359.01</v>
      </c>
      <c r="DX19" s="93">
        <v>358</v>
      </c>
      <c r="DY19" s="93">
        <v>356.98</v>
      </c>
      <c r="DZ19" s="93">
        <v>355.96</v>
      </c>
      <c r="EA19" s="93">
        <v>354.95</v>
      </c>
      <c r="EB19" s="93">
        <v>353.94</v>
      </c>
      <c r="EC19" s="93">
        <v>352.92</v>
      </c>
      <c r="ED19" s="93">
        <v>351.91</v>
      </c>
      <c r="EE19" s="93">
        <v>350.9</v>
      </c>
      <c r="EF19" s="93">
        <v>349.89</v>
      </c>
      <c r="EG19" s="93">
        <v>348.88</v>
      </c>
      <c r="EH19" s="93">
        <v>347.87</v>
      </c>
      <c r="EI19" s="93">
        <v>346.87</v>
      </c>
      <c r="EJ19" s="93">
        <v>345.86</v>
      </c>
      <c r="EK19" s="93">
        <v>344.85</v>
      </c>
      <c r="EL19" s="93">
        <v>343.85</v>
      </c>
      <c r="EM19" s="93">
        <v>342.84</v>
      </c>
      <c r="EN19" s="93">
        <v>341.84</v>
      </c>
      <c r="EO19" s="93">
        <v>340.84</v>
      </c>
      <c r="EP19" s="93">
        <v>339.83</v>
      </c>
      <c r="EQ19" s="93">
        <v>338.83</v>
      </c>
      <c r="ER19" s="93">
        <v>337.83</v>
      </c>
      <c r="ES19" s="93">
        <v>336.83</v>
      </c>
      <c r="ET19" s="93">
        <v>335.83</v>
      </c>
      <c r="EU19" s="93">
        <v>334.84</v>
      </c>
      <c r="EV19" s="93">
        <v>333.84</v>
      </c>
      <c r="EW19" s="93">
        <v>332.84</v>
      </c>
      <c r="EX19" s="93">
        <v>331.85</v>
      </c>
      <c r="EY19" s="93">
        <v>330.85</v>
      </c>
      <c r="EZ19" s="93">
        <v>329.85</v>
      </c>
      <c r="FA19" s="93">
        <v>328.86</v>
      </c>
      <c r="FB19" s="93">
        <v>327.86</v>
      </c>
      <c r="FC19" s="93">
        <v>326.87</v>
      </c>
      <c r="FD19" s="93">
        <v>325.88</v>
      </c>
      <c r="FE19" s="93">
        <v>324.89</v>
      </c>
      <c r="FF19" s="93">
        <v>323.89999999999998</v>
      </c>
      <c r="FG19" s="93">
        <v>322.91000000000003</v>
      </c>
      <c r="FH19" s="93">
        <v>321.93</v>
      </c>
      <c r="FI19" s="93">
        <v>320.94</v>
      </c>
      <c r="FJ19" s="93">
        <v>319.95</v>
      </c>
      <c r="FK19" s="93">
        <v>318.97000000000003</v>
      </c>
      <c r="FL19" s="93">
        <v>317.98</v>
      </c>
      <c r="FM19" s="93">
        <v>317</v>
      </c>
      <c r="FN19" s="93">
        <v>316.01</v>
      </c>
      <c r="FO19" s="93">
        <v>315.02999999999997</v>
      </c>
      <c r="FP19" s="93">
        <v>314.04000000000002</v>
      </c>
      <c r="FQ19" s="93">
        <v>313.06</v>
      </c>
      <c r="FR19" s="93">
        <v>312.07</v>
      </c>
      <c r="FS19" s="93">
        <v>311.10000000000002</v>
      </c>
      <c r="FT19" s="93">
        <v>310.13</v>
      </c>
      <c r="FU19" s="93">
        <v>309.14999999999998</v>
      </c>
      <c r="FV19" s="93">
        <v>308.17</v>
      </c>
      <c r="FW19" s="93">
        <v>307.19</v>
      </c>
      <c r="FX19" s="93">
        <v>306.20999999999998</v>
      </c>
      <c r="FY19" s="93">
        <v>305.24</v>
      </c>
      <c r="FZ19" s="93">
        <v>304.26</v>
      </c>
      <c r="GA19" s="93">
        <v>303.29000000000002</v>
      </c>
      <c r="GB19" s="93">
        <v>302.32</v>
      </c>
      <c r="GC19" s="93">
        <v>301.33999999999997</v>
      </c>
      <c r="GD19" s="93">
        <v>300.37</v>
      </c>
      <c r="GE19" s="93">
        <v>299.39999999999998</v>
      </c>
      <c r="GF19" s="93">
        <v>298.43</v>
      </c>
      <c r="GG19" s="93">
        <v>297.45999999999998</v>
      </c>
      <c r="GH19" s="93">
        <v>296.5</v>
      </c>
      <c r="GI19" s="93">
        <v>295.52999999999997</v>
      </c>
      <c r="GJ19" s="93">
        <v>294.56</v>
      </c>
      <c r="GK19" s="93">
        <v>293.60000000000002</v>
      </c>
      <c r="GL19" s="93">
        <v>292.63</v>
      </c>
      <c r="GM19" s="93">
        <v>291.67</v>
      </c>
      <c r="GN19" s="93">
        <v>290.70999999999998</v>
      </c>
      <c r="GO19" s="93">
        <v>289.75</v>
      </c>
      <c r="GP19" s="93">
        <v>288.79000000000002</v>
      </c>
      <c r="GQ19" s="93">
        <v>287.83999999999997</v>
      </c>
      <c r="GR19" s="93">
        <v>286.88</v>
      </c>
      <c r="GS19" s="93">
        <v>285.93</v>
      </c>
      <c r="GT19" s="93">
        <v>284.97000000000003</v>
      </c>
      <c r="GU19" s="93">
        <v>284.01</v>
      </c>
      <c r="GV19" s="93">
        <v>283.07</v>
      </c>
      <c r="GW19" s="93">
        <v>282.12</v>
      </c>
      <c r="GX19" s="93">
        <v>281.17</v>
      </c>
      <c r="GY19" s="93">
        <v>280.22000000000003</v>
      </c>
      <c r="GZ19" s="93">
        <v>279.26</v>
      </c>
      <c r="HA19" s="93">
        <v>278.32</v>
      </c>
      <c r="HB19" s="93">
        <v>277.38</v>
      </c>
      <c r="HC19" s="93">
        <v>276.44</v>
      </c>
      <c r="HD19" s="93">
        <v>275.49</v>
      </c>
      <c r="HE19" s="93">
        <v>274.54000000000002</v>
      </c>
      <c r="HF19" s="93">
        <v>273.60000000000002</v>
      </c>
      <c r="HG19" s="93">
        <v>272.67</v>
      </c>
      <c r="HH19" s="93">
        <v>271.73</v>
      </c>
      <c r="HI19" s="93">
        <v>270.79000000000002</v>
      </c>
      <c r="HJ19" s="93">
        <v>269.85000000000002</v>
      </c>
      <c r="HK19" s="93">
        <v>268.92</v>
      </c>
      <c r="HL19" s="93">
        <v>267.99</v>
      </c>
      <c r="HM19" s="93">
        <v>267.06</v>
      </c>
      <c r="HN19" s="93">
        <v>266.14</v>
      </c>
      <c r="HO19" s="93">
        <v>265.20999999999998</v>
      </c>
      <c r="HP19" s="93">
        <v>264.29000000000002</v>
      </c>
      <c r="HQ19" s="93">
        <v>263.35000000000002</v>
      </c>
      <c r="HR19" s="93">
        <v>262.44</v>
      </c>
      <c r="HS19" s="93">
        <v>261.51</v>
      </c>
      <c r="HT19" s="93">
        <v>260.60000000000002</v>
      </c>
      <c r="HU19" s="93">
        <v>259.68</v>
      </c>
      <c r="HV19" s="93">
        <v>258.76</v>
      </c>
      <c r="HW19" s="93">
        <v>257.83999999999997</v>
      </c>
      <c r="HX19" s="93">
        <v>256.93</v>
      </c>
      <c r="HY19" s="93">
        <v>256.01</v>
      </c>
      <c r="HZ19" s="93">
        <v>255.1</v>
      </c>
      <c r="IA19" s="93">
        <v>254.18</v>
      </c>
      <c r="IB19" s="93">
        <v>253.27</v>
      </c>
      <c r="IC19" s="93">
        <v>252.36</v>
      </c>
      <c r="ID19" s="93">
        <v>251.45</v>
      </c>
      <c r="IE19" s="93">
        <v>250.54</v>
      </c>
      <c r="IF19" s="93">
        <v>249.64</v>
      </c>
      <c r="IG19" s="93">
        <v>248.73</v>
      </c>
      <c r="IH19" s="93">
        <v>247.82</v>
      </c>
      <c r="II19" s="93">
        <v>246.92</v>
      </c>
      <c r="IJ19" s="93">
        <v>246.02</v>
      </c>
      <c r="IK19" s="93">
        <v>245.12</v>
      </c>
      <c r="IL19" s="93">
        <v>244.22</v>
      </c>
      <c r="IM19" s="93">
        <v>243.32</v>
      </c>
      <c r="IN19" s="93">
        <v>242.42</v>
      </c>
      <c r="IO19" s="93">
        <v>241.52</v>
      </c>
      <c r="IP19" s="93">
        <v>240.63</v>
      </c>
      <c r="IQ19" s="93">
        <v>239.73</v>
      </c>
      <c r="IR19" s="93">
        <v>238.84</v>
      </c>
      <c r="IS19" s="93">
        <v>237.95</v>
      </c>
      <c r="IT19" s="93">
        <v>237.06</v>
      </c>
      <c r="IU19" s="93">
        <v>236.17</v>
      </c>
      <c r="IV19" s="93">
        <v>235.29</v>
      </c>
      <c r="IW19" s="93">
        <v>234.41</v>
      </c>
      <c r="IX19" s="93">
        <v>233.53</v>
      </c>
      <c r="IY19" s="93">
        <v>232.65</v>
      </c>
      <c r="IZ19" s="93">
        <v>231.78</v>
      </c>
      <c r="JA19" s="93">
        <v>230.9</v>
      </c>
      <c r="JB19" s="93">
        <v>230.03</v>
      </c>
      <c r="JC19" s="93">
        <v>229.16</v>
      </c>
      <c r="JD19" s="93">
        <v>228.28</v>
      </c>
      <c r="JE19" s="93">
        <v>227.41</v>
      </c>
      <c r="JF19" s="93">
        <v>226.54</v>
      </c>
      <c r="JG19" s="93">
        <v>225.67</v>
      </c>
      <c r="JH19" s="93">
        <v>224.81</v>
      </c>
      <c r="JI19" s="93">
        <v>223.94</v>
      </c>
      <c r="JJ19" s="93">
        <v>223.08</v>
      </c>
      <c r="JK19" s="93">
        <v>222.22</v>
      </c>
      <c r="JL19" s="93">
        <v>221.36</v>
      </c>
      <c r="JM19" s="93">
        <v>220.49</v>
      </c>
      <c r="JN19" s="93">
        <v>219.64</v>
      </c>
      <c r="JO19" s="93">
        <v>218.78</v>
      </c>
      <c r="JP19" s="93">
        <v>217.92</v>
      </c>
      <c r="JQ19" s="93">
        <v>217.06</v>
      </c>
      <c r="JR19" s="93">
        <v>216.21</v>
      </c>
      <c r="JS19" s="93">
        <v>215.35</v>
      </c>
      <c r="JT19" s="93">
        <v>214.49</v>
      </c>
      <c r="JU19" s="93">
        <v>213.64</v>
      </c>
      <c r="JV19" s="93">
        <v>212.78</v>
      </c>
      <c r="JW19" s="93">
        <v>211.93</v>
      </c>
      <c r="JX19" s="93">
        <v>211.07</v>
      </c>
      <c r="JY19" s="93">
        <v>210.22</v>
      </c>
      <c r="JZ19" s="93">
        <v>209.37</v>
      </c>
      <c r="KA19" s="93">
        <v>208.52</v>
      </c>
      <c r="KB19" s="93">
        <v>207.67</v>
      </c>
      <c r="KC19" s="93">
        <v>206.82</v>
      </c>
      <c r="KD19" s="93">
        <v>205.97</v>
      </c>
      <c r="KE19" s="93">
        <v>205.13</v>
      </c>
      <c r="KF19" s="93">
        <v>204.28</v>
      </c>
      <c r="KG19" s="93">
        <v>203.44</v>
      </c>
      <c r="KH19" s="93">
        <v>202.6</v>
      </c>
      <c r="KI19" s="93">
        <v>201.75</v>
      </c>
      <c r="KJ19" s="93">
        <v>200.91</v>
      </c>
      <c r="KK19" s="93">
        <v>200.07</v>
      </c>
      <c r="KL19" s="93">
        <v>199.24</v>
      </c>
      <c r="KM19" s="93">
        <v>198.4</v>
      </c>
      <c r="KN19" s="93">
        <v>197.56</v>
      </c>
      <c r="KO19" s="93">
        <v>196.73</v>
      </c>
      <c r="KP19" s="93">
        <v>195.9</v>
      </c>
      <c r="KQ19" s="93">
        <v>195.06</v>
      </c>
      <c r="KR19" s="98">
        <f t="shared" si="13"/>
        <v>194.27</v>
      </c>
      <c r="KS19" s="98">
        <f t="shared" si="14"/>
        <v>193.48</v>
      </c>
      <c r="KT19" s="98">
        <f t="shared" si="15"/>
        <v>192.66</v>
      </c>
      <c r="KU19" s="98">
        <f t="shared" si="15"/>
        <v>191.87</v>
      </c>
      <c r="KV19" s="98">
        <f t="shared" si="15"/>
        <v>191.09</v>
      </c>
      <c r="KW19" s="98">
        <f t="shared" si="15"/>
        <v>190.3</v>
      </c>
      <c r="KX19" s="98">
        <f t="shared" si="15"/>
        <v>189.51</v>
      </c>
      <c r="KY19" s="98">
        <f t="shared" si="15"/>
        <v>188.73</v>
      </c>
      <c r="KZ19" s="98">
        <f t="shared" si="15"/>
        <v>187.94</v>
      </c>
      <c r="LA19" s="98">
        <f t="shared" si="15"/>
        <v>187.16</v>
      </c>
      <c r="LB19" s="98">
        <f t="shared" si="15"/>
        <v>186.38</v>
      </c>
      <c r="LC19" s="98">
        <f t="shared" si="15"/>
        <v>185.6</v>
      </c>
      <c r="LD19" s="98">
        <f t="shared" si="15"/>
        <v>184.82</v>
      </c>
      <c r="LE19" s="98">
        <f t="shared" si="15"/>
        <v>184.04</v>
      </c>
      <c r="LF19" s="98">
        <f t="shared" si="15"/>
        <v>183.27</v>
      </c>
      <c r="LG19" s="98">
        <f t="shared" si="15"/>
        <v>182.5</v>
      </c>
      <c r="LH19" s="98">
        <f t="shared" si="15"/>
        <v>181.72</v>
      </c>
      <c r="LI19" s="98">
        <f t="shared" si="15"/>
        <v>180.95</v>
      </c>
      <c r="LJ19" s="98">
        <f t="shared" si="17"/>
        <v>180.18</v>
      </c>
      <c r="LK19" s="98">
        <f t="shared" si="17"/>
        <v>179.41</v>
      </c>
      <c r="LL19" s="98">
        <f t="shared" si="17"/>
        <v>178.64</v>
      </c>
      <c r="LM19" s="98">
        <f t="shared" si="17"/>
        <v>177.88</v>
      </c>
      <c r="LN19" s="98">
        <f t="shared" si="17"/>
        <v>177.11</v>
      </c>
      <c r="LO19" s="98">
        <f t="shared" si="17"/>
        <v>176.35</v>
      </c>
      <c r="LP19" s="98">
        <f t="shared" si="17"/>
        <v>175.59</v>
      </c>
      <c r="LQ19" s="98">
        <f t="shared" si="17"/>
        <v>174.83</v>
      </c>
      <c r="LR19" s="98">
        <f t="shared" si="17"/>
        <v>174.07</v>
      </c>
      <c r="LS19" s="98">
        <f t="shared" si="17"/>
        <v>173.31</v>
      </c>
      <c r="LT19" s="98">
        <f t="shared" si="17"/>
        <v>172.56</v>
      </c>
      <c r="LU19" s="98">
        <f t="shared" si="17"/>
        <v>171.81</v>
      </c>
      <c r="LV19" s="98">
        <f t="shared" si="17"/>
        <v>171.05</v>
      </c>
      <c r="LW19" s="98">
        <f t="shared" si="17"/>
        <v>170.3</v>
      </c>
      <c r="LX19" s="98">
        <f t="shared" si="17"/>
        <v>169.55</v>
      </c>
      <c r="LY19" s="98">
        <f t="shared" si="17"/>
        <v>168.8</v>
      </c>
      <c r="LZ19" s="98">
        <f t="shared" si="19"/>
        <v>168.06</v>
      </c>
      <c r="MA19" s="98">
        <f t="shared" si="19"/>
        <v>167.31</v>
      </c>
      <c r="MB19" s="98">
        <f t="shared" si="19"/>
        <v>166.57</v>
      </c>
      <c r="MC19" s="98">
        <f t="shared" si="19"/>
        <v>165.83</v>
      </c>
      <c r="MD19" s="98">
        <f t="shared" si="19"/>
        <v>165.09</v>
      </c>
      <c r="ME19" s="98">
        <f t="shared" si="19"/>
        <v>164.36</v>
      </c>
      <c r="MF19" s="98">
        <f t="shared" si="19"/>
        <v>163.62</v>
      </c>
      <c r="MG19" s="98">
        <f t="shared" si="19"/>
        <v>162.88999999999999</v>
      </c>
      <c r="MH19" s="98">
        <f t="shared" si="19"/>
        <v>162.15</v>
      </c>
      <c r="MI19" s="98">
        <f t="shared" si="19"/>
        <v>161.41999999999999</v>
      </c>
      <c r="MJ19" s="98">
        <f t="shared" si="19"/>
        <v>160.69</v>
      </c>
      <c r="MK19" s="98">
        <f t="shared" si="19"/>
        <v>159.96</v>
      </c>
      <c r="ML19" s="98">
        <f t="shared" si="19"/>
        <v>159.24</v>
      </c>
      <c r="MM19" s="98">
        <f t="shared" si="19"/>
        <v>158.51</v>
      </c>
      <c r="MN19" s="98">
        <f t="shared" si="19"/>
        <v>157.79</v>
      </c>
      <c r="MO19" s="98">
        <f t="shared" si="19"/>
        <v>157.07</v>
      </c>
      <c r="MP19" s="98">
        <f t="shared" si="19"/>
        <v>156.35</v>
      </c>
      <c r="MQ19" s="98">
        <f t="shared" si="19"/>
        <v>155.63999999999999</v>
      </c>
      <c r="MR19" s="98">
        <f t="shared" si="19"/>
        <v>154.91999999999999</v>
      </c>
      <c r="MS19" s="98">
        <f t="shared" si="19"/>
        <v>154.21</v>
      </c>
      <c r="MT19" s="98">
        <f t="shared" si="18"/>
        <v>153.49</v>
      </c>
      <c r="MU19" s="98">
        <f t="shared" si="18"/>
        <v>152.78</v>
      </c>
      <c r="MV19" s="98">
        <f t="shared" si="18"/>
        <v>152.07</v>
      </c>
      <c r="MW19" s="98">
        <f t="shared" si="18"/>
        <v>151.37</v>
      </c>
      <c r="MX19" s="98">
        <f t="shared" si="18"/>
        <v>150.66</v>
      </c>
      <c r="MY19" s="98">
        <f t="shared" si="18"/>
        <v>149.96</v>
      </c>
    </row>
    <row r="20" spans="1:363" ht="15.75" x14ac:dyDescent="0.25">
      <c r="A20" s="90" t="s">
        <v>6</v>
      </c>
      <c r="B20" s="95">
        <v>2030</v>
      </c>
      <c r="C20" s="93">
        <v>488.05</v>
      </c>
      <c r="D20" s="93">
        <v>487.01</v>
      </c>
      <c r="E20" s="93">
        <v>485.97</v>
      </c>
      <c r="F20" s="93">
        <v>484.93</v>
      </c>
      <c r="G20" s="93">
        <v>483.89</v>
      </c>
      <c r="H20" s="93">
        <v>482.85</v>
      </c>
      <c r="I20" s="93">
        <v>481.81</v>
      </c>
      <c r="J20" s="93">
        <v>480.78</v>
      </c>
      <c r="K20" s="93">
        <v>479.74</v>
      </c>
      <c r="L20" s="93">
        <v>478.7</v>
      </c>
      <c r="M20" s="93">
        <v>477.66</v>
      </c>
      <c r="N20" s="93">
        <v>476.62</v>
      </c>
      <c r="O20" s="93">
        <v>475.59</v>
      </c>
      <c r="P20" s="93">
        <v>474.55</v>
      </c>
      <c r="Q20" s="93">
        <v>473.51</v>
      </c>
      <c r="R20" s="93">
        <v>472.47</v>
      </c>
      <c r="S20" s="93">
        <v>471.43</v>
      </c>
      <c r="T20" s="93">
        <v>470.4</v>
      </c>
      <c r="U20" s="93">
        <v>469.36</v>
      </c>
      <c r="V20" s="93">
        <v>468.32</v>
      </c>
      <c r="W20" s="93">
        <v>467.28</v>
      </c>
      <c r="X20" s="93">
        <v>466.24</v>
      </c>
      <c r="Y20" s="93">
        <v>465.21</v>
      </c>
      <c r="Z20" s="93">
        <v>464.17</v>
      </c>
      <c r="AA20" s="93">
        <v>463.13</v>
      </c>
      <c r="AB20" s="93">
        <v>462.09</v>
      </c>
      <c r="AC20" s="93">
        <v>461.06</v>
      </c>
      <c r="AD20" s="93">
        <v>460.02</v>
      </c>
      <c r="AE20" s="93">
        <v>458.98</v>
      </c>
      <c r="AF20" s="93">
        <v>457.94</v>
      </c>
      <c r="AG20" s="93">
        <v>456.91</v>
      </c>
      <c r="AH20" s="93">
        <v>455.87</v>
      </c>
      <c r="AI20" s="93">
        <v>454.83</v>
      </c>
      <c r="AJ20" s="93">
        <v>453.79</v>
      </c>
      <c r="AK20" s="93">
        <v>452.76</v>
      </c>
      <c r="AL20" s="93">
        <v>451.72</v>
      </c>
      <c r="AM20" s="93">
        <v>450.68</v>
      </c>
      <c r="AN20" s="93">
        <v>449.65</v>
      </c>
      <c r="AO20" s="93">
        <v>448.61</v>
      </c>
      <c r="AP20" s="93">
        <v>447.57</v>
      </c>
      <c r="AQ20" s="93">
        <v>446.53</v>
      </c>
      <c r="AR20" s="93">
        <v>445.5</v>
      </c>
      <c r="AS20" s="93">
        <v>444.46</v>
      </c>
      <c r="AT20" s="93">
        <v>443.42</v>
      </c>
      <c r="AU20" s="93">
        <v>442.39</v>
      </c>
      <c r="AV20" s="93">
        <v>441.35</v>
      </c>
      <c r="AW20" s="93">
        <v>440.31</v>
      </c>
      <c r="AX20" s="93">
        <v>439.28</v>
      </c>
      <c r="AY20" s="93">
        <v>438.24</v>
      </c>
      <c r="AZ20" s="93">
        <v>437.21</v>
      </c>
      <c r="BA20" s="93">
        <v>436.17</v>
      </c>
      <c r="BB20" s="93">
        <v>435.13</v>
      </c>
      <c r="BC20" s="93">
        <v>434.1</v>
      </c>
      <c r="BD20" s="93">
        <v>433.06</v>
      </c>
      <c r="BE20" s="93">
        <v>432.02</v>
      </c>
      <c r="BF20" s="93">
        <v>430.99</v>
      </c>
      <c r="BG20" s="93">
        <v>429.95</v>
      </c>
      <c r="BH20" s="93">
        <v>428.92</v>
      </c>
      <c r="BI20" s="93">
        <v>427.88</v>
      </c>
      <c r="BJ20" s="93">
        <v>426.84</v>
      </c>
      <c r="BK20" s="93">
        <v>425.81</v>
      </c>
      <c r="BL20" s="93">
        <v>424.77</v>
      </c>
      <c r="BM20" s="93">
        <v>423.73</v>
      </c>
      <c r="BN20" s="93">
        <v>422.7</v>
      </c>
      <c r="BO20" s="93">
        <v>421.66</v>
      </c>
      <c r="BP20" s="93">
        <v>420.63</v>
      </c>
      <c r="BQ20" s="93">
        <v>419.59</v>
      </c>
      <c r="BR20" s="93">
        <v>418.55</v>
      </c>
      <c r="BS20" s="93">
        <v>417.52</v>
      </c>
      <c r="BT20" s="93">
        <v>416.48</v>
      </c>
      <c r="BU20" s="93">
        <v>415.45</v>
      </c>
      <c r="BV20" s="93">
        <v>414.41</v>
      </c>
      <c r="BW20" s="93">
        <v>413.38</v>
      </c>
      <c r="BX20" s="93">
        <v>412.35</v>
      </c>
      <c r="BY20" s="93">
        <v>411.31</v>
      </c>
      <c r="BZ20" s="93">
        <v>410.28</v>
      </c>
      <c r="CA20" s="93">
        <v>409.25</v>
      </c>
      <c r="CB20" s="93">
        <v>408.22</v>
      </c>
      <c r="CC20" s="93">
        <v>407.18</v>
      </c>
      <c r="CD20" s="93">
        <v>406.15</v>
      </c>
      <c r="CE20" s="93">
        <v>405.12</v>
      </c>
      <c r="CF20" s="93">
        <v>404.09</v>
      </c>
      <c r="CG20" s="93">
        <v>403.06</v>
      </c>
      <c r="CH20" s="93">
        <v>402.03</v>
      </c>
      <c r="CI20" s="93">
        <v>401</v>
      </c>
      <c r="CJ20" s="93">
        <v>399.97</v>
      </c>
      <c r="CK20" s="93">
        <v>398.93</v>
      </c>
      <c r="CL20" s="93">
        <v>397.9</v>
      </c>
      <c r="CM20" s="93">
        <v>396.87</v>
      </c>
      <c r="CN20" s="93">
        <v>395.84</v>
      </c>
      <c r="CO20" s="93">
        <v>394.81</v>
      </c>
      <c r="CP20" s="93">
        <v>393.78</v>
      </c>
      <c r="CQ20" s="93">
        <v>392.75</v>
      </c>
      <c r="CR20" s="93">
        <v>391.72</v>
      </c>
      <c r="CS20" s="93">
        <v>390.69</v>
      </c>
      <c r="CT20" s="93">
        <v>389.66</v>
      </c>
      <c r="CU20" s="93">
        <v>388.63</v>
      </c>
      <c r="CV20" s="93">
        <v>387.6</v>
      </c>
      <c r="CW20" s="93">
        <v>386.57</v>
      </c>
      <c r="CX20" s="93">
        <v>385.55</v>
      </c>
      <c r="CY20" s="93">
        <v>384.52</v>
      </c>
      <c r="CZ20" s="93">
        <v>383.49</v>
      </c>
      <c r="DA20" s="93">
        <v>382.46</v>
      </c>
      <c r="DB20" s="93">
        <v>381.44</v>
      </c>
      <c r="DC20" s="93">
        <v>380.41</v>
      </c>
      <c r="DD20" s="93">
        <v>379.38</v>
      </c>
      <c r="DE20" s="93">
        <v>378.36</v>
      </c>
      <c r="DF20" s="93">
        <v>377.33</v>
      </c>
      <c r="DG20" s="93">
        <v>376.3</v>
      </c>
      <c r="DH20" s="93">
        <v>375.28</v>
      </c>
      <c r="DI20" s="93">
        <v>374.25</v>
      </c>
      <c r="DJ20" s="93">
        <v>373.23</v>
      </c>
      <c r="DK20" s="93">
        <v>372.21</v>
      </c>
      <c r="DL20" s="93">
        <v>371.18</v>
      </c>
      <c r="DM20" s="93">
        <v>370.16</v>
      </c>
      <c r="DN20" s="93">
        <v>369.13</v>
      </c>
      <c r="DO20" s="93">
        <v>368.11</v>
      </c>
      <c r="DP20" s="93">
        <v>367.09</v>
      </c>
      <c r="DQ20" s="93">
        <v>366.06</v>
      </c>
      <c r="DR20" s="93">
        <v>365.04</v>
      </c>
      <c r="DS20" s="93">
        <v>364.02</v>
      </c>
      <c r="DT20" s="93">
        <v>363</v>
      </c>
      <c r="DU20" s="93">
        <v>361.98</v>
      </c>
      <c r="DV20" s="93">
        <v>360.96</v>
      </c>
      <c r="DW20" s="93">
        <v>359.95</v>
      </c>
      <c r="DX20" s="93">
        <v>358.93</v>
      </c>
      <c r="DY20" s="93">
        <v>357.91</v>
      </c>
      <c r="DZ20" s="93">
        <v>356.9</v>
      </c>
      <c r="EA20" s="93">
        <v>355.88</v>
      </c>
      <c r="EB20" s="93">
        <v>354.87</v>
      </c>
      <c r="EC20" s="93">
        <v>353.85</v>
      </c>
      <c r="ED20" s="93">
        <v>352.84</v>
      </c>
      <c r="EE20" s="93">
        <v>351.83</v>
      </c>
      <c r="EF20" s="93">
        <v>350.82</v>
      </c>
      <c r="EG20" s="93">
        <v>349.81</v>
      </c>
      <c r="EH20" s="93">
        <v>348.8</v>
      </c>
      <c r="EI20" s="93">
        <v>347.79</v>
      </c>
      <c r="EJ20" s="93">
        <v>346.79</v>
      </c>
      <c r="EK20" s="93">
        <v>345.78</v>
      </c>
      <c r="EL20" s="93">
        <v>344.78</v>
      </c>
      <c r="EM20" s="93">
        <v>343.77</v>
      </c>
      <c r="EN20" s="93">
        <v>342.77</v>
      </c>
      <c r="EO20" s="93">
        <v>341.76</v>
      </c>
      <c r="EP20" s="93">
        <v>340.76</v>
      </c>
      <c r="EQ20" s="93">
        <v>339.75</v>
      </c>
      <c r="ER20" s="93">
        <v>338.75</v>
      </c>
      <c r="ES20" s="93">
        <v>337.75</v>
      </c>
      <c r="ET20" s="93">
        <v>336.76</v>
      </c>
      <c r="EU20" s="93">
        <v>335.76</v>
      </c>
      <c r="EV20" s="93">
        <v>334.76</v>
      </c>
      <c r="EW20" s="93">
        <v>333.76</v>
      </c>
      <c r="EX20" s="93">
        <v>332.76</v>
      </c>
      <c r="EY20" s="93">
        <v>331.77</v>
      </c>
      <c r="EZ20" s="93">
        <v>330.77</v>
      </c>
      <c r="FA20" s="93">
        <v>329.77</v>
      </c>
      <c r="FB20" s="93">
        <v>328.78</v>
      </c>
      <c r="FC20" s="93">
        <v>327.78</v>
      </c>
      <c r="FD20" s="93">
        <v>326.79000000000002</v>
      </c>
      <c r="FE20" s="93">
        <v>325.79000000000002</v>
      </c>
      <c r="FF20" s="93">
        <v>324.81</v>
      </c>
      <c r="FG20" s="93">
        <v>323.82</v>
      </c>
      <c r="FH20" s="93">
        <v>322.83999999999997</v>
      </c>
      <c r="FI20" s="93">
        <v>321.85000000000002</v>
      </c>
      <c r="FJ20" s="93">
        <v>320.85000000000002</v>
      </c>
      <c r="FK20" s="93">
        <v>319.87</v>
      </c>
      <c r="FL20" s="93">
        <v>318.89</v>
      </c>
      <c r="FM20" s="93">
        <v>317.89999999999998</v>
      </c>
      <c r="FN20" s="93">
        <v>316.92</v>
      </c>
      <c r="FO20" s="93">
        <v>315.93</v>
      </c>
      <c r="FP20" s="93">
        <v>314.95</v>
      </c>
      <c r="FQ20" s="93">
        <v>313.97000000000003</v>
      </c>
      <c r="FR20" s="93">
        <v>312.99</v>
      </c>
      <c r="FS20" s="93">
        <v>312.01</v>
      </c>
      <c r="FT20" s="93">
        <v>311.02999999999997</v>
      </c>
      <c r="FU20" s="93">
        <v>310.04000000000002</v>
      </c>
      <c r="FV20" s="93">
        <v>309.07</v>
      </c>
      <c r="FW20" s="93">
        <v>308.08999999999997</v>
      </c>
      <c r="FX20" s="93">
        <v>307.10000000000002</v>
      </c>
      <c r="FY20" s="93">
        <v>306.14</v>
      </c>
      <c r="FZ20" s="93">
        <v>305.16000000000003</v>
      </c>
      <c r="GA20" s="93">
        <v>304.18</v>
      </c>
      <c r="GB20" s="93">
        <v>303.20999999999998</v>
      </c>
      <c r="GC20" s="93">
        <v>302.24</v>
      </c>
      <c r="GD20" s="93">
        <v>301.26</v>
      </c>
      <c r="GE20" s="93">
        <v>300.29000000000002</v>
      </c>
      <c r="GF20" s="93">
        <v>299.32</v>
      </c>
      <c r="GG20" s="93">
        <v>298.35000000000002</v>
      </c>
      <c r="GH20" s="93">
        <v>297.39</v>
      </c>
      <c r="GI20" s="93">
        <v>296.42</v>
      </c>
      <c r="GJ20" s="93">
        <v>295.45</v>
      </c>
      <c r="GK20" s="93">
        <v>294.48</v>
      </c>
      <c r="GL20" s="93">
        <v>293.51</v>
      </c>
      <c r="GM20" s="93">
        <v>292.54000000000002</v>
      </c>
      <c r="GN20" s="93">
        <v>291.58999999999997</v>
      </c>
      <c r="GO20" s="93">
        <v>290.63</v>
      </c>
      <c r="GP20" s="93">
        <v>289.67</v>
      </c>
      <c r="GQ20" s="93">
        <v>288.72000000000003</v>
      </c>
      <c r="GR20" s="93">
        <v>287.76</v>
      </c>
      <c r="GS20" s="93">
        <v>286.81</v>
      </c>
      <c r="GT20" s="93">
        <v>285.85000000000002</v>
      </c>
      <c r="GU20" s="93">
        <v>284.89999999999998</v>
      </c>
      <c r="GV20" s="93">
        <v>283.94</v>
      </c>
      <c r="GW20" s="93">
        <v>282.99</v>
      </c>
      <c r="GX20" s="93">
        <v>282.04000000000002</v>
      </c>
      <c r="GY20" s="93">
        <v>281.08999999999997</v>
      </c>
      <c r="GZ20" s="93">
        <v>280.14</v>
      </c>
      <c r="HA20" s="93">
        <v>279.19</v>
      </c>
      <c r="HB20" s="93">
        <v>278.25</v>
      </c>
      <c r="HC20" s="93">
        <v>277.29000000000002</v>
      </c>
      <c r="HD20" s="93">
        <v>276.35000000000002</v>
      </c>
      <c r="HE20" s="93">
        <v>275.42</v>
      </c>
      <c r="HF20" s="93">
        <v>274.47000000000003</v>
      </c>
      <c r="HG20" s="93">
        <v>273.52999999999997</v>
      </c>
      <c r="HH20" s="93">
        <v>272.58999999999997</v>
      </c>
      <c r="HI20" s="93">
        <v>271.64999999999998</v>
      </c>
      <c r="HJ20" s="93">
        <v>270.70999999999998</v>
      </c>
      <c r="HK20" s="93">
        <v>269.77999999999997</v>
      </c>
      <c r="HL20" s="93">
        <v>268.85000000000002</v>
      </c>
      <c r="HM20" s="93">
        <v>267.92</v>
      </c>
      <c r="HN20" s="93">
        <v>266.99</v>
      </c>
      <c r="HO20" s="93">
        <v>266.06</v>
      </c>
      <c r="HP20" s="93">
        <v>265.14</v>
      </c>
      <c r="HQ20" s="93">
        <v>264.20999999999998</v>
      </c>
      <c r="HR20" s="93">
        <v>263.29000000000002</v>
      </c>
      <c r="HS20" s="93">
        <v>262.37</v>
      </c>
      <c r="HT20" s="93">
        <v>261.44</v>
      </c>
      <c r="HU20" s="93">
        <v>260.51</v>
      </c>
      <c r="HV20" s="93">
        <v>259.60000000000002</v>
      </c>
      <c r="HW20" s="93">
        <v>258.68</v>
      </c>
      <c r="HX20" s="93">
        <v>257.76</v>
      </c>
      <c r="HY20" s="93">
        <v>256.85000000000002</v>
      </c>
      <c r="HZ20" s="93">
        <v>255.94</v>
      </c>
      <c r="IA20" s="93">
        <v>255.02</v>
      </c>
      <c r="IB20" s="93">
        <v>254.11</v>
      </c>
      <c r="IC20" s="93">
        <v>253.2</v>
      </c>
      <c r="ID20" s="93">
        <v>252.29</v>
      </c>
      <c r="IE20" s="93">
        <v>251.38</v>
      </c>
      <c r="IF20" s="93">
        <v>250.47</v>
      </c>
      <c r="IG20" s="93">
        <v>249.56</v>
      </c>
      <c r="IH20" s="93">
        <v>248.65</v>
      </c>
      <c r="II20" s="93">
        <v>247.74</v>
      </c>
      <c r="IJ20" s="93">
        <v>246.84</v>
      </c>
      <c r="IK20" s="93">
        <v>245.94</v>
      </c>
      <c r="IL20" s="93">
        <v>245.04</v>
      </c>
      <c r="IM20" s="93">
        <v>244.14</v>
      </c>
      <c r="IN20" s="93">
        <v>243.24</v>
      </c>
      <c r="IO20" s="93">
        <v>242.34</v>
      </c>
      <c r="IP20" s="93">
        <v>241.44</v>
      </c>
      <c r="IQ20" s="93">
        <v>240.55</v>
      </c>
      <c r="IR20" s="93">
        <v>239.65</v>
      </c>
      <c r="IS20" s="93">
        <v>238.76</v>
      </c>
      <c r="IT20" s="93">
        <v>237.87</v>
      </c>
      <c r="IU20" s="93">
        <v>236.98</v>
      </c>
      <c r="IV20" s="93">
        <v>236.1</v>
      </c>
      <c r="IW20" s="93">
        <v>235.21</v>
      </c>
      <c r="IX20" s="93">
        <v>234.33</v>
      </c>
      <c r="IY20" s="93">
        <v>233.46</v>
      </c>
      <c r="IZ20" s="93">
        <v>232.58</v>
      </c>
      <c r="JA20" s="93">
        <v>231.7</v>
      </c>
      <c r="JB20" s="93">
        <v>230.83</v>
      </c>
      <c r="JC20" s="93">
        <v>229.95</v>
      </c>
      <c r="JD20" s="93">
        <v>229.08</v>
      </c>
      <c r="JE20" s="93">
        <v>228.21</v>
      </c>
      <c r="JF20" s="93">
        <v>227.34</v>
      </c>
      <c r="JG20" s="93">
        <v>226.46</v>
      </c>
      <c r="JH20" s="93">
        <v>225.6</v>
      </c>
      <c r="JI20" s="93">
        <v>224.73</v>
      </c>
      <c r="JJ20" s="93">
        <v>223.87</v>
      </c>
      <c r="JK20" s="93">
        <v>223</v>
      </c>
      <c r="JL20" s="93">
        <v>222.14</v>
      </c>
      <c r="JM20" s="93">
        <v>221.28</v>
      </c>
      <c r="JN20" s="93">
        <v>220.41</v>
      </c>
      <c r="JO20" s="93">
        <v>219.55</v>
      </c>
      <c r="JP20" s="93">
        <v>218.69</v>
      </c>
      <c r="JQ20" s="93">
        <v>217.84</v>
      </c>
      <c r="JR20" s="93">
        <v>216.98</v>
      </c>
      <c r="JS20" s="93">
        <v>216.12</v>
      </c>
      <c r="JT20" s="93">
        <v>215.26</v>
      </c>
      <c r="JU20" s="93">
        <v>214.4</v>
      </c>
      <c r="JV20" s="93">
        <v>213.55</v>
      </c>
      <c r="JW20" s="93">
        <v>212.69</v>
      </c>
      <c r="JX20" s="93">
        <v>211.84</v>
      </c>
      <c r="JY20" s="93">
        <v>210.98</v>
      </c>
      <c r="JZ20" s="93">
        <v>210.13</v>
      </c>
      <c r="KA20" s="93">
        <v>209.28</v>
      </c>
      <c r="KB20" s="93">
        <v>208.42</v>
      </c>
      <c r="KC20" s="93">
        <v>207.57</v>
      </c>
      <c r="KD20" s="93">
        <v>206.72</v>
      </c>
      <c r="KE20" s="93">
        <v>205.87</v>
      </c>
      <c r="KF20" s="93">
        <v>205.03</v>
      </c>
      <c r="KG20" s="93">
        <v>204.18</v>
      </c>
      <c r="KH20" s="93">
        <v>203.34</v>
      </c>
      <c r="KI20" s="93">
        <v>202.49</v>
      </c>
      <c r="KJ20" s="93">
        <v>201.65</v>
      </c>
      <c r="KK20" s="93">
        <v>200.81</v>
      </c>
      <c r="KL20" s="93">
        <v>199.97</v>
      </c>
      <c r="KM20" s="93">
        <v>199.13</v>
      </c>
      <c r="KN20" s="93">
        <v>198.29</v>
      </c>
      <c r="KO20" s="93">
        <v>197.46</v>
      </c>
      <c r="KP20" s="93">
        <v>196.62</v>
      </c>
      <c r="KQ20" s="93">
        <v>195.79</v>
      </c>
      <c r="KR20" s="98">
        <f t="shared" si="13"/>
        <v>195.02</v>
      </c>
      <c r="KS20" s="98">
        <f t="shared" si="14"/>
        <v>194.23</v>
      </c>
      <c r="KT20" s="98">
        <f t="shared" si="15"/>
        <v>193.41</v>
      </c>
      <c r="KU20" s="98">
        <f t="shared" si="15"/>
        <v>192.62</v>
      </c>
      <c r="KV20" s="98">
        <f t="shared" si="15"/>
        <v>191.84</v>
      </c>
      <c r="KW20" s="98">
        <f t="shared" si="15"/>
        <v>191.05</v>
      </c>
      <c r="KX20" s="98">
        <f t="shared" si="15"/>
        <v>190.26</v>
      </c>
      <c r="KY20" s="98">
        <f t="shared" si="15"/>
        <v>189.48</v>
      </c>
      <c r="KZ20" s="98">
        <f t="shared" si="15"/>
        <v>188.69</v>
      </c>
      <c r="LA20" s="98">
        <f t="shared" si="15"/>
        <v>187.91</v>
      </c>
      <c r="LB20" s="98">
        <f t="shared" si="15"/>
        <v>187.13</v>
      </c>
      <c r="LC20" s="98">
        <f t="shared" si="15"/>
        <v>186.35</v>
      </c>
      <c r="LD20" s="98">
        <f t="shared" si="15"/>
        <v>185.57</v>
      </c>
      <c r="LE20" s="98">
        <f t="shared" si="15"/>
        <v>184.79</v>
      </c>
      <c r="LF20" s="98">
        <f t="shared" si="15"/>
        <v>184.02</v>
      </c>
      <c r="LG20" s="98">
        <f t="shared" si="15"/>
        <v>183.25</v>
      </c>
      <c r="LH20" s="98">
        <f t="shared" si="15"/>
        <v>182.47</v>
      </c>
      <c r="LI20" s="98">
        <f t="shared" si="15"/>
        <v>181.7</v>
      </c>
      <c r="LJ20" s="98">
        <f t="shared" si="17"/>
        <v>180.93</v>
      </c>
      <c r="LK20" s="98">
        <f t="shared" si="17"/>
        <v>180.16</v>
      </c>
      <c r="LL20" s="98">
        <f t="shared" si="17"/>
        <v>179.39</v>
      </c>
      <c r="LM20" s="98">
        <f t="shared" si="17"/>
        <v>178.63</v>
      </c>
      <c r="LN20" s="98">
        <f t="shared" si="17"/>
        <v>177.86</v>
      </c>
      <c r="LO20" s="98">
        <f t="shared" si="17"/>
        <v>177.1</v>
      </c>
      <c r="LP20" s="98">
        <f t="shared" si="17"/>
        <v>176.34</v>
      </c>
      <c r="LQ20" s="98">
        <f t="shared" si="17"/>
        <v>175.58</v>
      </c>
      <c r="LR20" s="98">
        <f t="shared" si="17"/>
        <v>174.82</v>
      </c>
      <c r="LS20" s="98">
        <f t="shared" si="17"/>
        <v>174.06</v>
      </c>
      <c r="LT20" s="98">
        <f t="shared" si="17"/>
        <v>173.31</v>
      </c>
      <c r="LU20" s="98">
        <f t="shared" si="17"/>
        <v>172.56</v>
      </c>
      <c r="LV20" s="98">
        <f t="shared" si="17"/>
        <v>171.8</v>
      </c>
      <c r="LW20" s="98">
        <f t="shared" si="17"/>
        <v>171.05</v>
      </c>
      <c r="LX20" s="98">
        <f t="shared" si="17"/>
        <v>170.3</v>
      </c>
      <c r="LY20" s="98">
        <f t="shared" si="17"/>
        <v>169.55</v>
      </c>
      <c r="LZ20" s="98">
        <f t="shared" si="19"/>
        <v>168.81</v>
      </c>
      <c r="MA20" s="98">
        <f t="shared" si="19"/>
        <v>168.06</v>
      </c>
      <c r="MB20" s="98">
        <f t="shared" si="19"/>
        <v>167.32</v>
      </c>
      <c r="MC20" s="98">
        <f t="shared" si="19"/>
        <v>166.58</v>
      </c>
      <c r="MD20" s="98">
        <f t="shared" si="19"/>
        <v>165.84</v>
      </c>
      <c r="ME20" s="98">
        <f t="shared" si="19"/>
        <v>165.11</v>
      </c>
      <c r="MF20" s="98">
        <f t="shared" si="19"/>
        <v>164.37</v>
      </c>
      <c r="MG20" s="98">
        <f t="shared" si="19"/>
        <v>163.63999999999999</v>
      </c>
      <c r="MH20" s="98">
        <f t="shared" si="19"/>
        <v>162.9</v>
      </c>
      <c r="MI20" s="98">
        <f t="shared" si="19"/>
        <v>162.16999999999999</v>
      </c>
      <c r="MJ20" s="98">
        <f t="shared" si="19"/>
        <v>161.44</v>
      </c>
      <c r="MK20" s="98">
        <f t="shared" si="19"/>
        <v>160.71</v>
      </c>
      <c r="ML20" s="98">
        <f t="shared" si="19"/>
        <v>159.99</v>
      </c>
      <c r="MM20" s="98">
        <f t="shared" si="19"/>
        <v>159.26</v>
      </c>
      <c r="MN20" s="98">
        <f t="shared" si="19"/>
        <v>158.54</v>
      </c>
      <c r="MO20" s="98">
        <f t="shared" si="19"/>
        <v>157.82</v>
      </c>
      <c r="MP20" s="98">
        <f t="shared" si="19"/>
        <v>157.1</v>
      </c>
      <c r="MQ20" s="98">
        <f t="shared" si="19"/>
        <v>156.38999999999999</v>
      </c>
      <c r="MR20" s="98">
        <f t="shared" si="19"/>
        <v>155.66999999999999</v>
      </c>
      <c r="MS20" s="98">
        <f t="shared" si="19"/>
        <v>154.96</v>
      </c>
      <c r="MT20" s="98">
        <f t="shared" si="18"/>
        <v>154.24</v>
      </c>
      <c r="MU20" s="98">
        <f t="shared" si="18"/>
        <v>153.53</v>
      </c>
      <c r="MV20" s="98">
        <f t="shared" si="18"/>
        <v>152.82</v>
      </c>
      <c r="MW20" s="98">
        <f t="shared" si="18"/>
        <v>152.12</v>
      </c>
      <c r="MX20" s="98">
        <f t="shared" si="18"/>
        <v>151.41</v>
      </c>
      <c r="MY20" s="98">
        <f t="shared" si="18"/>
        <v>150.71</v>
      </c>
    </row>
    <row r="21" spans="1:363" ht="15.75" x14ac:dyDescent="0.25">
      <c r="A21" s="90" t="s">
        <v>6</v>
      </c>
      <c r="B21" s="95">
        <v>2031</v>
      </c>
      <c r="C21" s="93">
        <v>489</v>
      </c>
      <c r="D21" s="93">
        <v>487.96</v>
      </c>
      <c r="E21" s="93">
        <v>486.92</v>
      </c>
      <c r="F21" s="93">
        <v>485.88</v>
      </c>
      <c r="G21" s="93">
        <v>484.84</v>
      </c>
      <c r="H21" s="93">
        <v>483.8</v>
      </c>
      <c r="I21" s="93">
        <v>482.77</v>
      </c>
      <c r="J21" s="93">
        <v>481.73</v>
      </c>
      <c r="K21" s="93">
        <v>480.69</v>
      </c>
      <c r="L21" s="93">
        <v>479.65</v>
      </c>
      <c r="M21" s="93">
        <v>478.61</v>
      </c>
      <c r="N21" s="93">
        <v>477.57</v>
      </c>
      <c r="O21" s="93">
        <v>476.54</v>
      </c>
      <c r="P21" s="93">
        <v>475.5</v>
      </c>
      <c r="Q21" s="93">
        <v>474.46</v>
      </c>
      <c r="R21" s="93">
        <v>473.42</v>
      </c>
      <c r="S21" s="93">
        <v>472.38</v>
      </c>
      <c r="T21" s="93">
        <v>471.35</v>
      </c>
      <c r="U21" s="93">
        <v>470.31</v>
      </c>
      <c r="V21" s="93">
        <v>469.27</v>
      </c>
      <c r="W21" s="93">
        <v>468.23</v>
      </c>
      <c r="X21" s="93">
        <v>467.2</v>
      </c>
      <c r="Y21" s="93">
        <v>466.16</v>
      </c>
      <c r="Z21" s="93">
        <v>465.12</v>
      </c>
      <c r="AA21" s="93">
        <v>464.08</v>
      </c>
      <c r="AB21" s="93">
        <v>463.05</v>
      </c>
      <c r="AC21" s="93">
        <v>462.01</v>
      </c>
      <c r="AD21" s="93">
        <v>460.97</v>
      </c>
      <c r="AE21" s="93">
        <v>459.93</v>
      </c>
      <c r="AF21" s="93">
        <v>458.9</v>
      </c>
      <c r="AG21" s="93">
        <v>457.86</v>
      </c>
      <c r="AH21" s="93">
        <v>456.82</v>
      </c>
      <c r="AI21" s="93">
        <v>455.78</v>
      </c>
      <c r="AJ21" s="93">
        <v>454.75</v>
      </c>
      <c r="AK21" s="93">
        <v>453.71</v>
      </c>
      <c r="AL21" s="93">
        <v>452.67</v>
      </c>
      <c r="AM21" s="93">
        <v>451.63</v>
      </c>
      <c r="AN21" s="93">
        <v>450.6</v>
      </c>
      <c r="AO21" s="93">
        <v>449.56</v>
      </c>
      <c r="AP21" s="93">
        <v>448.52</v>
      </c>
      <c r="AQ21" s="93">
        <v>447.49</v>
      </c>
      <c r="AR21" s="93">
        <v>446.45</v>
      </c>
      <c r="AS21" s="93">
        <v>445.41</v>
      </c>
      <c r="AT21" s="93">
        <v>444.38</v>
      </c>
      <c r="AU21" s="93">
        <v>443.34</v>
      </c>
      <c r="AV21" s="93">
        <v>442.3</v>
      </c>
      <c r="AW21" s="93">
        <v>441.27</v>
      </c>
      <c r="AX21" s="93">
        <v>440.23</v>
      </c>
      <c r="AY21" s="93">
        <v>439.19</v>
      </c>
      <c r="AZ21" s="93">
        <v>438.16</v>
      </c>
      <c r="BA21" s="93">
        <v>437.12</v>
      </c>
      <c r="BB21" s="93">
        <v>436.08</v>
      </c>
      <c r="BC21" s="93">
        <v>435.05</v>
      </c>
      <c r="BD21" s="93">
        <v>434.01</v>
      </c>
      <c r="BE21" s="93">
        <v>432.98</v>
      </c>
      <c r="BF21" s="93">
        <v>431.94</v>
      </c>
      <c r="BG21" s="93">
        <v>430.9</v>
      </c>
      <c r="BH21" s="93">
        <v>429.87</v>
      </c>
      <c r="BI21" s="93">
        <v>428.83</v>
      </c>
      <c r="BJ21" s="93">
        <v>427.79</v>
      </c>
      <c r="BK21" s="93">
        <v>426.76</v>
      </c>
      <c r="BL21" s="93">
        <v>425.72</v>
      </c>
      <c r="BM21" s="93">
        <v>424.68</v>
      </c>
      <c r="BN21" s="93">
        <v>423.65</v>
      </c>
      <c r="BO21" s="93">
        <v>422.61</v>
      </c>
      <c r="BP21" s="93">
        <v>421.58</v>
      </c>
      <c r="BQ21" s="93">
        <v>420.54</v>
      </c>
      <c r="BR21" s="93">
        <v>419.5</v>
      </c>
      <c r="BS21" s="93">
        <v>418.47</v>
      </c>
      <c r="BT21" s="93">
        <v>417.43</v>
      </c>
      <c r="BU21" s="93">
        <v>416.4</v>
      </c>
      <c r="BV21" s="93">
        <v>415.36</v>
      </c>
      <c r="BW21" s="93">
        <v>414.33</v>
      </c>
      <c r="BX21" s="93">
        <v>413.29</v>
      </c>
      <c r="BY21" s="93">
        <v>412.26</v>
      </c>
      <c r="BZ21" s="93">
        <v>411.23</v>
      </c>
      <c r="CA21" s="93">
        <v>410.2</v>
      </c>
      <c r="CB21" s="93">
        <v>409.16</v>
      </c>
      <c r="CC21" s="93">
        <v>408.13</v>
      </c>
      <c r="CD21" s="93">
        <v>407.1</v>
      </c>
      <c r="CE21" s="93">
        <v>406.07</v>
      </c>
      <c r="CF21" s="93">
        <v>405.04</v>
      </c>
      <c r="CG21" s="93">
        <v>404</v>
      </c>
      <c r="CH21" s="93">
        <v>402.97</v>
      </c>
      <c r="CI21" s="93">
        <v>401.94</v>
      </c>
      <c r="CJ21" s="93">
        <v>400.91</v>
      </c>
      <c r="CK21" s="93">
        <v>399.88</v>
      </c>
      <c r="CL21" s="93">
        <v>398.85</v>
      </c>
      <c r="CM21" s="93">
        <v>397.82</v>
      </c>
      <c r="CN21" s="93">
        <v>396.79</v>
      </c>
      <c r="CO21" s="93">
        <v>395.76</v>
      </c>
      <c r="CP21" s="93">
        <v>394.72</v>
      </c>
      <c r="CQ21" s="93">
        <v>393.69</v>
      </c>
      <c r="CR21" s="93">
        <v>392.66</v>
      </c>
      <c r="CS21" s="93">
        <v>391.63</v>
      </c>
      <c r="CT21" s="93">
        <v>390.6</v>
      </c>
      <c r="CU21" s="93">
        <v>389.57</v>
      </c>
      <c r="CV21" s="93">
        <v>388.54</v>
      </c>
      <c r="CW21" s="93">
        <v>387.52</v>
      </c>
      <c r="CX21" s="93">
        <v>386.49</v>
      </c>
      <c r="CY21" s="93">
        <v>385.46</v>
      </c>
      <c r="CZ21" s="93">
        <v>384.43</v>
      </c>
      <c r="DA21" s="93">
        <v>383.4</v>
      </c>
      <c r="DB21" s="93">
        <v>382.38</v>
      </c>
      <c r="DC21" s="93">
        <v>381.35</v>
      </c>
      <c r="DD21" s="93">
        <v>380.32</v>
      </c>
      <c r="DE21" s="93">
        <v>379.29</v>
      </c>
      <c r="DF21" s="93">
        <v>378.27</v>
      </c>
      <c r="DG21" s="93">
        <v>377.24</v>
      </c>
      <c r="DH21" s="93">
        <v>376.21</v>
      </c>
      <c r="DI21" s="93">
        <v>375.19</v>
      </c>
      <c r="DJ21" s="93">
        <v>374.17</v>
      </c>
      <c r="DK21" s="93">
        <v>373.14</v>
      </c>
      <c r="DL21" s="93">
        <v>372.12</v>
      </c>
      <c r="DM21" s="93">
        <v>371.09</v>
      </c>
      <c r="DN21" s="93">
        <v>370.07</v>
      </c>
      <c r="DO21" s="93">
        <v>369.04</v>
      </c>
      <c r="DP21" s="93">
        <v>368.02</v>
      </c>
      <c r="DQ21" s="93">
        <v>367</v>
      </c>
      <c r="DR21" s="93">
        <v>365.97</v>
      </c>
      <c r="DS21" s="93">
        <v>364.95</v>
      </c>
      <c r="DT21" s="93">
        <v>363.93</v>
      </c>
      <c r="DU21" s="93">
        <v>362.91</v>
      </c>
      <c r="DV21" s="93">
        <v>361.89</v>
      </c>
      <c r="DW21" s="93">
        <v>360.88</v>
      </c>
      <c r="DX21" s="93">
        <v>359.86</v>
      </c>
      <c r="DY21" s="93">
        <v>358.84</v>
      </c>
      <c r="DZ21" s="93">
        <v>357.83</v>
      </c>
      <c r="EA21" s="93">
        <v>356.81</v>
      </c>
      <c r="EB21" s="93">
        <v>355.79</v>
      </c>
      <c r="EC21" s="93">
        <v>354.78</v>
      </c>
      <c r="ED21" s="93">
        <v>353.76</v>
      </c>
      <c r="EE21" s="93">
        <v>352.75</v>
      </c>
      <c r="EF21" s="93">
        <v>351.74</v>
      </c>
      <c r="EG21" s="93">
        <v>350.73</v>
      </c>
      <c r="EH21" s="93">
        <v>349.72</v>
      </c>
      <c r="EI21" s="93">
        <v>348.72</v>
      </c>
      <c r="EJ21" s="93">
        <v>347.71</v>
      </c>
      <c r="EK21" s="93">
        <v>346.7</v>
      </c>
      <c r="EL21" s="93">
        <v>345.7</v>
      </c>
      <c r="EM21" s="93">
        <v>344.69</v>
      </c>
      <c r="EN21" s="93">
        <v>343.68</v>
      </c>
      <c r="EO21" s="93">
        <v>342.68</v>
      </c>
      <c r="EP21" s="93">
        <v>341.67</v>
      </c>
      <c r="EQ21" s="93">
        <v>340.67</v>
      </c>
      <c r="ER21" s="93">
        <v>339.67</v>
      </c>
      <c r="ES21" s="93">
        <v>338.67</v>
      </c>
      <c r="ET21" s="93">
        <v>337.67</v>
      </c>
      <c r="EU21" s="93">
        <v>336.67</v>
      </c>
      <c r="EV21" s="93">
        <v>335.67</v>
      </c>
      <c r="EW21" s="93">
        <v>334.67</v>
      </c>
      <c r="EX21" s="93">
        <v>333.68</v>
      </c>
      <c r="EY21" s="93">
        <v>332.68</v>
      </c>
      <c r="EZ21" s="93">
        <v>331.68</v>
      </c>
      <c r="FA21" s="93">
        <v>330.68</v>
      </c>
      <c r="FB21" s="93">
        <v>329.69</v>
      </c>
      <c r="FC21" s="93">
        <v>328.69</v>
      </c>
      <c r="FD21" s="93">
        <v>327.7</v>
      </c>
      <c r="FE21" s="93">
        <v>326.70999999999998</v>
      </c>
      <c r="FF21" s="93">
        <v>325.72000000000003</v>
      </c>
      <c r="FG21" s="93">
        <v>324.73</v>
      </c>
      <c r="FH21" s="93">
        <v>323.74</v>
      </c>
      <c r="FI21" s="93">
        <v>322.75</v>
      </c>
      <c r="FJ21" s="93">
        <v>321.76</v>
      </c>
      <c r="FK21" s="93">
        <v>320.77999999999997</v>
      </c>
      <c r="FL21" s="93">
        <v>319.79000000000002</v>
      </c>
      <c r="FM21" s="93">
        <v>318.79000000000002</v>
      </c>
      <c r="FN21" s="93">
        <v>317.82</v>
      </c>
      <c r="FO21" s="93">
        <v>316.82</v>
      </c>
      <c r="FP21" s="93">
        <v>315.85000000000002</v>
      </c>
      <c r="FQ21" s="93">
        <v>314.87</v>
      </c>
      <c r="FR21" s="93">
        <v>313.89</v>
      </c>
      <c r="FS21" s="93">
        <v>312.89999999999998</v>
      </c>
      <c r="FT21" s="93">
        <v>311.92</v>
      </c>
      <c r="FU21" s="93">
        <v>310.94</v>
      </c>
      <c r="FV21" s="93">
        <v>309.95999999999998</v>
      </c>
      <c r="FW21" s="93">
        <v>308.98</v>
      </c>
      <c r="FX21" s="93">
        <v>308.01</v>
      </c>
      <c r="FY21" s="93">
        <v>307.02999999999997</v>
      </c>
      <c r="FZ21" s="93">
        <v>306.04000000000002</v>
      </c>
      <c r="GA21" s="93">
        <v>305.07</v>
      </c>
      <c r="GB21" s="93">
        <v>304.10000000000002</v>
      </c>
      <c r="GC21" s="93">
        <v>303.13</v>
      </c>
      <c r="GD21" s="93">
        <v>302.14999999999998</v>
      </c>
      <c r="GE21" s="93">
        <v>301.18</v>
      </c>
      <c r="GF21" s="93">
        <v>300.20999999999998</v>
      </c>
      <c r="GG21" s="93">
        <v>299.24</v>
      </c>
      <c r="GH21" s="93">
        <v>298.26</v>
      </c>
      <c r="GI21" s="93">
        <v>297.29000000000002</v>
      </c>
      <c r="GJ21" s="93">
        <v>296.32</v>
      </c>
      <c r="GK21" s="93">
        <v>295.35000000000002</v>
      </c>
      <c r="GL21" s="93">
        <v>294.39999999999998</v>
      </c>
      <c r="GM21" s="93">
        <v>293.43</v>
      </c>
      <c r="GN21" s="93">
        <v>292.47000000000003</v>
      </c>
      <c r="GO21" s="93">
        <v>291.51</v>
      </c>
      <c r="GP21" s="93">
        <v>290.54000000000002</v>
      </c>
      <c r="GQ21" s="93">
        <v>289.58999999999997</v>
      </c>
      <c r="GR21" s="93">
        <v>288.63</v>
      </c>
      <c r="GS21" s="93">
        <v>287.68</v>
      </c>
      <c r="GT21" s="93">
        <v>286.72000000000003</v>
      </c>
      <c r="GU21" s="93">
        <v>285.76</v>
      </c>
      <c r="GV21" s="93">
        <v>284.81</v>
      </c>
      <c r="GW21" s="93">
        <v>283.85000000000002</v>
      </c>
      <c r="GX21" s="93">
        <v>282.91000000000003</v>
      </c>
      <c r="GY21" s="93">
        <v>281.95999999999998</v>
      </c>
      <c r="GZ21" s="93">
        <v>281.01</v>
      </c>
      <c r="HA21" s="93">
        <v>280.06</v>
      </c>
      <c r="HB21" s="93">
        <v>279.10000000000002</v>
      </c>
      <c r="HC21" s="93">
        <v>278.17</v>
      </c>
      <c r="HD21" s="93">
        <v>277.22000000000003</v>
      </c>
      <c r="HE21" s="93">
        <v>276.27999999999997</v>
      </c>
      <c r="HF21" s="93">
        <v>275.32</v>
      </c>
      <c r="HG21" s="93">
        <v>274.39</v>
      </c>
      <c r="HH21" s="93">
        <v>273.45</v>
      </c>
      <c r="HI21" s="93">
        <v>272.51</v>
      </c>
      <c r="HJ21" s="93">
        <v>271.57</v>
      </c>
      <c r="HK21" s="93">
        <v>270.63</v>
      </c>
      <c r="HL21" s="93">
        <v>269.7</v>
      </c>
      <c r="HM21" s="93">
        <v>268.76</v>
      </c>
      <c r="HN21" s="93">
        <v>267.83999999999997</v>
      </c>
      <c r="HO21" s="93">
        <v>266.91000000000003</v>
      </c>
      <c r="HP21" s="93">
        <v>265.98</v>
      </c>
      <c r="HQ21" s="93">
        <v>265.06</v>
      </c>
      <c r="HR21" s="93">
        <v>264.13</v>
      </c>
      <c r="HS21" s="93">
        <v>263.20999999999998</v>
      </c>
      <c r="HT21" s="93">
        <v>262.29000000000002</v>
      </c>
      <c r="HU21" s="93">
        <v>261.35000000000002</v>
      </c>
      <c r="HV21" s="93">
        <v>260.44</v>
      </c>
      <c r="HW21" s="93">
        <v>259.51</v>
      </c>
      <c r="HX21" s="93">
        <v>258.60000000000002</v>
      </c>
      <c r="HY21" s="93">
        <v>257.69</v>
      </c>
      <c r="HZ21" s="93">
        <v>256.76</v>
      </c>
      <c r="IA21" s="93">
        <v>255.85</v>
      </c>
      <c r="IB21" s="93">
        <v>254.94</v>
      </c>
      <c r="IC21" s="93">
        <v>254.03</v>
      </c>
      <c r="ID21" s="93">
        <v>253.11</v>
      </c>
      <c r="IE21" s="93">
        <v>252.2</v>
      </c>
      <c r="IF21" s="93">
        <v>251.29</v>
      </c>
      <c r="IG21" s="93">
        <v>250.38</v>
      </c>
      <c r="IH21" s="93">
        <v>249.47</v>
      </c>
      <c r="II21" s="93">
        <v>248.57</v>
      </c>
      <c r="IJ21" s="93">
        <v>247.66</v>
      </c>
      <c r="IK21" s="93">
        <v>246.76</v>
      </c>
      <c r="IL21" s="93">
        <v>245.86</v>
      </c>
      <c r="IM21" s="93">
        <v>244.95</v>
      </c>
      <c r="IN21" s="93">
        <v>244.05</v>
      </c>
      <c r="IO21" s="93">
        <v>243.15</v>
      </c>
      <c r="IP21" s="93">
        <v>242.26</v>
      </c>
      <c r="IQ21" s="93">
        <v>241.36</v>
      </c>
      <c r="IR21" s="93">
        <v>240.46</v>
      </c>
      <c r="IS21" s="93">
        <v>239.57</v>
      </c>
      <c r="IT21" s="93">
        <v>238.67</v>
      </c>
      <c r="IU21" s="93">
        <v>237.78</v>
      </c>
      <c r="IV21" s="93">
        <v>236.9</v>
      </c>
      <c r="IW21" s="93">
        <v>236.02</v>
      </c>
      <c r="IX21" s="93">
        <v>235.13</v>
      </c>
      <c r="IY21" s="93">
        <v>234.25</v>
      </c>
      <c r="IZ21" s="93">
        <v>233.37</v>
      </c>
      <c r="JA21" s="93">
        <v>232.5</v>
      </c>
      <c r="JB21" s="93">
        <v>231.62</v>
      </c>
      <c r="JC21" s="93">
        <v>230.74</v>
      </c>
      <c r="JD21" s="93">
        <v>229.87</v>
      </c>
      <c r="JE21" s="93">
        <v>229</v>
      </c>
      <c r="JF21" s="93">
        <v>228.12</v>
      </c>
      <c r="JG21" s="93">
        <v>227.25</v>
      </c>
      <c r="JH21" s="93">
        <v>226.38</v>
      </c>
      <c r="JI21" s="93">
        <v>225.51</v>
      </c>
      <c r="JJ21" s="93">
        <v>224.65</v>
      </c>
      <c r="JK21" s="93">
        <v>223.78</v>
      </c>
      <c r="JL21" s="93">
        <v>222.92</v>
      </c>
      <c r="JM21" s="93">
        <v>222.05</v>
      </c>
      <c r="JN21" s="93">
        <v>221.19</v>
      </c>
      <c r="JO21" s="93">
        <v>220.33</v>
      </c>
      <c r="JP21" s="93">
        <v>219.47</v>
      </c>
      <c r="JQ21" s="93">
        <v>218.61</v>
      </c>
      <c r="JR21" s="93">
        <v>217.75</v>
      </c>
      <c r="JS21" s="93">
        <v>216.89</v>
      </c>
      <c r="JT21" s="93">
        <v>216.03</v>
      </c>
      <c r="JU21" s="93">
        <v>215.17</v>
      </c>
      <c r="JV21" s="93">
        <v>214.31</v>
      </c>
      <c r="JW21" s="93">
        <v>213.45</v>
      </c>
      <c r="JX21" s="93">
        <v>212.59</v>
      </c>
      <c r="JY21" s="93">
        <v>211.74</v>
      </c>
      <c r="JZ21" s="93">
        <v>210.88</v>
      </c>
      <c r="KA21" s="93">
        <v>210.03</v>
      </c>
      <c r="KB21" s="93">
        <v>209.17</v>
      </c>
      <c r="KC21" s="93">
        <v>208.32</v>
      </c>
      <c r="KD21" s="93">
        <v>207.47</v>
      </c>
      <c r="KE21" s="93">
        <v>206.62</v>
      </c>
      <c r="KF21" s="93">
        <v>205.77</v>
      </c>
      <c r="KG21" s="93">
        <v>204.92</v>
      </c>
      <c r="KH21" s="93">
        <v>204.08</v>
      </c>
      <c r="KI21" s="93">
        <v>203.23</v>
      </c>
      <c r="KJ21" s="93">
        <v>202.39</v>
      </c>
      <c r="KK21" s="93">
        <v>201.54</v>
      </c>
      <c r="KL21" s="93">
        <v>200.7</v>
      </c>
      <c r="KM21" s="93">
        <v>199.86</v>
      </c>
      <c r="KN21" s="93">
        <v>199.02</v>
      </c>
      <c r="KO21" s="93">
        <v>198.18</v>
      </c>
      <c r="KP21" s="93">
        <v>197.34</v>
      </c>
      <c r="KQ21" s="93">
        <v>196.51</v>
      </c>
      <c r="KR21" s="98">
        <f t="shared" si="13"/>
        <v>195.77</v>
      </c>
      <c r="KS21" s="98">
        <f t="shared" si="14"/>
        <v>194.98</v>
      </c>
      <c r="KT21" s="98">
        <f t="shared" ref="KT21:LG21" si="20">KT20+0.75</f>
        <v>194.16</v>
      </c>
      <c r="KU21" s="98">
        <f t="shared" si="20"/>
        <v>193.37</v>
      </c>
      <c r="KV21" s="98">
        <f t="shared" si="20"/>
        <v>192.59</v>
      </c>
      <c r="KW21" s="98">
        <f t="shared" si="20"/>
        <v>191.8</v>
      </c>
      <c r="KX21" s="98">
        <f t="shared" si="20"/>
        <v>191.01</v>
      </c>
      <c r="KY21" s="98">
        <f t="shared" si="20"/>
        <v>190.23</v>
      </c>
      <c r="KZ21" s="98">
        <f t="shared" si="20"/>
        <v>189.44</v>
      </c>
      <c r="LA21" s="98">
        <f t="shared" si="20"/>
        <v>188.66</v>
      </c>
      <c r="LB21" s="98">
        <f t="shared" si="20"/>
        <v>187.88</v>
      </c>
      <c r="LC21" s="98">
        <f t="shared" si="20"/>
        <v>187.1</v>
      </c>
      <c r="LD21" s="98">
        <f t="shared" si="20"/>
        <v>186.32</v>
      </c>
      <c r="LE21" s="98">
        <f t="shared" si="20"/>
        <v>185.54</v>
      </c>
      <c r="LF21" s="98">
        <f t="shared" si="20"/>
        <v>184.77</v>
      </c>
      <c r="LG21" s="98">
        <f t="shared" si="20"/>
        <v>184</v>
      </c>
      <c r="LH21" s="98">
        <f t="shared" ref="LH21:LW36" si="21">LH20+0.75</f>
        <v>183.22</v>
      </c>
      <c r="LI21" s="98">
        <f t="shared" si="21"/>
        <v>182.45</v>
      </c>
      <c r="LJ21" s="98">
        <f t="shared" si="17"/>
        <v>181.68</v>
      </c>
      <c r="LK21" s="98">
        <f t="shared" si="17"/>
        <v>180.91</v>
      </c>
      <c r="LL21" s="98">
        <f t="shared" si="17"/>
        <v>180.14</v>
      </c>
      <c r="LM21" s="98">
        <f t="shared" si="17"/>
        <v>179.38</v>
      </c>
      <c r="LN21" s="98">
        <f t="shared" si="17"/>
        <v>178.61</v>
      </c>
      <c r="LO21" s="98">
        <f t="shared" si="17"/>
        <v>177.85</v>
      </c>
      <c r="LP21" s="98">
        <f t="shared" si="17"/>
        <v>177.09</v>
      </c>
      <c r="LQ21" s="98">
        <f t="shared" si="17"/>
        <v>176.33</v>
      </c>
      <c r="LR21" s="98">
        <f t="shared" si="17"/>
        <v>175.57</v>
      </c>
      <c r="LS21" s="98">
        <f t="shared" si="17"/>
        <v>174.81</v>
      </c>
      <c r="LT21" s="98">
        <f t="shared" si="17"/>
        <v>174.06</v>
      </c>
      <c r="LU21" s="98">
        <f t="shared" si="17"/>
        <v>173.31</v>
      </c>
      <c r="LV21" s="98">
        <f t="shared" si="17"/>
        <v>172.55</v>
      </c>
      <c r="LW21" s="98">
        <f t="shared" si="17"/>
        <v>171.8</v>
      </c>
      <c r="LX21" s="98">
        <f t="shared" si="17"/>
        <v>171.05</v>
      </c>
      <c r="LY21" s="98">
        <f t="shared" si="17"/>
        <v>170.3</v>
      </c>
      <c r="LZ21" s="98">
        <f t="shared" si="19"/>
        <v>169.56</v>
      </c>
      <c r="MA21" s="98">
        <f t="shared" si="19"/>
        <v>168.81</v>
      </c>
      <c r="MB21" s="98">
        <f t="shared" si="19"/>
        <v>168.07</v>
      </c>
      <c r="MC21" s="98">
        <f t="shared" si="19"/>
        <v>167.33</v>
      </c>
      <c r="MD21" s="98">
        <f t="shared" si="19"/>
        <v>166.59</v>
      </c>
      <c r="ME21" s="98">
        <f t="shared" si="19"/>
        <v>165.86</v>
      </c>
      <c r="MF21" s="98">
        <f t="shared" si="19"/>
        <v>165.12</v>
      </c>
      <c r="MG21" s="98">
        <f t="shared" si="19"/>
        <v>164.39</v>
      </c>
      <c r="MH21" s="98">
        <f t="shared" si="19"/>
        <v>163.65</v>
      </c>
      <c r="MI21" s="98">
        <f t="shared" si="19"/>
        <v>162.91999999999999</v>
      </c>
      <c r="MJ21" s="98">
        <f t="shared" si="19"/>
        <v>162.19</v>
      </c>
      <c r="MK21" s="98">
        <f t="shared" si="19"/>
        <v>161.46</v>
      </c>
      <c r="ML21" s="98">
        <f t="shared" si="19"/>
        <v>160.74</v>
      </c>
      <c r="MM21" s="98">
        <f t="shared" si="19"/>
        <v>160.01</v>
      </c>
      <c r="MN21" s="98">
        <f t="shared" si="19"/>
        <v>159.29</v>
      </c>
      <c r="MO21" s="98">
        <f t="shared" si="19"/>
        <v>158.57</v>
      </c>
      <c r="MP21" s="98">
        <f t="shared" si="19"/>
        <v>157.85</v>
      </c>
      <c r="MQ21" s="98">
        <f t="shared" si="19"/>
        <v>157.13999999999999</v>
      </c>
      <c r="MR21" s="98">
        <f t="shared" si="19"/>
        <v>156.41999999999999</v>
      </c>
      <c r="MS21" s="98">
        <f t="shared" si="19"/>
        <v>155.71</v>
      </c>
      <c r="MT21" s="98">
        <f t="shared" si="18"/>
        <v>154.99</v>
      </c>
      <c r="MU21" s="98">
        <f t="shared" si="18"/>
        <v>154.28</v>
      </c>
      <c r="MV21" s="98">
        <f t="shared" si="18"/>
        <v>153.57</v>
      </c>
      <c r="MW21" s="98">
        <f t="shared" si="18"/>
        <v>152.87</v>
      </c>
      <c r="MX21" s="98">
        <f t="shared" si="18"/>
        <v>152.16</v>
      </c>
      <c r="MY21" s="98">
        <f t="shared" si="18"/>
        <v>151.46</v>
      </c>
    </row>
    <row r="22" spans="1:363" ht="15.75" x14ac:dyDescent="0.25">
      <c r="A22" s="90" t="s">
        <v>6</v>
      </c>
      <c r="B22" s="95">
        <v>2032</v>
      </c>
      <c r="C22" s="93">
        <v>489.94</v>
      </c>
      <c r="D22" s="93">
        <v>488.9</v>
      </c>
      <c r="E22" s="93">
        <v>487.86</v>
      </c>
      <c r="F22" s="93">
        <v>486.82</v>
      </c>
      <c r="G22" s="93">
        <v>485.79</v>
      </c>
      <c r="H22" s="93">
        <v>484.75</v>
      </c>
      <c r="I22" s="93">
        <v>483.71</v>
      </c>
      <c r="J22" s="93">
        <v>482.67</v>
      </c>
      <c r="K22" s="93">
        <v>481.63</v>
      </c>
      <c r="L22" s="93">
        <v>480.6</v>
      </c>
      <c r="M22" s="93">
        <v>479.56</v>
      </c>
      <c r="N22" s="93">
        <v>478.52</v>
      </c>
      <c r="O22" s="93">
        <v>477.48</v>
      </c>
      <c r="P22" s="93">
        <v>476.44</v>
      </c>
      <c r="Q22" s="93">
        <v>475.41</v>
      </c>
      <c r="R22" s="93">
        <v>474.37</v>
      </c>
      <c r="S22" s="93">
        <v>473.33</v>
      </c>
      <c r="T22" s="93">
        <v>472.29</v>
      </c>
      <c r="U22" s="93">
        <v>471.25</v>
      </c>
      <c r="V22" s="93">
        <v>470.22</v>
      </c>
      <c r="W22" s="93">
        <v>469.18</v>
      </c>
      <c r="X22" s="93">
        <v>468.14</v>
      </c>
      <c r="Y22" s="93">
        <v>467.1</v>
      </c>
      <c r="Z22" s="93">
        <v>466.07</v>
      </c>
      <c r="AA22" s="93">
        <v>465.03</v>
      </c>
      <c r="AB22" s="93">
        <v>463.99</v>
      </c>
      <c r="AC22" s="93">
        <v>462.95</v>
      </c>
      <c r="AD22" s="93">
        <v>461.92</v>
      </c>
      <c r="AE22" s="93">
        <v>460.88</v>
      </c>
      <c r="AF22" s="93">
        <v>459.84</v>
      </c>
      <c r="AG22" s="93">
        <v>458.8</v>
      </c>
      <c r="AH22" s="93">
        <v>457.77</v>
      </c>
      <c r="AI22" s="93">
        <v>456.73</v>
      </c>
      <c r="AJ22" s="93">
        <v>455.69</v>
      </c>
      <c r="AK22" s="93">
        <v>454.65</v>
      </c>
      <c r="AL22" s="93">
        <v>453.62</v>
      </c>
      <c r="AM22" s="93">
        <v>452.58</v>
      </c>
      <c r="AN22" s="93">
        <v>451.54</v>
      </c>
      <c r="AO22" s="93">
        <v>450.51</v>
      </c>
      <c r="AP22" s="93">
        <v>449.47</v>
      </c>
      <c r="AQ22" s="93">
        <v>448.43</v>
      </c>
      <c r="AR22" s="93">
        <v>447.4</v>
      </c>
      <c r="AS22" s="93">
        <v>446.36</v>
      </c>
      <c r="AT22" s="93">
        <v>445.32</v>
      </c>
      <c r="AU22" s="93">
        <v>444.28</v>
      </c>
      <c r="AV22" s="93">
        <v>443.25</v>
      </c>
      <c r="AW22" s="93">
        <v>442.21</v>
      </c>
      <c r="AX22" s="93">
        <v>441.17</v>
      </c>
      <c r="AY22" s="93">
        <v>440.14</v>
      </c>
      <c r="AZ22" s="93">
        <v>439.1</v>
      </c>
      <c r="BA22" s="93">
        <v>438.07</v>
      </c>
      <c r="BB22" s="93">
        <v>437.03</v>
      </c>
      <c r="BC22" s="93">
        <v>435.99</v>
      </c>
      <c r="BD22" s="93">
        <v>434.96</v>
      </c>
      <c r="BE22" s="93">
        <v>433.92</v>
      </c>
      <c r="BF22" s="93">
        <v>432.88</v>
      </c>
      <c r="BG22" s="93">
        <v>431.85</v>
      </c>
      <c r="BH22" s="93">
        <v>430.81</v>
      </c>
      <c r="BI22" s="93">
        <v>429.77</v>
      </c>
      <c r="BJ22" s="93">
        <v>428.74</v>
      </c>
      <c r="BK22" s="93">
        <v>427.7</v>
      </c>
      <c r="BL22" s="93">
        <v>426.67</v>
      </c>
      <c r="BM22" s="93">
        <v>425.63</v>
      </c>
      <c r="BN22" s="93">
        <v>424.59</v>
      </c>
      <c r="BO22" s="93">
        <v>423.56</v>
      </c>
      <c r="BP22" s="93">
        <v>422.52</v>
      </c>
      <c r="BQ22" s="93">
        <v>421.48</v>
      </c>
      <c r="BR22" s="93">
        <v>420.45</v>
      </c>
      <c r="BS22" s="93">
        <v>419.41</v>
      </c>
      <c r="BT22" s="93">
        <v>418.38</v>
      </c>
      <c r="BU22" s="93">
        <v>417.34</v>
      </c>
      <c r="BV22" s="93">
        <v>416.31</v>
      </c>
      <c r="BW22" s="93">
        <v>415.27</v>
      </c>
      <c r="BX22" s="93">
        <v>414.24</v>
      </c>
      <c r="BY22" s="93">
        <v>413.2</v>
      </c>
      <c r="BZ22" s="93">
        <v>412.17</v>
      </c>
      <c r="CA22" s="93">
        <v>411.14</v>
      </c>
      <c r="CB22" s="93">
        <v>410.1</v>
      </c>
      <c r="CC22" s="93">
        <v>409.07</v>
      </c>
      <c r="CD22" s="93">
        <v>408.04</v>
      </c>
      <c r="CE22" s="93">
        <v>407.01</v>
      </c>
      <c r="CF22" s="93">
        <v>405.98</v>
      </c>
      <c r="CG22" s="93">
        <v>404.94</v>
      </c>
      <c r="CH22" s="93">
        <v>403.91</v>
      </c>
      <c r="CI22" s="93">
        <v>402.88</v>
      </c>
      <c r="CJ22" s="93">
        <v>401.85</v>
      </c>
      <c r="CK22" s="93">
        <v>400.82</v>
      </c>
      <c r="CL22" s="93">
        <v>399.79</v>
      </c>
      <c r="CM22" s="93">
        <v>398.76</v>
      </c>
      <c r="CN22" s="93">
        <v>397.72</v>
      </c>
      <c r="CO22" s="93">
        <v>396.69</v>
      </c>
      <c r="CP22" s="93">
        <v>395.66</v>
      </c>
      <c r="CQ22" s="93">
        <v>394.63</v>
      </c>
      <c r="CR22" s="93">
        <v>393.6</v>
      </c>
      <c r="CS22" s="93">
        <v>392.57</v>
      </c>
      <c r="CT22" s="93">
        <v>391.54</v>
      </c>
      <c r="CU22" s="93">
        <v>390.51</v>
      </c>
      <c r="CV22" s="93">
        <v>389.48</v>
      </c>
      <c r="CW22" s="93">
        <v>388.45</v>
      </c>
      <c r="CX22" s="93">
        <v>387.42</v>
      </c>
      <c r="CY22" s="93">
        <v>386.39</v>
      </c>
      <c r="CZ22" s="93">
        <v>385.36</v>
      </c>
      <c r="DA22" s="93">
        <v>384.34</v>
      </c>
      <c r="DB22" s="93">
        <v>383.31</v>
      </c>
      <c r="DC22" s="93">
        <v>382.28</v>
      </c>
      <c r="DD22" s="93">
        <v>381.25</v>
      </c>
      <c r="DE22" s="93">
        <v>380.23</v>
      </c>
      <c r="DF22" s="93">
        <v>379.2</v>
      </c>
      <c r="DG22" s="93">
        <v>378.17</v>
      </c>
      <c r="DH22" s="93">
        <v>377.15</v>
      </c>
      <c r="DI22" s="93">
        <v>376.12</v>
      </c>
      <c r="DJ22" s="93">
        <v>375.09</v>
      </c>
      <c r="DK22" s="93">
        <v>374.07</v>
      </c>
      <c r="DL22" s="93">
        <v>373.04</v>
      </c>
      <c r="DM22" s="93">
        <v>372.02</v>
      </c>
      <c r="DN22" s="93">
        <v>370.99</v>
      </c>
      <c r="DO22" s="93">
        <v>369.97</v>
      </c>
      <c r="DP22" s="93">
        <v>368.95</v>
      </c>
      <c r="DQ22" s="93">
        <v>367.92</v>
      </c>
      <c r="DR22" s="93">
        <v>366.9</v>
      </c>
      <c r="DS22" s="93">
        <v>365.88</v>
      </c>
      <c r="DT22" s="93">
        <v>364.86</v>
      </c>
      <c r="DU22" s="93">
        <v>363.84</v>
      </c>
      <c r="DV22" s="93">
        <v>362.82</v>
      </c>
      <c r="DW22" s="93">
        <v>361.8</v>
      </c>
      <c r="DX22" s="93">
        <v>360.78</v>
      </c>
      <c r="DY22" s="93">
        <v>359.76</v>
      </c>
      <c r="DZ22" s="93">
        <v>358.75</v>
      </c>
      <c r="EA22" s="93">
        <v>357.73</v>
      </c>
      <c r="EB22" s="93">
        <v>356.71</v>
      </c>
      <c r="EC22" s="93">
        <v>355.7</v>
      </c>
      <c r="ED22" s="93">
        <v>354.68</v>
      </c>
      <c r="EE22" s="93">
        <v>353.67</v>
      </c>
      <c r="EF22" s="93">
        <v>352.66</v>
      </c>
      <c r="EG22" s="93">
        <v>351.65</v>
      </c>
      <c r="EH22" s="93">
        <v>350.64</v>
      </c>
      <c r="EI22" s="93">
        <v>349.63</v>
      </c>
      <c r="EJ22" s="93">
        <v>348.63</v>
      </c>
      <c r="EK22" s="93">
        <v>347.62</v>
      </c>
      <c r="EL22" s="93">
        <v>346.61</v>
      </c>
      <c r="EM22" s="93">
        <v>345.6</v>
      </c>
      <c r="EN22" s="93">
        <v>344.6</v>
      </c>
      <c r="EO22" s="93">
        <v>343.59</v>
      </c>
      <c r="EP22" s="93">
        <v>342.59</v>
      </c>
      <c r="EQ22" s="93">
        <v>341.58</v>
      </c>
      <c r="ER22" s="93">
        <v>340.58</v>
      </c>
      <c r="ES22" s="93">
        <v>339.58</v>
      </c>
      <c r="ET22" s="93">
        <v>338.58</v>
      </c>
      <c r="EU22" s="93">
        <v>337.58</v>
      </c>
      <c r="EV22" s="93">
        <v>336.58</v>
      </c>
      <c r="EW22" s="93">
        <v>335.58</v>
      </c>
      <c r="EX22" s="93">
        <v>334.58</v>
      </c>
      <c r="EY22" s="93">
        <v>333.59</v>
      </c>
      <c r="EZ22" s="93">
        <v>332.59</v>
      </c>
      <c r="FA22" s="93">
        <v>331.59</v>
      </c>
      <c r="FB22" s="93">
        <v>330.59</v>
      </c>
      <c r="FC22" s="93">
        <v>329.6</v>
      </c>
      <c r="FD22" s="93">
        <v>328.6</v>
      </c>
      <c r="FE22" s="93">
        <v>327.60000000000002</v>
      </c>
      <c r="FF22" s="93">
        <v>326.62</v>
      </c>
      <c r="FG22" s="93">
        <v>325.63</v>
      </c>
      <c r="FH22" s="93">
        <v>324.64</v>
      </c>
      <c r="FI22" s="93">
        <v>323.64999999999998</v>
      </c>
      <c r="FJ22" s="93">
        <v>322.66000000000003</v>
      </c>
      <c r="FK22" s="93">
        <v>321.68</v>
      </c>
      <c r="FL22" s="93">
        <v>320.69</v>
      </c>
      <c r="FM22" s="93">
        <v>319.7</v>
      </c>
      <c r="FN22" s="93">
        <v>318.70999999999998</v>
      </c>
      <c r="FO22" s="93">
        <v>317.73</v>
      </c>
      <c r="FP22" s="93">
        <v>316.74</v>
      </c>
      <c r="FQ22" s="93">
        <v>315.76</v>
      </c>
      <c r="FR22" s="93">
        <v>314.77999999999997</v>
      </c>
      <c r="FS22" s="93">
        <v>313.79000000000002</v>
      </c>
      <c r="FT22" s="93">
        <v>312.81</v>
      </c>
      <c r="FU22" s="93">
        <v>311.82</v>
      </c>
      <c r="FV22" s="93">
        <v>310.85000000000002</v>
      </c>
      <c r="FW22" s="93">
        <v>309.87</v>
      </c>
      <c r="FX22" s="93">
        <v>308.89</v>
      </c>
      <c r="FY22" s="93">
        <v>307.91000000000003</v>
      </c>
      <c r="FZ22" s="93">
        <v>306.94</v>
      </c>
      <c r="GA22" s="93">
        <v>305.95999999999998</v>
      </c>
      <c r="GB22" s="93">
        <v>304.98</v>
      </c>
      <c r="GC22" s="93">
        <v>304.01</v>
      </c>
      <c r="GD22" s="93">
        <v>303.04000000000002</v>
      </c>
      <c r="GE22" s="93">
        <v>302.06</v>
      </c>
      <c r="GF22" s="93">
        <v>301.08999999999997</v>
      </c>
      <c r="GG22" s="93">
        <v>300.12</v>
      </c>
      <c r="GH22" s="93">
        <v>299.14999999999998</v>
      </c>
      <c r="GI22" s="93">
        <v>298.18</v>
      </c>
      <c r="GJ22" s="93">
        <v>297.20999999999998</v>
      </c>
      <c r="GK22" s="93">
        <v>296.24</v>
      </c>
      <c r="GL22" s="93">
        <v>295.26</v>
      </c>
      <c r="GM22" s="93">
        <v>294.29000000000002</v>
      </c>
      <c r="GN22" s="93">
        <v>293.33999999999997</v>
      </c>
      <c r="GO22" s="93">
        <v>292.38</v>
      </c>
      <c r="GP22" s="93">
        <v>291.42</v>
      </c>
      <c r="GQ22" s="93">
        <v>290.45999999999998</v>
      </c>
      <c r="GR22" s="93">
        <v>289.5</v>
      </c>
      <c r="GS22" s="93">
        <v>288.54000000000002</v>
      </c>
      <c r="GT22" s="93">
        <v>287.58999999999997</v>
      </c>
      <c r="GU22" s="93">
        <v>286.63</v>
      </c>
      <c r="GV22" s="93">
        <v>285.68</v>
      </c>
      <c r="GW22" s="93">
        <v>284.72000000000003</v>
      </c>
      <c r="GX22" s="93">
        <v>283.76</v>
      </c>
      <c r="GY22" s="93">
        <v>282.82</v>
      </c>
      <c r="GZ22" s="93">
        <v>281.87</v>
      </c>
      <c r="HA22" s="93">
        <v>280.92</v>
      </c>
      <c r="HB22" s="93">
        <v>279.97000000000003</v>
      </c>
      <c r="HC22" s="93">
        <v>279.01</v>
      </c>
      <c r="HD22" s="93">
        <v>278.07</v>
      </c>
      <c r="HE22" s="93">
        <v>277.13</v>
      </c>
      <c r="HF22" s="93">
        <v>276.19</v>
      </c>
      <c r="HG22" s="93">
        <v>275.24</v>
      </c>
      <c r="HH22" s="93">
        <v>274.29000000000002</v>
      </c>
      <c r="HI22" s="93">
        <v>273.35000000000002</v>
      </c>
      <c r="HJ22" s="93">
        <v>272.42</v>
      </c>
      <c r="HK22" s="93">
        <v>271.48</v>
      </c>
      <c r="HL22" s="93">
        <v>270.54000000000002</v>
      </c>
      <c r="HM22" s="93">
        <v>269.62</v>
      </c>
      <c r="HN22" s="93">
        <v>268.68</v>
      </c>
      <c r="HO22" s="93">
        <v>267.76</v>
      </c>
      <c r="HP22" s="93">
        <v>266.82</v>
      </c>
      <c r="HQ22" s="93">
        <v>265.89999999999998</v>
      </c>
      <c r="HR22" s="93">
        <v>264.97000000000003</v>
      </c>
      <c r="HS22" s="93">
        <v>264.04000000000002</v>
      </c>
      <c r="HT22" s="93">
        <v>263.12</v>
      </c>
      <c r="HU22" s="93">
        <v>262.2</v>
      </c>
      <c r="HV22" s="93">
        <v>261.27999999999997</v>
      </c>
      <c r="HW22" s="93">
        <v>260.35000000000002</v>
      </c>
      <c r="HX22" s="93">
        <v>259.44</v>
      </c>
      <c r="HY22" s="93">
        <v>258.51</v>
      </c>
      <c r="HZ22" s="93">
        <v>257.60000000000002</v>
      </c>
      <c r="IA22" s="93">
        <v>256.68</v>
      </c>
      <c r="IB22" s="93">
        <v>255.77</v>
      </c>
      <c r="IC22" s="93">
        <v>254.85</v>
      </c>
      <c r="ID22" s="93">
        <v>253.94</v>
      </c>
      <c r="IE22" s="93">
        <v>253.03</v>
      </c>
      <c r="IF22" s="93">
        <v>252.11</v>
      </c>
      <c r="IG22" s="93">
        <v>251.2</v>
      </c>
      <c r="IH22" s="93">
        <v>250.29</v>
      </c>
      <c r="II22" s="93">
        <v>249.38</v>
      </c>
      <c r="IJ22" s="93">
        <v>248.48</v>
      </c>
      <c r="IK22" s="93">
        <v>247.57</v>
      </c>
      <c r="IL22" s="93">
        <v>246.67</v>
      </c>
      <c r="IM22" s="93">
        <v>245.77</v>
      </c>
      <c r="IN22" s="93">
        <v>244.86</v>
      </c>
      <c r="IO22" s="93">
        <v>243.96</v>
      </c>
      <c r="IP22" s="93">
        <v>243.06</v>
      </c>
      <c r="IQ22" s="93">
        <v>242.17</v>
      </c>
      <c r="IR22" s="93">
        <v>241.27</v>
      </c>
      <c r="IS22" s="93">
        <v>240.37</v>
      </c>
      <c r="IT22" s="93">
        <v>239.48</v>
      </c>
      <c r="IU22" s="93">
        <v>238.58</v>
      </c>
      <c r="IV22" s="93">
        <v>237.7</v>
      </c>
      <c r="IW22" s="93">
        <v>236.81</v>
      </c>
      <c r="IX22" s="93">
        <v>235.93</v>
      </c>
      <c r="IY22" s="93">
        <v>235.05</v>
      </c>
      <c r="IZ22" s="93">
        <v>234.17</v>
      </c>
      <c r="JA22" s="93">
        <v>233.29</v>
      </c>
      <c r="JB22" s="93">
        <v>232.41</v>
      </c>
      <c r="JC22" s="93">
        <v>231.53</v>
      </c>
      <c r="JD22" s="93">
        <v>230.66</v>
      </c>
      <c r="JE22" s="93">
        <v>229.78</v>
      </c>
      <c r="JF22" s="93">
        <v>228.91</v>
      </c>
      <c r="JG22" s="93">
        <v>228.03</v>
      </c>
      <c r="JH22" s="93">
        <v>227.16</v>
      </c>
      <c r="JI22" s="93">
        <v>226.29</v>
      </c>
      <c r="JJ22" s="93">
        <v>225.42</v>
      </c>
      <c r="JK22" s="93">
        <v>224.56</v>
      </c>
      <c r="JL22" s="93">
        <v>223.69</v>
      </c>
      <c r="JM22" s="93">
        <v>222.82</v>
      </c>
      <c r="JN22" s="93">
        <v>221.96</v>
      </c>
      <c r="JO22" s="93">
        <v>221.1</v>
      </c>
      <c r="JP22" s="93">
        <v>220.23</v>
      </c>
      <c r="JQ22" s="93">
        <v>219.37</v>
      </c>
      <c r="JR22" s="93">
        <v>218.51</v>
      </c>
      <c r="JS22" s="93">
        <v>217.65</v>
      </c>
      <c r="JT22" s="93">
        <v>216.79</v>
      </c>
      <c r="JU22" s="93">
        <v>215.93</v>
      </c>
      <c r="JV22" s="93">
        <v>215.07</v>
      </c>
      <c r="JW22" s="93">
        <v>214.21</v>
      </c>
      <c r="JX22" s="93">
        <v>213.35</v>
      </c>
      <c r="JY22" s="93">
        <v>212.49</v>
      </c>
      <c r="JZ22" s="93">
        <v>211.63</v>
      </c>
      <c r="KA22" s="93">
        <v>210.78</v>
      </c>
      <c r="KB22" s="93">
        <v>209.92</v>
      </c>
      <c r="KC22" s="93">
        <v>209.07</v>
      </c>
      <c r="KD22" s="93">
        <v>208.21</v>
      </c>
      <c r="KE22" s="93">
        <v>207.36</v>
      </c>
      <c r="KF22" s="93">
        <v>206.51</v>
      </c>
      <c r="KG22" s="93">
        <v>205.66</v>
      </c>
      <c r="KH22" s="93">
        <v>204.81</v>
      </c>
      <c r="KI22" s="93">
        <v>203.96</v>
      </c>
      <c r="KJ22" s="93">
        <v>203.12</v>
      </c>
      <c r="KK22" s="93">
        <v>202.27</v>
      </c>
      <c r="KL22" s="93">
        <v>201.43</v>
      </c>
      <c r="KM22" s="93">
        <v>200.58</v>
      </c>
      <c r="KN22" s="93">
        <v>199.74</v>
      </c>
      <c r="KO22" s="93">
        <v>198.9</v>
      </c>
      <c r="KP22" s="93">
        <v>198.06</v>
      </c>
      <c r="KQ22" s="93">
        <v>197.22</v>
      </c>
      <c r="KR22" s="98">
        <f t="shared" ref="KR22:LG37" si="22">KR21+0.75</f>
        <v>196.52</v>
      </c>
      <c r="KS22" s="98">
        <f t="shared" si="22"/>
        <v>195.73</v>
      </c>
      <c r="KT22" s="98">
        <f t="shared" si="22"/>
        <v>194.91</v>
      </c>
      <c r="KU22" s="98">
        <f t="shared" si="22"/>
        <v>194.12</v>
      </c>
      <c r="KV22" s="98">
        <f t="shared" si="22"/>
        <v>193.34</v>
      </c>
      <c r="KW22" s="98">
        <f t="shared" si="22"/>
        <v>192.55</v>
      </c>
      <c r="KX22" s="98">
        <f t="shared" si="22"/>
        <v>191.76</v>
      </c>
      <c r="KY22" s="98">
        <f t="shared" si="22"/>
        <v>190.98</v>
      </c>
      <c r="KZ22" s="98">
        <f t="shared" si="22"/>
        <v>190.19</v>
      </c>
      <c r="LA22" s="98">
        <f t="shared" si="22"/>
        <v>189.41</v>
      </c>
      <c r="LB22" s="98">
        <f t="shared" si="22"/>
        <v>188.63</v>
      </c>
      <c r="LC22" s="98">
        <f t="shared" si="22"/>
        <v>187.85</v>
      </c>
      <c r="LD22" s="98">
        <f t="shared" si="22"/>
        <v>187.07</v>
      </c>
      <c r="LE22" s="98">
        <f t="shared" si="22"/>
        <v>186.29</v>
      </c>
      <c r="LF22" s="98">
        <f t="shared" si="22"/>
        <v>185.52</v>
      </c>
      <c r="LG22" s="98">
        <f t="shared" si="22"/>
        <v>184.75</v>
      </c>
      <c r="LH22" s="98">
        <f t="shared" si="21"/>
        <v>183.97</v>
      </c>
      <c r="LI22" s="98">
        <f t="shared" si="21"/>
        <v>183.2</v>
      </c>
      <c r="LJ22" s="98">
        <f t="shared" si="17"/>
        <v>182.43</v>
      </c>
      <c r="LK22" s="98">
        <f t="shared" si="17"/>
        <v>181.66</v>
      </c>
      <c r="LL22" s="98">
        <f t="shared" si="17"/>
        <v>180.89</v>
      </c>
      <c r="LM22" s="98">
        <f t="shared" si="17"/>
        <v>180.13</v>
      </c>
      <c r="LN22" s="98">
        <f t="shared" si="17"/>
        <v>179.36</v>
      </c>
      <c r="LO22" s="98">
        <f t="shared" si="17"/>
        <v>178.6</v>
      </c>
      <c r="LP22" s="98">
        <f t="shared" si="17"/>
        <v>177.84</v>
      </c>
      <c r="LQ22" s="98">
        <f t="shared" si="17"/>
        <v>177.08</v>
      </c>
      <c r="LR22" s="98">
        <f t="shared" si="17"/>
        <v>176.32</v>
      </c>
      <c r="LS22" s="98">
        <f t="shared" si="17"/>
        <v>175.56</v>
      </c>
      <c r="LT22" s="98">
        <f t="shared" si="17"/>
        <v>174.81</v>
      </c>
      <c r="LU22" s="98">
        <f t="shared" si="17"/>
        <v>174.06</v>
      </c>
      <c r="LV22" s="98">
        <f t="shared" si="17"/>
        <v>173.3</v>
      </c>
      <c r="LW22" s="98">
        <f t="shared" si="17"/>
        <v>172.55</v>
      </c>
      <c r="LX22" s="98">
        <f t="shared" si="17"/>
        <v>171.8</v>
      </c>
      <c r="LY22" s="98">
        <f t="shared" si="17"/>
        <v>171.05</v>
      </c>
      <c r="LZ22" s="98">
        <f t="shared" si="19"/>
        <v>170.31</v>
      </c>
      <c r="MA22" s="98">
        <f t="shared" si="19"/>
        <v>169.56</v>
      </c>
      <c r="MB22" s="98">
        <f t="shared" si="19"/>
        <v>168.82</v>
      </c>
      <c r="MC22" s="98">
        <f t="shared" si="19"/>
        <v>168.08</v>
      </c>
      <c r="MD22" s="98">
        <f t="shared" si="19"/>
        <v>167.34</v>
      </c>
      <c r="ME22" s="98">
        <f t="shared" si="19"/>
        <v>166.61</v>
      </c>
      <c r="MF22" s="98">
        <f t="shared" si="19"/>
        <v>165.87</v>
      </c>
      <c r="MG22" s="98">
        <f t="shared" si="19"/>
        <v>165.14</v>
      </c>
      <c r="MH22" s="98">
        <f t="shared" si="19"/>
        <v>164.4</v>
      </c>
      <c r="MI22" s="98">
        <f t="shared" si="19"/>
        <v>163.66999999999999</v>
      </c>
      <c r="MJ22" s="98">
        <f t="shared" si="19"/>
        <v>162.94</v>
      </c>
      <c r="MK22" s="98">
        <f t="shared" si="19"/>
        <v>162.21</v>
      </c>
      <c r="ML22" s="98">
        <f t="shared" si="19"/>
        <v>161.49</v>
      </c>
      <c r="MM22" s="98">
        <f t="shared" si="19"/>
        <v>160.76</v>
      </c>
      <c r="MN22" s="98">
        <f t="shared" si="19"/>
        <v>160.04</v>
      </c>
      <c r="MO22" s="98">
        <f t="shared" si="19"/>
        <v>159.32</v>
      </c>
      <c r="MP22" s="98">
        <f t="shared" si="19"/>
        <v>158.6</v>
      </c>
      <c r="MQ22" s="98">
        <f t="shared" si="19"/>
        <v>157.88999999999999</v>
      </c>
      <c r="MR22" s="98">
        <f t="shared" si="19"/>
        <v>157.16999999999999</v>
      </c>
      <c r="MS22" s="98">
        <f t="shared" si="19"/>
        <v>156.46</v>
      </c>
      <c r="MT22" s="98">
        <f t="shared" si="18"/>
        <v>155.74</v>
      </c>
      <c r="MU22" s="98">
        <f t="shared" si="18"/>
        <v>155.03</v>
      </c>
      <c r="MV22" s="98">
        <f t="shared" si="18"/>
        <v>154.32</v>
      </c>
      <c r="MW22" s="98">
        <f t="shared" si="18"/>
        <v>153.62</v>
      </c>
      <c r="MX22" s="98">
        <f t="shared" si="18"/>
        <v>152.91</v>
      </c>
      <c r="MY22" s="98">
        <f t="shared" si="18"/>
        <v>152.21</v>
      </c>
    </row>
    <row r="23" spans="1:363" ht="15.75" x14ac:dyDescent="0.25">
      <c r="A23" s="90" t="s">
        <v>6</v>
      </c>
      <c r="B23" s="95">
        <v>2033</v>
      </c>
      <c r="C23" s="93">
        <v>490.88</v>
      </c>
      <c r="D23" s="93">
        <v>489.84</v>
      </c>
      <c r="E23" s="93">
        <v>488.8</v>
      </c>
      <c r="F23" s="93">
        <v>487.76</v>
      </c>
      <c r="G23" s="93">
        <v>486.72</v>
      </c>
      <c r="H23" s="93">
        <v>485.69</v>
      </c>
      <c r="I23" s="93">
        <v>484.65</v>
      </c>
      <c r="J23" s="93">
        <v>483.61</v>
      </c>
      <c r="K23" s="93">
        <v>482.57</v>
      </c>
      <c r="L23" s="93">
        <v>481.53</v>
      </c>
      <c r="M23" s="93">
        <v>480.5</v>
      </c>
      <c r="N23" s="93">
        <v>479.46</v>
      </c>
      <c r="O23" s="93">
        <v>478.42</v>
      </c>
      <c r="P23" s="93">
        <v>477.38</v>
      </c>
      <c r="Q23" s="93">
        <v>476.34</v>
      </c>
      <c r="R23" s="93">
        <v>475.31</v>
      </c>
      <c r="S23" s="93">
        <v>474.27</v>
      </c>
      <c r="T23" s="93">
        <v>473.23</v>
      </c>
      <c r="U23" s="93">
        <v>472.19</v>
      </c>
      <c r="V23" s="93">
        <v>471.16</v>
      </c>
      <c r="W23" s="93">
        <v>470.12</v>
      </c>
      <c r="X23" s="93">
        <v>469.08</v>
      </c>
      <c r="Y23" s="93">
        <v>468.04</v>
      </c>
      <c r="Z23" s="93">
        <v>467</v>
      </c>
      <c r="AA23" s="93">
        <v>465.97</v>
      </c>
      <c r="AB23" s="93">
        <v>464.93</v>
      </c>
      <c r="AC23" s="93">
        <v>463.89</v>
      </c>
      <c r="AD23" s="93">
        <v>462.86</v>
      </c>
      <c r="AE23" s="93">
        <v>461.82</v>
      </c>
      <c r="AF23" s="93">
        <v>460.78</v>
      </c>
      <c r="AG23" s="93">
        <v>459.74</v>
      </c>
      <c r="AH23" s="93">
        <v>458.71</v>
      </c>
      <c r="AI23" s="93">
        <v>457.67</v>
      </c>
      <c r="AJ23" s="93">
        <v>456.63</v>
      </c>
      <c r="AK23" s="93">
        <v>455.59</v>
      </c>
      <c r="AL23" s="93">
        <v>454.56</v>
      </c>
      <c r="AM23" s="93">
        <v>453.52</v>
      </c>
      <c r="AN23" s="93">
        <v>452.48</v>
      </c>
      <c r="AO23" s="93">
        <v>451.45</v>
      </c>
      <c r="AP23" s="93">
        <v>450.41</v>
      </c>
      <c r="AQ23" s="93">
        <v>449.37</v>
      </c>
      <c r="AR23" s="93">
        <v>448.33</v>
      </c>
      <c r="AS23" s="93">
        <v>447.3</v>
      </c>
      <c r="AT23" s="93">
        <v>446.26</v>
      </c>
      <c r="AU23" s="93">
        <v>445.22</v>
      </c>
      <c r="AV23" s="93">
        <v>444.19</v>
      </c>
      <c r="AW23" s="93">
        <v>443.15</v>
      </c>
      <c r="AX23" s="93">
        <v>442.11</v>
      </c>
      <c r="AY23" s="93">
        <v>441.08</v>
      </c>
      <c r="AZ23" s="93">
        <v>440.04</v>
      </c>
      <c r="BA23" s="93">
        <v>439</v>
      </c>
      <c r="BB23" s="93">
        <v>437.97</v>
      </c>
      <c r="BC23" s="93">
        <v>436.93</v>
      </c>
      <c r="BD23" s="93">
        <v>435.89</v>
      </c>
      <c r="BE23" s="93">
        <v>434.86</v>
      </c>
      <c r="BF23" s="93">
        <v>433.82</v>
      </c>
      <c r="BG23" s="93">
        <v>432.79</v>
      </c>
      <c r="BH23" s="93">
        <v>431.75</v>
      </c>
      <c r="BI23" s="93">
        <v>430.71</v>
      </c>
      <c r="BJ23" s="93">
        <v>429.68</v>
      </c>
      <c r="BK23" s="93">
        <v>428.64</v>
      </c>
      <c r="BL23" s="93">
        <v>427.6</v>
      </c>
      <c r="BM23" s="93">
        <v>426.57</v>
      </c>
      <c r="BN23" s="93">
        <v>425.53</v>
      </c>
      <c r="BO23" s="93">
        <v>424.49</v>
      </c>
      <c r="BP23" s="93">
        <v>423.46</v>
      </c>
      <c r="BQ23" s="93">
        <v>422.42</v>
      </c>
      <c r="BR23" s="93">
        <v>421.38</v>
      </c>
      <c r="BS23" s="93">
        <v>420.35</v>
      </c>
      <c r="BT23" s="93">
        <v>419.31</v>
      </c>
      <c r="BU23" s="93">
        <v>418.28</v>
      </c>
      <c r="BV23" s="93">
        <v>417.24</v>
      </c>
      <c r="BW23" s="93">
        <v>416.21</v>
      </c>
      <c r="BX23" s="93">
        <v>415.17</v>
      </c>
      <c r="BY23" s="93">
        <v>414.14</v>
      </c>
      <c r="BZ23" s="93">
        <v>413.11</v>
      </c>
      <c r="CA23" s="93">
        <v>412.07</v>
      </c>
      <c r="CB23" s="93">
        <v>411.04</v>
      </c>
      <c r="CC23" s="93">
        <v>410.01</v>
      </c>
      <c r="CD23" s="93">
        <v>408.97</v>
      </c>
      <c r="CE23" s="93">
        <v>407.94</v>
      </c>
      <c r="CF23" s="93">
        <v>406.91</v>
      </c>
      <c r="CG23" s="93">
        <v>405.88</v>
      </c>
      <c r="CH23" s="93">
        <v>404.85</v>
      </c>
      <c r="CI23" s="93">
        <v>403.81</v>
      </c>
      <c r="CJ23" s="93">
        <v>402.78</v>
      </c>
      <c r="CK23" s="93">
        <v>401.75</v>
      </c>
      <c r="CL23" s="93">
        <v>400.72</v>
      </c>
      <c r="CM23" s="93">
        <v>399.69</v>
      </c>
      <c r="CN23" s="93">
        <v>398.66</v>
      </c>
      <c r="CO23" s="93">
        <v>397.62</v>
      </c>
      <c r="CP23" s="93">
        <v>396.59</v>
      </c>
      <c r="CQ23" s="93">
        <v>395.56</v>
      </c>
      <c r="CR23" s="93">
        <v>394.53</v>
      </c>
      <c r="CS23" s="93">
        <v>393.5</v>
      </c>
      <c r="CT23" s="93">
        <v>392.47</v>
      </c>
      <c r="CU23" s="93">
        <v>391.44</v>
      </c>
      <c r="CV23" s="93">
        <v>390.41</v>
      </c>
      <c r="CW23" s="93">
        <v>389.38</v>
      </c>
      <c r="CX23" s="93">
        <v>388.35</v>
      </c>
      <c r="CY23" s="93">
        <v>387.32</v>
      </c>
      <c r="CZ23" s="93">
        <v>386.29</v>
      </c>
      <c r="DA23" s="93">
        <v>385.26</v>
      </c>
      <c r="DB23" s="93">
        <v>384.24</v>
      </c>
      <c r="DC23" s="93">
        <v>383.21</v>
      </c>
      <c r="DD23" s="93">
        <v>382.18</v>
      </c>
      <c r="DE23" s="93">
        <v>381.15</v>
      </c>
      <c r="DF23" s="93">
        <v>380.12</v>
      </c>
      <c r="DG23" s="93">
        <v>379.1</v>
      </c>
      <c r="DH23" s="93">
        <v>378.07</v>
      </c>
      <c r="DI23" s="93">
        <v>377.04</v>
      </c>
      <c r="DJ23" s="93">
        <v>376.02</v>
      </c>
      <c r="DK23" s="93">
        <v>374.99</v>
      </c>
      <c r="DL23" s="93">
        <v>373.97</v>
      </c>
      <c r="DM23" s="93">
        <v>372.94</v>
      </c>
      <c r="DN23" s="93">
        <v>371.92</v>
      </c>
      <c r="DO23" s="93">
        <v>370.89</v>
      </c>
      <c r="DP23" s="93">
        <v>369.87</v>
      </c>
      <c r="DQ23" s="93">
        <v>368.84</v>
      </c>
      <c r="DR23" s="93">
        <v>367.82</v>
      </c>
      <c r="DS23" s="93">
        <v>366.8</v>
      </c>
      <c r="DT23" s="93">
        <v>365.78</v>
      </c>
      <c r="DU23" s="93">
        <v>364.76</v>
      </c>
      <c r="DV23" s="93">
        <v>363.74</v>
      </c>
      <c r="DW23" s="93">
        <v>362.72</v>
      </c>
      <c r="DX23" s="93">
        <v>361.7</v>
      </c>
      <c r="DY23" s="93">
        <v>360.68</v>
      </c>
      <c r="DZ23" s="93">
        <v>359.66</v>
      </c>
      <c r="EA23" s="93">
        <v>358.65</v>
      </c>
      <c r="EB23" s="93">
        <v>357.63</v>
      </c>
      <c r="EC23" s="93">
        <v>356.61</v>
      </c>
      <c r="ED23" s="93">
        <v>355.6</v>
      </c>
      <c r="EE23" s="93">
        <v>354.58</v>
      </c>
      <c r="EF23" s="93">
        <v>353.57</v>
      </c>
      <c r="EG23" s="93">
        <v>352.56</v>
      </c>
      <c r="EH23" s="93">
        <v>351.55</v>
      </c>
      <c r="EI23" s="93">
        <v>350.54</v>
      </c>
      <c r="EJ23" s="93">
        <v>349.54</v>
      </c>
      <c r="EK23" s="93">
        <v>348.53</v>
      </c>
      <c r="EL23" s="93">
        <v>347.52</v>
      </c>
      <c r="EM23" s="93">
        <v>346.51</v>
      </c>
      <c r="EN23" s="93">
        <v>345.51</v>
      </c>
      <c r="EO23" s="93">
        <v>344.5</v>
      </c>
      <c r="EP23" s="93">
        <v>343.49</v>
      </c>
      <c r="EQ23" s="93">
        <v>342.49</v>
      </c>
      <c r="ER23" s="93">
        <v>341.49</v>
      </c>
      <c r="ES23" s="93">
        <v>340.49</v>
      </c>
      <c r="ET23" s="93">
        <v>339.49</v>
      </c>
      <c r="EU23" s="93">
        <v>338.48</v>
      </c>
      <c r="EV23" s="93">
        <v>337.48</v>
      </c>
      <c r="EW23" s="93">
        <v>336.49</v>
      </c>
      <c r="EX23" s="93">
        <v>335.49</v>
      </c>
      <c r="EY23" s="93">
        <v>334.49</v>
      </c>
      <c r="EZ23" s="93">
        <v>333.49</v>
      </c>
      <c r="FA23" s="93">
        <v>332.49</v>
      </c>
      <c r="FB23" s="93">
        <v>331.49</v>
      </c>
      <c r="FC23" s="93">
        <v>330.5</v>
      </c>
      <c r="FD23" s="93">
        <v>329.5</v>
      </c>
      <c r="FE23" s="93">
        <v>328.51</v>
      </c>
      <c r="FF23" s="93">
        <v>327.51</v>
      </c>
      <c r="FG23" s="93">
        <v>326.52999999999997</v>
      </c>
      <c r="FH23" s="93">
        <v>325.54000000000002</v>
      </c>
      <c r="FI23" s="93">
        <v>324.54000000000002</v>
      </c>
      <c r="FJ23" s="93">
        <v>323.56</v>
      </c>
      <c r="FK23" s="93">
        <v>322.57</v>
      </c>
      <c r="FL23" s="93">
        <v>321.57</v>
      </c>
      <c r="FM23" s="93">
        <v>320.58999999999997</v>
      </c>
      <c r="FN23" s="93">
        <v>319.60000000000002</v>
      </c>
      <c r="FO23" s="93">
        <v>318.62</v>
      </c>
      <c r="FP23" s="93">
        <v>317.63</v>
      </c>
      <c r="FQ23" s="93">
        <v>316.64999999999998</v>
      </c>
      <c r="FR23" s="93">
        <v>315.67</v>
      </c>
      <c r="FS23" s="93">
        <v>314.68</v>
      </c>
      <c r="FT23" s="93">
        <v>313.7</v>
      </c>
      <c r="FU23" s="93">
        <v>312.72000000000003</v>
      </c>
      <c r="FV23" s="93">
        <v>311.74</v>
      </c>
      <c r="FW23" s="93">
        <v>310.76</v>
      </c>
      <c r="FX23" s="93">
        <v>309.77999999999997</v>
      </c>
      <c r="FY23" s="93">
        <v>308.79000000000002</v>
      </c>
      <c r="FZ23" s="93">
        <v>307.82</v>
      </c>
      <c r="GA23" s="93">
        <v>306.83999999999997</v>
      </c>
      <c r="GB23" s="93">
        <v>305.85000000000002</v>
      </c>
      <c r="GC23" s="93">
        <v>304.89</v>
      </c>
      <c r="GD23" s="93">
        <v>303.91000000000003</v>
      </c>
      <c r="GE23" s="93">
        <v>302.94</v>
      </c>
      <c r="GF23" s="93">
        <v>301.97000000000003</v>
      </c>
      <c r="GG23" s="93">
        <v>300.99</v>
      </c>
      <c r="GH23" s="93">
        <v>300.01</v>
      </c>
      <c r="GI23" s="93">
        <v>299.04000000000002</v>
      </c>
      <c r="GJ23" s="93">
        <v>298.07</v>
      </c>
      <c r="GK23" s="93">
        <v>297.10000000000002</v>
      </c>
      <c r="GL23" s="93">
        <v>296.14</v>
      </c>
      <c r="GM23" s="93">
        <v>295.17</v>
      </c>
      <c r="GN23" s="93">
        <v>294.20999999999998</v>
      </c>
      <c r="GO23" s="93">
        <v>293.25</v>
      </c>
      <c r="GP23" s="93">
        <v>292.29000000000002</v>
      </c>
      <c r="GQ23" s="93">
        <v>291.32</v>
      </c>
      <c r="GR23" s="93">
        <v>290.37</v>
      </c>
      <c r="GS23" s="93">
        <v>289.41000000000003</v>
      </c>
      <c r="GT23" s="93">
        <v>288.45</v>
      </c>
      <c r="GU23" s="93">
        <v>287.5</v>
      </c>
      <c r="GV23" s="93">
        <v>286.54000000000002</v>
      </c>
      <c r="GW23" s="93">
        <v>285.57</v>
      </c>
      <c r="GX23" s="93">
        <v>284.63</v>
      </c>
      <c r="GY23" s="93">
        <v>283.68</v>
      </c>
      <c r="GZ23" s="93">
        <v>282.72000000000003</v>
      </c>
      <c r="HA23" s="93">
        <v>281.76</v>
      </c>
      <c r="HB23" s="93">
        <v>280.82</v>
      </c>
      <c r="HC23" s="93">
        <v>279.88</v>
      </c>
      <c r="HD23" s="93">
        <v>278.93</v>
      </c>
      <c r="HE23" s="93">
        <v>277.98</v>
      </c>
      <c r="HF23" s="93">
        <v>277.04000000000002</v>
      </c>
      <c r="HG23" s="93">
        <v>276.08999999999997</v>
      </c>
      <c r="HH23" s="93">
        <v>275.14999999999998</v>
      </c>
      <c r="HI23" s="93">
        <v>274.20999999999998</v>
      </c>
      <c r="HJ23" s="93">
        <v>273.26</v>
      </c>
      <c r="HK23" s="93">
        <v>272.32</v>
      </c>
      <c r="HL23" s="93">
        <v>271.39</v>
      </c>
      <c r="HM23" s="93">
        <v>270.45999999999998</v>
      </c>
      <c r="HN23" s="93">
        <v>269.52999999999997</v>
      </c>
      <c r="HO23" s="93">
        <v>268.58999999999997</v>
      </c>
      <c r="HP23" s="93">
        <v>267.67</v>
      </c>
      <c r="HQ23" s="93">
        <v>266.74</v>
      </c>
      <c r="HR23" s="93">
        <v>265.81</v>
      </c>
      <c r="HS23" s="93">
        <v>264.88</v>
      </c>
      <c r="HT23" s="93">
        <v>263.95999999999998</v>
      </c>
      <c r="HU23" s="93">
        <v>263.02999999999997</v>
      </c>
      <c r="HV23" s="93">
        <v>262.10000000000002</v>
      </c>
      <c r="HW23" s="93">
        <v>261.18</v>
      </c>
      <c r="HX23" s="93">
        <v>260.26</v>
      </c>
      <c r="HY23" s="93">
        <v>259.33999999999997</v>
      </c>
      <c r="HZ23" s="93">
        <v>258.43</v>
      </c>
      <c r="IA23" s="93">
        <v>257.51</v>
      </c>
      <c r="IB23" s="93">
        <v>256.58999999999997</v>
      </c>
      <c r="IC23" s="93">
        <v>255.67</v>
      </c>
      <c r="ID23" s="93">
        <v>254.76</v>
      </c>
      <c r="IE23" s="93">
        <v>253.85</v>
      </c>
      <c r="IF23" s="93">
        <v>252.93</v>
      </c>
      <c r="IG23" s="93">
        <v>252.02</v>
      </c>
      <c r="IH23" s="93">
        <v>251.11</v>
      </c>
      <c r="II23" s="93">
        <v>250.2</v>
      </c>
      <c r="IJ23" s="93">
        <v>249.29</v>
      </c>
      <c r="IK23" s="93">
        <v>248.38</v>
      </c>
      <c r="IL23" s="93">
        <v>247.48</v>
      </c>
      <c r="IM23" s="93">
        <v>246.57</v>
      </c>
      <c r="IN23" s="93">
        <v>245.67</v>
      </c>
      <c r="IO23" s="93">
        <v>244.77</v>
      </c>
      <c r="IP23" s="93">
        <v>243.87</v>
      </c>
      <c r="IQ23" s="93">
        <v>242.97</v>
      </c>
      <c r="IR23" s="93">
        <v>242.07</v>
      </c>
      <c r="IS23" s="93">
        <v>241.17</v>
      </c>
      <c r="IT23" s="93">
        <v>240.27</v>
      </c>
      <c r="IU23" s="93">
        <v>239.38</v>
      </c>
      <c r="IV23" s="93">
        <v>238.49</v>
      </c>
      <c r="IW23" s="93">
        <v>237.61</v>
      </c>
      <c r="IX23" s="93">
        <v>236.72</v>
      </c>
      <c r="IY23" s="93">
        <v>235.84</v>
      </c>
      <c r="IZ23" s="93">
        <v>234.96</v>
      </c>
      <c r="JA23" s="93">
        <v>234.08</v>
      </c>
      <c r="JB23" s="93">
        <v>233.2</v>
      </c>
      <c r="JC23" s="93">
        <v>232.32</v>
      </c>
      <c r="JD23" s="93">
        <v>231.44</v>
      </c>
      <c r="JE23" s="93">
        <v>230.56</v>
      </c>
      <c r="JF23" s="93">
        <v>229.69</v>
      </c>
      <c r="JG23" s="93">
        <v>228.81</v>
      </c>
      <c r="JH23" s="93">
        <v>227.94</v>
      </c>
      <c r="JI23" s="93">
        <v>227.07</v>
      </c>
      <c r="JJ23" s="93">
        <v>226.2</v>
      </c>
      <c r="JK23" s="93">
        <v>225.33</v>
      </c>
      <c r="JL23" s="93">
        <v>224.46</v>
      </c>
      <c r="JM23" s="93">
        <v>223.59</v>
      </c>
      <c r="JN23" s="93">
        <v>222.73</v>
      </c>
      <c r="JO23" s="93">
        <v>221.86</v>
      </c>
      <c r="JP23" s="93">
        <v>221</v>
      </c>
      <c r="JQ23" s="93">
        <v>220.14</v>
      </c>
      <c r="JR23" s="93">
        <v>219.27</v>
      </c>
      <c r="JS23" s="93">
        <v>218.41</v>
      </c>
      <c r="JT23" s="93">
        <v>217.55</v>
      </c>
      <c r="JU23" s="93">
        <v>216.68</v>
      </c>
      <c r="JV23" s="93">
        <v>215.82</v>
      </c>
      <c r="JW23" s="93">
        <v>214.96</v>
      </c>
      <c r="JX23" s="93">
        <v>214.1</v>
      </c>
      <c r="JY23" s="93">
        <v>213.24</v>
      </c>
      <c r="JZ23" s="93">
        <v>212.38</v>
      </c>
      <c r="KA23" s="93">
        <v>211.52</v>
      </c>
      <c r="KB23" s="93">
        <v>210.66</v>
      </c>
      <c r="KC23" s="93">
        <v>209.81</v>
      </c>
      <c r="KD23" s="93">
        <v>208.95</v>
      </c>
      <c r="KE23" s="93">
        <v>208.1</v>
      </c>
      <c r="KF23" s="93">
        <v>207.24</v>
      </c>
      <c r="KG23" s="93">
        <v>206.39</v>
      </c>
      <c r="KH23" s="93">
        <v>205.54</v>
      </c>
      <c r="KI23" s="93">
        <v>204.69</v>
      </c>
      <c r="KJ23" s="93">
        <v>203.84</v>
      </c>
      <c r="KK23" s="93">
        <v>203</v>
      </c>
      <c r="KL23" s="93">
        <v>202.15</v>
      </c>
      <c r="KM23" s="93">
        <v>201.31</v>
      </c>
      <c r="KN23" s="93">
        <v>200.46</v>
      </c>
      <c r="KO23" s="93">
        <v>199.62</v>
      </c>
      <c r="KP23" s="93">
        <v>198.78</v>
      </c>
      <c r="KQ23" s="93">
        <v>197.94</v>
      </c>
      <c r="KR23" s="98">
        <f t="shared" si="22"/>
        <v>197.27</v>
      </c>
      <c r="KS23" s="98">
        <f t="shared" si="22"/>
        <v>196.48</v>
      </c>
      <c r="KT23" s="98">
        <f t="shared" si="22"/>
        <v>195.66</v>
      </c>
      <c r="KU23" s="98">
        <f t="shared" si="22"/>
        <v>194.87</v>
      </c>
      <c r="KV23" s="98">
        <f t="shared" si="22"/>
        <v>194.09</v>
      </c>
      <c r="KW23" s="98">
        <f t="shared" si="22"/>
        <v>193.3</v>
      </c>
      <c r="KX23" s="98">
        <f t="shared" si="22"/>
        <v>192.51</v>
      </c>
      <c r="KY23" s="98">
        <f t="shared" si="22"/>
        <v>191.73</v>
      </c>
      <c r="KZ23" s="98">
        <f t="shared" si="22"/>
        <v>190.94</v>
      </c>
      <c r="LA23" s="98">
        <f t="shared" si="22"/>
        <v>190.16</v>
      </c>
      <c r="LB23" s="98">
        <f t="shared" si="22"/>
        <v>189.38</v>
      </c>
      <c r="LC23" s="98">
        <f t="shared" si="22"/>
        <v>188.6</v>
      </c>
      <c r="LD23" s="98">
        <f t="shared" si="22"/>
        <v>187.82</v>
      </c>
      <c r="LE23" s="98">
        <f t="shared" si="22"/>
        <v>187.04</v>
      </c>
      <c r="LF23" s="98">
        <f t="shared" si="22"/>
        <v>186.27</v>
      </c>
      <c r="LG23" s="98">
        <f t="shared" si="22"/>
        <v>185.5</v>
      </c>
      <c r="LH23" s="98">
        <f t="shared" si="21"/>
        <v>184.72</v>
      </c>
      <c r="LI23" s="98">
        <f t="shared" si="21"/>
        <v>183.95</v>
      </c>
      <c r="LJ23" s="98">
        <f t="shared" si="17"/>
        <v>183.18</v>
      </c>
      <c r="LK23" s="98">
        <f t="shared" si="17"/>
        <v>182.41</v>
      </c>
      <c r="LL23" s="98">
        <f t="shared" si="17"/>
        <v>181.64</v>
      </c>
      <c r="LM23" s="98">
        <f t="shared" si="17"/>
        <v>180.88</v>
      </c>
      <c r="LN23" s="98">
        <f t="shared" si="17"/>
        <v>180.11</v>
      </c>
      <c r="LO23" s="98">
        <f t="shared" si="17"/>
        <v>179.35</v>
      </c>
      <c r="LP23" s="98">
        <f t="shared" si="17"/>
        <v>178.59</v>
      </c>
      <c r="LQ23" s="98">
        <f t="shared" si="17"/>
        <v>177.83</v>
      </c>
      <c r="LR23" s="98">
        <f t="shared" si="17"/>
        <v>177.07</v>
      </c>
      <c r="LS23" s="98">
        <f t="shared" si="17"/>
        <v>176.31</v>
      </c>
      <c r="LT23" s="98">
        <f t="shared" si="17"/>
        <v>175.56</v>
      </c>
      <c r="LU23" s="98">
        <f t="shared" si="17"/>
        <v>174.81</v>
      </c>
      <c r="LV23" s="98">
        <f t="shared" si="17"/>
        <v>174.05</v>
      </c>
      <c r="LW23" s="98">
        <f t="shared" si="17"/>
        <v>173.3</v>
      </c>
      <c r="LX23" s="98">
        <f t="shared" si="17"/>
        <v>172.55</v>
      </c>
      <c r="LY23" s="98">
        <f t="shared" si="17"/>
        <v>171.8</v>
      </c>
      <c r="LZ23" s="98">
        <f t="shared" si="19"/>
        <v>171.06</v>
      </c>
      <c r="MA23" s="98">
        <f t="shared" si="19"/>
        <v>170.31</v>
      </c>
      <c r="MB23" s="98">
        <f t="shared" si="19"/>
        <v>169.57</v>
      </c>
      <c r="MC23" s="98">
        <f t="shared" si="19"/>
        <v>168.83</v>
      </c>
      <c r="MD23" s="98">
        <f t="shared" si="19"/>
        <v>168.09</v>
      </c>
      <c r="ME23" s="98">
        <f t="shared" si="19"/>
        <v>167.36</v>
      </c>
      <c r="MF23" s="98">
        <f t="shared" si="19"/>
        <v>166.62</v>
      </c>
      <c r="MG23" s="98">
        <f t="shared" si="19"/>
        <v>165.89</v>
      </c>
      <c r="MH23" s="98">
        <f t="shared" si="19"/>
        <v>165.15</v>
      </c>
      <c r="MI23" s="98">
        <f t="shared" si="19"/>
        <v>164.42</v>
      </c>
      <c r="MJ23" s="98">
        <f t="shared" si="19"/>
        <v>163.69</v>
      </c>
      <c r="MK23" s="98">
        <f t="shared" si="19"/>
        <v>162.96</v>
      </c>
      <c r="ML23" s="98">
        <f t="shared" si="19"/>
        <v>162.24</v>
      </c>
      <c r="MM23" s="98">
        <f t="shared" si="19"/>
        <v>161.51</v>
      </c>
      <c r="MN23" s="98">
        <f t="shared" si="19"/>
        <v>160.79</v>
      </c>
      <c r="MO23" s="98">
        <f>MO22+0.75</f>
        <v>160.07</v>
      </c>
      <c r="MP23" s="98">
        <f t="shared" si="19"/>
        <v>159.35</v>
      </c>
      <c r="MQ23" s="98">
        <f t="shared" si="19"/>
        <v>158.63999999999999</v>
      </c>
      <c r="MR23" s="98">
        <f t="shared" si="19"/>
        <v>157.91999999999999</v>
      </c>
      <c r="MS23" s="98">
        <f t="shared" si="19"/>
        <v>157.21</v>
      </c>
      <c r="MT23" s="98">
        <f t="shared" si="18"/>
        <v>156.49</v>
      </c>
      <c r="MU23" s="98">
        <f t="shared" si="18"/>
        <v>155.78</v>
      </c>
      <c r="MV23" s="98">
        <f t="shared" si="18"/>
        <v>155.07</v>
      </c>
      <c r="MW23" s="98">
        <f t="shared" si="18"/>
        <v>154.37</v>
      </c>
      <c r="MX23" s="98">
        <f t="shared" si="18"/>
        <v>153.66</v>
      </c>
      <c r="MY23" s="98">
        <f t="shared" si="18"/>
        <v>152.96</v>
      </c>
    </row>
    <row r="24" spans="1:363" ht="15.75" x14ac:dyDescent="0.25">
      <c r="A24" s="90" t="s">
        <v>6</v>
      </c>
      <c r="B24" s="95">
        <v>2034</v>
      </c>
      <c r="C24" s="93">
        <v>491.81</v>
      </c>
      <c r="D24" s="93">
        <v>490.77</v>
      </c>
      <c r="E24" s="93">
        <v>489.73</v>
      </c>
      <c r="F24" s="93">
        <v>488.69</v>
      </c>
      <c r="G24" s="93">
        <v>487.65</v>
      </c>
      <c r="H24" s="93">
        <v>486.62</v>
      </c>
      <c r="I24" s="93">
        <v>485.58</v>
      </c>
      <c r="J24" s="93">
        <v>484.54</v>
      </c>
      <c r="K24" s="93">
        <v>483.5</v>
      </c>
      <c r="L24" s="93">
        <v>482.46</v>
      </c>
      <c r="M24" s="93">
        <v>481.43</v>
      </c>
      <c r="N24" s="93">
        <v>480.39</v>
      </c>
      <c r="O24" s="93">
        <v>479.35</v>
      </c>
      <c r="P24" s="93">
        <v>478.31</v>
      </c>
      <c r="Q24" s="93">
        <v>477.28</v>
      </c>
      <c r="R24" s="93">
        <v>476.24</v>
      </c>
      <c r="S24" s="93">
        <v>475.2</v>
      </c>
      <c r="T24" s="93">
        <v>474.16</v>
      </c>
      <c r="U24" s="93">
        <v>473.13</v>
      </c>
      <c r="V24" s="93">
        <v>472.09</v>
      </c>
      <c r="W24" s="93">
        <v>471.05</v>
      </c>
      <c r="X24" s="93">
        <v>470.01</v>
      </c>
      <c r="Y24" s="93">
        <v>468.97</v>
      </c>
      <c r="Z24" s="93">
        <v>467.94</v>
      </c>
      <c r="AA24" s="93">
        <v>466.9</v>
      </c>
      <c r="AB24" s="93">
        <v>465.86</v>
      </c>
      <c r="AC24" s="93">
        <v>464.82</v>
      </c>
      <c r="AD24" s="93">
        <v>463.79</v>
      </c>
      <c r="AE24" s="93">
        <v>462.75</v>
      </c>
      <c r="AF24" s="93">
        <v>461.71</v>
      </c>
      <c r="AG24" s="93">
        <v>460.68</v>
      </c>
      <c r="AH24" s="93">
        <v>459.64</v>
      </c>
      <c r="AI24" s="93">
        <v>458.6</v>
      </c>
      <c r="AJ24" s="93">
        <v>457.56</v>
      </c>
      <c r="AK24" s="93">
        <v>456.53</v>
      </c>
      <c r="AL24" s="93">
        <v>455.49</v>
      </c>
      <c r="AM24" s="93">
        <v>454.45</v>
      </c>
      <c r="AN24" s="93">
        <v>453.42</v>
      </c>
      <c r="AO24" s="93">
        <v>452.38</v>
      </c>
      <c r="AP24" s="93">
        <v>451.34</v>
      </c>
      <c r="AQ24" s="93">
        <v>450.3</v>
      </c>
      <c r="AR24" s="93">
        <v>449.27</v>
      </c>
      <c r="AS24" s="93">
        <v>448.23</v>
      </c>
      <c r="AT24" s="93">
        <v>447.19</v>
      </c>
      <c r="AU24" s="93">
        <v>446.16</v>
      </c>
      <c r="AV24" s="93">
        <v>445.12</v>
      </c>
      <c r="AW24" s="93">
        <v>444.08</v>
      </c>
      <c r="AX24" s="93">
        <v>443.05</v>
      </c>
      <c r="AY24" s="93">
        <v>442.01</v>
      </c>
      <c r="AZ24" s="93">
        <v>440.97</v>
      </c>
      <c r="BA24" s="93">
        <v>439.94</v>
      </c>
      <c r="BB24" s="93">
        <v>438.9</v>
      </c>
      <c r="BC24" s="93">
        <v>437.86</v>
      </c>
      <c r="BD24" s="93">
        <v>436.83</v>
      </c>
      <c r="BE24" s="93">
        <v>435.79</v>
      </c>
      <c r="BF24" s="93">
        <v>434.75</v>
      </c>
      <c r="BG24" s="93">
        <v>433.72</v>
      </c>
      <c r="BH24" s="93">
        <v>432.68</v>
      </c>
      <c r="BI24" s="93">
        <v>431.64</v>
      </c>
      <c r="BJ24" s="93">
        <v>430.61</v>
      </c>
      <c r="BK24" s="93">
        <v>429.57</v>
      </c>
      <c r="BL24" s="93">
        <v>428.53</v>
      </c>
      <c r="BM24" s="93">
        <v>427.5</v>
      </c>
      <c r="BN24" s="93">
        <v>426.46</v>
      </c>
      <c r="BO24" s="93">
        <v>425.42</v>
      </c>
      <c r="BP24" s="93">
        <v>424.39</v>
      </c>
      <c r="BQ24" s="93">
        <v>423.35</v>
      </c>
      <c r="BR24" s="93">
        <v>422.31</v>
      </c>
      <c r="BS24" s="93">
        <v>421.28</v>
      </c>
      <c r="BT24" s="93">
        <v>420.24</v>
      </c>
      <c r="BU24" s="93">
        <v>419.21</v>
      </c>
      <c r="BV24" s="93">
        <v>418.17</v>
      </c>
      <c r="BW24" s="93">
        <v>417.14</v>
      </c>
      <c r="BX24" s="93">
        <v>416.1</v>
      </c>
      <c r="BY24" s="93">
        <v>415.07</v>
      </c>
      <c r="BZ24" s="93">
        <v>414.03</v>
      </c>
      <c r="CA24" s="93">
        <v>413</v>
      </c>
      <c r="CB24" s="93">
        <v>411.97</v>
      </c>
      <c r="CC24" s="93">
        <v>410.93</v>
      </c>
      <c r="CD24" s="93">
        <v>409.9</v>
      </c>
      <c r="CE24" s="93">
        <v>408.87</v>
      </c>
      <c r="CF24" s="93">
        <v>407.84</v>
      </c>
      <c r="CG24" s="93">
        <v>406.81</v>
      </c>
      <c r="CH24" s="93">
        <v>405.77</v>
      </c>
      <c r="CI24" s="93">
        <v>404.74</v>
      </c>
      <c r="CJ24" s="93">
        <v>403.71</v>
      </c>
      <c r="CK24" s="93">
        <v>402.68</v>
      </c>
      <c r="CL24" s="93">
        <v>401.64</v>
      </c>
      <c r="CM24" s="93">
        <v>400.61</v>
      </c>
      <c r="CN24" s="93">
        <v>399.58</v>
      </c>
      <c r="CO24" s="93">
        <v>398.55</v>
      </c>
      <c r="CP24" s="93">
        <v>397.52</v>
      </c>
      <c r="CQ24" s="93">
        <v>396.49</v>
      </c>
      <c r="CR24" s="93">
        <v>395.45</v>
      </c>
      <c r="CS24" s="93">
        <v>394.42</v>
      </c>
      <c r="CT24" s="93">
        <v>393.39</v>
      </c>
      <c r="CU24" s="93">
        <v>392.36</v>
      </c>
      <c r="CV24" s="93">
        <v>391.33</v>
      </c>
      <c r="CW24" s="93">
        <v>390.3</v>
      </c>
      <c r="CX24" s="93">
        <v>389.27</v>
      </c>
      <c r="CY24" s="93">
        <v>388.24</v>
      </c>
      <c r="CZ24" s="93">
        <v>387.21</v>
      </c>
      <c r="DA24" s="93">
        <v>386.18</v>
      </c>
      <c r="DB24" s="93">
        <v>385.16</v>
      </c>
      <c r="DC24" s="93">
        <v>384.13</v>
      </c>
      <c r="DD24" s="93">
        <v>383.1</v>
      </c>
      <c r="DE24" s="93">
        <v>382.07</v>
      </c>
      <c r="DF24" s="93">
        <v>381.04</v>
      </c>
      <c r="DG24" s="93">
        <v>380.01</v>
      </c>
      <c r="DH24" s="93">
        <v>378.99</v>
      </c>
      <c r="DI24" s="93">
        <v>377.96</v>
      </c>
      <c r="DJ24" s="93">
        <v>376.94</v>
      </c>
      <c r="DK24" s="93">
        <v>375.91</v>
      </c>
      <c r="DL24" s="93">
        <v>374.88</v>
      </c>
      <c r="DM24" s="93">
        <v>373.86</v>
      </c>
      <c r="DN24" s="93">
        <v>372.83</v>
      </c>
      <c r="DO24" s="93">
        <v>371.81</v>
      </c>
      <c r="DP24" s="93">
        <v>370.78</v>
      </c>
      <c r="DQ24" s="93">
        <v>369.76</v>
      </c>
      <c r="DR24" s="93">
        <v>368.73</v>
      </c>
      <c r="DS24" s="93">
        <v>367.71</v>
      </c>
      <c r="DT24" s="93">
        <v>366.69</v>
      </c>
      <c r="DU24" s="93">
        <v>365.67</v>
      </c>
      <c r="DV24" s="93">
        <v>364.65</v>
      </c>
      <c r="DW24" s="93">
        <v>363.63</v>
      </c>
      <c r="DX24" s="93">
        <v>362.61</v>
      </c>
      <c r="DY24" s="93">
        <v>361.59</v>
      </c>
      <c r="DZ24" s="93">
        <v>360.57</v>
      </c>
      <c r="EA24" s="93">
        <v>359.56</v>
      </c>
      <c r="EB24" s="93">
        <v>358.54</v>
      </c>
      <c r="EC24" s="93">
        <v>357.52</v>
      </c>
      <c r="ED24" s="93">
        <v>356.51</v>
      </c>
      <c r="EE24" s="93">
        <v>355.49</v>
      </c>
      <c r="EF24" s="93">
        <v>354.48</v>
      </c>
      <c r="EG24" s="93">
        <v>353.47</v>
      </c>
      <c r="EH24" s="93">
        <v>352.46</v>
      </c>
      <c r="EI24" s="93">
        <v>351.45</v>
      </c>
      <c r="EJ24" s="93">
        <v>350.44</v>
      </c>
      <c r="EK24" s="93">
        <v>349.43</v>
      </c>
      <c r="EL24" s="93">
        <v>348.42</v>
      </c>
      <c r="EM24" s="93">
        <v>347.42</v>
      </c>
      <c r="EN24" s="93">
        <v>346.41</v>
      </c>
      <c r="EO24" s="93">
        <v>345.4</v>
      </c>
      <c r="EP24" s="93">
        <v>344.4</v>
      </c>
      <c r="EQ24" s="93">
        <v>343.39</v>
      </c>
      <c r="ER24" s="93">
        <v>342.39</v>
      </c>
      <c r="ES24" s="93">
        <v>341.39</v>
      </c>
      <c r="ET24" s="93">
        <v>340.38</v>
      </c>
      <c r="EU24" s="93">
        <v>339.38</v>
      </c>
      <c r="EV24" s="93">
        <v>338.38</v>
      </c>
      <c r="EW24" s="93">
        <v>337.38</v>
      </c>
      <c r="EX24" s="93">
        <v>336.38</v>
      </c>
      <c r="EY24" s="93">
        <v>335.38</v>
      </c>
      <c r="EZ24" s="93">
        <v>334.38</v>
      </c>
      <c r="FA24" s="93">
        <v>333.38</v>
      </c>
      <c r="FB24" s="93">
        <v>332.39</v>
      </c>
      <c r="FC24" s="93">
        <v>331.39</v>
      </c>
      <c r="FD24" s="93">
        <v>330.4</v>
      </c>
      <c r="FE24" s="93">
        <v>329.4</v>
      </c>
      <c r="FF24" s="93">
        <v>328.41</v>
      </c>
      <c r="FG24" s="93">
        <v>327.42</v>
      </c>
      <c r="FH24" s="93">
        <v>326.43</v>
      </c>
      <c r="FI24" s="93">
        <v>325.44</v>
      </c>
      <c r="FJ24" s="93">
        <v>324.45</v>
      </c>
      <c r="FK24" s="93">
        <v>323.45999999999998</v>
      </c>
      <c r="FL24" s="93">
        <v>322.47000000000003</v>
      </c>
      <c r="FM24" s="93">
        <v>321.48</v>
      </c>
      <c r="FN24" s="93">
        <v>320.49</v>
      </c>
      <c r="FO24" s="93">
        <v>319.5</v>
      </c>
      <c r="FP24" s="93">
        <v>318.51</v>
      </c>
      <c r="FQ24" s="93">
        <v>317.52999999999997</v>
      </c>
      <c r="FR24" s="93">
        <v>316.54000000000002</v>
      </c>
      <c r="FS24" s="93">
        <v>315.57</v>
      </c>
      <c r="FT24" s="93">
        <v>314.57</v>
      </c>
      <c r="FU24" s="93">
        <v>313.60000000000002</v>
      </c>
      <c r="FV24" s="93">
        <v>312.62</v>
      </c>
      <c r="FW24" s="93">
        <v>311.64</v>
      </c>
      <c r="FX24" s="93">
        <v>310.64999999999998</v>
      </c>
      <c r="FY24" s="93">
        <v>309.67</v>
      </c>
      <c r="FZ24" s="93">
        <v>308.69</v>
      </c>
      <c r="GA24" s="93">
        <v>307.70999999999998</v>
      </c>
      <c r="GB24" s="93">
        <v>306.74</v>
      </c>
      <c r="GC24" s="93">
        <v>305.76</v>
      </c>
      <c r="GD24" s="93">
        <v>304.79000000000002</v>
      </c>
      <c r="GE24" s="93">
        <v>303.81</v>
      </c>
      <c r="GF24" s="93">
        <v>302.83999999999997</v>
      </c>
      <c r="GG24" s="93">
        <v>301.85000000000002</v>
      </c>
      <c r="GH24" s="93">
        <v>300.89</v>
      </c>
      <c r="GI24" s="93">
        <v>299.92</v>
      </c>
      <c r="GJ24" s="93">
        <v>298.95</v>
      </c>
      <c r="GK24" s="93">
        <v>297.98</v>
      </c>
      <c r="GL24" s="93">
        <v>297.01</v>
      </c>
      <c r="GM24" s="93">
        <v>296.04000000000002</v>
      </c>
      <c r="GN24" s="93">
        <v>295.07</v>
      </c>
      <c r="GO24" s="93">
        <v>294.10000000000002</v>
      </c>
      <c r="GP24" s="93">
        <v>293.14999999999998</v>
      </c>
      <c r="GQ24" s="93">
        <v>292.19</v>
      </c>
      <c r="GR24" s="93">
        <v>291.23</v>
      </c>
      <c r="GS24" s="93">
        <v>290.26</v>
      </c>
      <c r="GT24" s="93">
        <v>289.31</v>
      </c>
      <c r="GU24" s="93">
        <v>288.35000000000002</v>
      </c>
      <c r="GV24" s="93">
        <v>287.39</v>
      </c>
      <c r="GW24" s="93">
        <v>286.44</v>
      </c>
      <c r="GX24" s="93">
        <v>285.48</v>
      </c>
      <c r="GY24" s="93">
        <v>284.52999999999997</v>
      </c>
      <c r="GZ24" s="93">
        <v>283.57</v>
      </c>
      <c r="HA24" s="93">
        <v>282.63</v>
      </c>
      <c r="HB24" s="93">
        <v>281.67</v>
      </c>
      <c r="HC24" s="93">
        <v>280.73</v>
      </c>
      <c r="HD24" s="93">
        <v>279.77999999999997</v>
      </c>
      <c r="HE24" s="93">
        <v>278.82</v>
      </c>
      <c r="HF24" s="93">
        <v>277.88</v>
      </c>
      <c r="HG24" s="93">
        <v>276.94</v>
      </c>
      <c r="HH24" s="93">
        <v>275.99</v>
      </c>
      <c r="HI24" s="93">
        <v>275.04000000000002</v>
      </c>
      <c r="HJ24" s="93">
        <v>274.10000000000002</v>
      </c>
      <c r="HK24" s="93">
        <v>273.16000000000003</v>
      </c>
      <c r="HL24" s="93">
        <v>272.23</v>
      </c>
      <c r="HM24" s="93">
        <v>271.29000000000002</v>
      </c>
      <c r="HN24" s="93">
        <v>270.35000000000002</v>
      </c>
      <c r="HO24" s="93">
        <v>269.43</v>
      </c>
      <c r="HP24" s="93">
        <v>268.5</v>
      </c>
      <c r="HQ24" s="93">
        <v>267.57</v>
      </c>
      <c r="HR24" s="93">
        <v>266.64</v>
      </c>
      <c r="HS24" s="93">
        <v>265.70999999999998</v>
      </c>
      <c r="HT24" s="93">
        <v>264.79000000000002</v>
      </c>
      <c r="HU24" s="93">
        <v>263.85000000000002</v>
      </c>
      <c r="HV24" s="93">
        <v>262.93</v>
      </c>
      <c r="HW24" s="93">
        <v>262.01</v>
      </c>
      <c r="HX24" s="93">
        <v>261.08999999999997</v>
      </c>
      <c r="HY24" s="93">
        <v>260.17</v>
      </c>
      <c r="HZ24" s="93">
        <v>259.25</v>
      </c>
      <c r="IA24" s="93">
        <v>258.32</v>
      </c>
      <c r="IB24" s="93">
        <v>257.41000000000003</v>
      </c>
      <c r="IC24" s="93">
        <v>256.49</v>
      </c>
      <c r="ID24" s="93">
        <v>255.58</v>
      </c>
      <c r="IE24" s="93">
        <v>254.66</v>
      </c>
      <c r="IF24" s="93">
        <v>253.75</v>
      </c>
      <c r="IG24" s="93">
        <v>252.83</v>
      </c>
      <c r="IH24" s="93">
        <v>251.92</v>
      </c>
      <c r="II24" s="93">
        <v>251.01</v>
      </c>
      <c r="IJ24" s="93">
        <v>250.1</v>
      </c>
      <c r="IK24" s="93">
        <v>249.19</v>
      </c>
      <c r="IL24" s="93">
        <v>248.28</v>
      </c>
      <c r="IM24" s="93">
        <v>247.38</v>
      </c>
      <c r="IN24" s="93">
        <v>246.47</v>
      </c>
      <c r="IO24" s="93">
        <v>245.57</v>
      </c>
      <c r="IP24" s="93">
        <v>244.67</v>
      </c>
      <c r="IQ24" s="93">
        <v>243.77</v>
      </c>
      <c r="IR24" s="93">
        <v>242.87</v>
      </c>
      <c r="IS24" s="93">
        <v>241.97</v>
      </c>
      <c r="IT24" s="93">
        <v>241.07</v>
      </c>
      <c r="IU24" s="93">
        <v>240.17</v>
      </c>
      <c r="IV24" s="93">
        <v>239.28</v>
      </c>
      <c r="IW24" s="93">
        <v>238.4</v>
      </c>
      <c r="IX24" s="93">
        <v>237.51</v>
      </c>
      <c r="IY24" s="93">
        <v>236.63</v>
      </c>
      <c r="IZ24" s="93">
        <v>235.74</v>
      </c>
      <c r="JA24" s="93">
        <v>234.86</v>
      </c>
      <c r="JB24" s="93">
        <v>233.98</v>
      </c>
      <c r="JC24" s="93">
        <v>233.1</v>
      </c>
      <c r="JD24" s="93">
        <v>232.22</v>
      </c>
      <c r="JE24" s="93">
        <v>231.34</v>
      </c>
      <c r="JF24" s="93">
        <v>230.46</v>
      </c>
      <c r="JG24" s="93">
        <v>229.59</v>
      </c>
      <c r="JH24" s="93">
        <v>228.71</v>
      </c>
      <c r="JI24" s="93">
        <v>227.84</v>
      </c>
      <c r="JJ24" s="93">
        <v>226.97</v>
      </c>
      <c r="JK24" s="93">
        <v>226.1</v>
      </c>
      <c r="JL24" s="93">
        <v>225.23</v>
      </c>
      <c r="JM24" s="93">
        <v>224.36</v>
      </c>
      <c r="JN24" s="93">
        <v>223.49</v>
      </c>
      <c r="JO24" s="93">
        <v>222.62</v>
      </c>
      <c r="JP24" s="93">
        <v>221.76</v>
      </c>
      <c r="JQ24" s="93">
        <v>220.89</v>
      </c>
      <c r="JR24" s="93">
        <v>220.03</v>
      </c>
      <c r="JS24" s="93">
        <v>219.17</v>
      </c>
      <c r="JT24" s="93">
        <v>218.3</v>
      </c>
      <c r="JU24" s="93">
        <v>217.44</v>
      </c>
      <c r="JV24" s="93">
        <v>216.57</v>
      </c>
      <c r="JW24" s="93">
        <v>215.71</v>
      </c>
      <c r="JX24" s="93">
        <v>214.84</v>
      </c>
      <c r="JY24" s="93">
        <v>213.98</v>
      </c>
      <c r="JZ24" s="93">
        <v>213.12</v>
      </c>
      <c r="KA24" s="93">
        <v>212.26</v>
      </c>
      <c r="KB24" s="93">
        <v>211.4</v>
      </c>
      <c r="KC24" s="93">
        <v>210.54</v>
      </c>
      <c r="KD24" s="93">
        <v>209.69</v>
      </c>
      <c r="KE24" s="93">
        <v>208.83</v>
      </c>
      <c r="KF24" s="93">
        <v>207.98</v>
      </c>
      <c r="KG24" s="93">
        <v>207.12</v>
      </c>
      <c r="KH24" s="93">
        <v>206.27</v>
      </c>
      <c r="KI24" s="93">
        <v>205.42</v>
      </c>
      <c r="KJ24" s="93">
        <v>204.57</v>
      </c>
      <c r="KK24" s="93">
        <v>203.72</v>
      </c>
      <c r="KL24" s="93">
        <v>202.87</v>
      </c>
      <c r="KM24" s="93">
        <v>202.02</v>
      </c>
      <c r="KN24" s="93">
        <v>201.18</v>
      </c>
      <c r="KO24" s="93">
        <v>200.33</v>
      </c>
      <c r="KP24" s="93">
        <v>199.49</v>
      </c>
      <c r="KQ24" s="93">
        <v>198.65</v>
      </c>
      <c r="KR24" s="98">
        <f t="shared" si="22"/>
        <v>198.02</v>
      </c>
      <c r="KS24" s="98">
        <f t="shared" si="22"/>
        <v>197.23</v>
      </c>
      <c r="KT24" s="98">
        <f t="shared" si="22"/>
        <v>196.41</v>
      </c>
      <c r="KU24" s="98">
        <f t="shared" si="22"/>
        <v>195.62</v>
      </c>
      <c r="KV24" s="98">
        <f t="shared" si="22"/>
        <v>194.84</v>
      </c>
      <c r="KW24" s="98">
        <f t="shared" si="22"/>
        <v>194.05</v>
      </c>
      <c r="KX24" s="98">
        <f t="shared" si="22"/>
        <v>193.26</v>
      </c>
      <c r="KY24" s="98">
        <f t="shared" si="22"/>
        <v>192.48</v>
      </c>
      <c r="KZ24" s="98">
        <f t="shared" si="22"/>
        <v>191.69</v>
      </c>
      <c r="LA24" s="98">
        <f t="shared" si="22"/>
        <v>190.91</v>
      </c>
      <c r="LB24" s="98">
        <f t="shared" si="22"/>
        <v>190.13</v>
      </c>
      <c r="LC24" s="98">
        <f t="shared" si="22"/>
        <v>189.35</v>
      </c>
      <c r="LD24" s="98">
        <f t="shared" si="22"/>
        <v>188.57</v>
      </c>
      <c r="LE24" s="98">
        <f t="shared" si="22"/>
        <v>187.79</v>
      </c>
      <c r="LF24" s="98">
        <f t="shared" si="22"/>
        <v>187.02</v>
      </c>
      <c r="LG24" s="98">
        <f t="shared" si="22"/>
        <v>186.25</v>
      </c>
      <c r="LH24" s="98">
        <f t="shared" si="21"/>
        <v>185.47</v>
      </c>
      <c r="LI24" s="98">
        <f t="shared" si="21"/>
        <v>184.7</v>
      </c>
      <c r="LJ24" s="98">
        <f t="shared" si="17"/>
        <v>183.93</v>
      </c>
      <c r="LK24" s="98">
        <f t="shared" si="17"/>
        <v>183.16</v>
      </c>
      <c r="LL24" s="98">
        <f t="shared" si="17"/>
        <v>182.39</v>
      </c>
      <c r="LM24" s="98">
        <f t="shared" si="17"/>
        <v>181.63</v>
      </c>
      <c r="LN24" s="98">
        <f t="shared" si="17"/>
        <v>180.86</v>
      </c>
      <c r="LO24" s="98">
        <f t="shared" si="17"/>
        <v>180.1</v>
      </c>
      <c r="LP24" s="98">
        <f t="shared" si="17"/>
        <v>179.34</v>
      </c>
      <c r="LQ24" s="98">
        <f t="shared" si="17"/>
        <v>178.58</v>
      </c>
      <c r="LR24" s="98">
        <f t="shared" si="17"/>
        <v>177.82</v>
      </c>
      <c r="LS24" s="98">
        <f t="shared" si="17"/>
        <v>177.06</v>
      </c>
      <c r="LT24" s="98">
        <f t="shared" si="17"/>
        <v>176.31</v>
      </c>
      <c r="LU24" s="98">
        <f t="shared" si="17"/>
        <v>175.56</v>
      </c>
      <c r="LV24" s="98">
        <f t="shared" si="17"/>
        <v>174.8</v>
      </c>
      <c r="LW24" s="98">
        <f t="shared" si="17"/>
        <v>174.05</v>
      </c>
      <c r="LX24" s="98">
        <f t="shared" si="17"/>
        <v>173.3</v>
      </c>
      <c r="LY24" s="98">
        <f t="shared" si="17"/>
        <v>172.55</v>
      </c>
      <c r="LZ24" s="98">
        <f t="shared" si="19"/>
        <v>171.81</v>
      </c>
      <c r="MA24" s="98">
        <f t="shared" si="19"/>
        <v>171.06</v>
      </c>
      <c r="MB24" s="98">
        <f t="shared" si="19"/>
        <v>170.32</v>
      </c>
      <c r="MC24" s="98">
        <f t="shared" si="19"/>
        <v>169.58</v>
      </c>
      <c r="MD24" s="98">
        <f t="shared" si="19"/>
        <v>168.84</v>
      </c>
      <c r="ME24" s="98">
        <f t="shared" si="19"/>
        <v>168.11</v>
      </c>
      <c r="MF24" s="98">
        <f t="shared" si="19"/>
        <v>167.37</v>
      </c>
      <c r="MG24" s="98">
        <f t="shared" si="19"/>
        <v>166.64</v>
      </c>
      <c r="MH24" s="98">
        <f t="shared" si="19"/>
        <v>165.9</v>
      </c>
      <c r="MI24" s="98">
        <f t="shared" si="19"/>
        <v>165.17</v>
      </c>
      <c r="MJ24" s="98">
        <f t="shared" si="19"/>
        <v>164.44</v>
      </c>
      <c r="MK24" s="98">
        <f t="shared" si="19"/>
        <v>163.71</v>
      </c>
      <c r="ML24" s="98">
        <f t="shared" si="19"/>
        <v>162.99</v>
      </c>
      <c r="MM24" s="98">
        <f t="shared" si="19"/>
        <v>162.26</v>
      </c>
      <c r="MN24" s="98">
        <f t="shared" si="19"/>
        <v>161.54</v>
      </c>
      <c r="MO24" s="98">
        <f t="shared" si="19"/>
        <v>160.82</v>
      </c>
      <c r="MP24" s="98">
        <f t="shared" si="19"/>
        <v>160.1</v>
      </c>
      <c r="MQ24" s="98">
        <f t="shared" si="19"/>
        <v>159.38999999999999</v>
      </c>
      <c r="MR24" s="98">
        <f t="shared" si="19"/>
        <v>158.66999999999999</v>
      </c>
      <c r="MS24" s="98">
        <f t="shared" si="19"/>
        <v>157.96</v>
      </c>
      <c r="MT24" s="98">
        <f t="shared" si="18"/>
        <v>157.24</v>
      </c>
      <c r="MU24" s="98">
        <f t="shared" si="18"/>
        <v>156.53</v>
      </c>
      <c r="MV24" s="98">
        <f t="shared" si="18"/>
        <v>155.82</v>
      </c>
      <c r="MW24" s="98">
        <f t="shared" si="18"/>
        <v>155.12</v>
      </c>
      <c r="MX24" s="98">
        <f t="shared" si="18"/>
        <v>154.41</v>
      </c>
      <c r="MY24" s="98">
        <f t="shared" si="18"/>
        <v>153.71</v>
      </c>
    </row>
    <row r="25" spans="1:363" ht="15.75" x14ac:dyDescent="0.25">
      <c r="A25" s="90" t="s">
        <v>6</v>
      </c>
      <c r="B25" s="95">
        <v>2035</v>
      </c>
      <c r="C25" s="93">
        <v>492.73</v>
      </c>
      <c r="D25" s="93">
        <v>491.69</v>
      </c>
      <c r="E25" s="93">
        <v>490.65</v>
      </c>
      <c r="F25" s="93">
        <v>489.62</v>
      </c>
      <c r="G25" s="93">
        <v>488.58</v>
      </c>
      <c r="H25" s="93">
        <v>487.54</v>
      </c>
      <c r="I25" s="93">
        <v>486.5</v>
      </c>
      <c r="J25" s="93">
        <v>485.47</v>
      </c>
      <c r="K25" s="93">
        <v>484.43</v>
      </c>
      <c r="L25" s="93">
        <v>483.39</v>
      </c>
      <c r="M25" s="93">
        <v>482.35</v>
      </c>
      <c r="N25" s="93">
        <v>481.31</v>
      </c>
      <c r="O25" s="93">
        <v>480.28</v>
      </c>
      <c r="P25" s="93">
        <v>479.24</v>
      </c>
      <c r="Q25" s="93">
        <v>478.2</v>
      </c>
      <c r="R25" s="93">
        <v>477.16</v>
      </c>
      <c r="S25" s="93">
        <v>476.13</v>
      </c>
      <c r="T25" s="93">
        <v>475.09</v>
      </c>
      <c r="U25" s="93">
        <v>474.05</v>
      </c>
      <c r="V25" s="93">
        <v>473.01</v>
      </c>
      <c r="W25" s="93">
        <v>471.98</v>
      </c>
      <c r="X25" s="93">
        <v>470.94</v>
      </c>
      <c r="Y25" s="93">
        <v>469.9</v>
      </c>
      <c r="Z25" s="93">
        <v>468.86</v>
      </c>
      <c r="AA25" s="93">
        <v>467.83</v>
      </c>
      <c r="AB25" s="93">
        <v>466.79</v>
      </c>
      <c r="AC25" s="93">
        <v>465.75</v>
      </c>
      <c r="AD25" s="93">
        <v>464.71</v>
      </c>
      <c r="AE25" s="93">
        <v>463.68</v>
      </c>
      <c r="AF25" s="93">
        <v>462.64</v>
      </c>
      <c r="AG25" s="93">
        <v>461.6</v>
      </c>
      <c r="AH25" s="93">
        <v>460.56</v>
      </c>
      <c r="AI25" s="93">
        <v>459.53</v>
      </c>
      <c r="AJ25" s="93">
        <v>458.49</v>
      </c>
      <c r="AK25" s="93">
        <v>457.45</v>
      </c>
      <c r="AL25" s="93">
        <v>456.42</v>
      </c>
      <c r="AM25" s="93">
        <v>455.38</v>
      </c>
      <c r="AN25" s="93">
        <v>454.34</v>
      </c>
      <c r="AO25" s="93">
        <v>453.3</v>
      </c>
      <c r="AP25" s="93">
        <v>452.27</v>
      </c>
      <c r="AQ25" s="93">
        <v>451.23</v>
      </c>
      <c r="AR25" s="93">
        <v>450.19</v>
      </c>
      <c r="AS25" s="93">
        <v>449.16</v>
      </c>
      <c r="AT25" s="93">
        <v>448.12</v>
      </c>
      <c r="AU25" s="93">
        <v>447.08</v>
      </c>
      <c r="AV25" s="93">
        <v>446.05</v>
      </c>
      <c r="AW25" s="93">
        <v>445.01</v>
      </c>
      <c r="AX25" s="93">
        <v>443.97</v>
      </c>
      <c r="AY25" s="93">
        <v>442.93</v>
      </c>
      <c r="AZ25" s="93">
        <v>441.9</v>
      </c>
      <c r="BA25" s="93">
        <v>440.86</v>
      </c>
      <c r="BB25" s="93">
        <v>439.83</v>
      </c>
      <c r="BC25" s="93">
        <v>438.79</v>
      </c>
      <c r="BD25" s="93">
        <v>437.75</v>
      </c>
      <c r="BE25" s="93">
        <v>436.72</v>
      </c>
      <c r="BF25" s="93">
        <v>435.68</v>
      </c>
      <c r="BG25" s="93">
        <v>434.64</v>
      </c>
      <c r="BH25" s="93">
        <v>433.61</v>
      </c>
      <c r="BI25" s="93">
        <v>432.57</v>
      </c>
      <c r="BJ25" s="93">
        <v>431.53</v>
      </c>
      <c r="BK25" s="93">
        <v>430.5</v>
      </c>
      <c r="BL25" s="93">
        <v>429.46</v>
      </c>
      <c r="BM25" s="93">
        <v>428.42</v>
      </c>
      <c r="BN25" s="93">
        <v>427.38</v>
      </c>
      <c r="BO25" s="93">
        <v>426.35</v>
      </c>
      <c r="BP25" s="93">
        <v>425.31</v>
      </c>
      <c r="BQ25" s="93">
        <v>424.27</v>
      </c>
      <c r="BR25" s="93">
        <v>423.24</v>
      </c>
      <c r="BS25" s="93">
        <v>422.2</v>
      </c>
      <c r="BT25" s="93">
        <v>421.17</v>
      </c>
      <c r="BU25" s="93">
        <v>420.13</v>
      </c>
      <c r="BV25" s="93">
        <v>419.09</v>
      </c>
      <c r="BW25" s="93">
        <v>418.06</v>
      </c>
      <c r="BX25" s="93">
        <v>417.03</v>
      </c>
      <c r="BY25" s="93">
        <v>415.99</v>
      </c>
      <c r="BZ25" s="93">
        <v>414.96</v>
      </c>
      <c r="CA25" s="93">
        <v>413.92</v>
      </c>
      <c r="CB25" s="93">
        <v>412.89</v>
      </c>
      <c r="CC25" s="93">
        <v>411.86</v>
      </c>
      <c r="CD25" s="93">
        <v>410.82</v>
      </c>
      <c r="CE25" s="93">
        <v>409.79</v>
      </c>
      <c r="CF25" s="93">
        <v>408.76</v>
      </c>
      <c r="CG25" s="93">
        <v>407.73</v>
      </c>
      <c r="CH25" s="93">
        <v>406.69</v>
      </c>
      <c r="CI25" s="93">
        <v>405.66</v>
      </c>
      <c r="CJ25" s="93">
        <v>404.63</v>
      </c>
      <c r="CK25" s="93">
        <v>403.6</v>
      </c>
      <c r="CL25" s="93">
        <v>402.56</v>
      </c>
      <c r="CM25" s="93">
        <v>401.53</v>
      </c>
      <c r="CN25" s="93">
        <v>400.5</v>
      </c>
      <c r="CO25" s="93">
        <v>399.47</v>
      </c>
      <c r="CP25" s="93">
        <v>398.44</v>
      </c>
      <c r="CQ25" s="93">
        <v>397.4</v>
      </c>
      <c r="CR25" s="93">
        <v>396.37</v>
      </c>
      <c r="CS25" s="93">
        <v>395.34</v>
      </c>
      <c r="CT25" s="93">
        <v>394.31</v>
      </c>
      <c r="CU25" s="93">
        <v>393.28</v>
      </c>
      <c r="CV25" s="93">
        <v>392.25</v>
      </c>
      <c r="CW25" s="93">
        <v>391.22</v>
      </c>
      <c r="CX25" s="93">
        <v>390.19</v>
      </c>
      <c r="CY25" s="93">
        <v>389.16</v>
      </c>
      <c r="CZ25" s="93">
        <v>388.13</v>
      </c>
      <c r="DA25" s="93">
        <v>387.1</v>
      </c>
      <c r="DB25" s="93">
        <v>386.07</v>
      </c>
      <c r="DC25" s="93">
        <v>385.04</v>
      </c>
      <c r="DD25" s="93">
        <v>384.01</v>
      </c>
      <c r="DE25" s="93">
        <v>382.98</v>
      </c>
      <c r="DF25" s="93">
        <v>381.96</v>
      </c>
      <c r="DG25" s="93">
        <v>380.93</v>
      </c>
      <c r="DH25" s="93">
        <v>379.9</v>
      </c>
      <c r="DI25" s="93">
        <v>378.87</v>
      </c>
      <c r="DJ25" s="93">
        <v>377.85</v>
      </c>
      <c r="DK25" s="93">
        <v>376.82</v>
      </c>
      <c r="DL25" s="93">
        <v>375.79</v>
      </c>
      <c r="DM25" s="93">
        <v>374.77</v>
      </c>
      <c r="DN25" s="93">
        <v>373.74</v>
      </c>
      <c r="DO25" s="93">
        <v>372.72</v>
      </c>
      <c r="DP25" s="93">
        <v>371.69</v>
      </c>
      <c r="DQ25" s="93">
        <v>370.67</v>
      </c>
      <c r="DR25" s="93">
        <v>369.64</v>
      </c>
      <c r="DS25" s="93">
        <v>368.62</v>
      </c>
      <c r="DT25" s="93">
        <v>367.6</v>
      </c>
      <c r="DU25" s="93">
        <v>366.58</v>
      </c>
      <c r="DV25" s="93">
        <v>365.56</v>
      </c>
      <c r="DW25" s="93">
        <v>364.54</v>
      </c>
      <c r="DX25" s="93">
        <v>363.52</v>
      </c>
      <c r="DY25" s="93">
        <v>362.5</v>
      </c>
      <c r="DZ25" s="93">
        <v>361.48</v>
      </c>
      <c r="EA25" s="93">
        <v>360.46</v>
      </c>
      <c r="EB25" s="93">
        <v>359.44</v>
      </c>
      <c r="EC25" s="93">
        <v>358.43</v>
      </c>
      <c r="ED25" s="93">
        <v>357.41</v>
      </c>
      <c r="EE25" s="93">
        <v>356.39</v>
      </c>
      <c r="EF25" s="93">
        <v>355.38</v>
      </c>
      <c r="EG25" s="93">
        <v>354.37</v>
      </c>
      <c r="EH25" s="93">
        <v>353.36</v>
      </c>
      <c r="EI25" s="93">
        <v>352.35</v>
      </c>
      <c r="EJ25" s="93">
        <v>351.34</v>
      </c>
      <c r="EK25" s="93">
        <v>350.33</v>
      </c>
      <c r="EL25" s="93">
        <v>349.32</v>
      </c>
      <c r="EM25" s="93">
        <v>348.31</v>
      </c>
      <c r="EN25" s="93">
        <v>347.31</v>
      </c>
      <c r="EO25" s="93">
        <v>346.3</v>
      </c>
      <c r="EP25" s="93">
        <v>345.29</v>
      </c>
      <c r="EQ25" s="93">
        <v>344.28</v>
      </c>
      <c r="ER25" s="93">
        <v>343.28</v>
      </c>
      <c r="ES25" s="93">
        <v>342.28</v>
      </c>
      <c r="ET25" s="93">
        <v>341.28</v>
      </c>
      <c r="EU25" s="93">
        <v>340.28</v>
      </c>
      <c r="EV25" s="93">
        <v>339.27</v>
      </c>
      <c r="EW25" s="93">
        <v>338.27</v>
      </c>
      <c r="EX25" s="93">
        <v>337.27</v>
      </c>
      <c r="EY25" s="93">
        <v>336.27</v>
      </c>
      <c r="EZ25" s="93">
        <v>335.27</v>
      </c>
      <c r="FA25" s="93">
        <v>334.27</v>
      </c>
      <c r="FB25" s="93">
        <v>333.27</v>
      </c>
      <c r="FC25" s="93">
        <v>332.28</v>
      </c>
      <c r="FD25" s="93">
        <v>331.28</v>
      </c>
      <c r="FE25" s="93">
        <v>330.29</v>
      </c>
      <c r="FF25" s="93">
        <v>329.3</v>
      </c>
      <c r="FG25" s="93">
        <v>328.3</v>
      </c>
      <c r="FH25" s="93">
        <v>327.31</v>
      </c>
      <c r="FI25" s="93">
        <v>326.32</v>
      </c>
      <c r="FJ25" s="93">
        <v>325.32</v>
      </c>
      <c r="FK25" s="93">
        <v>324.33999999999997</v>
      </c>
      <c r="FL25" s="93">
        <v>323.35000000000002</v>
      </c>
      <c r="FM25" s="93">
        <v>322.35000000000002</v>
      </c>
      <c r="FN25" s="93">
        <v>321.37</v>
      </c>
      <c r="FO25" s="93">
        <v>320.38</v>
      </c>
      <c r="FP25" s="93">
        <v>319.39999999999998</v>
      </c>
      <c r="FQ25" s="93">
        <v>318.41000000000003</v>
      </c>
      <c r="FR25" s="93">
        <v>317.43</v>
      </c>
      <c r="FS25" s="93">
        <v>316.44</v>
      </c>
      <c r="FT25" s="93">
        <v>315.45999999999998</v>
      </c>
      <c r="FU25" s="93">
        <v>314.47000000000003</v>
      </c>
      <c r="FV25" s="93">
        <v>313.49</v>
      </c>
      <c r="FW25" s="93">
        <v>312.51</v>
      </c>
      <c r="FX25" s="93">
        <v>311.52999999999997</v>
      </c>
      <c r="FY25" s="93">
        <v>310.54000000000002</v>
      </c>
      <c r="FZ25" s="93">
        <v>309.57</v>
      </c>
      <c r="GA25" s="93">
        <v>308.58999999999997</v>
      </c>
      <c r="GB25" s="93">
        <v>307.60000000000002</v>
      </c>
      <c r="GC25" s="93">
        <v>306.63</v>
      </c>
      <c r="GD25" s="93">
        <v>305.64999999999998</v>
      </c>
      <c r="GE25" s="93">
        <v>304.68</v>
      </c>
      <c r="GF25" s="93">
        <v>303.7</v>
      </c>
      <c r="GG25" s="93">
        <v>302.73</v>
      </c>
      <c r="GH25" s="93">
        <v>301.76</v>
      </c>
      <c r="GI25" s="93">
        <v>300.77999999999997</v>
      </c>
      <c r="GJ25" s="93">
        <v>299.81</v>
      </c>
      <c r="GK25" s="93">
        <v>298.83999999999997</v>
      </c>
      <c r="GL25" s="93">
        <v>297.87</v>
      </c>
      <c r="GM25" s="93">
        <v>296.89999999999998</v>
      </c>
      <c r="GN25" s="93">
        <v>295.93</v>
      </c>
      <c r="GO25" s="93">
        <v>294.97000000000003</v>
      </c>
      <c r="GP25" s="93">
        <v>294.01</v>
      </c>
      <c r="GQ25" s="93">
        <v>293.04000000000002</v>
      </c>
      <c r="GR25" s="93">
        <v>292.07</v>
      </c>
      <c r="GS25" s="93">
        <v>291.12</v>
      </c>
      <c r="GT25" s="93">
        <v>290.16000000000003</v>
      </c>
      <c r="GU25" s="93">
        <v>289.2</v>
      </c>
      <c r="GV25" s="93">
        <v>288.25</v>
      </c>
      <c r="GW25" s="93">
        <v>287.29000000000002</v>
      </c>
      <c r="GX25" s="93">
        <v>286.32</v>
      </c>
      <c r="GY25" s="93">
        <v>285.38</v>
      </c>
      <c r="GZ25" s="93">
        <v>284.42</v>
      </c>
      <c r="HA25" s="93">
        <v>283.47000000000003</v>
      </c>
      <c r="HB25" s="93">
        <v>282.51</v>
      </c>
      <c r="HC25" s="93">
        <v>281.57</v>
      </c>
      <c r="HD25" s="93">
        <v>280.62</v>
      </c>
      <c r="HE25" s="93">
        <v>279.67</v>
      </c>
      <c r="HF25" s="93">
        <v>278.72000000000003</v>
      </c>
      <c r="HG25" s="93">
        <v>277.77999999999997</v>
      </c>
      <c r="HH25" s="93">
        <v>276.82</v>
      </c>
      <c r="HI25" s="93">
        <v>275.88</v>
      </c>
      <c r="HJ25" s="93">
        <v>274.94</v>
      </c>
      <c r="HK25" s="93">
        <v>274</v>
      </c>
      <c r="HL25" s="93">
        <v>273.06</v>
      </c>
      <c r="HM25" s="93">
        <v>272.13</v>
      </c>
      <c r="HN25" s="93">
        <v>271.19</v>
      </c>
      <c r="HO25" s="93">
        <v>270.26</v>
      </c>
      <c r="HP25" s="93">
        <v>269.32</v>
      </c>
      <c r="HQ25" s="93">
        <v>268.39999999999998</v>
      </c>
      <c r="HR25" s="93">
        <v>267.47000000000003</v>
      </c>
      <c r="HS25" s="93">
        <v>266.54000000000002</v>
      </c>
      <c r="HT25" s="93">
        <v>265.60000000000002</v>
      </c>
      <c r="HU25" s="93">
        <v>264.68</v>
      </c>
      <c r="HV25" s="93">
        <v>263.76</v>
      </c>
      <c r="HW25" s="93">
        <v>262.82</v>
      </c>
      <c r="HX25" s="93">
        <v>261.91000000000003</v>
      </c>
      <c r="HY25" s="93">
        <v>260.99</v>
      </c>
      <c r="HZ25" s="93">
        <v>260.06</v>
      </c>
      <c r="IA25" s="93">
        <v>259.14</v>
      </c>
      <c r="IB25" s="93">
        <v>258.22000000000003</v>
      </c>
      <c r="IC25" s="93">
        <v>257.31</v>
      </c>
      <c r="ID25" s="93">
        <v>256.39</v>
      </c>
      <c r="IE25" s="93">
        <v>255.47</v>
      </c>
      <c r="IF25" s="93">
        <v>254.56</v>
      </c>
      <c r="IG25" s="93">
        <v>253.64</v>
      </c>
      <c r="IH25" s="93">
        <v>252.73</v>
      </c>
      <c r="II25" s="93">
        <v>251.81</v>
      </c>
      <c r="IJ25" s="93">
        <v>250.9</v>
      </c>
      <c r="IK25" s="93">
        <v>249.99</v>
      </c>
      <c r="IL25" s="93">
        <v>249.09</v>
      </c>
      <c r="IM25" s="93">
        <v>248.18</v>
      </c>
      <c r="IN25" s="93">
        <v>247.27</v>
      </c>
      <c r="IO25" s="93">
        <v>246.37</v>
      </c>
      <c r="IP25" s="93">
        <v>245.46</v>
      </c>
      <c r="IQ25" s="93">
        <v>244.56</v>
      </c>
      <c r="IR25" s="93">
        <v>243.66</v>
      </c>
      <c r="IS25" s="93">
        <v>242.76</v>
      </c>
      <c r="IT25" s="93">
        <v>241.86</v>
      </c>
      <c r="IU25" s="93">
        <v>240.96</v>
      </c>
      <c r="IV25" s="93">
        <v>240.07</v>
      </c>
      <c r="IW25" s="93">
        <v>239.18</v>
      </c>
      <c r="IX25" s="93">
        <v>238.29</v>
      </c>
      <c r="IY25" s="93">
        <v>237.41</v>
      </c>
      <c r="IZ25" s="93">
        <v>236.52</v>
      </c>
      <c r="JA25" s="93">
        <v>235.64</v>
      </c>
      <c r="JB25" s="93">
        <v>234.76</v>
      </c>
      <c r="JC25" s="93">
        <v>233.87</v>
      </c>
      <c r="JD25" s="93">
        <v>232.99</v>
      </c>
      <c r="JE25" s="93">
        <v>232.11</v>
      </c>
      <c r="JF25" s="93">
        <v>231.24</v>
      </c>
      <c r="JG25" s="93">
        <v>230.36</v>
      </c>
      <c r="JH25" s="93">
        <v>229.48</v>
      </c>
      <c r="JI25" s="93">
        <v>228.61</v>
      </c>
      <c r="JJ25" s="93">
        <v>227.73</v>
      </c>
      <c r="JK25" s="93">
        <v>226.86</v>
      </c>
      <c r="JL25" s="93">
        <v>225.99</v>
      </c>
      <c r="JM25" s="93">
        <v>225.12</v>
      </c>
      <c r="JN25" s="93">
        <v>224.25</v>
      </c>
      <c r="JO25" s="93">
        <v>223.38</v>
      </c>
      <c r="JP25" s="93">
        <v>222.52</v>
      </c>
      <c r="JQ25" s="93">
        <v>221.65</v>
      </c>
      <c r="JR25" s="93">
        <v>220.78</v>
      </c>
      <c r="JS25" s="93">
        <v>219.92</v>
      </c>
      <c r="JT25" s="93">
        <v>219.05</v>
      </c>
      <c r="JU25" s="93">
        <v>218.18</v>
      </c>
      <c r="JV25" s="93">
        <v>217.32</v>
      </c>
      <c r="JW25" s="93">
        <v>216.45</v>
      </c>
      <c r="JX25" s="93">
        <v>215.59</v>
      </c>
      <c r="JY25" s="93">
        <v>214.72</v>
      </c>
      <c r="JZ25" s="93">
        <v>213.86</v>
      </c>
      <c r="KA25" s="93">
        <v>213</v>
      </c>
      <c r="KB25" s="93">
        <v>212.14</v>
      </c>
      <c r="KC25" s="93">
        <v>211.28</v>
      </c>
      <c r="KD25" s="93">
        <v>210.42</v>
      </c>
      <c r="KE25" s="93">
        <v>209.56</v>
      </c>
      <c r="KF25" s="93">
        <v>208.7</v>
      </c>
      <c r="KG25" s="93">
        <v>207.85</v>
      </c>
      <c r="KH25" s="93">
        <v>206.99</v>
      </c>
      <c r="KI25" s="93">
        <v>206.14</v>
      </c>
      <c r="KJ25" s="93">
        <v>205.29</v>
      </c>
      <c r="KK25" s="93">
        <v>204.44</v>
      </c>
      <c r="KL25" s="93">
        <v>203.59</v>
      </c>
      <c r="KM25" s="93">
        <v>202.74</v>
      </c>
      <c r="KN25" s="93">
        <v>201.89</v>
      </c>
      <c r="KO25" s="93">
        <v>201.04</v>
      </c>
      <c r="KP25" s="93">
        <v>200.2</v>
      </c>
      <c r="KQ25" s="93">
        <v>199.35</v>
      </c>
      <c r="KR25" s="98">
        <f t="shared" si="22"/>
        <v>198.77</v>
      </c>
      <c r="KS25" s="98">
        <f t="shared" si="22"/>
        <v>197.98</v>
      </c>
      <c r="KT25" s="98">
        <f t="shared" si="22"/>
        <v>197.16</v>
      </c>
      <c r="KU25" s="98">
        <f t="shared" si="22"/>
        <v>196.37</v>
      </c>
      <c r="KV25" s="98">
        <f t="shared" si="22"/>
        <v>195.59</v>
      </c>
      <c r="KW25" s="98">
        <f t="shared" si="22"/>
        <v>194.8</v>
      </c>
      <c r="KX25" s="98">
        <f t="shared" si="22"/>
        <v>194.01</v>
      </c>
      <c r="KY25" s="98">
        <f t="shared" si="22"/>
        <v>193.23</v>
      </c>
      <c r="KZ25" s="98">
        <f t="shared" si="22"/>
        <v>192.44</v>
      </c>
      <c r="LA25" s="98">
        <f t="shared" si="22"/>
        <v>191.66</v>
      </c>
      <c r="LB25" s="98">
        <f t="shared" si="22"/>
        <v>190.88</v>
      </c>
      <c r="LC25" s="98">
        <f t="shared" si="22"/>
        <v>190.1</v>
      </c>
      <c r="LD25" s="98">
        <f t="shared" si="22"/>
        <v>189.32</v>
      </c>
      <c r="LE25" s="98">
        <f t="shared" si="22"/>
        <v>188.54</v>
      </c>
      <c r="LF25" s="98">
        <f t="shared" si="22"/>
        <v>187.77</v>
      </c>
      <c r="LG25" s="98">
        <f t="shared" si="22"/>
        <v>187</v>
      </c>
      <c r="LH25" s="98">
        <f t="shared" si="21"/>
        <v>186.22</v>
      </c>
      <c r="LI25" s="98">
        <f t="shared" si="21"/>
        <v>185.45</v>
      </c>
      <c r="LJ25" s="98">
        <f t="shared" si="21"/>
        <v>184.68</v>
      </c>
      <c r="LK25" s="98">
        <f t="shared" si="21"/>
        <v>183.91</v>
      </c>
      <c r="LL25" s="98">
        <f t="shared" si="21"/>
        <v>183.14</v>
      </c>
      <c r="LM25" s="98">
        <f t="shared" si="21"/>
        <v>182.38</v>
      </c>
      <c r="LN25" s="98">
        <f t="shared" si="21"/>
        <v>181.61</v>
      </c>
      <c r="LO25" s="98">
        <f t="shared" si="21"/>
        <v>180.85</v>
      </c>
      <c r="LP25" s="98">
        <f t="shared" si="21"/>
        <v>180.09</v>
      </c>
      <c r="LQ25" s="98">
        <f t="shared" si="21"/>
        <v>179.33</v>
      </c>
      <c r="LR25" s="98">
        <f t="shared" si="21"/>
        <v>178.57</v>
      </c>
      <c r="LS25" s="98">
        <f t="shared" si="21"/>
        <v>177.81</v>
      </c>
      <c r="LT25" s="98">
        <f t="shared" si="21"/>
        <v>177.06</v>
      </c>
      <c r="LU25" s="98">
        <f t="shared" si="21"/>
        <v>176.31</v>
      </c>
      <c r="LV25" s="98">
        <f t="shared" si="21"/>
        <v>175.55</v>
      </c>
      <c r="LW25" s="98">
        <f t="shared" si="21"/>
        <v>174.8</v>
      </c>
      <c r="LX25" s="98">
        <f t="shared" ref="LX25:MM40" si="23">LX24+0.75</f>
        <v>174.05</v>
      </c>
      <c r="LY25" s="98">
        <f t="shared" si="23"/>
        <v>173.3</v>
      </c>
      <c r="LZ25" s="98">
        <f t="shared" si="19"/>
        <v>172.56</v>
      </c>
      <c r="MA25" s="98">
        <f t="shared" si="19"/>
        <v>171.81</v>
      </c>
      <c r="MB25" s="98">
        <f t="shared" si="19"/>
        <v>171.07</v>
      </c>
      <c r="MC25" s="98">
        <f t="shared" si="19"/>
        <v>170.33</v>
      </c>
      <c r="MD25" s="98">
        <f t="shared" si="19"/>
        <v>169.59</v>
      </c>
      <c r="ME25" s="98">
        <f t="shared" si="19"/>
        <v>168.86</v>
      </c>
      <c r="MF25" s="98">
        <f t="shared" si="19"/>
        <v>168.12</v>
      </c>
      <c r="MG25" s="98">
        <f t="shared" si="19"/>
        <v>167.39</v>
      </c>
      <c r="MH25" s="98">
        <f t="shared" si="19"/>
        <v>166.65</v>
      </c>
      <c r="MI25" s="98">
        <f t="shared" si="19"/>
        <v>165.92</v>
      </c>
      <c r="MJ25" s="98">
        <f t="shared" si="19"/>
        <v>165.19</v>
      </c>
      <c r="MK25" s="98">
        <f t="shared" si="19"/>
        <v>164.46</v>
      </c>
      <c r="ML25" s="98">
        <f t="shared" si="19"/>
        <v>163.74</v>
      </c>
      <c r="MM25" s="98">
        <f t="shared" si="19"/>
        <v>163.01</v>
      </c>
      <c r="MN25" s="98">
        <f t="shared" si="19"/>
        <v>162.29</v>
      </c>
      <c r="MO25" s="98">
        <f t="shared" si="19"/>
        <v>161.57</v>
      </c>
      <c r="MP25" s="98">
        <f t="shared" si="19"/>
        <v>160.85</v>
      </c>
      <c r="MQ25" s="98">
        <f t="shared" si="19"/>
        <v>160.13999999999999</v>
      </c>
      <c r="MR25" s="98">
        <f t="shared" si="19"/>
        <v>159.41999999999999</v>
      </c>
      <c r="MS25" s="98">
        <f t="shared" si="19"/>
        <v>158.71</v>
      </c>
      <c r="MT25" s="98">
        <f t="shared" si="18"/>
        <v>157.99</v>
      </c>
      <c r="MU25" s="98">
        <f t="shared" si="18"/>
        <v>157.28</v>
      </c>
      <c r="MV25" s="98">
        <f t="shared" si="18"/>
        <v>156.57</v>
      </c>
      <c r="MW25" s="98">
        <f t="shared" si="18"/>
        <v>155.87</v>
      </c>
      <c r="MX25" s="98">
        <f t="shared" si="18"/>
        <v>155.16</v>
      </c>
      <c r="MY25" s="98">
        <f>MY24+0.75</f>
        <v>154.46</v>
      </c>
    </row>
    <row r="26" spans="1:363" ht="15.75" x14ac:dyDescent="0.25">
      <c r="A26" s="90" t="s">
        <v>6</v>
      </c>
      <c r="B26" s="95">
        <v>2036</v>
      </c>
      <c r="C26" s="93">
        <v>493.65</v>
      </c>
      <c r="D26" s="93">
        <v>492.61</v>
      </c>
      <c r="E26" s="93">
        <v>491.57</v>
      </c>
      <c r="F26" s="93">
        <v>490.53</v>
      </c>
      <c r="G26" s="93">
        <v>489.5</v>
      </c>
      <c r="H26" s="93">
        <v>488.46</v>
      </c>
      <c r="I26" s="93">
        <v>487.42</v>
      </c>
      <c r="J26" s="93">
        <v>486.38</v>
      </c>
      <c r="K26" s="93">
        <v>485.35</v>
      </c>
      <c r="L26" s="93">
        <v>484.31</v>
      </c>
      <c r="M26" s="93">
        <v>483.27</v>
      </c>
      <c r="N26" s="93">
        <v>482.23</v>
      </c>
      <c r="O26" s="93">
        <v>481.2</v>
      </c>
      <c r="P26" s="93">
        <v>480.16</v>
      </c>
      <c r="Q26" s="93">
        <v>479.12</v>
      </c>
      <c r="R26" s="93">
        <v>478.08</v>
      </c>
      <c r="S26" s="93">
        <v>477.04</v>
      </c>
      <c r="T26" s="93">
        <v>476.01</v>
      </c>
      <c r="U26" s="93">
        <v>474.97</v>
      </c>
      <c r="V26" s="93">
        <v>473.93</v>
      </c>
      <c r="W26" s="93">
        <v>472.89</v>
      </c>
      <c r="X26" s="93">
        <v>471.86</v>
      </c>
      <c r="Y26" s="93">
        <v>470.82</v>
      </c>
      <c r="Z26" s="93">
        <v>469.78</v>
      </c>
      <c r="AA26" s="93">
        <v>468.75</v>
      </c>
      <c r="AB26" s="93">
        <v>467.71</v>
      </c>
      <c r="AC26" s="93">
        <v>466.67</v>
      </c>
      <c r="AD26" s="93">
        <v>465.63</v>
      </c>
      <c r="AE26" s="93">
        <v>464.6</v>
      </c>
      <c r="AF26" s="93">
        <v>463.56</v>
      </c>
      <c r="AG26" s="93">
        <v>462.52</v>
      </c>
      <c r="AH26" s="93">
        <v>461.48</v>
      </c>
      <c r="AI26" s="93">
        <v>460.45</v>
      </c>
      <c r="AJ26" s="93">
        <v>459.41</v>
      </c>
      <c r="AK26" s="93">
        <v>458.37</v>
      </c>
      <c r="AL26" s="93">
        <v>457.34</v>
      </c>
      <c r="AM26" s="93">
        <v>456.3</v>
      </c>
      <c r="AN26" s="93">
        <v>455.26</v>
      </c>
      <c r="AO26" s="93">
        <v>454.22</v>
      </c>
      <c r="AP26" s="93">
        <v>453.19</v>
      </c>
      <c r="AQ26" s="93">
        <v>452.15</v>
      </c>
      <c r="AR26" s="93">
        <v>451.11</v>
      </c>
      <c r="AS26" s="93">
        <v>450.08</v>
      </c>
      <c r="AT26" s="93">
        <v>449.04</v>
      </c>
      <c r="AU26" s="93">
        <v>448</v>
      </c>
      <c r="AV26" s="93">
        <v>446.96</v>
      </c>
      <c r="AW26" s="93">
        <v>445.93</v>
      </c>
      <c r="AX26" s="93">
        <v>444.89</v>
      </c>
      <c r="AY26" s="93">
        <v>443.85</v>
      </c>
      <c r="AZ26" s="93">
        <v>442.82</v>
      </c>
      <c r="BA26" s="93">
        <v>441.78</v>
      </c>
      <c r="BB26" s="93">
        <v>440.74</v>
      </c>
      <c r="BC26" s="93">
        <v>439.71</v>
      </c>
      <c r="BD26" s="93">
        <v>438.67</v>
      </c>
      <c r="BE26" s="93">
        <v>437.63</v>
      </c>
      <c r="BF26" s="93">
        <v>436.6</v>
      </c>
      <c r="BG26" s="93">
        <v>435.56</v>
      </c>
      <c r="BH26" s="93">
        <v>434.52</v>
      </c>
      <c r="BI26" s="93">
        <v>433.49</v>
      </c>
      <c r="BJ26" s="93">
        <v>432.45</v>
      </c>
      <c r="BK26" s="93">
        <v>431.41</v>
      </c>
      <c r="BL26" s="93">
        <v>430.38</v>
      </c>
      <c r="BM26" s="93">
        <v>429.34</v>
      </c>
      <c r="BN26" s="93">
        <v>428.3</v>
      </c>
      <c r="BO26" s="93">
        <v>427.27</v>
      </c>
      <c r="BP26" s="93">
        <v>426.23</v>
      </c>
      <c r="BQ26" s="93">
        <v>425.19</v>
      </c>
      <c r="BR26" s="93">
        <v>424.16</v>
      </c>
      <c r="BS26" s="93">
        <v>423.12</v>
      </c>
      <c r="BT26" s="93">
        <v>422.08</v>
      </c>
      <c r="BU26" s="93">
        <v>421.05</v>
      </c>
      <c r="BV26" s="93">
        <v>420.01</v>
      </c>
      <c r="BW26" s="93">
        <v>418.98</v>
      </c>
      <c r="BX26" s="93">
        <v>417.94</v>
      </c>
      <c r="BY26" s="93">
        <v>416.91</v>
      </c>
      <c r="BZ26" s="93">
        <v>415.87</v>
      </c>
      <c r="CA26" s="93">
        <v>414.84</v>
      </c>
      <c r="CB26" s="93">
        <v>413.81</v>
      </c>
      <c r="CC26" s="93">
        <v>412.77</v>
      </c>
      <c r="CD26" s="93">
        <v>411.74</v>
      </c>
      <c r="CE26" s="93">
        <v>410.71</v>
      </c>
      <c r="CF26" s="93">
        <v>409.67</v>
      </c>
      <c r="CG26" s="93">
        <v>408.64</v>
      </c>
      <c r="CH26" s="93">
        <v>407.61</v>
      </c>
      <c r="CI26" s="93">
        <v>406.58</v>
      </c>
      <c r="CJ26" s="93">
        <v>405.54</v>
      </c>
      <c r="CK26" s="93">
        <v>404.51</v>
      </c>
      <c r="CL26" s="93">
        <v>403.48</v>
      </c>
      <c r="CM26" s="93">
        <v>402.45</v>
      </c>
      <c r="CN26" s="93">
        <v>401.41</v>
      </c>
      <c r="CO26" s="93">
        <v>400.38</v>
      </c>
      <c r="CP26" s="93">
        <v>399.35</v>
      </c>
      <c r="CQ26" s="93">
        <v>398.32</v>
      </c>
      <c r="CR26" s="93">
        <v>397.28</v>
      </c>
      <c r="CS26" s="93">
        <v>396.25</v>
      </c>
      <c r="CT26" s="93">
        <v>395.22</v>
      </c>
      <c r="CU26" s="93">
        <v>394.19</v>
      </c>
      <c r="CV26" s="93">
        <v>393.16</v>
      </c>
      <c r="CW26" s="93">
        <v>392.13</v>
      </c>
      <c r="CX26" s="93">
        <v>391.1</v>
      </c>
      <c r="CY26" s="93">
        <v>390.07</v>
      </c>
      <c r="CZ26" s="93">
        <v>389.04</v>
      </c>
      <c r="DA26" s="93">
        <v>388.01</v>
      </c>
      <c r="DB26" s="93">
        <v>386.98</v>
      </c>
      <c r="DC26" s="93">
        <v>385.95</v>
      </c>
      <c r="DD26" s="93">
        <v>384.92</v>
      </c>
      <c r="DE26" s="93">
        <v>383.89</v>
      </c>
      <c r="DF26" s="93">
        <v>382.86</v>
      </c>
      <c r="DG26" s="93">
        <v>381.83</v>
      </c>
      <c r="DH26" s="93">
        <v>380.81</v>
      </c>
      <c r="DI26" s="93">
        <v>379.78</v>
      </c>
      <c r="DJ26" s="93">
        <v>378.75</v>
      </c>
      <c r="DK26" s="93">
        <v>377.73</v>
      </c>
      <c r="DL26" s="93">
        <v>376.7</v>
      </c>
      <c r="DM26" s="93">
        <v>375.67</v>
      </c>
      <c r="DN26" s="93">
        <v>374.65</v>
      </c>
      <c r="DO26" s="93">
        <v>373.62</v>
      </c>
      <c r="DP26" s="93">
        <v>372.6</v>
      </c>
      <c r="DQ26" s="93">
        <v>371.57</v>
      </c>
      <c r="DR26" s="93">
        <v>370.54</v>
      </c>
      <c r="DS26" s="93">
        <v>369.52</v>
      </c>
      <c r="DT26" s="93">
        <v>368.5</v>
      </c>
      <c r="DU26" s="93">
        <v>367.48</v>
      </c>
      <c r="DV26" s="93">
        <v>366.46</v>
      </c>
      <c r="DW26" s="93">
        <v>365.44</v>
      </c>
      <c r="DX26" s="93">
        <v>364.42</v>
      </c>
      <c r="DY26" s="93">
        <v>363.4</v>
      </c>
      <c r="DZ26" s="93">
        <v>362.38</v>
      </c>
      <c r="EA26" s="93">
        <v>361.36</v>
      </c>
      <c r="EB26" s="93">
        <v>360.34</v>
      </c>
      <c r="EC26" s="93">
        <v>359.32</v>
      </c>
      <c r="ED26" s="93">
        <v>358.31</v>
      </c>
      <c r="EE26" s="93">
        <v>357.29</v>
      </c>
      <c r="EF26" s="93">
        <v>356.28</v>
      </c>
      <c r="EG26" s="93">
        <v>355.27</v>
      </c>
      <c r="EH26" s="93">
        <v>354.26</v>
      </c>
      <c r="EI26" s="93">
        <v>353.24</v>
      </c>
      <c r="EJ26" s="93">
        <v>352.23</v>
      </c>
      <c r="EK26" s="93">
        <v>351.23</v>
      </c>
      <c r="EL26" s="93">
        <v>350.22</v>
      </c>
      <c r="EM26" s="93">
        <v>349.21</v>
      </c>
      <c r="EN26" s="93">
        <v>348.2</v>
      </c>
      <c r="EO26" s="93">
        <v>347.19</v>
      </c>
      <c r="EP26" s="93">
        <v>346.18</v>
      </c>
      <c r="EQ26" s="93">
        <v>345.18</v>
      </c>
      <c r="ER26" s="93">
        <v>344.17</v>
      </c>
      <c r="ES26" s="93">
        <v>343.17</v>
      </c>
      <c r="ET26" s="93">
        <v>342.17</v>
      </c>
      <c r="EU26" s="93">
        <v>341.16</v>
      </c>
      <c r="EV26" s="93">
        <v>340.16</v>
      </c>
      <c r="EW26" s="93">
        <v>339.16</v>
      </c>
      <c r="EX26" s="93">
        <v>338.16</v>
      </c>
      <c r="EY26" s="93">
        <v>337.16</v>
      </c>
      <c r="EZ26" s="93">
        <v>336.16</v>
      </c>
      <c r="FA26" s="93">
        <v>335.16</v>
      </c>
      <c r="FB26" s="93">
        <v>334.16</v>
      </c>
      <c r="FC26" s="93">
        <v>333.16</v>
      </c>
      <c r="FD26" s="93">
        <v>332.16</v>
      </c>
      <c r="FE26" s="93">
        <v>331.17</v>
      </c>
      <c r="FF26" s="93">
        <v>330.18</v>
      </c>
      <c r="FG26" s="93">
        <v>329.18</v>
      </c>
      <c r="FH26" s="93">
        <v>328.19</v>
      </c>
      <c r="FI26" s="93">
        <v>327.2</v>
      </c>
      <c r="FJ26" s="93">
        <v>326.20999999999998</v>
      </c>
      <c r="FK26" s="93">
        <v>325.22000000000003</v>
      </c>
      <c r="FL26" s="93">
        <v>324.23</v>
      </c>
      <c r="FM26" s="93">
        <v>323.24</v>
      </c>
      <c r="FN26" s="93">
        <v>322.25</v>
      </c>
      <c r="FO26" s="93">
        <v>321.26</v>
      </c>
      <c r="FP26" s="93">
        <v>320.26</v>
      </c>
      <c r="FQ26" s="93">
        <v>319.27999999999997</v>
      </c>
      <c r="FR26" s="93">
        <v>318.29000000000002</v>
      </c>
      <c r="FS26" s="93">
        <v>317.31</v>
      </c>
      <c r="FT26" s="93">
        <v>316.32</v>
      </c>
      <c r="FU26" s="93">
        <v>315.33999999999997</v>
      </c>
      <c r="FV26" s="93">
        <v>314.35000000000002</v>
      </c>
      <c r="FW26" s="93">
        <v>313.38</v>
      </c>
      <c r="FX26" s="93">
        <v>312.39</v>
      </c>
      <c r="FY26" s="93">
        <v>311.41000000000003</v>
      </c>
      <c r="FZ26" s="93">
        <v>310.43</v>
      </c>
      <c r="GA26" s="93">
        <v>309.45</v>
      </c>
      <c r="GB26" s="93">
        <v>308.47000000000003</v>
      </c>
      <c r="GC26" s="93">
        <v>307.49</v>
      </c>
      <c r="GD26" s="93">
        <v>306.51</v>
      </c>
      <c r="GE26" s="93">
        <v>305.54000000000002</v>
      </c>
      <c r="GF26" s="93">
        <v>304.56</v>
      </c>
      <c r="GG26" s="93">
        <v>303.58999999999997</v>
      </c>
      <c r="GH26" s="93">
        <v>302.60000000000002</v>
      </c>
      <c r="GI26" s="93">
        <v>301.64</v>
      </c>
      <c r="GJ26" s="93">
        <v>300.67</v>
      </c>
      <c r="GK26" s="93">
        <v>299.69</v>
      </c>
      <c r="GL26" s="93">
        <v>298.72000000000003</v>
      </c>
      <c r="GM26" s="93">
        <v>297.75</v>
      </c>
      <c r="GN26" s="93">
        <v>296.79000000000002</v>
      </c>
      <c r="GO26" s="93">
        <v>295.82</v>
      </c>
      <c r="GP26" s="93">
        <v>294.85000000000002</v>
      </c>
      <c r="GQ26" s="93">
        <v>293.89999999999998</v>
      </c>
      <c r="GR26" s="93">
        <v>292.93</v>
      </c>
      <c r="GS26" s="93">
        <v>291.97000000000003</v>
      </c>
      <c r="GT26" s="93">
        <v>291.01</v>
      </c>
      <c r="GU26" s="93">
        <v>290.04000000000002</v>
      </c>
      <c r="GV26" s="93">
        <v>289.08999999999997</v>
      </c>
      <c r="GW26" s="93">
        <v>288.13</v>
      </c>
      <c r="GX26" s="93">
        <v>287.18</v>
      </c>
      <c r="GY26" s="93">
        <v>286.22000000000003</v>
      </c>
      <c r="GZ26" s="93">
        <v>285.26</v>
      </c>
      <c r="HA26" s="93">
        <v>284.31</v>
      </c>
      <c r="HB26" s="93">
        <v>283.35000000000002</v>
      </c>
      <c r="HC26" s="93">
        <v>282.41000000000003</v>
      </c>
      <c r="HD26" s="93">
        <v>281.45999999999998</v>
      </c>
      <c r="HE26" s="93">
        <v>280.51</v>
      </c>
      <c r="HF26" s="93">
        <v>279.56</v>
      </c>
      <c r="HG26" s="93">
        <v>278.60000000000002</v>
      </c>
      <c r="HH26" s="93">
        <v>277.66000000000003</v>
      </c>
      <c r="HI26" s="93">
        <v>276.72000000000003</v>
      </c>
      <c r="HJ26" s="93">
        <v>275.76</v>
      </c>
      <c r="HK26" s="93">
        <v>274.82</v>
      </c>
      <c r="HL26" s="93">
        <v>273.89</v>
      </c>
      <c r="HM26" s="93">
        <v>272.95</v>
      </c>
      <c r="HN26" s="93">
        <v>272.01</v>
      </c>
      <c r="HO26" s="93">
        <v>271.08999999999997</v>
      </c>
      <c r="HP26" s="93">
        <v>270.14999999999998</v>
      </c>
      <c r="HQ26" s="93">
        <v>269.22000000000003</v>
      </c>
      <c r="HR26" s="93">
        <v>268.29000000000002</v>
      </c>
      <c r="HS26" s="93">
        <v>267.35000000000002</v>
      </c>
      <c r="HT26" s="93">
        <v>266.43</v>
      </c>
      <c r="HU26" s="93">
        <v>265.5</v>
      </c>
      <c r="HV26" s="93">
        <v>264.57</v>
      </c>
      <c r="HW26" s="93">
        <v>263.64999999999998</v>
      </c>
      <c r="HX26" s="93">
        <v>262.72000000000003</v>
      </c>
      <c r="HY26" s="93">
        <v>261.79000000000002</v>
      </c>
      <c r="HZ26" s="93">
        <v>260.88</v>
      </c>
      <c r="IA26" s="93">
        <v>259.95999999999998</v>
      </c>
      <c r="IB26" s="93">
        <v>259.02999999999997</v>
      </c>
      <c r="IC26" s="93">
        <v>258.10000000000002</v>
      </c>
      <c r="ID26" s="93">
        <v>257.2</v>
      </c>
      <c r="IE26" s="93">
        <v>256.27999999999997</v>
      </c>
      <c r="IF26" s="93">
        <v>255.36</v>
      </c>
      <c r="IG26" s="93">
        <v>254.44</v>
      </c>
      <c r="IH26" s="93">
        <v>253.53</v>
      </c>
      <c r="II26" s="93">
        <v>252.61</v>
      </c>
      <c r="IJ26" s="93">
        <v>251.7</v>
      </c>
      <c r="IK26" s="93">
        <v>250.79</v>
      </c>
      <c r="IL26" s="93">
        <v>249.88</v>
      </c>
      <c r="IM26" s="93">
        <v>248.97</v>
      </c>
      <c r="IN26" s="93">
        <v>248.07</v>
      </c>
      <c r="IO26" s="93">
        <v>247.16</v>
      </c>
      <c r="IP26" s="93">
        <v>246.25</v>
      </c>
      <c r="IQ26" s="93">
        <v>245.35</v>
      </c>
      <c r="IR26" s="93">
        <v>244.45</v>
      </c>
      <c r="IS26" s="93">
        <v>243.54</v>
      </c>
      <c r="IT26" s="93">
        <v>242.64</v>
      </c>
      <c r="IU26" s="93">
        <v>241.74</v>
      </c>
      <c r="IV26" s="93">
        <v>240.85</v>
      </c>
      <c r="IW26" s="93">
        <v>239.96</v>
      </c>
      <c r="IX26" s="93">
        <v>239.07</v>
      </c>
      <c r="IY26" s="93">
        <v>238.19</v>
      </c>
      <c r="IZ26" s="93">
        <v>237.3</v>
      </c>
      <c r="JA26" s="93">
        <v>236.41</v>
      </c>
      <c r="JB26" s="93">
        <v>235.53</v>
      </c>
      <c r="JC26" s="93">
        <v>234.65</v>
      </c>
      <c r="JD26" s="93">
        <v>233.77</v>
      </c>
      <c r="JE26" s="93">
        <v>232.88</v>
      </c>
      <c r="JF26" s="93">
        <v>232</v>
      </c>
      <c r="JG26" s="93">
        <v>231.12</v>
      </c>
      <c r="JH26" s="93">
        <v>230.25</v>
      </c>
      <c r="JI26" s="93">
        <v>229.37</v>
      </c>
      <c r="JJ26" s="93">
        <v>228.5</v>
      </c>
      <c r="JK26" s="93">
        <v>227.62</v>
      </c>
      <c r="JL26" s="93">
        <v>226.75</v>
      </c>
      <c r="JM26" s="93">
        <v>225.88</v>
      </c>
      <c r="JN26" s="93">
        <v>225.01</v>
      </c>
      <c r="JO26" s="93">
        <v>224.14</v>
      </c>
      <c r="JP26" s="93">
        <v>223.27</v>
      </c>
      <c r="JQ26" s="93">
        <v>222.4</v>
      </c>
      <c r="JR26" s="93">
        <v>221.53</v>
      </c>
      <c r="JS26" s="93">
        <v>220.67</v>
      </c>
      <c r="JT26" s="93">
        <v>219.8</v>
      </c>
      <c r="JU26" s="93">
        <v>218.93</v>
      </c>
      <c r="JV26" s="93">
        <v>218.06</v>
      </c>
      <c r="JW26" s="93">
        <v>217.19</v>
      </c>
      <c r="JX26" s="93">
        <v>216.33</v>
      </c>
      <c r="JY26" s="93">
        <v>215.46</v>
      </c>
      <c r="JZ26" s="93">
        <v>214.6</v>
      </c>
      <c r="KA26" s="93">
        <v>213.73</v>
      </c>
      <c r="KB26" s="93">
        <v>212.87</v>
      </c>
      <c r="KC26" s="93">
        <v>212.01</v>
      </c>
      <c r="KD26" s="93">
        <v>211.15</v>
      </c>
      <c r="KE26" s="93">
        <v>210.29</v>
      </c>
      <c r="KF26" s="93">
        <v>209.43</v>
      </c>
      <c r="KG26" s="93">
        <v>208.57</v>
      </c>
      <c r="KH26" s="93">
        <v>207.72</v>
      </c>
      <c r="KI26" s="93">
        <v>206.86</v>
      </c>
      <c r="KJ26" s="93">
        <v>206.01</v>
      </c>
      <c r="KK26" s="93">
        <v>205.15</v>
      </c>
      <c r="KL26" s="93">
        <v>204.3</v>
      </c>
      <c r="KM26" s="93">
        <v>203.45</v>
      </c>
      <c r="KN26" s="93">
        <v>202.6</v>
      </c>
      <c r="KO26" s="93">
        <v>201.75</v>
      </c>
      <c r="KP26" s="93">
        <v>200.9</v>
      </c>
      <c r="KQ26" s="93">
        <v>200.06</v>
      </c>
      <c r="KR26" s="98">
        <f t="shared" si="22"/>
        <v>199.52</v>
      </c>
      <c r="KS26" s="98">
        <f t="shared" si="22"/>
        <v>198.73</v>
      </c>
      <c r="KT26" s="98">
        <f t="shared" si="22"/>
        <v>197.91</v>
      </c>
      <c r="KU26" s="98">
        <f t="shared" si="22"/>
        <v>197.12</v>
      </c>
      <c r="KV26" s="98">
        <f t="shared" si="22"/>
        <v>196.34</v>
      </c>
      <c r="KW26" s="98">
        <f t="shared" si="22"/>
        <v>195.55</v>
      </c>
      <c r="KX26" s="98">
        <f t="shared" si="22"/>
        <v>194.76</v>
      </c>
      <c r="KY26" s="98">
        <f t="shared" si="22"/>
        <v>193.98</v>
      </c>
      <c r="KZ26" s="98">
        <f t="shared" si="22"/>
        <v>193.19</v>
      </c>
      <c r="LA26" s="98">
        <f t="shared" si="22"/>
        <v>192.41</v>
      </c>
      <c r="LB26" s="98">
        <f t="shared" si="22"/>
        <v>191.63</v>
      </c>
      <c r="LC26" s="98">
        <f t="shared" si="22"/>
        <v>190.85</v>
      </c>
      <c r="LD26" s="98">
        <f t="shared" si="22"/>
        <v>190.07</v>
      </c>
      <c r="LE26" s="98">
        <f t="shared" si="22"/>
        <v>189.29</v>
      </c>
      <c r="LF26" s="98">
        <f t="shared" si="22"/>
        <v>188.52</v>
      </c>
      <c r="LG26" s="98">
        <f t="shared" si="22"/>
        <v>187.75</v>
      </c>
      <c r="LH26" s="98">
        <f t="shared" si="21"/>
        <v>186.97</v>
      </c>
      <c r="LI26" s="98">
        <f t="shared" si="21"/>
        <v>186.2</v>
      </c>
      <c r="LJ26" s="98">
        <f t="shared" si="21"/>
        <v>185.43</v>
      </c>
      <c r="LK26" s="98">
        <f t="shared" si="21"/>
        <v>184.66</v>
      </c>
      <c r="LL26" s="98">
        <f t="shared" si="21"/>
        <v>183.89</v>
      </c>
      <c r="LM26" s="98">
        <f t="shared" si="21"/>
        <v>183.13</v>
      </c>
      <c r="LN26" s="98">
        <f t="shared" si="21"/>
        <v>182.36</v>
      </c>
      <c r="LO26" s="98">
        <f t="shared" si="21"/>
        <v>181.6</v>
      </c>
      <c r="LP26" s="98">
        <f t="shared" si="21"/>
        <v>180.84</v>
      </c>
      <c r="LQ26" s="98">
        <f t="shared" si="21"/>
        <v>180.08</v>
      </c>
      <c r="LR26" s="98">
        <f t="shared" si="21"/>
        <v>179.32</v>
      </c>
      <c r="LS26" s="98">
        <f t="shared" si="21"/>
        <v>178.56</v>
      </c>
      <c r="LT26" s="98">
        <f t="shared" si="21"/>
        <v>177.81</v>
      </c>
      <c r="LU26" s="98">
        <f t="shared" si="21"/>
        <v>177.06</v>
      </c>
      <c r="LV26" s="98">
        <f t="shared" si="21"/>
        <v>176.3</v>
      </c>
      <c r="LW26" s="98">
        <f t="shared" si="21"/>
        <v>175.55</v>
      </c>
      <c r="LX26" s="98">
        <f t="shared" si="23"/>
        <v>174.8</v>
      </c>
      <c r="LY26" s="98">
        <f t="shared" si="23"/>
        <v>174.05</v>
      </c>
      <c r="LZ26" s="98">
        <f t="shared" si="19"/>
        <v>173.31</v>
      </c>
      <c r="MA26" s="98">
        <f t="shared" si="19"/>
        <v>172.56</v>
      </c>
      <c r="MB26" s="98">
        <f t="shared" si="19"/>
        <v>171.82</v>
      </c>
      <c r="MC26" s="98">
        <f t="shared" si="19"/>
        <v>171.08</v>
      </c>
      <c r="MD26" s="98">
        <f t="shared" si="19"/>
        <v>170.34</v>
      </c>
      <c r="ME26" s="98">
        <f t="shared" si="19"/>
        <v>169.61</v>
      </c>
      <c r="MF26" s="98">
        <f t="shared" si="19"/>
        <v>168.87</v>
      </c>
      <c r="MG26" s="98">
        <f t="shared" si="19"/>
        <v>168.14</v>
      </c>
      <c r="MH26" s="98">
        <f t="shared" si="19"/>
        <v>167.4</v>
      </c>
      <c r="MI26" s="98">
        <f t="shared" si="19"/>
        <v>166.67</v>
      </c>
      <c r="MJ26" s="98">
        <f t="shared" si="19"/>
        <v>165.94</v>
      </c>
      <c r="MK26" s="98">
        <f t="shared" si="19"/>
        <v>165.21</v>
      </c>
      <c r="ML26" s="98">
        <f t="shared" si="19"/>
        <v>164.49</v>
      </c>
      <c r="MM26" s="98">
        <f t="shared" si="19"/>
        <v>163.76</v>
      </c>
      <c r="MN26" s="98">
        <f t="shared" si="19"/>
        <v>163.04</v>
      </c>
      <c r="MO26" s="98">
        <f t="shared" si="19"/>
        <v>162.32</v>
      </c>
      <c r="MP26" s="98">
        <f t="shared" si="19"/>
        <v>161.6</v>
      </c>
      <c r="MQ26" s="98">
        <f t="shared" si="19"/>
        <v>160.88999999999999</v>
      </c>
      <c r="MR26" s="98">
        <f t="shared" si="19"/>
        <v>160.16999999999999</v>
      </c>
      <c r="MS26" s="98">
        <f t="shared" si="19"/>
        <v>159.46</v>
      </c>
      <c r="MT26" s="98">
        <f t="shared" si="18"/>
        <v>158.74</v>
      </c>
      <c r="MU26" s="98">
        <f t="shared" si="18"/>
        <v>158.03</v>
      </c>
      <c r="MV26" s="98">
        <f t="shared" si="18"/>
        <v>157.32</v>
      </c>
      <c r="MW26" s="98">
        <f t="shared" si="18"/>
        <v>156.62</v>
      </c>
      <c r="MX26" s="98">
        <f t="shared" si="18"/>
        <v>155.91</v>
      </c>
      <c r="MY26" s="98">
        <f t="shared" si="18"/>
        <v>155.21</v>
      </c>
    </row>
    <row r="27" spans="1:363" ht="15.75" x14ac:dyDescent="0.25">
      <c r="A27" s="90" t="s">
        <v>6</v>
      </c>
      <c r="B27" s="95">
        <v>2037</v>
      </c>
      <c r="C27" s="93">
        <v>494.56</v>
      </c>
      <c r="D27" s="93">
        <v>493.52</v>
      </c>
      <c r="E27" s="93">
        <v>492.48</v>
      </c>
      <c r="F27" s="93">
        <v>491.45</v>
      </c>
      <c r="G27" s="93">
        <v>490.41</v>
      </c>
      <c r="H27" s="93">
        <v>489.37</v>
      </c>
      <c r="I27" s="93">
        <v>488.33</v>
      </c>
      <c r="J27" s="93">
        <v>487.3</v>
      </c>
      <c r="K27" s="93">
        <v>486.26</v>
      </c>
      <c r="L27" s="93">
        <v>485.22</v>
      </c>
      <c r="M27" s="93">
        <v>484.18</v>
      </c>
      <c r="N27" s="93">
        <v>483.15</v>
      </c>
      <c r="O27" s="93">
        <v>482.11</v>
      </c>
      <c r="P27" s="93">
        <v>481.07</v>
      </c>
      <c r="Q27" s="93">
        <v>480.03</v>
      </c>
      <c r="R27" s="93">
        <v>478.99</v>
      </c>
      <c r="S27" s="93">
        <v>477.96</v>
      </c>
      <c r="T27" s="93">
        <v>476.92</v>
      </c>
      <c r="U27" s="93">
        <v>475.88</v>
      </c>
      <c r="V27" s="93">
        <v>474.84</v>
      </c>
      <c r="W27" s="93">
        <v>473.81</v>
      </c>
      <c r="X27" s="93">
        <v>472.77</v>
      </c>
      <c r="Y27" s="93">
        <v>471.73</v>
      </c>
      <c r="Z27" s="93">
        <v>470.7</v>
      </c>
      <c r="AA27" s="93">
        <v>469.66</v>
      </c>
      <c r="AB27" s="93">
        <v>468.62</v>
      </c>
      <c r="AC27" s="93">
        <v>467.58</v>
      </c>
      <c r="AD27" s="93">
        <v>466.55</v>
      </c>
      <c r="AE27" s="93">
        <v>465.51</v>
      </c>
      <c r="AF27" s="93">
        <v>464.47</v>
      </c>
      <c r="AG27" s="93">
        <v>463.43</v>
      </c>
      <c r="AH27" s="93">
        <v>462.4</v>
      </c>
      <c r="AI27" s="93">
        <v>461.36</v>
      </c>
      <c r="AJ27" s="93">
        <v>460.32</v>
      </c>
      <c r="AK27" s="93">
        <v>459.29</v>
      </c>
      <c r="AL27" s="93">
        <v>458.25</v>
      </c>
      <c r="AM27" s="93">
        <v>457.21</v>
      </c>
      <c r="AN27" s="93">
        <v>456.17</v>
      </c>
      <c r="AO27" s="93">
        <v>455.14</v>
      </c>
      <c r="AP27" s="93">
        <v>454.1</v>
      </c>
      <c r="AQ27" s="93">
        <v>453.06</v>
      </c>
      <c r="AR27" s="93">
        <v>452.03</v>
      </c>
      <c r="AS27" s="93">
        <v>450.99</v>
      </c>
      <c r="AT27" s="93">
        <v>449.95</v>
      </c>
      <c r="AU27" s="93">
        <v>448.91</v>
      </c>
      <c r="AV27" s="93">
        <v>447.88</v>
      </c>
      <c r="AW27" s="93">
        <v>446.84</v>
      </c>
      <c r="AX27" s="93">
        <v>445.8</v>
      </c>
      <c r="AY27" s="93">
        <v>444.77</v>
      </c>
      <c r="AZ27" s="93">
        <v>443.73</v>
      </c>
      <c r="BA27" s="93">
        <v>442.69</v>
      </c>
      <c r="BB27" s="93">
        <v>441.66</v>
      </c>
      <c r="BC27" s="93">
        <v>440.62</v>
      </c>
      <c r="BD27" s="93">
        <v>439.58</v>
      </c>
      <c r="BE27" s="93">
        <v>438.55</v>
      </c>
      <c r="BF27" s="93">
        <v>437.51</v>
      </c>
      <c r="BG27" s="93">
        <v>436.47</v>
      </c>
      <c r="BH27" s="93">
        <v>435.44</v>
      </c>
      <c r="BI27" s="93">
        <v>434.4</v>
      </c>
      <c r="BJ27" s="93">
        <v>433.36</v>
      </c>
      <c r="BK27" s="93">
        <v>432.33</v>
      </c>
      <c r="BL27" s="93">
        <v>431.29</v>
      </c>
      <c r="BM27" s="93">
        <v>430.25</v>
      </c>
      <c r="BN27" s="93">
        <v>429.21</v>
      </c>
      <c r="BO27" s="93">
        <v>428.18</v>
      </c>
      <c r="BP27" s="93">
        <v>427.14</v>
      </c>
      <c r="BQ27" s="93">
        <v>426.1</v>
      </c>
      <c r="BR27" s="93">
        <v>425.07</v>
      </c>
      <c r="BS27" s="93">
        <v>424.03</v>
      </c>
      <c r="BT27" s="93">
        <v>422.99</v>
      </c>
      <c r="BU27" s="93">
        <v>421.96</v>
      </c>
      <c r="BV27" s="93">
        <v>420.92</v>
      </c>
      <c r="BW27" s="93">
        <v>419.89</v>
      </c>
      <c r="BX27" s="93">
        <v>418.85</v>
      </c>
      <c r="BY27" s="93">
        <v>417.82</v>
      </c>
      <c r="BZ27" s="93">
        <v>416.78</v>
      </c>
      <c r="CA27" s="93">
        <v>415.75</v>
      </c>
      <c r="CB27" s="93">
        <v>414.72</v>
      </c>
      <c r="CC27" s="93">
        <v>413.68</v>
      </c>
      <c r="CD27" s="93">
        <v>412.65</v>
      </c>
      <c r="CE27" s="93">
        <v>411.62</v>
      </c>
      <c r="CF27" s="93">
        <v>410.58</v>
      </c>
      <c r="CG27" s="93">
        <v>409.55</v>
      </c>
      <c r="CH27" s="93">
        <v>408.52</v>
      </c>
      <c r="CI27" s="93">
        <v>407.48</v>
      </c>
      <c r="CJ27" s="93">
        <v>406.45</v>
      </c>
      <c r="CK27" s="93">
        <v>405.42</v>
      </c>
      <c r="CL27" s="93">
        <v>404.39</v>
      </c>
      <c r="CM27" s="93">
        <v>403.35</v>
      </c>
      <c r="CN27" s="93">
        <v>402.32</v>
      </c>
      <c r="CO27" s="93">
        <v>401.29</v>
      </c>
      <c r="CP27" s="93">
        <v>400.25</v>
      </c>
      <c r="CQ27" s="93">
        <v>399.22</v>
      </c>
      <c r="CR27" s="93">
        <v>398.19</v>
      </c>
      <c r="CS27" s="93">
        <v>397.16</v>
      </c>
      <c r="CT27" s="93">
        <v>396.13</v>
      </c>
      <c r="CU27" s="93">
        <v>395.09</v>
      </c>
      <c r="CV27" s="93">
        <v>394.06</v>
      </c>
      <c r="CW27" s="93">
        <v>393.03</v>
      </c>
      <c r="CX27" s="93">
        <v>392</v>
      </c>
      <c r="CY27" s="93">
        <v>390.97</v>
      </c>
      <c r="CZ27" s="93">
        <v>389.94</v>
      </c>
      <c r="DA27" s="93">
        <v>388.91</v>
      </c>
      <c r="DB27" s="93">
        <v>387.88</v>
      </c>
      <c r="DC27" s="93">
        <v>386.85</v>
      </c>
      <c r="DD27" s="93">
        <v>385.82</v>
      </c>
      <c r="DE27" s="93">
        <v>384.79</v>
      </c>
      <c r="DF27" s="93">
        <v>383.77</v>
      </c>
      <c r="DG27" s="93">
        <v>382.74</v>
      </c>
      <c r="DH27" s="93">
        <v>381.71</v>
      </c>
      <c r="DI27" s="93">
        <v>380.68</v>
      </c>
      <c r="DJ27" s="93">
        <v>379.65</v>
      </c>
      <c r="DK27" s="93">
        <v>378.63</v>
      </c>
      <c r="DL27" s="93">
        <v>377.6</v>
      </c>
      <c r="DM27" s="93">
        <v>376.57</v>
      </c>
      <c r="DN27" s="93">
        <v>375.55</v>
      </c>
      <c r="DO27" s="93">
        <v>374.52</v>
      </c>
      <c r="DP27" s="93">
        <v>373.49</v>
      </c>
      <c r="DQ27" s="93">
        <v>372.47</v>
      </c>
      <c r="DR27" s="93">
        <v>371.44</v>
      </c>
      <c r="DS27" s="93">
        <v>370.42</v>
      </c>
      <c r="DT27" s="93">
        <v>369.39</v>
      </c>
      <c r="DU27" s="93">
        <v>368.37</v>
      </c>
      <c r="DV27" s="93">
        <v>367.35</v>
      </c>
      <c r="DW27" s="93">
        <v>366.33</v>
      </c>
      <c r="DX27" s="93">
        <v>365.31</v>
      </c>
      <c r="DY27" s="93">
        <v>364.29</v>
      </c>
      <c r="DZ27" s="93">
        <v>363.27</v>
      </c>
      <c r="EA27" s="93">
        <v>362.25</v>
      </c>
      <c r="EB27" s="93">
        <v>361.23</v>
      </c>
      <c r="EC27" s="93">
        <v>360.22</v>
      </c>
      <c r="ED27" s="93">
        <v>359.2</v>
      </c>
      <c r="EE27" s="93">
        <v>358.18</v>
      </c>
      <c r="EF27" s="93">
        <v>357.17</v>
      </c>
      <c r="EG27" s="93">
        <v>356.16</v>
      </c>
      <c r="EH27" s="93">
        <v>355.15</v>
      </c>
      <c r="EI27" s="93">
        <v>354.13</v>
      </c>
      <c r="EJ27" s="93">
        <v>353.12</v>
      </c>
      <c r="EK27" s="93">
        <v>352.11</v>
      </c>
      <c r="EL27" s="93">
        <v>351.1</v>
      </c>
      <c r="EM27" s="93">
        <v>350.09</v>
      </c>
      <c r="EN27" s="93">
        <v>349.08</v>
      </c>
      <c r="EO27" s="93">
        <v>348.08</v>
      </c>
      <c r="EP27" s="93">
        <v>347.07</v>
      </c>
      <c r="EQ27" s="93">
        <v>346.06</v>
      </c>
      <c r="ER27" s="93">
        <v>345.06</v>
      </c>
      <c r="ES27" s="93">
        <v>344.05</v>
      </c>
      <c r="ET27" s="93">
        <v>343.05</v>
      </c>
      <c r="EU27" s="93">
        <v>342.05</v>
      </c>
      <c r="EV27" s="93">
        <v>341.04</v>
      </c>
      <c r="EW27" s="93">
        <v>340.04</v>
      </c>
      <c r="EX27" s="93">
        <v>339.04</v>
      </c>
      <c r="EY27" s="93">
        <v>338.04</v>
      </c>
      <c r="EZ27" s="93">
        <v>337.04</v>
      </c>
      <c r="FA27" s="93">
        <v>336.04</v>
      </c>
      <c r="FB27" s="93">
        <v>335.04</v>
      </c>
      <c r="FC27" s="93">
        <v>334.04</v>
      </c>
      <c r="FD27" s="93">
        <v>333.04</v>
      </c>
      <c r="FE27" s="93">
        <v>332.05</v>
      </c>
      <c r="FF27" s="93">
        <v>331.05</v>
      </c>
      <c r="FG27" s="93">
        <v>330.06</v>
      </c>
      <c r="FH27" s="93">
        <v>329.07</v>
      </c>
      <c r="FI27" s="93">
        <v>328.07</v>
      </c>
      <c r="FJ27" s="93">
        <v>327.07</v>
      </c>
      <c r="FK27" s="93">
        <v>326.08999999999997</v>
      </c>
      <c r="FL27" s="93">
        <v>325.10000000000002</v>
      </c>
      <c r="FM27" s="93">
        <v>324.10000000000002</v>
      </c>
      <c r="FN27" s="93">
        <v>323.12</v>
      </c>
      <c r="FO27" s="93">
        <v>322.13</v>
      </c>
      <c r="FP27" s="93">
        <v>321.14</v>
      </c>
      <c r="FQ27" s="93">
        <v>320.14999999999998</v>
      </c>
      <c r="FR27" s="93">
        <v>319.17</v>
      </c>
      <c r="FS27" s="93">
        <v>318.18</v>
      </c>
      <c r="FT27" s="93">
        <v>317.19</v>
      </c>
      <c r="FU27" s="93">
        <v>316.20999999999998</v>
      </c>
      <c r="FV27" s="93">
        <v>315.23</v>
      </c>
      <c r="FW27" s="93">
        <v>314.24</v>
      </c>
      <c r="FX27" s="93">
        <v>313.26</v>
      </c>
      <c r="FY27" s="93">
        <v>312.26</v>
      </c>
      <c r="FZ27" s="93">
        <v>311.29000000000002</v>
      </c>
      <c r="GA27" s="93">
        <v>310.31</v>
      </c>
      <c r="GB27" s="93">
        <v>309.32</v>
      </c>
      <c r="GC27" s="93">
        <v>308.35000000000002</v>
      </c>
      <c r="GD27" s="93">
        <v>307.38</v>
      </c>
      <c r="GE27" s="93">
        <v>306.39999999999998</v>
      </c>
      <c r="GF27" s="93">
        <v>305.42</v>
      </c>
      <c r="GG27" s="93">
        <v>304.44</v>
      </c>
      <c r="GH27" s="93">
        <v>303.47000000000003</v>
      </c>
      <c r="GI27" s="93">
        <v>302.49</v>
      </c>
      <c r="GJ27" s="93">
        <v>301.51</v>
      </c>
      <c r="GK27" s="93">
        <v>300.54000000000002</v>
      </c>
      <c r="GL27" s="93">
        <v>299.57</v>
      </c>
      <c r="GM27" s="93">
        <v>298.60000000000002</v>
      </c>
      <c r="GN27" s="93">
        <v>297.64</v>
      </c>
      <c r="GO27" s="93">
        <v>296.67</v>
      </c>
      <c r="GP27" s="93">
        <v>295.70999999999998</v>
      </c>
      <c r="GQ27" s="93">
        <v>294.74</v>
      </c>
      <c r="GR27" s="93">
        <v>293.77999999999997</v>
      </c>
      <c r="GS27" s="93">
        <v>292.82</v>
      </c>
      <c r="GT27" s="93">
        <v>291.85000000000002</v>
      </c>
      <c r="GU27" s="93">
        <v>290.89</v>
      </c>
      <c r="GV27" s="93">
        <v>289.93</v>
      </c>
      <c r="GW27" s="93">
        <v>288.97000000000003</v>
      </c>
      <c r="GX27" s="93">
        <v>288.01</v>
      </c>
      <c r="GY27" s="93">
        <v>287.06</v>
      </c>
      <c r="GZ27" s="93">
        <v>286.10000000000002</v>
      </c>
      <c r="HA27" s="93">
        <v>285.14999999999998</v>
      </c>
      <c r="HB27" s="93">
        <v>284.2</v>
      </c>
      <c r="HC27" s="93">
        <v>283.24</v>
      </c>
      <c r="HD27" s="93">
        <v>282.29000000000002</v>
      </c>
      <c r="HE27" s="93">
        <v>281.33999999999997</v>
      </c>
      <c r="HF27" s="93">
        <v>280.39</v>
      </c>
      <c r="HG27" s="93">
        <v>279.44</v>
      </c>
      <c r="HH27" s="93">
        <v>278.49</v>
      </c>
      <c r="HI27" s="93">
        <v>277.54000000000002</v>
      </c>
      <c r="HJ27" s="93">
        <v>276.60000000000002</v>
      </c>
      <c r="HK27" s="93">
        <v>275.64999999999998</v>
      </c>
      <c r="HL27" s="93">
        <v>274.72000000000003</v>
      </c>
      <c r="HM27" s="93">
        <v>273.77999999999997</v>
      </c>
      <c r="HN27" s="93">
        <v>272.83999999999997</v>
      </c>
      <c r="HO27" s="93">
        <v>271.91000000000003</v>
      </c>
      <c r="HP27" s="93">
        <v>270.97000000000003</v>
      </c>
      <c r="HQ27" s="93">
        <v>270.04000000000002</v>
      </c>
      <c r="HR27" s="93">
        <v>269.10000000000002</v>
      </c>
      <c r="HS27" s="93">
        <v>268.18</v>
      </c>
      <c r="HT27" s="93">
        <v>267.25</v>
      </c>
      <c r="HU27" s="93">
        <v>266.32</v>
      </c>
      <c r="HV27" s="93">
        <v>265.39</v>
      </c>
      <c r="HW27" s="93">
        <v>264.45999999999998</v>
      </c>
      <c r="HX27" s="93">
        <v>263.52999999999997</v>
      </c>
      <c r="HY27" s="93">
        <v>262.60000000000002</v>
      </c>
      <c r="HZ27" s="93">
        <v>261.69</v>
      </c>
      <c r="IA27" s="93">
        <v>260.76</v>
      </c>
      <c r="IB27" s="93">
        <v>259.83999999999997</v>
      </c>
      <c r="IC27" s="93">
        <v>258.92</v>
      </c>
      <c r="ID27" s="93">
        <v>258</v>
      </c>
      <c r="IE27" s="93">
        <v>257.07</v>
      </c>
      <c r="IF27" s="93">
        <v>256.16000000000003</v>
      </c>
      <c r="IG27" s="93">
        <v>255.24</v>
      </c>
      <c r="IH27" s="93">
        <v>254.33</v>
      </c>
      <c r="II27" s="93">
        <v>253.41</v>
      </c>
      <c r="IJ27" s="93">
        <v>252.5</v>
      </c>
      <c r="IK27" s="93">
        <v>251.59</v>
      </c>
      <c r="IL27" s="93">
        <v>250.68</v>
      </c>
      <c r="IM27" s="93">
        <v>249.77</v>
      </c>
      <c r="IN27" s="93">
        <v>248.86</v>
      </c>
      <c r="IO27" s="93">
        <v>247.95</v>
      </c>
      <c r="IP27" s="93">
        <v>247.04</v>
      </c>
      <c r="IQ27" s="93">
        <v>246.14</v>
      </c>
      <c r="IR27" s="93">
        <v>245.23</v>
      </c>
      <c r="IS27" s="93">
        <v>244.33</v>
      </c>
      <c r="IT27" s="93">
        <v>243.42</v>
      </c>
      <c r="IU27" s="93">
        <v>242.52</v>
      </c>
      <c r="IV27" s="93">
        <v>241.63</v>
      </c>
      <c r="IW27" s="93">
        <v>240.74</v>
      </c>
      <c r="IX27" s="93">
        <v>239.85</v>
      </c>
      <c r="IY27" s="93">
        <v>238.96</v>
      </c>
      <c r="IZ27" s="93">
        <v>238.07</v>
      </c>
      <c r="JA27" s="93">
        <v>237.19</v>
      </c>
      <c r="JB27" s="93">
        <v>236.3</v>
      </c>
      <c r="JC27" s="93">
        <v>235.42</v>
      </c>
      <c r="JD27" s="93">
        <v>234.53</v>
      </c>
      <c r="JE27" s="93">
        <v>233.65</v>
      </c>
      <c r="JF27" s="93">
        <v>232.77</v>
      </c>
      <c r="JG27" s="93">
        <v>231.89</v>
      </c>
      <c r="JH27" s="93">
        <v>231.01</v>
      </c>
      <c r="JI27" s="93">
        <v>230.13</v>
      </c>
      <c r="JJ27" s="93">
        <v>229.26</v>
      </c>
      <c r="JK27" s="93">
        <v>228.38</v>
      </c>
      <c r="JL27" s="93">
        <v>227.51</v>
      </c>
      <c r="JM27" s="93">
        <v>226.63</v>
      </c>
      <c r="JN27" s="93">
        <v>225.76</v>
      </c>
      <c r="JO27" s="93">
        <v>224.89</v>
      </c>
      <c r="JP27" s="93">
        <v>224.02</v>
      </c>
      <c r="JQ27" s="93">
        <v>223.15</v>
      </c>
      <c r="JR27" s="93">
        <v>222.28</v>
      </c>
      <c r="JS27" s="93">
        <v>221.41</v>
      </c>
      <c r="JT27" s="93">
        <v>220.54</v>
      </c>
      <c r="JU27" s="93">
        <v>219.67</v>
      </c>
      <c r="JV27" s="93">
        <v>218.8</v>
      </c>
      <c r="JW27" s="93">
        <v>217.93</v>
      </c>
      <c r="JX27" s="93">
        <v>217.06</v>
      </c>
      <c r="JY27" s="93">
        <v>216.19</v>
      </c>
      <c r="JZ27" s="93">
        <v>215.33</v>
      </c>
      <c r="KA27" s="93">
        <v>214.46</v>
      </c>
      <c r="KB27" s="93">
        <v>213.6</v>
      </c>
      <c r="KC27" s="93">
        <v>212.73</v>
      </c>
      <c r="KD27" s="93">
        <v>211.87</v>
      </c>
      <c r="KE27" s="93">
        <v>211.01</v>
      </c>
      <c r="KF27" s="93">
        <v>210.15</v>
      </c>
      <c r="KG27" s="93">
        <v>209.29</v>
      </c>
      <c r="KH27" s="93">
        <v>208.43</v>
      </c>
      <c r="KI27" s="93">
        <v>207.58</v>
      </c>
      <c r="KJ27" s="93">
        <v>206.72</v>
      </c>
      <c r="KK27" s="93">
        <v>205.86</v>
      </c>
      <c r="KL27" s="93">
        <v>205.01</v>
      </c>
      <c r="KM27" s="93">
        <v>204.16</v>
      </c>
      <c r="KN27" s="93">
        <v>203.31</v>
      </c>
      <c r="KO27" s="93">
        <v>202.46</v>
      </c>
      <c r="KP27" s="93">
        <v>201.61</v>
      </c>
      <c r="KQ27" s="93">
        <v>200.76</v>
      </c>
      <c r="KR27" s="98">
        <f t="shared" si="22"/>
        <v>200.27</v>
      </c>
      <c r="KS27" s="98">
        <f t="shared" si="22"/>
        <v>199.48</v>
      </c>
      <c r="KT27" s="98">
        <f t="shared" si="22"/>
        <v>198.66</v>
      </c>
      <c r="KU27" s="98">
        <f t="shared" si="22"/>
        <v>197.87</v>
      </c>
      <c r="KV27" s="98">
        <f t="shared" si="22"/>
        <v>197.09</v>
      </c>
      <c r="KW27" s="98">
        <f t="shared" si="22"/>
        <v>196.3</v>
      </c>
      <c r="KX27" s="98">
        <f t="shared" si="22"/>
        <v>195.51</v>
      </c>
      <c r="KY27" s="98">
        <f t="shared" si="22"/>
        <v>194.73</v>
      </c>
      <c r="KZ27" s="98">
        <f t="shared" si="22"/>
        <v>193.94</v>
      </c>
      <c r="LA27" s="98">
        <f t="shared" si="22"/>
        <v>193.16</v>
      </c>
      <c r="LB27" s="98">
        <f t="shared" si="22"/>
        <v>192.38</v>
      </c>
      <c r="LC27" s="98">
        <f t="shared" si="22"/>
        <v>191.6</v>
      </c>
      <c r="LD27" s="98">
        <f t="shared" si="22"/>
        <v>190.82</v>
      </c>
      <c r="LE27" s="98">
        <f t="shared" si="22"/>
        <v>190.04</v>
      </c>
      <c r="LF27" s="98">
        <f t="shared" si="22"/>
        <v>189.27</v>
      </c>
      <c r="LG27" s="98">
        <f t="shared" si="22"/>
        <v>188.5</v>
      </c>
      <c r="LH27" s="98">
        <f t="shared" si="21"/>
        <v>187.72</v>
      </c>
      <c r="LI27" s="98">
        <f t="shared" si="21"/>
        <v>186.95</v>
      </c>
      <c r="LJ27" s="98">
        <f t="shared" si="21"/>
        <v>186.18</v>
      </c>
      <c r="LK27" s="98">
        <f t="shared" si="21"/>
        <v>185.41</v>
      </c>
      <c r="LL27" s="98">
        <f t="shared" si="21"/>
        <v>184.64</v>
      </c>
      <c r="LM27" s="98">
        <f t="shared" si="21"/>
        <v>183.88</v>
      </c>
      <c r="LN27" s="98">
        <f t="shared" si="21"/>
        <v>183.11</v>
      </c>
      <c r="LO27" s="98">
        <f t="shared" si="21"/>
        <v>182.35</v>
      </c>
      <c r="LP27" s="98">
        <f t="shared" si="21"/>
        <v>181.59</v>
      </c>
      <c r="LQ27" s="98">
        <f t="shared" si="21"/>
        <v>180.83</v>
      </c>
      <c r="LR27" s="98">
        <f t="shared" si="21"/>
        <v>180.07</v>
      </c>
      <c r="LS27" s="98">
        <f t="shared" si="21"/>
        <v>179.31</v>
      </c>
      <c r="LT27" s="98">
        <f t="shared" si="21"/>
        <v>178.56</v>
      </c>
      <c r="LU27" s="98">
        <f t="shared" si="21"/>
        <v>177.81</v>
      </c>
      <c r="LV27" s="98">
        <f t="shared" si="21"/>
        <v>177.05</v>
      </c>
      <c r="LW27" s="98">
        <f t="shared" si="21"/>
        <v>176.3</v>
      </c>
      <c r="LX27" s="98">
        <f t="shared" si="23"/>
        <v>175.55</v>
      </c>
      <c r="LY27" s="98">
        <f t="shared" si="23"/>
        <v>174.8</v>
      </c>
      <c r="LZ27" s="98">
        <f t="shared" si="19"/>
        <v>174.06</v>
      </c>
      <c r="MA27" s="98">
        <f t="shared" si="19"/>
        <v>173.31</v>
      </c>
      <c r="MB27" s="98">
        <f t="shared" si="19"/>
        <v>172.57</v>
      </c>
      <c r="MC27" s="98">
        <f t="shared" si="19"/>
        <v>171.83</v>
      </c>
      <c r="MD27" s="98">
        <f t="shared" si="19"/>
        <v>171.09</v>
      </c>
      <c r="ME27" s="98">
        <f t="shared" si="19"/>
        <v>170.36</v>
      </c>
      <c r="MF27" s="98">
        <f t="shared" si="19"/>
        <v>169.62</v>
      </c>
      <c r="MG27" s="98">
        <f t="shared" si="19"/>
        <v>168.89</v>
      </c>
      <c r="MH27" s="98">
        <f t="shared" si="19"/>
        <v>168.15</v>
      </c>
      <c r="MI27" s="98">
        <f t="shared" si="19"/>
        <v>167.42</v>
      </c>
      <c r="MJ27" s="98">
        <f t="shared" si="19"/>
        <v>166.69</v>
      </c>
      <c r="MK27" s="98">
        <f t="shared" si="19"/>
        <v>165.96</v>
      </c>
      <c r="ML27" s="98">
        <f t="shared" si="19"/>
        <v>165.24</v>
      </c>
      <c r="MM27" s="98">
        <f t="shared" si="19"/>
        <v>164.51</v>
      </c>
      <c r="MN27" s="98">
        <f t="shared" si="19"/>
        <v>163.79</v>
      </c>
      <c r="MO27" s="98">
        <f t="shared" si="19"/>
        <v>163.07</v>
      </c>
      <c r="MP27" s="98">
        <f t="shared" si="19"/>
        <v>162.35</v>
      </c>
      <c r="MQ27" s="98">
        <f t="shared" si="19"/>
        <v>161.63999999999999</v>
      </c>
      <c r="MR27" s="98">
        <f t="shared" si="19"/>
        <v>160.91999999999999</v>
      </c>
      <c r="MS27" s="98">
        <f t="shared" si="19"/>
        <v>160.21</v>
      </c>
      <c r="MT27" s="98">
        <f t="shared" si="18"/>
        <v>159.49</v>
      </c>
      <c r="MU27" s="98">
        <f t="shared" si="18"/>
        <v>158.78</v>
      </c>
      <c r="MV27" s="98">
        <f t="shared" si="18"/>
        <v>158.07</v>
      </c>
      <c r="MW27" s="98">
        <f t="shared" si="18"/>
        <v>157.37</v>
      </c>
      <c r="MX27" s="98">
        <f t="shared" si="18"/>
        <v>156.66</v>
      </c>
      <c r="MY27" s="98">
        <f t="shared" si="18"/>
        <v>155.96</v>
      </c>
    </row>
    <row r="28" spans="1:363" ht="15.75" x14ac:dyDescent="0.25">
      <c r="A28" s="90" t="s">
        <v>6</v>
      </c>
      <c r="B28" s="95">
        <v>2038</v>
      </c>
      <c r="C28" s="93">
        <v>495.46</v>
      </c>
      <c r="D28" s="93">
        <v>494.43</v>
      </c>
      <c r="E28" s="93">
        <v>493.39</v>
      </c>
      <c r="F28" s="93">
        <v>492.35</v>
      </c>
      <c r="G28" s="93">
        <v>491.31</v>
      </c>
      <c r="H28" s="93">
        <v>490.28</v>
      </c>
      <c r="I28" s="93">
        <v>489.24</v>
      </c>
      <c r="J28" s="93">
        <v>488.2</v>
      </c>
      <c r="K28" s="93">
        <v>487.16</v>
      </c>
      <c r="L28" s="93">
        <v>486.13</v>
      </c>
      <c r="M28" s="93">
        <v>485.09</v>
      </c>
      <c r="N28" s="93">
        <v>484.05</v>
      </c>
      <c r="O28" s="93">
        <v>483.01</v>
      </c>
      <c r="P28" s="93">
        <v>481.98</v>
      </c>
      <c r="Q28" s="93">
        <v>480.94</v>
      </c>
      <c r="R28" s="93">
        <v>479.9</v>
      </c>
      <c r="S28" s="93">
        <v>478.86</v>
      </c>
      <c r="T28" s="93">
        <v>477.83</v>
      </c>
      <c r="U28" s="93">
        <v>476.79</v>
      </c>
      <c r="V28" s="93">
        <v>475.75</v>
      </c>
      <c r="W28" s="93">
        <v>474.71</v>
      </c>
      <c r="X28" s="93">
        <v>473.68</v>
      </c>
      <c r="Y28" s="93">
        <v>472.64</v>
      </c>
      <c r="Z28" s="93">
        <v>471.6</v>
      </c>
      <c r="AA28" s="93">
        <v>470.56</v>
      </c>
      <c r="AB28" s="93">
        <v>469.53</v>
      </c>
      <c r="AC28" s="93">
        <v>468.49</v>
      </c>
      <c r="AD28" s="93">
        <v>467.45</v>
      </c>
      <c r="AE28" s="93">
        <v>466.42</v>
      </c>
      <c r="AF28" s="93">
        <v>465.38</v>
      </c>
      <c r="AG28" s="93">
        <v>464.34</v>
      </c>
      <c r="AH28" s="93">
        <v>463.3</v>
      </c>
      <c r="AI28" s="93">
        <v>462.27</v>
      </c>
      <c r="AJ28" s="93">
        <v>461.23</v>
      </c>
      <c r="AK28" s="93">
        <v>460.19</v>
      </c>
      <c r="AL28" s="93">
        <v>459.16</v>
      </c>
      <c r="AM28" s="93">
        <v>458.12</v>
      </c>
      <c r="AN28" s="93">
        <v>457.08</v>
      </c>
      <c r="AO28" s="93">
        <v>456.04</v>
      </c>
      <c r="AP28" s="93">
        <v>455.01</v>
      </c>
      <c r="AQ28" s="93">
        <v>453.97</v>
      </c>
      <c r="AR28" s="93">
        <v>452.93</v>
      </c>
      <c r="AS28" s="93">
        <v>451.9</v>
      </c>
      <c r="AT28" s="93">
        <v>450.86</v>
      </c>
      <c r="AU28" s="93">
        <v>449.82</v>
      </c>
      <c r="AV28" s="93">
        <v>448.78</v>
      </c>
      <c r="AW28" s="93">
        <v>447.75</v>
      </c>
      <c r="AX28" s="93">
        <v>446.71</v>
      </c>
      <c r="AY28" s="93">
        <v>445.67</v>
      </c>
      <c r="AZ28" s="93">
        <v>444.64</v>
      </c>
      <c r="BA28" s="93">
        <v>443.6</v>
      </c>
      <c r="BB28" s="93">
        <v>442.56</v>
      </c>
      <c r="BC28" s="93">
        <v>441.53</v>
      </c>
      <c r="BD28" s="93">
        <v>440.49</v>
      </c>
      <c r="BE28" s="93">
        <v>439.45</v>
      </c>
      <c r="BF28" s="93">
        <v>438.42</v>
      </c>
      <c r="BG28" s="93">
        <v>437.38</v>
      </c>
      <c r="BH28" s="93">
        <v>436.34</v>
      </c>
      <c r="BI28" s="93">
        <v>435.31</v>
      </c>
      <c r="BJ28" s="93">
        <v>434.27</v>
      </c>
      <c r="BK28" s="93">
        <v>433.23</v>
      </c>
      <c r="BL28" s="93">
        <v>432.2</v>
      </c>
      <c r="BM28" s="93">
        <v>431.16</v>
      </c>
      <c r="BN28" s="93">
        <v>430.12</v>
      </c>
      <c r="BO28" s="93">
        <v>429.08</v>
      </c>
      <c r="BP28" s="93">
        <v>428.05</v>
      </c>
      <c r="BQ28" s="93">
        <v>427.01</v>
      </c>
      <c r="BR28" s="93">
        <v>425.97</v>
      </c>
      <c r="BS28" s="93">
        <v>424.94</v>
      </c>
      <c r="BT28" s="93">
        <v>423.9</v>
      </c>
      <c r="BU28" s="93">
        <v>422.86</v>
      </c>
      <c r="BV28" s="93">
        <v>421.83</v>
      </c>
      <c r="BW28" s="93">
        <v>420.79</v>
      </c>
      <c r="BX28" s="93">
        <v>419.76</v>
      </c>
      <c r="BY28" s="93">
        <v>418.72</v>
      </c>
      <c r="BZ28" s="93">
        <v>417.69</v>
      </c>
      <c r="CA28" s="93">
        <v>416.65</v>
      </c>
      <c r="CB28" s="93">
        <v>415.62</v>
      </c>
      <c r="CC28" s="93">
        <v>414.59</v>
      </c>
      <c r="CD28" s="93">
        <v>413.55</v>
      </c>
      <c r="CE28" s="93">
        <v>412.52</v>
      </c>
      <c r="CF28" s="93">
        <v>411.49</v>
      </c>
      <c r="CG28" s="93">
        <v>410.45</v>
      </c>
      <c r="CH28" s="93">
        <v>409.42</v>
      </c>
      <c r="CI28" s="93">
        <v>408.39</v>
      </c>
      <c r="CJ28" s="93">
        <v>407.35</v>
      </c>
      <c r="CK28" s="93">
        <v>406.32</v>
      </c>
      <c r="CL28" s="93">
        <v>405.29</v>
      </c>
      <c r="CM28" s="93">
        <v>404.25</v>
      </c>
      <c r="CN28" s="93">
        <v>403.22</v>
      </c>
      <c r="CO28" s="93">
        <v>402.19</v>
      </c>
      <c r="CP28" s="93">
        <v>401.16</v>
      </c>
      <c r="CQ28" s="93">
        <v>400.12</v>
      </c>
      <c r="CR28" s="93">
        <v>399.09</v>
      </c>
      <c r="CS28" s="93">
        <v>398.06</v>
      </c>
      <c r="CT28" s="93">
        <v>397.02</v>
      </c>
      <c r="CU28" s="93">
        <v>395.99</v>
      </c>
      <c r="CV28" s="93">
        <v>394.96</v>
      </c>
      <c r="CW28" s="93">
        <v>393.93</v>
      </c>
      <c r="CX28" s="93">
        <v>392.9</v>
      </c>
      <c r="CY28" s="93">
        <v>391.87</v>
      </c>
      <c r="CZ28" s="93">
        <v>390.84</v>
      </c>
      <c r="DA28" s="93">
        <v>389.81</v>
      </c>
      <c r="DB28" s="93">
        <v>388.78</v>
      </c>
      <c r="DC28" s="93">
        <v>387.75</v>
      </c>
      <c r="DD28" s="93">
        <v>386.72</v>
      </c>
      <c r="DE28" s="93">
        <v>385.69</v>
      </c>
      <c r="DF28" s="93">
        <v>384.66</v>
      </c>
      <c r="DG28" s="93">
        <v>383.63</v>
      </c>
      <c r="DH28" s="93">
        <v>382.6</v>
      </c>
      <c r="DI28" s="93">
        <v>381.58</v>
      </c>
      <c r="DJ28" s="93">
        <v>380.55</v>
      </c>
      <c r="DK28" s="93">
        <v>379.52</v>
      </c>
      <c r="DL28" s="93">
        <v>378.49</v>
      </c>
      <c r="DM28" s="93">
        <v>377.47</v>
      </c>
      <c r="DN28" s="93">
        <v>376.44</v>
      </c>
      <c r="DO28" s="93">
        <v>375.41</v>
      </c>
      <c r="DP28" s="93">
        <v>374.39</v>
      </c>
      <c r="DQ28" s="93">
        <v>373.36</v>
      </c>
      <c r="DR28" s="93">
        <v>372.33</v>
      </c>
      <c r="DS28" s="93">
        <v>371.31</v>
      </c>
      <c r="DT28" s="93">
        <v>370.29</v>
      </c>
      <c r="DU28" s="93">
        <v>369.26</v>
      </c>
      <c r="DV28" s="93">
        <v>368.24</v>
      </c>
      <c r="DW28" s="93">
        <v>367.22</v>
      </c>
      <c r="DX28" s="93">
        <v>366.2</v>
      </c>
      <c r="DY28" s="93">
        <v>365.18</v>
      </c>
      <c r="DZ28" s="93">
        <v>364.16</v>
      </c>
      <c r="EA28" s="93">
        <v>363.14</v>
      </c>
      <c r="EB28" s="93">
        <v>362.12</v>
      </c>
      <c r="EC28" s="93">
        <v>361.1</v>
      </c>
      <c r="ED28" s="93">
        <v>360.08</v>
      </c>
      <c r="EE28" s="93">
        <v>359.07</v>
      </c>
      <c r="EF28" s="93">
        <v>358.05</v>
      </c>
      <c r="EG28" s="93">
        <v>357.04</v>
      </c>
      <c r="EH28" s="93">
        <v>356.03</v>
      </c>
      <c r="EI28" s="93">
        <v>355.02</v>
      </c>
      <c r="EJ28" s="93">
        <v>354.01</v>
      </c>
      <c r="EK28" s="93">
        <v>353</v>
      </c>
      <c r="EL28" s="93">
        <v>351.99</v>
      </c>
      <c r="EM28" s="93">
        <v>350.98</v>
      </c>
      <c r="EN28" s="93">
        <v>349.97</v>
      </c>
      <c r="EO28" s="93">
        <v>348.96</v>
      </c>
      <c r="EP28" s="93">
        <v>347.95</v>
      </c>
      <c r="EQ28" s="93">
        <v>346.94</v>
      </c>
      <c r="ER28" s="93">
        <v>345.93</v>
      </c>
      <c r="ES28" s="93">
        <v>344.93</v>
      </c>
      <c r="ET28" s="93">
        <v>343.93</v>
      </c>
      <c r="EU28" s="93">
        <v>342.92</v>
      </c>
      <c r="EV28" s="93">
        <v>341.92</v>
      </c>
      <c r="EW28" s="93">
        <v>340.92</v>
      </c>
      <c r="EX28" s="93">
        <v>339.91</v>
      </c>
      <c r="EY28" s="93">
        <v>338.91</v>
      </c>
      <c r="EZ28" s="93">
        <v>337.91</v>
      </c>
      <c r="FA28" s="93">
        <v>336.91</v>
      </c>
      <c r="FB28" s="93">
        <v>335.91</v>
      </c>
      <c r="FC28" s="93">
        <v>334.91</v>
      </c>
      <c r="FD28" s="93">
        <v>333.91</v>
      </c>
      <c r="FE28" s="93">
        <v>332.92</v>
      </c>
      <c r="FF28" s="93">
        <v>331.92</v>
      </c>
      <c r="FG28" s="93">
        <v>330.93</v>
      </c>
      <c r="FH28" s="93">
        <v>329.94</v>
      </c>
      <c r="FI28" s="93">
        <v>328.94</v>
      </c>
      <c r="FJ28" s="93">
        <v>327.95</v>
      </c>
      <c r="FK28" s="93">
        <v>326.95999999999998</v>
      </c>
      <c r="FL28" s="93">
        <v>325.95999999999998</v>
      </c>
      <c r="FM28" s="93">
        <v>324.97000000000003</v>
      </c>
      <c r="FN28" s="93">
        <v>323.98</v>
      </c>
      <c r="FO28" s="93">
        <v>322.99</v>
      </c>
      <c r="FP28" s="93">
        <v>322</v>
      </c>
      <c r="FQ28" s="93">
        <v>321.01</v>
      </c>
      <c r="FR28" s="93">
        <v>320.02999999999997</v>
      </c>
      <c r="FS28" s="93">
        <v>319.04000000000002</v>
      </c>
      <c r="FT28" s="93">
        <v>318.06</v>
      </c>
      <c r="FU28" s="93">
        <v>317.07</v>
      </c>
      <c r="FV28" s="93">
        <v>316.07</v>
      </c>
      <c r="FW28" s="93">
        <v>315.10000000000002</v>
      </c>
      <c r="FX28" s="93">
        <v>314.12</v>
      </c>
      <c r="FY28" s="93">
        <v>313.13</v>
      </c>
      <c r="FZ28" s="93">
        <v>312.14999999999998</v>
      </c>
      <c r="GA28" s="93">
        <v>311.17</v>
      </c>
      <c r="GB28" s="93">
        <v>310.19</v>
      </c>
      <c r="GC28" s="93">
        <v>309.20999999999998</v>
      </c>
      <c r="GD28" s="93">
        <v>308.23</v>
      </c>
      <c r="GE28" s="93">
        <v>307.25</v>
      </c>
      <c r="GF28" s="93">
        <v>306.26</v>
      </c>
      <c r="GG28" s="93">
        <v>305.29000000000002</v>
      </c>
      <c r="GH28" s="93">
        <v>304.32</v>
      </c>
      <c r="GI28" s="93">
        <v>303.33999999999997</v>
      </c>
      <c r="GJ28" s="93">
        <v>302.37</v>
      </c>
      <c r="GK28" s="93">
        <v>301.39</v>
      </c>
      <c r="GL28" s="93">
        <v>300.42</v>
      </c>
      <c r="GM28" s="93">
        <v>299.45</v>
      </c>
      <c r="GN28" s="93">
        <v>298.48</v>
      </c>
      <c r="GO28" s="93">
        <v>297.51</v>
      </c>
      <c r="GP28" s="93">
        <v>296.54000000000002</v>
      </c>
      <c r="GQ28" s="93">
        <v>295.57</v>
      </c>
      <c r="GR28" s="93">
        <v>294.62</v>
      </c>
      <c r="GS28" s="93">
        <v>293.66000000000003</v>
      </c>
      <c r="GT28" s="93">
        <v>292.69</v>
      </c>
      <c r="GU28" s="93">
        <v>291.73</v>
      </c>
      <c r="GV28" s="93">
        <v>290.76</v>
      </c>
      <c r="GW28" s="93">
        <v>289.81</v>
      </c>
      <c r="GX28" s="93">
        <v>288.85000000000002</v>
      </c>
      <c r="GY28" s="93">
        <v>287.89</v>
      </c>
      <c r="GZ28" s="93">
        <v>286.94</v>
      </c>
      <c r="HA28" s="93">
        <v>285.98</v>
      </c>
      <c r="HB28" s="93">
        <v>285.02999999999997</v>
      </c>
      <c r="HC28" s="93">
        <v>284.07</v>
      </c>
      <c r="HD28" s="93">
        <v>283.12</v>
      </c>
      <c r="HE28" s="93">
        <v>282.17</v>
      </c>
      <c r="HF28" s="93">
        <v>281.22000000000003</v>
      </c>
      <c r="HG28" s="93">
        <v>280.26</v>
      </c>
      <c r="HH28" s="93">
        <v>279.32</v>
      </c>
      <c r="HI28" s="93">
        <v>278.37</v>
      </c>
      <c r="HJ28" s="93">
        <v>277.42</v>
      </c>
      <c r="HK28" s="93">
        <v>276.47000000000003</v>
      </c>
      <c r="HL28" s="93">
        <v>275.54000000000002</v>
      </c>
      <c r="HM28" s="93">
        <v>274.60000000000002</v>
      </c>
      <c r="HN28" s="93">
        <v>273.66000000000003</v>
      </c>
      <c r="HO28" s="93">
        <v>272.72000000000003</v>
      </c>
      <c r="HP28" s="93">
        <v>271.79000000000002</v>
      </c>
      <c r="HQ28" s="93">
        <v>270.85000000000002</v>
      </c>
      <c r="HR28" s="93">
        <v>269.92</v>
      </c>
      <c r="HS28" s="93">
        <v>268.99</v>
      </c>
      <c r="HT28" s="93">
        <v>268.06</v>
      </c>
      <c r="HU28" s="93">
        <v>267.13</v>
      </c>
      <c r="HV28" s="93">
        <v>266.2</v>
      </c>
      <c r="HW28" s="93">
        <v>265.26</v>
      </c>
      <c r="HX28" s="93">
        <v>264.33999999999997</v>
      </c>
      <c r="HY28" s="93">
        <v>263.41000000000003</v>
      </c>
      <c r="HZ28" s="93">
        <v>262.49</v>
      </c>
      <c r="IA28" s="93">
        <v>261.57</v>
      </c>
      <c r="IB28" s="93">
        <v>260.64</v>
      </c>
      <c r="IC28" s="93">
        <v>259.72000000000003</v>
      </c>
      <c r="ID28" s="93">
        <v>258.79000000000002</v>
      </c>
      <c r="IE28" s="93">
        <v>257.88</v>
      </c>
      <c r="IF28" s="93">
        <v>256.95999999999998</v>
      </c>
      <c r="IG28" s="93">
        <v>256.04000000000002</v>
      </c>
      <c r="IH28" s="93">
        <v>255.12</v>
      </c>
      <c r="II28" s="93">
        <v>254.2</v>
      </c>
      <c r="IJ28" s="93">
        <v>253.29</v>
      </c>
      <c r="IK28" s="93">
        <v>252.38</v>
      </c>
      <c r="IL28" s="93">
        <v>251.46</v>
      </c>
      <c r="IM28" s="93">
        <v>250.55</v>
      </c>
      <c r="IN28" s="93">
        <v>249.64</v>
      </c>
      <c r="IO28" s="93">
        <v>248.73</v>
      </c>
      <c r="IP28" s="93">
        <v>247.83</v>
      </c>
      <c r="IQ28" s="93">
        <v>246.92</v>
      </c>
      <c r="IR28" s="93">
        <v>246.01</v>
      </c>
      <c r="IS28" s="93">
        <v>245.11</v>
      </c>
      <c r="IT28" s="93">
        <v>244.2</v>
      </c>
      <c r="IU28" s="93">
        <v>243.3</v>
      </c>
      <c r="IV28" s="93">
        <v>242.41</v>
      </c>
      <c r="IW28" s="93">
        <v>241.51</v>
      </c>
      <c r="IX28" s="93">
        <v>240.62</v>
      </c>
      <c r="IY28" s="93">
        <v>239.73</v>
      </c>
      <c r="IZ28" s="93">
        <v>238.84</v>
      </c>
      <c r="JA28" s="93">
        <v>237.95</v>
      </c>
      <c r="JB28" s="93">
        <v>237.07</v>
      </c>
      <c r="JC28" s="93">
        <v>236.18</v>
      </c>
      <c r="JD28" s="93">
        <v>235.3</v>
      </c>
      <c r="JE28" s="93">
        <v>234.41</v>
      </c>
      <c r="JF28" s="93">
        <v>233.53</v>
      </c>
      <c r="JG28" s="93">
        <v>232.65</v>
      </c>
      <c r="JH28" s="93">
        <v>231.77</v>
      </c>
      <c r="JI28" s="93">
        <v>230.89</v>
      </c>
      <c r="JJ28" s="93">
        <v>230.01</v>
      </c>
      <c r="JK28" s="93">
        <v>229.13</v>
      </c>
      <c r="JL28" s="93">
        <v>228.26</v>
      </c>
      <c r="JM28" s="93">
        <v>227.38</v>
      </c>
      <c r="JN28" s="93">
        <v>226.51</v>
      </c>
      <c r="JO28" s="93">
        <v>225.64</v>
      </c>
      <c r="JP28" s="93">
        <v>224.76</v>
      </c>
      <c r="JQ28" s="93">
        <v>223.89</v>
      </c>
      <c r="JR28" s="93">
        <v>223.02</v>
      </c>
      <c r="JS28" s="93">
        <v>222.15</v>
      </c>
      <c r="JT28" s="93">
        <v>221.28</v>
      </c>
      <c r="JU28" s="93">
        <v>220.41</v>
      </c>
      <c r="JV28" s="93">
        <v>219.54</v>
      </c>
      <c r="JW28" s="93">
        <v>218.66</v>
      </c>
      <c r="JX28" s="93">
        <v>217.79</v>
      </c>
      <c r="JY28" s="93">
        <v>216.93</v>
      </c>
      <c r="JZ28" s="93">
        <v>216.06</v>
      </c>
      <c r="KA28" s="93">
        <v>215.19</v>
      </c>
      <c r="KB28" s="93">
        <v>214.32</v>
      </c>
      <c r="KC28" s="93">
        <v>213.46</v>
      </c>
      <c r="KD28" s="93">
        <v>212.59</v>
      </c>
      <c r="KE28" s="93">
        <v>211.73</v>
      </c>
      <c r="KF28" s="93">
        <v>210.87</v>
      </c>
      <c r="KG28" s="93">
        <v>210.01</v>
      </c>
      <c r="KH28" s="93">
        <v>209.15</v>
      </c>
      <c r="KI28" s="93">
        <v>208.29</v>
      </c>
      <c r="KJ28" s="93">
        <v>207.43</v>
      </c>
      <c r="KK28" s="93">
        <v>206.57</v>
      </c>
      <c r="KL28" s="93">
        <v>205.72</v>
      </c>
      <c r="KM28" s="93">
        <v>204.86</v>
      </c>
      <c r="KN28" s="93">
        <v>204.01</v>
      </c>
      <c r="KO28" s="93">
        <v>203.16</v>
      </c>
      <c r="KP28" s="93">
        <v>202.31</v>
      </c>
      <c r="KQ28" s="93">
        <v>201.46</v>
      </c>
      <c r="KR28" s="98">
        <f t="shared" si="22"/>
        <v>201.02</v>
      </c>
      <c r="KS28" s="98">
        <f t="shared" si="22"/>
        <v>200.23</v>
      </c>
      <c r="KT28" s="98">
        <f t="shared" si="22"/>
        <v>199.41</v>
      </c>
      <c r="KU28" s="98">
        <f t="shared" si="22"/>
        <v>198.62</v>
      </c>
      <c r="KV28" s="98">
        <f t="shared" si="22"/>
        <v>197.84</v>
      </c>
      <c r="KW28" s="98">
        <f t="shared" si="22"/>
        <v>197.05</v>
      </c>
      <c r="KX28" s="98">
        <f t="shared" si="22"/>
        <v>196.26</v>
      </c>
      <c r="KY28" s="98">
        <f t="shared" si="22"/>
        <v>195.48</v>
      </c>
      <c r="KZ28" s="98">
        <f t="shared" si="22"/>
        <v>194.69</v>
      </c>
      <c r="LA28" s="98">
        <f t="shared" si="22"/>
        <v>193.91</v>
      </c>
      <c r="LB28" s="98">
        <f t="shared" si="22"/>
        <v>193.13</v>
      </c>
      <c r="LC28" s="98">
        <f t="shared" si="22"/>
        <v>192.35</v>
      </c>
      <c r="LD28" s="98">
        <f t="shared" si="22"/>
        <v>191.57</v>
      </c>
      <c r="LE28" s="98">
        <f t="shared" si="22"/>
        <v>190.79</v>
      </c>
      <c r="LF28" s="98">
        <f t="shared" si="22"/>
        <v>190.02</v>
      </c>
      <c r="LG28" s="98">
        <f t="shared" si="22"/>
        <v>189.25</v>
      </c>
      <c r="LH28" s="98">
        <f t="shared" si="21"/>
        <v>188.47</v>
      </c>
      <c r="LI28" s="98">
        <f t="shared" si="21"/>
        <v>187.7</v>
      </c>
      <c r="LJ28" s="98">
        <f t="shared" si="21"/>
        <v>186.93</v>
      </c>
      <c r="LK28" s="98">
        <f t="shared" si="21"/>
        <v>186.16</v>
      </c>
      <c r="LL28" s="98">
        <f t="shared" si="21"/>
        <v>185.39</v>
      </c>
      <c r="LM28" s="98">
        <f t="shared" si="21"/>
        <v>184.63</v>
      </c>
      <c r="LN28" s="98">
        <f t="shared" si="21"/>
        <v>183.86</v>
      </c>
      <c r="LO28" s="98">
        <f t="shared" si="21"/>
        <v>183.1</v>
      </c>
      <c r="LP28" s="98">
        <f t="shared" si="21"/>
        <v>182.34</v>
      </c>
      <c r="LQ28" s="98">
        <f t="shared" si="21"/>
        <v>181.58</v>
      </c>
      <c r="LR28" s="98">
        <f t="shared" si="21"/>
        <v>180.82</v>
      </c>
      <c r="LS28" s="98">
        <f t="shared" si="21"/>
        <v>180.06</v>
      </c>
      <c r="LT28" s="98">
        <f t="shared" si="21"/>
        <v>179.31</v>
      </c>
      <c r="LU28" s="98">
        <f t="shared" si="21"/>
        <v>178.56</v>
      </c>
      <c r="LV28" s="98">
        <f t="shared" si="21"/>
        <v>177.8</v>
      </c>
      <c r="LW28" s="98">
        <f t="shared" si="21"/>
        <v>177.05</v>
      </c>
      <c r="LX28" s="98">
        <f t="shared" si="23"/>
        <v>176.3</v>
      </c>
      <c r="LY28" s="98">
        <f t="shared" si="23"/>
        <v>175.55</v>
      </c>
      <c r="LZ28" s="98">
        <f t="shared" si="19"/>
        <v>174.81</v>
      </c>
      <c r="MA28" s="98">
        <f t="shared" si="19"/>
        <v>174.06</v>
      </c>
      <c r="MB28" s="98">
        <f t="shared" si="19"/>
        <v>173.32</v>
      </c>
      <c r="MC28" s="98">
        <f t="shared" si="19"/>
        <v>172.58</v>
      </c>
      <c r="MD28" s="98">
        <f t="shared" si="19"/>
        <v>171.84</v>
      </c>
      <c r="ME28" s="98">
        <f t="shared" si="19"/>
        <v>171.11</v>
      </c>
      <c r="MF28" s="98">
        <f t="shared" si="19"/>
        <v>170.37</v>
      </c>
      <c r="MG28" s="98">
        <f t="shared" si="19"/>
        <v>169.64</v>
      </c>
      <c r="MH28" s="98">
        <f t="shared" si="19"/>
        <v>168.9</v>
      </c>
      <c r="MI28" s="98">
        <f t="shared" si="19"/>
        <v>168.17</v>
      </c>
      <c r="MJ28" s="98">
        <f t="shared" si="19"/>
        <v>167.44</v>
      </c>
      <c r="MK28" s="98">
        <f t="shared" si="19"/>
        <v>166.71</v>
      </c>
      <c r="ML28" s="98">
        <f t="shared" si="19"/>
        <v>165.99</v>
      </c>
      <c r="MM28" s="98">
        <f t="shared" si="19"/>
        <v>165.26</v>
      </c>
      <c r="MN28" s="98">
        <f t="shared" si="19"/>
        <v>164.54</v>
      </c>
      <c r="MO28" s="98">
        <f t="shared" si="19"/>
        <v>163.82</v>
      </c>
      <c r="MP28" s="98">
        <f t="shared" si="19"/>
        <v>163.1</v>
      </c>
      <c r="MQ28" s="98">
        <f t="shared" si="19"/>
        <v>162.38999999999999</v>
      </c>
      <c r="MR28" s="98">
        <f t="shared" si="19"/>
        <v>161.66999999999999</v>
      </c>
      <c r="MS28" s="98">
        <f t="shared" si="19"/>
        <v>160.96</v>
      </c>
      <c r="MT28" s="98">
        <f t="shared" si="18"/>
        <v>160.24</v>
      </c>
      <c r="MU28" s="98">
        <f t="shared" si="18"/>
        <v>159.53</v>
      </c>
      <c r="MV28" s="98">
        <f t="shared" si="18"/>
        <v>158.82</v>
      </c>
      <c r="MW28" s="98">
        <f t="shared" si="18"/>
        <v>158.12</v>
      </c>
      <c r="MX28" s="98">
        <f t="shared" si="18"/>
        <v>157.41</v>
      </c>
      <c r="MY28" s="98">
        <f t="shared" si="18"/>
        <v>156.71</v>
      </c>
    </row>
    <row r="29" spans="1:363" ht="15.75" x14ac:dyDescent="0.25">
      <c r="A29" s="90" t="s">
        <v>6</v>
      </c>
      <c r="B29" s="95">
        <v>2039</v>
      </c>
      <c r="C29" s="93">
        <v>496.36</v>
      </c>
      <c r="D29" s="93">
        <v>495.32</v>
      </c>
      <c r="E29" s="93">
        <v>494.29</v>
      </c>
      <c r="F29" s="93">
        <v>493.25</v>
      </c>
      <c r="G29" s="93">
        <v>492.21</v>
      </c>
      <c r="H29" s="93">
        <v>491.17</v>
      </c>
      <c r="I29" s="93">
        <v>490.14</v>
      </c>
      <c r="J29" s="93">
        <v>489.1</v>
      </c>
      <c r="K29" s="93">
        <v>488.06</v>
      </c>
      <c r="L29" s="93">
        <v>487.02</v>
      </c>
      <c r="M29" s="93">
        <v>485.99</v>
      </c>
      <c r="N29" s="93">
        <v>484.95</v>
      </c>
      <c r="O29" s="93">
        <v>483.91</v>
      </c>
      <c r="P29" s="93">
        <v>482.88</v>
      </c>
      <c r="Q29" s="93">
        <v>481.84</v>
      </c>
      <c r="R29" s="93">
        <v>480.8</v>
      </c>
      <c r="S29" s="93">
        <v>479.76</v>
      </c>
      <c r="T29" s="93">
        <v>478.73</v>
      </c>
      <c r="U29" s="93">
        <v>477.69</v>
      </c>
      <c r="V29" s="93">
        <v>476.65</v>
      </c>
      <c r="W29" s="93">
        <v>475.61</v>
      </c>
      <c r="X29" s="93">
        <v>474.58</v>
      </c>
      <c r="Y29" s="93">
        <v>473.54</v>
      </c>
      <c r="Z29" s="93">
        <v>472.5</v>
      </c>
      <c r="AA29" s="93">
        <v>471.47</v>
      </c>
      <c r="AB29" s="93">
        <v>470.43</v>
      </c>
      <c r="AC29" s="93">
        <v>469.39</v>
      </c>
      <c r="AD29" s="93">
        <v>468.35</v>
      </c>
      <c r="AE29" s="93">
        <v>467.32</v>
      </c>
      <c r="AF29" s="93">
        <v>466.28</v>
      </c>
      <c r="AG29" s="93">
        <v>465.24</v>
      </c>
      <c r="AH29" s="93">
        <v>464.2</v>
      </c>
      <c r="AI29" s="93">
        <v>463.17</v>
      </c>
      <c r="AJ29" s="93">
        <v>462.13</v>
      </c>
      <c r="AK29" s="93">
        <v>461.09</v>
      </c>
      <c r="AL29" s="93">
        <v>460.06</v>
      </c>
      <c r="AM29" s="93">
        <v>459.02</v>
      </c>
      <c r="AN29" s="93">
        <v>457.98</v>
      </c>
      <c r="AO29" s="93">
        <v>456.94</v>
      </c>
      <c r="AP29" s="93">
        <v>455.91</v>
      </c>
      <c r="AQ29" s="93">
        <v>454.87</v>
      </c>
      <c r="AR29" s="93">
        <v>453.83</v>
      </c>
      <c r="AS29" s="93">
        <v>452.8</v>
      </c>
      <c r="AT29" s="93">
        <v>451.76</v>
      </c>
      <c r="AU29" s="93">
        <v>450.72</v>
      </c>
      <c r="AV29" s="93">
        <v>449.69</v>
      </c>
      <c r="AW29" s="93">
        <v>448.65</v>
      </c>
      <c r="AX29" s="93">
        <v>447.61</v>
      </c>
      <c r="AY29" s="93">
        <v>446.57</v>
      </c>
      <c r="AZ29" s="93">
        <v>445.54</v>
      </c>
      <c r="BA29" s="93">
        <v>444.5</v>
      </c>
      <c r="BB29" s="93">
        <v>443.46</v>
      </c>
      <c r="BC29" s="93">
        <v>442.43</v>
      </c>
      <c r="BD29" s="93">
        <v>441.39</v>
      </c>
      <c r="BE29" s="93">
        <v>440.35</v>
      </c>
      <c r="BF29" s="93">
        <v>439.32</v>
      </c>
      <c r="BG29" s="93">
        <v>438.28</v>
      </c>
      <c r="BH29" s="93">
        <v>437.24</v>
      </c>
      <c r="BI29" s="93">
        <v>436.21</v>
      </c>
      <c r="BJ29" s="93">
        <v>435.17</v>
      </c>
      <c r="BK29" s="93">
        <v>434.13</v>
      </c>
      <c r="BL29" s="93">
        <v>433.09</v>
      </c>
      <c r="BM29" s="93">
        <v>432.06</v>
      </c>
      <c r="BN29" s="93">
        <v>431.02</v>
      </c>
      <c r="BO29" s="93">
        <v>429.98</v>
      </c>
      <c r="BP29" s="93">
        <v>428.95</v>
      </c>
      <c r="BQ29" s="93">
        <v>427.91</v>
      </c>
      <c r="BR29" s="93">
        <v>426.87</v>
      </c>
      <c r="BS29" s="93">
        <v>425.83</v>
      </c>
      <c r="BT29" s="93">
        <v>424.8</v>
      </c>
      <c r="BU29" s="93">
        <v>423.76</v>
      </c>
      <c r="BV29" s="93">
        <v>422.73</v>
      </c>
      <c r="BW29" s="93">
        <v>421.69</v>
      </c>
      <c r="BX29" s="93">
        <v>420.66</v>
      </c>
      <c r="BY29" s="93">
        <v>419.62</v>
      </c>
      <c r="BZ29" s="93">
        <v>418.59</v>
      </c>
      <c r="CA29" s="93">
        <v>417.55</v>
      </c>
      <c r="CB29" s="93">
        <v>416.52</v>
      </c>
      <c r="CC29" s="93">
        <v>415.48</v>
      </c>
      <c r="CD29" s="93">
        <v>414.45</v>
      </c>
      <c r="CE29" s="93">
        <v>413.42</v>
      </c>
      <c r="CF29" s="93">
        <v>412.38</v>
      </c>
      <c r="CG29" s="93">
        <v>411.35</v>
      </c>
      <c r="CH29" s="93">
        <v>410.32</v>
      </c>
      <c r="CI29" s="93">
        <v>409.28</v>
      </c>
      <c r="CJ29" s="93">
        <v>408.25</v>
      </c>
      <c r="CK29" s="93">
        <v>407.22</v>
      </c>
      <c r="CL29" s="93">
        <v>406.18</v>
      </c>
      <c r="CM29" s="93">
        <v>405.15</v>
      </c>
      <c r="CN29" s="93">
        <v>404.12</v>
      </c>
      <c r="CO29" s="93">
        <v>403.08</v>
      </c>
      <c r="CP29" s="93">
        <v>402.05</v>
      </c>
      <c r="CQ29" s="93">
        <v>401.02</v>
      </c>
      <c r="CR29" s="93">
        <v>399.98</v>
      </c>
      <c r="CS29" s="93">
        <v>398.95</v>
      </c>
      <c r="CT29" s="93">
        <v>397.92</v>
      </c>
      <c r="CU29" s="93">
        <v>396.89</v>
      </c>
      <c r="CV29" s="93">
        <v>395.85</v>
      </c>
      <c r="CW29" s="93">
        <v>394.82</v>
      </c>
      <c r="CX29" s="93">
        <v>393.79</v>
      </c>
      <c r="CY29" s="93">
        <v>392.76</v>
      </c>
      <c r="CZ29" s="93">
        <v>391.73</v>
      </c>
      <c r="DA29" s="93">
        <v>390.7</v>
      </c>
      <c r="DB29" s="93">
        <v>389.67</v>
      </c>
      <c r="DC29" s="93">
        <v>388.64</v>
      </c>
      <c r="DD29" s="93">
        <v>387.61</v>
      </c>
      <c r="DE29" s="93">
        <v>386.58</v>
      </c>
      <c r="DF29" s="93">
        <v>385.55</v>
      </c>
      <c r="DG29" s="93">
        <v>384.52</v>
      </c>
      <c r="DH29" s="93">
        <v>383.49</v>
      </c>
      <c r="DI29" s="93">
        <v>382.46</v>
      </c>
      <c r="DJ29" s="93">
        <v>381.44</v>
      </c>
      <c r="DK29" s="93">
        <v>380.41</v>
      </c>
      <c r="DL29" s="93">
        <v>379.38</v>
      </c>
      <c r="DM29" s="93">
        <v>378.35</v>
      </c>
      <c r="DN29" s="93">
        <v>377.33</v>
      </c>
      <c r="DO29" s="93">
        <v>376.3</v>
      </c>
      <c r="DP29" s="93">
        <v>375.27</v>
      </c>
      <c r="DQ29" s="93">
        <v>374.25</v>
      </c>
      <c r="DR29" s="93">
        <v>373.22</v>
      </c>
      <c r="DS29" s="93">
        <v>372.19</v>
      </c>
      <c r="DT29" s="93">
        <v>371.17</v>
      </c>
      <c r="DU29" s="93">
        <v>370.15</v>
      </c>
      <c r="DV29" s="93">
        <v>369.13</v>
      </c>
      <c r="DW29" s="93">
        <v>368.1</v>
      </c>
      <c r="DX29" s="93">
        <v>367.08</v>
      </c>
      <c r="DY29" s="93">
        <v>366.06</v>
      </c>
      <c r="DZ29" s="93">
        <v>365.04</v>
      </c>
      <c r="EA29" s="93">
        <v>364.02</v>
      </c>
      <c r="EB29" s="93">
        <v>363</v>
      </c>
      <c r="EC29" s="93">
        <v>361.98</v>
      </c>
      <c r="ED29" s="93">
        <v>360.97</v>
      </c>
      <c r="EE29" s="93">
        <v>359.95</v>
      </c>
      <c r="EF29" s="93">
        <v>358.93</v>
      </c>
      <c r="EG29" s="93">
        <v>357.92</v>
      </c>
      <c r="EH29" s="93">
        <v>356.91</v>
      </c>
      <c r="EI29" s="93">
        <v>355.9</v>
      </c>
      <c r="EJ29" s="93">
        <v>354.88</v>
      </c>
      <c r="EK29" s="93">
        <v>353.87</v>
      </c>
      <c r="EL29" s="93">
        <v>352.86</v>
      </c>
      <c r="EM29" s="93">
        <v>351.85</v>
      </c>
      <c r="EN29" s="93">
        <v>350.84</v>
      </c>
      <c r="EO29" s="93">
        <v>349.83</v>
      </c>
      <c r="EP29" s="93">
        <v>348.82</v>
      </c>
      <c r="EQ29" s="93">
        <v>347.81</v>
      </c>
      <c r="ER29" s="93">
        <v>346.81</v>
      </c>
      <c r="ES29" s="93">
        <v>345.8</v>
      </c>
      <c r="ET29" s="93">
        <v>344.8</v>
      </c>
      <c r="EU29" s="93">
        <v>343.8</v>
      </c>
      <c r="EV29" s="93">
        <v>342.79</v>
      </c>
      <c r="EW29" s="93">
        <v>341.79</v>
      </c>
      <c r="EX29" s="93">
        <v>340.78</v>
      </c>
      <c r="EY29" s="93">
        <v>339.78</v>
      </c>
      <c r="EZ29" s="93">
        <v>338.78</v>
      </c>
      <c r="FA29" s="93">
        <v>337.78</v>
      </c>
      <c r="FB29" s="93">
        <v>336.78</v>
      </c>
      <c r="FC29" s="93">
        <v>335.78</v>
      </c>
      <c r="FD29" s="93">
        <v>334.78</v>
      </c>
      <c r="FE29" s="93">
        <v>333.78</v>
      </c>
      <c r="FF29" s="93">
        <v>332.79</v>
      </c>
      <c r="FG29" s="93">
        <v>331.79</v>
      </c>
      <c r="FH29" s="93">
        <v>330.8</v>
      </c>
      <c r="FI29" s="93">
        <v>329.81</v>
      </c>
      <c r="FJ29" s="93">
        <v>328.81</v>
      </c>
      <c r="FK29" s="93">
        <v>327.82</v>
      </c>
      <c r="FL29" s="93">
        <v>326.82</v>
      </c>
      <c r="FM29" s="93">
        <v>325.82</v>
      </c>
      <c r="FN29" s="93">
        <v>324.83999999999997</v>
      </c>
      <c r="FO29" s="93">
        <v>323.85000000000002</v>
      </c>
      <c r="FP29" s="93">
        <v>322.85000000000002</v>
      </c>
      <c r="FQ29" s="93">
        <v>321.87</v>
      </c>
      <c r="FR29" s="93">
        <v>320.89</v>
      </c>
      <c r="FS29" s="93">
        <v>319.89999999999998</v>
      </c>
      <c r="FT29" s="93">
        <v>318.91000000000003</v>
      </c>
      <c r="FU29" s="93">
        <v>317.92</v>
      </c>
      <c r="FV29" s="93">
        <v>316.94</v>
      </c>
      <c r="FW29" s="93">
        <v>315.95</v>
      </c>
      <c r="FX29" s="93">
        <v>314.97000000000003</v>
      </c>
      <c r="FY29" s="93">
        <v>313.98</v>
      </c>
      <c r="FZ29" s="93">
        <v>313</v>
      </c>
      <c r="GA29" s="93">
        <v>312.01</v>
      </c>
      <c r="GB29" s="93">
        <v>311.04000000000002</v>
      </c>
      <c r="GC29" s="93">
        <v>310.06</v>
      </c>
      <c r="GD29" s="93">
        <v>309.07</v>
      </c>
      <c r="GE29" s="93">
        <v>308.10000000000002</v>
      </c>
      <c r="GF29" s="93">
        <v>307.12</v>
      </c>
      <c r="GG29" s="93">
        <v>306.14</v>
      </c>
      <c r="GH29" s="93">
        <v>305.16000000000003</v>
      </c>
      <c r="GI29" s="93">
        <v>304.19</v>
      </c>
      <c r="GJ29" s="93">
        <v>303.20999999999998</v>
      </c>
      <c r="GK29" s="93">
        <v>302.24</v>
      </c>
      <c r="GL29" s="93">
        <v>301.26</v>
      </c>
      <c r="GM29" s="93">
        <v>300.29000000000002</v>
      </c>
      <c r="GN29" s="93">
        <v>299.32</v>
      </c>
      <c r="GO29" s="93">
        <v>298.35000000000002</v>
      </c>
      <c r="GP29" s="93">
        <v>297.39</v>
      </c>
      <c r="GQ29" s="93">
        <v>296.42</v>
      </c>
      <c r="GR29" s="93">
        <v>295.45999999999998</v>
      </c>
      <c r="GS29" s="93">
        <v>294.49</v>
      </c>
      <c r="GT29" s="93">
        <v>293.52999999999997</v>
      </c>
      <c r="GU29" s="93">
        <v>292.57</v>
      </c>
      <c r="GV29" s="93">
        <v>291.60000000000002</v>
      </c>
      <c r="GW29" s="93">
        <v>290.64</v>
      </c>
      <c r="GX29" s="93">
        <v>289.68</v>
      </c>
      <c r="GY29" s="93">
        <v>288.72000000000003</v>
      </c>
      <c r="GZ29" s="93">
        <v>287.76</v>
      </c>
      <c r="HA29" s="93">
        <v>286.81</v>
      </c>
      <c r="HB29" s="93">
        <v>285.85000000000002</v>
      </c>
      <c r="HC29" s="93">
        <v>284.89999999999998</v>
      </c>
      <c r="HD29" s="93">
        <v>283.94</v>
      </c>
      <c r="HE29" s="93">
        <v>282.99</v>
      </c>
      <c r="HF29" s="93">
        <v>282.04000000000002</v>
      </c>
      <c r="HG29" s="93">
        <v>281.08999999999997</v>
      </c>
      <c r="HH29" s="93">
        <v>280.14</v>
      </c>
      <c r="HI29" s="93">
        <v>279.19</v>
      </c>
      <c r="HJ29" s="93">
        <v>278.24</v>
      </c>
      <c r="HK29" s="93">
        <v>277.29000000000002</v>
      </c>
      <c r="HL29" s="93">
        <v>276.35000000000002</v>
      </c>
      <c r="HM29" s="93">
        <v>275.41000000000003</v>
      </c>
      <c r="HN29" s="93">
        <v>274.47000000000003</v>
      </c>
      <c r="HO29" s="93">
        <v>273.54000000000002</v>
      </c>
      <c r="HP29" s="93">
        <v>272.60000000000002</v>
      </c>
      <c r="HQ29" s="93">
        <v>271.67</v>
      </c>
      <c r="HR29" s="93">
        <v>270.73</v>
      </c>
      <c r="HS29" s="93">
        <v>269.79000000000002</v>
      </c>
      <c r="HT29" s="93">
        <v>268.85000000000002</v>
      </c>
      <c r="HU29" s="93">
        <v>267.93</v>
      </c>
      <c r="HV29" s="93">
        <v>267</v>
      </c>
      <c r="HW29" s="93">
        <v>266.07</v>
      </c>
      <c r="HX29" s="93">
        <v>265.14</v>
      </c>
      <c r="HY29" s="93">
        <v>264.22000000000003</v>
      </c>
      <c r="HZ29" s="93">
        <v>263.29000000000002</v>
      </c>
      <c r="IA29" s="93">
        <v>262.35000000000002</v>
      </c>
      <c r="IB29" s="93">
        <v>261.44</v>
      </c>
      <c r="IC29" s="93">
        <v>260.51</v>
      </c>
      <c r="ID29" s="93">
        <v>259.58999999999997</v>
      </c>
      <c r="IE29" s="93">
        <v>258.67</v>
      </c>
      <c r="IF29" s="93">
        <v>257.75</v>
      </c>
      <c r="IG29" s="93">
        <v>256.82</v>
      </c>
      <c r="IH29" s="93">
        <v>255.91</v>
      </c>
      <c r="II29" s="93">
        <v>254.99</v>
      </c>
      <c r="IJ29" s="93">
        <v>254.08</v>
      </c>
      <c r="IK29" s="93">
        <v>253.16</v>
      </c>
      <c r="IL29" s="93">
        <v>252.25</v>
      </c>
      <c r="IM29" s="93">
        <v>251.34</v>
      </c>
      <c r="IN29" s="93">
        <v>250.42</v>
      </c>
      <c r="IO29" s="93">
        <v>249.51</v>
      </c>
      <c r="IP29" s="93">
        <v>248.6</v>
      </c>
      <c r="IQ29" s="93">
        <v>247.7</v>
      </c>
      <c r="IR29" s="93">
        <v>246.79</v>
      </c>
      <c r="IS29" s="93">
        <v>245.88</v>
      </c>
      <c r="IT29" s="93">
        <v>244.98</v>
      </c>
      <c r="IU29" s="93">
        <v>244.07</v>
      </c>
      <c r="IV29" s="93">
        <v>243.18</v>
      </c>
      <c r="IW29" s="93">
        <v>242.28</v>
      </c>
      <c r="IX29" s="93">
        <v>241.39</v>
      </c>
      <c r="IY29" s="93">
        <v>240.5</v>
      </c>
      <c r="IZ29" s="93">
        <v>239.61</v>
      </c>
      <c r="JA29" s="93">
        <v>238.72</v>
      </c>
      <c r="JB29" s="93">
        <v>237.83</v>
      </c>
      <c r="JC29" s="93">
        <v>236.94</v>
      </c>
      <c r="JD29" s="93">
        <v>236.06</v>
      </c>
      <c r="JE29" s="93">
        <v>235.17</v>
      </c>
      <c r="JF29" s="93">
        <v>234.29</v>
      </c>
      <c r="JG29" s="93">
        <v>233.4</v>
      </c>
      <c r="JH29" s="93">
        <v>232.52</v>
      </c>
      <c r="JI29" s="93">
        <v>231.64</v>
      </c>
      <c r="JJ29" s="93">
        <v>230.76</v>
      </c>
      <c r="JK29" s="93">
        <v>229.88</v>
      </c>
      <c r="JL29" s="93">
        <v>229.01</v>
      </c>
      <c r="JM29" s="93">
        <v>228.13</v>
      </c>
      <c r="JN29" s="93">
        <v>227.25</v>
      </c>
      <c r="JO29" s="93">
        <v>226.38</v>
      </c>
      <c r="JP29" s="93">
        <v>225.51</v>
      </c>
      <c r="JQ29" s="93">
        <v>224.63</v>
      </c>
      <c r="JR29" s="93">
        <v>223.76</v>
      </c>
      <c r="JS29" s="93">
        <v>222.89</v>
      </c>
      <c r="JT29" s="93">
        <v>222.02</v>
      </c>
      <c r="JU29" s="93">
        <v>221.14</v>
      </c>
      <c r="JV29" s="93">
        <v>220.27</v>
      </c>
      <c r="JW29" s="93">
        <v>219.39</v>
      </c>
      <c r="JX29" s="93">
        <v>218.52</v>
      </c>
      <c r="JY29" s="93">
        <v>217.65</v>
      </c>
      <c r="JZ29" s="93">
        <v>216.78</v>
      </c>
      <c r="KA29" s="93">
        <v>215.91</v>
      </c>
      <c r="KB29" s="93">
        <v>215.04</v>
      </c>
      <c r="KC29" s="93">
        <v>214.18</v>
      </c>
      <c r="KD29" s="93">
        <v>213.31</v>
      </c>
      <c r="KE29" s="93">
        <v>212.44</v>
      </c>
      <c r="KF29" s="93">
        <v>211.58</v>
      </c>
      <c r="KG29" s="93">
        <v>210.72</v>
      </c>
      <c r="KH29" s="93">
        <v>209.86</v>
      </c>
      <c r="KI29" s="93">
        <v>209</v>
      </c>
      <c r="KJ29" s="93">
        <v>208.14</v>
      </c>
      <c r="KK29" s="93">
        <v>207.28</v>
      </c>
      <c r="KL29" s="93">
        <v>206.42</v>
      </c>
      <c r="KM29" s="93">
        <v>205.56</v>
      </c>
      <c r="KN29" s="93">
        <v>204.71</v>
      </c>
      <c r="KO29" s="93">
        <v>203.85</v>
      </c>
      <c r="KP29" s="93">
        <v>203</v>
      </c>
      <c r="KQ29" s="93">
        <v>202.15</v>
      </c>
      <c r="KR29" s="98">
        <f t="shared" si="22"/>
        <v>201.77</v>
      </c>
      <c r="KS29" s="98">
        <f t="shared" si="22"/>
        <v>200.98</v>
      </c>
      <c r="KT29" s="98">
        <f t="shared" si="22"/>
        <v>200.16</v>
      </c>
      <c r="KU29" s="98">
        <f t="shared" si="22"/>
        <v>199.37</v>
      </c>
      <c r="KV29" s="98">
        <f t="shared" si="22"/>
        <v>198.59</v>
      </c>
      <c r="KW29" s="98">
        <f t="shared" si="22"/>
        <v>197.8</v>
      </c>
      <c r="KX29" s="98">
        <f t="shared" si="22"/>
        <v>197.01</v>
      </c>
      <c r="KY29" s="98">
        <f t="shared" si="22"/>
        <v>196.23</v>
      </c>
      <c r="KZ29" s="98">
        <f t="shared" si="22"/>
        <v>195.44</v>
      </c>
      <c r="LA29" s="98">
        <f t="shared" si="22"/>
        <v>194.66</v>
      </c>
      <c r="LB29" s="98">
        <f t="shared" si="22"/>
        <v>193.88</v>
      </c>
      <c r="LC29" s="98">
        <f t="shared" si="22"/>
        <v>193.1</v>
      </c>
      <c r="LD29" s="98">
        <f t="shared" si="22"/>
        <v>192.32</v>
      </c>
      <c r="LE29" s="98">
        <f t="shared" si="22"/>
        <v>191.54</v>
      </c>
      <c r="LF29" s="98">
        <f t="shared" si="22"/>
        <v>190.77</v>
      </c>
      <c r="LG29" s="98">
        <f t="shared" si="22"/>
        <v>190</v>
      </c>
      <c r="LH29" s="98">
        <f t="shared" si="21"/>
        <v>189.22</v>
      </c>
      <c r="LI29" s="98">
        <f t="shared" si="21"/>
        <v>188.45</v>
      </c>
      <c r="LJ29" s="98">
        <f t="shared" si="21"/>
        <v>187.68</v>
      </c>
      <c r="LK29" s="98">
        <f t="shared" si="21"/>
        <v>186.91</v>
      </c>
      <c r="LL29" s="98">
        <f t="shared" si="21"/>
        <v>186.14</v>
      </c>
      <c r="LM29" s="98">
        <f t="shared" si="21"/>
        <v>185.38</v>
      </c>
      <c r="LN29" s="98">
        <f t="shared" si="21"/>
        <v>184.61</v>
      </c>
      <c r="LO29" s="98">
        <f t="shared" si="21"/>
        <v>183.85</v>
      </c>
      <c r="LP29" s="98">
        <f t="shared" si="21"/>
        <v>183.09</v>
      </c>
      <c r="LQ29" s="98">
        <f t="shared" si="21"/>
        <v>182.33</v>
      </c>
      <c r="LR29" s="98">
        <f t="shared" si="21"/>
        <v>181.57</v>
      </c>
      <c r="LS29" s="98">
        <f t="shared" si="21"/>
        <v>180.81</v>
      </c>
      <c r="LT29" s="98">
        <f t="shared" si="21"/>
        <v>180.06</v>
      </c>
      <c r="LU29" s="98">
        <f t="shared" si="21"/>
        <v>179.31</v>
      </c>
      <c r="LV29" s="98">
        <f t="shared" si="21"/>
        <v>178.55</v>
      </c>
      <c r="LW29" s="98">
        <f t="shared" si="21"/>
        <v>177.8</v>
      </c>
      <c r="LX29" s="98">
        <f t="shared" si="23"/>
        <v>177.05</v>
      </c>
      <c r="LY29" s="98">
        <f t="shared" si="23"/>
        <v>176.3</v>
      </c>
      <c r="LZ29" s="98">
        <f t="shared" si="19"/>
        <v>175.56</v>
      </c>
      <c r="MA29" s="98">
        <f t="shared" si="19"/>
        <v>174.81</v>
      </c>
      <c r="MB29" s="98">
        <f t="shared" si="19"/>
        <v>174.07</v>
      </c>
      <c r="MC29" s="98">
        <f t="shared" si="19"/>
        <v>173.33</v>
      </c>
      <c r="MD29" s="98">
        <f t="shared" si="19"/>
        <v>172.59</v>
      </c>
      <c r="ME29" s="98">
        <f t="shared" si="19"/>
        <v>171.86</v>
      </c>
      <c r="MF29" s="98">
        <f t="shared" si="19"/>
        <v>171.12</v>
      </c>
      <c r="MG29" s="98">
        <f>MG28+0.75</f>
        <v>170.39</v>
      </c>
      <c r="MH29" s="98">
        <f t="shared" si="19"/>
        <v>169.65</v>
      </c>
      <c r="MI29" s="98">
        <f t="shared" si="19"/>
        <v>168.92</v>
      </c>
      <c r="MJ29" s="98">
        <f t="shared" si="19"/>
        <v>168.19</v>
      </c>
      <c r="MK29" s="98">
        <f t="shared" si="19"/>
        <v>167.46</v>
      </c>
      <c r="ML29" s="98">
        <f t="shared" si="19"/>
        <v>166.74</v>
      </c>
      <c r="MM29" s="98">
        <f t="shared" si="19"/>
        <v>166.01</v>
      </c>
      <c r="MN29" s="98">
        <f t="shared" si="19"/>
        <v>165.29</v>
      </c>
      <c r="MO29" s="98">
        <f t="shared" si="19"/>
        <v>164.57</v>
      </c>
      <c r="MP29" s="98">
        <f t="shared" si="19"/>
        <v>163.85</v>
      </c>
      <c r="MQ29" s="98">
        <f t="shared" ref="MQ29:MY44" si="24">MQ28+0.75</f>
        <v>163.13999999999999</v>
      </c>
      <c r="MR29" s="98">
        <f t="shared" si="24"/>
        <v>162.41999999999999</v>
      </c>
      <c r="MS29" s="98">
        <f t="shared" si="24"/>
        <v>161.71</v>
      </c>
      <c r="MT29" s="98">
        <f t="shared" si="18"/>
        <v>160.99</v>
      </c>
      <c r="MU29" s="98">
        <f t="shared" si="18"/>
        <v>160.28</v>
      </c>
      <c r="MV29" s="98">
        <f t="shared" si="18"/>
        <v>159.57</v>
      </c>
      <c r="MW29" s="98">
        <f t="shared" si="18"/>
        <v>158.87</v>
      </c>
      <c r="MX29" s="98">
        <f t="shared" si="18"/>
        <v>158.16</v>
      </c>
      <c r="MY29" s="98">
        <f t="shared" si="18"/>
        <v>157.46</v>
      </c>
    </row>
    <row r="30" spans="1:363" ht="15.75" x14ac:dyDescent="0.25">
      <c r="A30" s="90" t="s">
        <v>6</v>
      </c>
      <c r="B30" s="95">
        <v>2040</v>
      </c>
      <c r="C30" s="93">
        <v>497.25</v>
      </c>
      <c r="D30" s="93">
        <v>496.22</v>
      </c>
      <c r="E30" s="93">
        <v>495.18</v>
      </c>
      <c r="F30" s="93">
        <v>494.14</v>
      </c>
      <c r="G30" s="93">
        <v>493.1</v>
      </c>
      <c r="H30" s="93">
        <v>492.07</v>
      </c>
      <c r="I30" s="93">
        <v>491.03</v>
      </c>
      <c r="J30" s="93">
        <v>489.99</v>
      </c>
      <c r="K30" s="93">
        <v>488.95</v>
      </c>
      <c r="L30" s="93">
        <v>487.92</v>
      </c>
      <c r="M30" s="93">
        <v>486.88</v>
      </c>
      <c r="N30" s="93">
        <v>485.84</v>
      </c>
      <c r="O30" s="93">
        <v>484.81</v>
      </c>
      <c r="P30" s="93">
        <v>483.77</v>
      </c>
      <c r="Q30" s="93">
        <v>482.73</v>
      </c>
      <c r="R30" s="93">
        <v>481.69</v>
      </c>
      <c r="S30" s="93">
        <v>480.66</v>
      </c>
      <c r="T30" s="93">
        <v>479.62</v>
      </c>
      <c r="U30" s="93">
        <v>478.58</v>
      </c>
      <c r="V30" s="93">
        <v>477.54</v>
      </c>
      <c r="W30" s="93">
        <v>476.51</v>
      </c>
      <c r="X30" s="93">
        <v>475.47</v>
      </c>
      <c r="Y30" s="93">
        <v>474.43</v>
      </c>
      <c r="Z30" s="93">
        <v>473.4</v>
      </c>
      <c r="AA30" s="93">
        <v>472.36</v>
      </c>
      <c r="AB30" s="93">
        <v>471.32</v>
      </c>
      <c r="AC30" s="93">
        <v>470.28</v>
      </c>
      <c r="AD30" s="93">
        <v>469.25</v>
      </c>
      <c r="AE30" s="93">
        <v>468.21</v>
      </c>
      <c r="AF30" s="93">
        <v>467.17</v>
      </c>
      <c r="AG30" s="93">
        <v>466.14</v>
      </c>
      <c r="AH30" s="93">
        <v>465.1</v>
      </c>
      <c r="AI30" s="93">
        <v>464.06</v>
      </c>
      <c r="AJ30" s="93">
        <v>463.02</v>
      </c>
      <c r="AK30" s="93">
        <v>461.99</v>
      </c>
      <c r="AL30" s="93">
        <v>460.95</v>
      </c>
      <c r="AM30" s="93">
        <v>459.91</v>
      </c>
      <c r="AN30" s="93">
        <v>458.88</v>
      </c>
      <c r="AO30" s="93">
        <v>457.84</v>
      </c>
      <c r="AP30" s="93">
        <v>456.8</v>
      </c>
      <c r="AQ30" s="93">
        <v>455.76</v>
      </c>
      <c r="AR30" s="93">
        <v>454.73</v>
      </c>
      <c r="AS30" s="93">
        <v>453.69</v>
      </c>
      <c r="AT30" s="93">
        <v>452.65</v>
      </c>
      <c r="AU30" s="93">
        <v>451.62</v>
      </c>
      <c r="AV30" s="93">
        <v>450.58</v>
      </c>
      <c r="AW30" s="93">
        <v>449.54</v>
      </c>
      <c r="AX30" s="93">
        <v>448.51</v>
      </c>
      <c r="AY30" s="93">
        <v>447.47</v>
      </c>
      <c r="AZ30" s="93">
        <v>446.43</v>
      </c>
      <c r="BA30" s="93">
        <v>445.39</v>
      </c>
      <c r="BB30" s="93">
        <v>444.36</v>
      </c>
      <c r="BC30" s="93">
        <v>443.32</v>
      </c>
      <c r="BD30" s="93">
        <v>442.28</v>
      </c>
      <c r="BE30" s="93">
        <v>441.25</v>
      </c>
      <c r="BF30" s="93">
        <v>440.21</v>
      </c>
      <c r="BG30" s="93">
        <v>439.17</v>
      </c>
      <c r="BH30" s="93">
        <v>438.14</v>
      </c>
      <c r="BI30" s="93">
        <v>437.1</v>
      </c>
      <c r="BJ30" s="93">
        <v>436.06</v>
      </c>
      <c r="BK30" s="93">
        <v>435.03</v>
      </c>
      <c r="BL30" s="93">
        <v>433.99</v>
      </c>
      <c r="BM30" s="93">
        <v>432.95</v>
      </c>
      <c r="BN30" s="93">
        <v>431.91</v>
      </c>
      <c r="BO30" s="93">
        <v>430.88</v>
      </c>
      <c r="BP30" s="93">
        <v>429.84</v>
      </c>
      <c r="BQ30" s="93">
        <v>428.8</v>
      </c>
      <c r="BR30" s="93">
        <v>427.76</v>
      </c>
      <c r="BS30" s="93">
        <v>426.73</v>
      </c>
      <c r="BT30" s="93">
        <v>425.69</v>
      </c>
      <c r="BU30" s="93">
        <v>424.65</v>
      </c>
      <c r="BV30" s="93">
        <v>423.62</v>
      </c>
      <c r="BW30" s="93">
        <v>422.58</v>
      </c>
      <c r="BX30" s="93">
        <v>421.55</v>
      </c>
      <c r="BY30" s="93">
        <v>420.51</v>
      </c>
      <c r="BZ30" s="93">
        <v>419.48</v>
      </c>
      <c r="CA30" s="93">
        <v>418.44</v>
      </c>
      <c r="CB30" s="93">
        <v>417.41</v>
      </c>
      <c r="CC30" s="93">
        <v>416.37</v>
      </c>
      <c r="CD30" s="93">
        <v>415.34</v>
      </c>
      <c r="CE30" s="93">
        <v>414.31</v>
      </c>
      <c r="CF30" s="93">
        <v>413.27</v>
      </c>
      <c r="CG30" s="93">
        <v>412.24</v>
      </c>
      <c r="CH30" s="93">
        <v>411.21</v>
      </c>
      <c r="CI30" s="93">
        <v>410.17</v>
      </c>
      <c r="CJ30" s="93">
        <v>409.14</v>
      </c>
      <c r="CK30" s="93">
        <v>408.11</v>
      </c>
      <c r="CL30" s="93">
        <v>407.07</v>
      </c>
      <c r="CM30" s="93">
        <v>406.04</v>
      </c>
      <c r="CN30" s="93">
        <v>405.01</v>
      </c>
      <c r="CO30" s="93">
        <v>403.97</v>
      </c>
      <c r="CP30" s="93">
        <v>402.94</v>
      </c>
      <c r="CQ30" s="93">
        <v>401.91</v>
      </c>
      <c r="CR30" s="93">
        <v>400.87</v>
      </c>
      <c r="CS30" s="93">
        <v>399.84</v>
      </c>
      <c r="CT30" s="93">
        <v>398.81</v>
      </c>
      <c r="CU30" s="93">
        <v>397.77</v>
      </c>
      <c r="CV30" s="93">
        <v>396.74</v>
      </c>
      <c r="CW30" s="93">
        <v>395.71</v>
      </c>
      <c r="CX30" s="93">
        <v>394.68</v>
      </c>
      <c r="CY30" s="93">
        <v>393.65</v>
      </c>
      <c r="CZ30" s="93">
        <v>392.62</v>
      </c>
      <c r="DA30" s="93">
        <v>391.59</v>
      </c>
      <c r="DB30" s="93">
        <v>390.56</v>
      </c>
      <c r="DC30" s="93">
        <v>389.53</v>
      </c>
      <c r="DD30" s="93">
        <v>388.5</v>
      </c>
      <c r="DE30" s="93">
        <v>387.47</v>
      </c>
      <c r="DF30" s="93">
        <v>386.44</v>
      </c>
      <c r="DG30" s="93">
        <v>385.41</v>
      </c>
      <c r="DH30" s="93">
        <v>384.38</v>
      </c>
      <c r="DI30" s="93">
        <v>383.35</v>
      </c>
      <c r="DJ30" s="93">
        <v>382.32</v>
      </c>
      <c r="DK30" s="93">
        <v>381.29</v>
      </c>
      <c r="DL30" s="93">
        <v>380.26</v>
      </c>
      <c r="DM30" s="93">
        <v>379.24</v>
      </c>
      <c r="DN30" s="93">
        <v>378.21</v>
      </c>
      <c r="DO30" s="93">
        <v>377.18</v>
      </c>
      <c r="DP30" s="93">
        <v>376.15</v>
      </c>
      <c r="DQ30" s="93">
        <v>375.13</v>
      </c>
      <c r="DR30" s="93">
        <v>374.1</v>
      </c>
      <c r="DS30" s="93">
        <v>373.07</v>
      </c>
      <c r="DT30" s="93">
        <v>372.05</v>
      </c>
      <c r="DU30" s="93">
        <v>371.03</v>
      </c>
      <c r="DV30" s="93">
        <v>370</v>
      </c>
      <c r="DW30" s="93">
        <v>368.98</v>
      </c>
      <c r="DX30" s="93">
        <v>367.96</v>
      </c>
      <c r="DY30" s="93">
        <v>366.94</v>
      </c>
      <c r="DZ30" s="93">
        <v>365.92</v>
      </c>
      <c r="EA30" s="93">
        <v>364.9</v>
      </c>
      <c r="EB30" s="93">
        <v>363.88</v>
      </c>
      <c r="EC30" s="93">
        <v>362.86</v>
      </c>
      <c r="ED30" s="93">
        <v>361.84</v>
      </c>
      <c r="EE30" s="93">
        <v>360.82</v>
      </c>
      <c r="EF30" s="93">
        <v>359.81</v>
      </c>
      <c r="EG30" s="93">
        <v>358.79</v>
      </c>
      <c r="EH30" s="93">
        <v>357.78</v>
      </c>
      <c r="EI30" s="93">
        <v>356.77</v>
      </c>
      <c r="EJ30" s="93">
        <v>355.76</v>
      </c>
      <c r="EK30" s="93">
        <v>354.74</v>
      </c>
      <c r="EL30" s="93">
        <v>353.73</v>
      </c>
      <c r="EM30" s="93">
        <v>352.72</v>
      </c>
      <c r="EN30" s="93">
        <v>351.71</v>
      </c>
      <c r="EO30" s="93">
        <v>350.7</v>
      </c>
      <c r="EP30" s="93">
        <v>349.69</v>
      </c>
      <c r="EQ30" s="93">
        <v>348.68</v>
      </c>
      <c r="ER30" s="93">
        <v>347.68</v>
      </c>
      <c r="ES30" s="93">
        <v>346.67</v>
      </c>
      <c r="ET30" s="93">
        <v>345.67</v>
      </c>
      <c r="EU30" s="93">
        <v>344.66</v>
      </c>
      <c r="EV30" s="93">
        <v>343.66</v>
      </c>
      <c r="EW30" s="93">
        <v>342.65</v>
      </c>
      <c r="EX30" s="93">
        <v>341.65</v>
      </c>
      <c r="EY30" s="93">
        <v>340.65</v>
      </c>
      <c r="EZ30" s="93">
        <v>339.64</v>
      </c>
      <c r="FA30" s="93">
        <v>338.64</v>
      </c>
      <c r="FB30" s="93">
        <v>337.64</v>
      </c>
      <c r="FC30" s="93">
        <v>336.64</v>
      </c>
      <c r="FD30" s="93">
        <v>335.64</v>
      </c>
      <c r="FE30" s="93">
        <v>334.64</v>
      </c>
      <c r="FF30" s="93">
        <v>333.65</v>
      </c>
      <c r="FG30" s="93">
        <v>332.65</v>
      </c>
      <c r="FH30" s="93">
        <v>331.66</v>
      </c>
      <c r="FI30" s="93">
        <v>330.66</v>
      </c>
      <c r="FJ30" s="93">
        <v>329.67</v>
      </c>
      <c r="FK30" s="93">
        <v>328.68</v>
      </c>
      <c r="FL30" s="93">
        <v>327.68</v>
      </c>
      <c r="FM30" s="93">
        <v>326.69</v>
      </c>
      <c r="FN30" s="93">
        <v>325.7</v>
      </c>
      <c r="FO30" s="93">
        <v>324.70999999999998</v>
      </c>
      <c r="FP30" s="93">
        <v>323.72000000000003</v>
      </c>
      <c r="FQ30" s="93">
        <v>322.73</v>
      </c>
      <c r="FR30" s="93">
        <v>321.74</v>
      </c>
      <c r="FS30" s="93">
        <v>320.75</v>
      </c>
      <c r="FT30" s="93">
        <v>319.76</v>
      </c>
      <c r="FU30" s="93">
        <v>318.76</v>
      </c>
      <c r="FV30" s="93">
        <v>317.79000000000002</v>
      </c>
      <c r="FW30" s="93">
        <v>316.79000000000002</v>
      </c>
      <c r="FX30" s="93">
        <v>315.82</v>
      </c>
      <c r="FY30" s="93">
        <v>314.82</v>
      </c>
      <c r="FZ30" s="93">
        <v>313.85000000000002</v>
      </c>
      <c r="GA30" s="93">
        <v>312.85000000000002</v>
      </c>
      <c r="GB30" s="93">
        <v>311.88</v>
      </c>
      <c r="GC30" s="93">
        <v>310.89999999999998</v>
      </c>
      <c r="GD30" s="93">
        <v>309.92</v>
      </c>
      <c r="GE30" s="93">
        <v>308.94</v>
      </c>
      <c r="GF30" s="93">
        <v>307.95999999999998</v>
      </c>
      <c r="GG30" s="93">
        <v>306.98</v>
      </c>
      <c r="GH30" s="93">
        <v>306</v>
      </c>
      <c r="GI30" s="93">
        <v>305.02999999999997</v>
      </c>
      <c r="GJ30" s="93">
        <v>304.04000000000002</v>
      </c>
      <c r="GK30" s="93">
        <v>303.07</v>
      </c>
      <c r="GL30" s="93">
        <v>302.10000000000002</v>
      </c>
      <c r="GM30" s="93">
        <v>301.12</v>
      </c>
      <c r="GN30" s="93">
        <v>300.14999999999998</v>
      </c>
      <c r="GO30" s="93">
        <v>299.19</v>
      </c>
      <c r="GP30" s="93">
        <v>298.22000000000003</v>
      </c>
      <c r="GQ30" s="93">
        <v>297.25</v>
      </c>
      <c r="GR30" s="93">
        <v>296.29000000000002</v>
      </c>
      <c r="GS30" s="93">
        <v>295.32</v>
      </c>
      <c r="GT30" s="93">
        <v>294.35000000000002</v>
      </c>
      <c r="GU30" s="93">
        <v>293.39</v>
      </c>
      <c r="GV30" s="93">
        <v>292.43</v>
      </c>
      <c r="GW30" s="93">
        <v>291.47000000000003</v>
      </c>
      <c r="GX30" s="93">
        <v>290.51</v>
      </c>
      <c r="GY30" s="93">
        <v>289.54000000000002</v>
      </c>
      <c r="GZ30" s="93">
        <v>288.58999999999997</v>
      </c>
      <c r="HA30" s="93">
        <v>287.63</v>
      </c>
      <c r="HB30" s="93">
        <v>286.67</v>
      </c>
      <c r="HC30" s="93">
        <v>285.72000000000003</v>
      </c>
      <c r="HD30" s="93">
        <v>284.76</v>
      </c>
      <c r="HE30" s="93">
        <v>283.81</v>
      </c>
      <c r="HF30" s="93">
        <v>282.85000000000002</v>
      </c>
      <c r="HG30" s="93">
        <v>281.89999999999998</v>
      </c>
      <c r="HH30" s="93">
        <v>280.95</v>
      </c>
      <c r="HI30" s="93">
        <v>280</v>
      </c>
      <c r="HJ30" s="93">
        <v>279.04000000000002</v>
      </c>
      <c r="HK30" s="93">
        <v>278.10000000000002</v>
      </c>
      <c r="HL30" s="93">
        <v>277.16000000000003</v>
      </c>
      <c r="HM30" s="93">
        <v>276.22000000000003</v>
      </c>
      <c r="HN30" s="93">
        <v>275.27999999999997</v>
      </c>
      <c r="HO30" s="93">
        <v>274.35000000000002</v>
      </c>
      <c r="HP30" s="93">
        <v>273.41000000000003</v>
      </c>
      <c r="HQ30" s="93">
        <v>272.47000000000003</v>
      </c>
      <c r="HR30" s="93">
        <v>271.54000000000002</v>
      </c>
      <c r="HS30" s="93">
        <v>270.60000000000002</v>
      </c>
      <c r="HT30" s="93">
        <v>269.67</v>
      </c>
      <c r="HU30" s="93">
        <v>268.73</v>
      </c>
      <c r="HV30" s="93">
        <v>267.79000000000002</v>
      </c>
      <c r="HW30" s="93">
        <v>266.87</v>
      </c>
      <c r="HX30" s="93">
        <v>265.94</v>
      </c>
      <c r="HY30" s="93">
        <v>265.01</v>
      </c>
      <c r="HZ30" s="93">
        <v>264.08999999999997</v>
      </c>
      <c r="IA30" s="93">
        <v>263.16000000000003</v>
      </c>
      <c r="IB30" s="93">
        <v>262.23</v>
      </c>
      <c r="IC30" s="93">
        <v>261.31</v>
      </c>
      <c r="ID30" s="93">
        <v>260.38</v>
      </c>
      <c r="IE30" s="93">
        <v>259.45999999999998</v>
      </c>
      <c r="IF30" s="93">
        <v>258.54000000000002</v>
      </c>
      <c r="IG30" s="93">
        <v>257.62</v>
      </c>
      <c r="IH30" s="93">
        <v>256.7</v>
      </c>
      <c r="II30" s="93">
        <v>255.78</v>
      </c>
      <c r="IJ30" s="93">
        <v>254.86</v>
      </c>
      <c r="IK30" s="93">
        <v>253.95</v>
      </c>
      <c r="IL30" s="93">
        <v>253.03</v>
      </c>
      <c r="IM30" s="93">
        <v>252.12</v>
      </c>
      <c r="IN30" s="93">
        <v>251.2</v>
      </c>
      <c r="IO30" s="93">
        <v>250.29</v>
      </c>
      <c r="IP30" s="93">
        <v>249.38</v>
      </c>
      <c r="IQ30" s="93">
        <v>248.47</v>
      </c>
      <c r="IR30" s="93">
        <v>247.56</v>
      </c>
      <c r="IS30" s="93">
        <v>246.65</v>
      </c>
      <c r="IT30" s="93">
        <v>245.75</v>
      </c>
      <c r="IU30" s="93">
        <v>244.84</v>
      </c>
      <c r="IV30" s="93">
        <v>243.94</v>
      </c>
      <c r="IW30" s="93">
        <v>243.05</v>
      </c>
      <c r="IX30" s="93">
        <v>242.15</v>
      </c>
      <c r="IY30" s="93">
        <v>241.26</v>
      </c>
      <c r="IZ30" s="93">
        <v>240.37</v>
      </c>
      <c r="JA30" s="93">
        <v>239.48</v>
      </c>
      <c r="JB30" s="93">
        <v>238.59</v>
      </c>
      <c r="JC30" s="93">
        <v>237.7</v>
      </c>
      <c r="JD30" s="93">
        <v>236.81</v>
      </c>
      <c r="JE30" s="93">
        <v>235.93</v>
      </c>
      <c r="JF30" s="93">
        <v>235.04</v>
      </c>
      <c r="JG30" s="93">
        <v>234.15</v>
      </c>
      <c r="JH30" s="93">
        <v>233.27</v>
      </c>
      <c r="JI30" s="93">
        <v>232.39</v>
      </c>
      <c r="JJ30" s="93">
        <v>231.51</v>
      </c>
      <c r="JK30" s="93">
        <v>230.63</v>
      </c>
      <c r="JL30" s="93">
        <v>229.75</v>
      </c>
      <c r="JM30" s="93">
        <v>228.87</v>
      </c>
      <c r="JN30" s="93">
        <v>227.99</v>
      </c>
      <c r="JO30" s="93">
        <v>227.12</v>
      </c>
      <c r="JP30" s="93">
        <v>226.24</v>
      </c>
      <c r="JQ30" s="93">
        <v>225.37</v>
      </c>
      <c r="JR30" s="93">
        <v>224.5</v>
      </c>
      <c r="JS30" s="93">
        <v>223.62</v>
      </c>
      <c r="JT30" s="93">
        <v>222.75</v>
      </c>
      <c r="JU30" s="93">
        <v>221.87</v>
      </c>
      <c r="JV30" s="93">
        <v>221</v>
      </c>
      <c r="JW30" s="93">
        <v>220.12</v>
      </c>
      <c r="JX30" s="93">
        <v>219.25</v>
      </c>
      <c r="JY30" s="93">
        <v>218.38</v>
      </c>
      <c r="JZ30" s="93">
        <v>217.5</v>
      </c>
      <c r="KA30" s="93">
        <v>216.63</v>
      </c>
      <c r="KB30" s="93">
        <v>215.76</v>
      </c>
      <c r="KC30" s="93">
        <v>214.89</v>
      </c>
      <c r="KD30" s="93">
        <v>214.02</v>
      </c>
      <c r="KE30" s="93">
        <v>213.16</v>
      </c>
      <c r="KF30" s="93">
        <v>212.29</v>
      </c>
      <c r="KG30" s="93">
        <v>211.43</v>
      </c>
      <c r="KH30" s="93">
        <v>210.56</v>
      </c>
      <c r="KI30" s="93">
        <v>209.7</v>
      </c>
      <c r="KJ30" s="93">
        <v>208.84</v>
      </c>
      <c r="KK30" s="93">
        <v>207.98</v>
      </c>
      <c r="KL30" s="93">
        <v>207.12</v>
      </c>
      <c r="KM30" s="93">
        <v>206.26</v>
      </c>
      <c r="KN30" s="93">
        <v>205.4</v>
      </c>
      <c r="KO30" s="93">
        <v>204.55</v>
      </c>
      <c r="KP30" s="93">
        <v>203.69</v>
      </c>
      <c r="KQ30" s="93">
        <v>202.84</v>
      </c>
      <c r="KR30" s="98">
        <f t="shared" si="22"/>
        <v>202.52</v>
      </c>
      <c r="KS30" s="98">
        <f t="shared" si="22"/>
        <v>201.73</v>
      </c>
      <c r="KT30" s="98">
        <f t="shared" si="22"/>
        <v>200.91</v>
      </c>
      <c r="KU30" s="98">
        <f t="shared" si="22"/>
        <v>200.12</v>
      </c>
      <c r="KV30" s="98">
        <f t="shared" si="22"/>
        <v>199.34</v>
      </c>
      <c r="KW30" s="98">
        <f t="shared" si="22"/>
        <v>198.55</v>
      </c>
      <c r="KX30" s="98">
        <f t="shared" si="22"/>
        <v>197.76</v>
      </c>
      <c r="KY30" s="98">
        <f t="shared" si="22"/>
        <v>196.98</v>
      </c>
      <c r="KZ30" s="98">
        <f t="shared" si="22"/>
        <v>196.19</v>
      </c>
      <c r="LA30" s="98">
        <f t="shared" si="22"/>
        <v>195.41</v>
      </c>
      <c r="LB30" s="98">
        <f t="shared" si="22"/>
        <v>194.63</v>
      </c>
      <c r="LC30" s="98">
        <f t="shared" si="22"/>
        <v>193.85</v>
      </c>
      <c r="LD30" s="98">
        <f t="shared" si="22"/>
        <v>193.07</v>
      </c>
      <c r="LE30" s="98">
        <f t="shared" si="22"/>
        <v>192.29</v>
      </c>
      <c r="LF30" s="98">
        <f t="shared" si="22"/>
        <v>191.52</v>
      </c>
      <c r="LG30" s="98">
        <f t="shared" si="22"/>
        <v>190.75</v>
      </c>
      <c r="LH30" s="98">
        <f t="shared" si="21"/>
        <v>189.97</v>
      </c>
      <c r="LI30" s="98">
        <f t="shared" si="21"/>
        <v>189.2</v>
      </c>
      <c r="LJ30" s="98">
        <f t="shared" si="21"/>
        <v>188.43</v>
      </c>
      <c r="LK30" s="98">
        <f t="shared" si="21"/>
        <v>187.66</v>
      </c>
      <c r="LL30" s="98">
        <f t="shared" si="21"/>
        <v>186.89</v>
      </c>
      <c r="LM30" s="98">
        <f t="shared" si="21"/>
        <v>186.13</v>
      </c>
      <c r="LN30" s="98">
        <f t="shared" si="21"/>
        <v>185.36</v>
      </c>
      <c r="LO30" s="98">
        <f t="shared" si="21"/>
        <v>184.6</v>
      </c>
      <c r="LP30" s="98">
        <f t="shared" si="21"/>
        <v>183.84</v>
      </c>
      <c r="LQ30" s="98">
        <f t="shared" si="21"/>
        <v>183.08</v>
      </c>
      <c r="LR30" s="98">
        <f t="shared" si="21"/>
        <v>182.32</v>
      </c>
      <c r="LS30" s="98">
        <f t="shared" si="21"/>
        <v>181.56</v>
      </c>
      <c r="LT30" s="98">
        <f t="shared" si="21"/>
        <v>180.81</v>
      </c>
      <c r="LU30" s="98">
        <f t="shared" si="21"/>
        <v>180.06</v>
      </c>
      <c r="LV30" s="98">
        <f t="shared" si="21"/>
        <v>179.3</v>
      </c>
      <c r="LW30" s="98">
        <f t="shared" si="21"/>
        <v>178.55</v>
      </c>
      <c r="LX30" s="98">
        <f t="shared" si="23"/>
        <v>177.8</v>
      </c>
      <c r="LY30" s="98">
        <f t="shared" si="23"/>
        <v>177.05</v>
      </c>
      <c r="LZ30" s="98">
        <f t="shared" si="23"/>
        <v>176.31</v>
      </c>
      <c r="MA30" s="98">
        <f t="shared" si="23"/>
        <v>175.56</v>
      </c>
      <c r="MB30" s="98">
        <f t="shared" si="23"/>
        <v>174.82</v>
      </c>
      <c r="MC30" s="98">
        <f t="shared" si="23"/>
        <v>174.08</v>
      </c>
      <c r="MD30" s="98">
        <f t="shared" si="23"/>
        <v>173.34</v>
      </c>
      <c r="ME30" s="99">
        <f t="shared" si="23"/>
        <v>172.61</v>
      </c>
      <c r="MF30" s="99">
        <f t="shared" si="23"/>
        <v>171.87</v>
      </c>
      <c r="MG30" s="99">
        <f t="shared" si="23"/>
        <v>171.14</v>
      </c>
      <c r="MH30" s="99">
        <f t="shared" si="23"/>
        <v>170.4</v>
      </c>
      <c r="MI30" s="99">
        <f t="shared" si="23"/>
        <v>169.67</v>
      </c>
      <c r="MJ30" s="99">
        <f t="shared" si="23"/>
        <v>168.94</v>
      </c>
      <c r="MK30" s="99">
        <f t="shared" si="23"/>
        <v>168.21</v>
      </c>
      <c r="ML30" s="99">
        <f t="shared" si="23"/>
        <v>167.49</v>
      </c>
      <c r="MM30" s="99">
        <f t="shared" si="23"/>
        <v>166.76</v>
      </c>
      <c r="MN30" s="99">
        <f t="shared" ref="MN30:MN45" si="25">MN29+0.75</f>
        <v>166.04</v>
      </c>
      <c r="MO30" s="99">
        <f t="shared" ref="MO30:MO45" si="26">MO29+0.75</f>
        <v>165.32</v>
      </c>
      <c r="MP30" s="99">
        <f t="shared" ref="MP30:MP45" si="27">MP29+0.75</f>
        <v>164.6</v>
      </c>
      <c r="MQ30" s="99">
        <f t="shared" si="24"/>
        <v>163.89</v>
      </c>
      <c r="MR30" s="99">
        <f t="shared" si="24"/>
        <v>163.16999999999999</v>
      </c>
      <c r="MS30" s="99">
        <f t="shared" si="24"/>
        <v>162.46</v>
      </c>
      <c r="MT30" s="99">
        <f t="shared" si="18"/>
        <v>161.74</v>
      </c>
      <c r="MU30" s="99">
        <f t="shared" si="18"/>
        <v>161.03</v>
      </c>
      <c r="MV30" s="99">
        <f t="shared" si="18"/>
        <v>160.32</v>
      </c>
      <c r="MW30" s="99">
        <f t="shared" si="18"/>
        <v>159.62</v>
      </c>
      <c r="MX30" s="99">
        <f t="shared" si="18"/>
        <v>158.91</v>
      </c>
      <c r="MY30" s="99">
        <f t="shared" si="18"/>
        <v>158.21</v>
      </c>
    </row>
    <row r="31" spans="1:363" ht="15.75" x14ac:dyDescent="0.25">
      <c r="A31" s="90" t="s">
        <v>6</v>
      </c>
      <c r="B31" s="95">
        <v>2041</v>
      </c>
      <c r="C31" s="93">
        <v>498.14</v>
      </c>
      <c r="D31" s="93">
        <v>497.1</v>
      </c>
      <c r="E31" s="93">
        <v>496.06</v>
      </c>
      <c r="F31" s="93">
        <v>495.03</v>
      </c>
      <c r="G31" s="93">
        <v>493.99</v>
      </c>
      <c r="H31" s="93">
        <v>492.95</v>
      </c>
      <c r="I31" s="93">
        <v>491.92</v>
      </c>
      <c r="J31" s="93">
        <v>490.88</v>
      </c>
      <c r="K31" s="93">
        <v>489.84</v>
      </c>
      <c r="L31" s="93">
        <v>488.8</v>
      </c>
      <c r="M31" s="93">
        <v>487.77</v>
      </c>
      <c r="N31" s="93">
        <v>486.73</v>
      </c>
      <c r="O31" s="93">
        <v>485.69</v>
      </c>
      <c r="P31" s="93">
        <v>484.66</v>
      </c>
      <c r="Q31" s="93">
        <v>483.62</v>
      </c>
      <c r="R31" s="93">
        <v>482.58</v>
      </c>
      <c r="S31" s="93">
        <v>481.54</v>
      </c>
      <c r="T31" s="93">
        <v>480.51</v>
      </c>
      <c r="U31" s="93">
        <v>479.47</v>
      </c>
      <c r="V31" s="93">
        <v>478.43</v>
      </c>
      <c r="W31" s="93">
        <v>477.39</v>
      </c>
      <c r="X31" s="93">
        <v>476.36</v>
      </c>
      <c r="Y31" s="93">
        <v>475.32</v>
      </c>
      <c r="Z31" s="93">
        <v>474.28</v>
      </c>
      <c r="AA31" s="93">
        <v>473.25</v>
      </c>
      <c r="AB31" s="93">
        <v>472.21</v>
      </c>
      <c r="AC31" s="93">
        <v>471.17</v>
      </c>
      <c r="AD31" s="93">
        <v>470.14</v>
      </c>
      <c r="AE31" s="93">
        <v>469.1</v>
      </c>
      <c r="AF31" s="93">
        <v>468.06</v>
      </c>
      <c r="AG31" s="93">
        <v>467.02</v>
      </c>
      <c r="AH31" s="93">
        <v>465.99</v>
      </c>
      <c r="AI31" s="93">
        <v>464.95</v>
      </c>
      <c r="AJ31" s="93">
        <v>463.91</v>
      </c>
      <c r="AK31" s="93">
        <v>462.88</v>
      </c>
      <c r="AL31" s="93">
        <v>461.84</v>
      </c>
      <c r="AM31" s="93">
        <v>460.8</v>
      </c>
      <c r="AN31" s="93">
        <v>459.76</v>
      </c>
      <c r="AO31" s="93">
        <v>458.73</v>
      </c>
      <c r="AP31" s="93">
        <v>457.69</v>
      </c>
      <c r="AQ31" s="93">
        <v>456.65</v>
      </c>
      <c r="AR31" s="93">
        <v>455.62</v>
      </c>
      <c r="AS31" s="93">
        <v>454.58</v>
      </c>
      <c r="AT31" s="93">
        <v>453.54</v>
      </c>
      <c r="AU31" s="93">
        <v>452.5</v>
      </c>
      <c r="AV31" s="93">
        <v>451.47</v>
      </c>
      <c r="AW31" s="93">
        <v>450.43</v>
      </c>
      <c r="AX31" s="93">
        <v>449.39</v>
      </c>
      <c r="AY31" s="93">
        <v>448.36</v>
      </c>
      <c r="AZ31" s="93">
        <v>447.32</v>
      </c>
      <c r="BA31" s="93">
        <v>446.28</v>
      </c>
      <c r="BB31" s="93">
        <v>445.25</v>
      </c>
      <c r="BC31" s="93">
        <v>444.21</v>
      </c>
      <c r="BD31" s="93">
        <v>443.17</v>
      </c>
      <c r="BE31" s="93">
        <v>442.14</v>
      </c>
      <c r="BF31" s="93">
        <v>441.1</v>
      </c>
      <c r="BG31" s="93">
        <v>440.06</v>
      </c>
      <c r="BH31" s="93">
        <v>439.02</v>
      </c>
      <c r="BI31" s="93">
        <v>437.99</v>
      </c>
      <c r="BJ31" s="93">
        <v>436.95</v>
      </c>
      <c r="BK31" s="93">
        <v>435.91</v>
      </c>
      <c r="BL31" s="93">
        <v>434.88</v>
      </c>
      <c r="BM31" s="93">
        <v>433.84</v>
      </c>
      <c r="BN31" s="93">
        <v>432.8</v>
      </c>
      <c r="BO31" s="93">
        <v>431.76</v>
      </c>
      <c r="BP31" s="93">
        <v>430.73</v>
      </c>
      <c r="BQ31" s="93">
        <v>429.69</v>
      </c>
      <c r="BR31" s="93">
        <v>428.65</v>
      </c>
      <c r="BS31" s="93">
        <v>427.61</v>
      </c>
      <c r="BT31" s="93">
        <v>426.58</v>
      </c>
      <c r="BU31" s="93">
        <v>425.54</v>
      </c>
      <c r="BV31" s="93">
        <v>424.51</v>
      </c>
      <c r="BW31" s="93">
        <v>423.47</v>
      </c>
      <c r="BX31" s="93">
        <v>422.43</v>
      </c>
      <c r="BY31" s="93">
        <v>421.4</v>
      </c>
      <c r="BZ31" s="93">
        <v>420.36</v>
      </c>
      <c r="CA31" s="93">
        <v>419.33</v>
      </c>
      <c r="CB31" s="93">
        <v>418.29</v>
      </c>
      <c r="CC31" s="93">
        <v>417.26</v>
      </c>
      <c r="CD31" s="93">
        <v>416.23</v>
      </c>
      <c r="CE31" s="93">
        <v>415.19</v>
      </c>
      <c r="CF31" s="93">
        <v>414.16</v>
      </c>
      <c r="CG31" s="93">
        <v>413.12</v>
      </c>
      <c r="CH31" s="93">
        <v>412.09</v>
      </c>
      <c r="CI31" s="93">
        <v>411.06</v>
      </c>
      <c r="CJ31" s="93">
        <v>410.02</v>
      </c>
      <c r="CK31" s="93">
        <v>408.99</v>
      </c>
      <c r="CL31" s="93">
        <v>407.96</v>
      </c>
      <c r="CM31" s="93">
        <v>406.92</v>
      </c>
      <c r="CN31" s="93">
        <v>405.89</v>
      </c>
      <c r="CO31" s="93">
        <v>404.85</v>
      </c>
      <c r="CP31" s="93">
        <v>403.82</v>
      </c>
      <c r="CQ31" s="93">
        <v>402.79</v>
      </c>
      <c r="CR31" s="93">
        <v>401.75</v>
      </c>
      <c r="CS31" s="93">
        <v>400.72</v>
      </c>
      <c r="CT31" s="93">
        <v>399.69</v>
      </c>
      <c r="CU31" s="93">
        <v>398.65</v>
      </c>
      <c r="CV31" s="93">
        <v>397.62</v>
      </c>
      <c r="CW31" s="93">
        <v>396.59</v>
      </c>
      <c r="CX31" s="93">
        <v>395.56</v>
      </c>
      <c r="CY31" s="93">
        <v>394.53</v>
      </c>
      <c r="CZ31" s="93">
        <v>393.5</v>
      </c>
      <c r="DA31" s="93">
        <v>392.47</v>
      </c>
      <c r="DB31" s="93">
        <v>391.44</v>
      </c>
      <c r="DC31" s="93">
        <v>390.41</v>
      </c>
      <c r="DD31" s="93">
        <v>389.37</v>
      </c>
      <c r="DE31" s="93">
        <v>388.34</v>
      </c>
      <c r="DF31" s="93">
        <v>387.31</v>
      </c>
      <c r="DG31" s="93">
        <v>386.28</v>
      </c>
      <c r="DH31" s="93">
        <v>385.25</v>
      </c>
      <c r="DI31" s="93">
        <v>384.23</v>
      </c>
      <c r="DJ31" s="93">
        <v>383.2</v>
      </c>
      <c r="DK31" s="93">
        <v>382.17</v>
      </c>
      <c r="DL31" s="93">
        <v>381.14</v>
      </c>
      <c r="DM31" s="93">
        <v>380.11</v>
      </c>
      <c r="DN31" s="93">
        <v>379.08</v>
      </c>
      <c r="DO31" s="93">
        <v>378.06</v>
      </c>
      <c r="DP31" s="93">
        <v>377.03</v>
      </c>
      <c r="DQ31" s="93">
        <v>376</v>
      </c>
      <c r="DR31" s="93">
        <v>374.97</v>
      </c>
      <c r="DS31" s="93">
        <v>373.95</v>
      </c>
      <c r="DT31" s="93">
        <v>372.92</v>
      </c>
      <c r="DU31" s="93">
        <v>371.9</v>
      </c>
      <c r="DV31" s="93">
        <v>370.88</v>
      </c>
      <c r="DW31" s="93">
        <v>369.86</v>
      </c>
      <c r="DX31" s="93">
        <v>368.83</v>
      </c>
      <c r="DY31" s="93">
        <v>367.81</v>
      </c>
      <c r="DZ31" s="93">
        <v>366.79</v>
      </c>
      <c r="EA31" s="93">
        <v>365.77</v>
      </c>
      <c r="EB31" s="93">
        <v>364.75</v>
      </c>
      <c r="EC31" s="93">
        <v>363.73</v>
      </c>
      <c r="ED31" s="93">
        <v>362.71</v>
      </c>
      <c r="EE31" s="93">
        <v>361.69</v>
      </c>
      <c r="EF31" s="93">
        <v>360.68</v>
      </c>
      <c r="EG31" s="93">
        <v>359.66</v>
      </c>
      <c r="EH31" s="93">
        <v>358.65</v>
      </c>
      <c r="EI31" s="93">
        <v>357.64</v>
      </c>
      <c r="EJ31" s="93">
        <v>356.62</v>
      </c>
      <c r="EK31" s="93">
        <v>355.61</v>
      </c>
      <c r="EL31" s="93">
        <v>354.6</v>
      </c>
      <c r="EM31" s="93">
        <v>353.59</v>
      </c>
      <c r="EN31" s="93">
        <v>352.58</v>
      </c>
      <c r="EO31" s="93">
        <v>351.57</v>
      </c>
      <c r="EP31" s="93">
        <v>350.55</v>
      </c>
      <c r="EQ31" s="93">
        <v>349.54</v>
      </c>
      <c r="ER31" s="93">
        <v>348.54</v>
      </c>
      <c r="ES31" s="93">
        <v>347.53</v>
      </c>
      <c r="ET31" s="93">
        <v>346.53</v>
      </c>
      <c r="EU31" s="93">
        <v>345.52</v>
      </c>
      <c r="EV31" s="93">
        <v>344.52</v>
      </c>
      <c r="EW31" s="93">
        <v>343.51</v>
      </c>
      <c r="EX31" s="93">
        <v>342.51</v>
      </c>
      <c r="EY31" s="93">
        <v>341.51</v>
      </c>
      <c r="EZ31" s="93">
        <v>340.5</v>
      </c>
      <c r="FA31" s="93">
        <v>339.5</v>
      </c>
      <c r="FB31" s="93">
        <v>338.5</v>
      </c>
      <c r="FC31" s="93">
        <v>337.49</v>
      </c>
      <c r="FD31" s="93">
        <v>336.5</v>
      </c>
      <c r="FE31" s="93">
        <v>335.5</v>
      </c>
      <c r="FF31" s="93">
        <v>334.5</v>
      </c>
      <c r="FG31" s="93">
        <v>333.51</v>
      </c>
      <c r="FH31" s="93">
        <v>332.51</v>
      </c>
      <c r="FI31" s="93">
        <v>331.52</v>
      </c>
      <c r="FJ31" s="93">
        <v>330.52</v>
      </c>
      <c r="FK31" s="93">
        <v>329.53</v>
      </c>
      <c r="FL31" s="93">
        <v>328.53</v>
      </c>
      <c r="FM31" s="93">
        <v>327.54000000000002</v>
      </c>
      <c r="FN31" s="93">
        <v>326.54000000000002</v>
      </c>
      <c r="FO31" s="93">
        <v>325.56</v>
      </c>
      <c r="FP31" s="93">
        <v>324.56</v>
      </c>
      <c r="FQ31" s="93">
        <v>323.57</v>
      </c>
      <c r="FR31" s="93">
        <v>322.58999999999997</v>
      </c>
      <c r="FS31" s="93">
        <v>321.60000000000002</v>
      </c>
      <c r="FT31" s="93">
        <v>320.60000000000002</v>
      </c>
      <c r="FU31" s="93">
        <v>319.62</v>
      </c>
      <c r="FV31" s="93">
        <v>318.63</v>
      </c>
      <c r="FW31" s="93">
        <v>317.64999999999998</v>
      </c>
      <c r="FX31" s="93">
        <v>316.66000000000003</v>
      </c>
      <c r="FY31" s="93">
        <v>315.67</v>
      </c>
      <c r="FZ31" s="93">
        <v>314.69</v>
      </c>
      <c r="GA31" s="93">
        <v>313.7</v>
      </c>
      <c r="GB31" s="93">
        <v>312.72000000000003</v>
      </c>
      <c r="GC31" s="93">
        <v>311.74</v>
      </c>
      <c r="GD31" s="93">
        <v>310.76</v>
      </c>
      <c r="GE31" s="93">
        <v>309.77999999999997</v>
      </c>
      <c r="GF31" s="93">
        <v>308.79000000000002</v>
      </c>
      <c r="GG31" s="93">
        <v>307.82</v>
      </c>
      <c r="GH31" s="93">
        <v>306.83999999999997</v>
      </c>
      <c r="GI31" s="93">
        <v>305.85000000000002</v>
      </c>
      <c r="GJ31" s="93">
        <v>304.88</v>
      </c>
      <c r="GK31" s="93">
        <v>303.91000000000003</v>
      </c>
      <c r="GL31" s="93">
        <v>302.93</v>
      </c>
      <c r="GM31" s="93">
        <v>301.95</v>
      </c>
      <c r="GN31" s="93">
        <v>300.98</v>
      </c>
      <c r="GO31" s="93">
        <v>300.01</v>
      </c>
      <c r="GP31" s="93">
        <v>299.04000000000002</v>
      </c>
      <c r="GQ31" s="93">
        <v>298.07</v>
      </c>
      <c r="GR31" s="93">
        <v>297.10000000000002</v>
      </c>
      <c r="GS31" s="93">
        <v>296.14999999999998</v>
      </c>
      <c r="GT31" s="93">
        <v>295.18</v>
      </c>
      <c r="GU31" s="93">
        <v>294.22000000000003</v>
      </c>
      <c r="GV31" s="93">
        <v>293.25</v>
      </c>
      <c r="GW31" s="93">
        <v>292.29000000000002</v>
      </c>
      <c r="GX31" s="93">
        <v>291.32</v>
      </c>
      <c r="GY31" s="93">
        <v>290.37</v>
      </c>
      <c r="GZ31" s="93">
        <v>289.41000000000003</v>
      </c>
      <c r="HA31" s="93">
        <v>288.45</v>
      </c>
      <c r="HB31" s="93">
        <v>287.49</v>
      </c>
      <c r="HC31" s="93">
        <v>286.54000000000002</v>
      </c>
      <c r="HD31" s="93">
        <v>285.57</v>
      </c>
      <c r="HE31" s="93">
        <v>284.62</v>
      </c>
      <c r="HF31" s="93">
        <v>283.67</v>
      </c>
      <c r="HG31" s="93">
        <v>282.72000000000003</v>
      </c>
      <c r="HH31" s="93">
        <v>281.76</v>
      </c>
      <c r="HI31" s="93">
        <v>280.81</v>
      </c>
      <c r="HJ31" s="93">
        <v>279.85000000000002</v>
      </c>
      <c r="HK31" s="93">
        <v>278.91000000000003</v>
      </c>
      <c r="HL31" s="93">
        <v>277.97000000000003</v>
      </c>
      <c r="HM31" s="93">
        <v>277.02999999999997</v>
      </c>
      <c r="HN31" s="93">
        <v>276.08999999999997</v>
      </c>
      <c r="HO31" s="93">
        <v>275.14999999999998</v>
      </c>
      <c r="HP31" s="93">
        <v>274.20999999999998</v>
      </c>
      <c r="HQ31" s="93">
        <v>273.26</v>
      </c>
      <c r="HR31" s="93">
        <v>272.33999999999997</v>
      </c>
      <c r="HS31" s="93">
        <v>271.39999999999998</v>
      </c>
      <c r="HT31" s="93">
        <v>270.47000000000003</v>
      </c>
      <c r="HU31" s="93">
        <v>269.52999999999997</v>
      </c>
      <c r="HV31" s="93">
        <v>268.60000000000002</v>
      </c>
      <c r="HW31" s="93">
        <v>267.67</v>
      </c>
      <c r="HX31" s="93">
        <v>266.74</v>
      </c>
      <c r="HY31" s="93">
        <v>265.81</v>
      </c>
      <c r="HZ31" s="93">
        <v>264.88</v>
      </c>
      <c r="IA31" s="93">
        <v>263.95</v>
      </c>
      <c r="IB31" s="93">
        <v>263.01</v>
      </c>
      <c r="IC31" s="93">
        <v>262.10000000000002</v>
      </c>
      <c r="ID31" s="93">
        <v>261.17</v>
      </c>
      <c r="IE31" s="93">
        <v>260.25</v>
      </c>
      <c r="IF31" s="93">
        <v>259.32</v>
      </c>
      <c r="IG31" s="93">
        <v>258.39999999999998</v>
      </c>
      <c r="IH31" s="93">
        <v>257.48</v>
      </c>
      <c r="II31" s="93">
        <v>256.56</v>
      </c>
      <c r="IJ31" s="93">
        <v>255.64</v>
      </c>
      <c r="IK31" s="93">
        <v>254.72</v>
      </c>
      <c r="IL31" s="93">
        <v>253.81</v>
      </c>
      <c r="IM31" s="93">
        <v>252.89</v>
      </c>
      <c r="IN31" s="93">
        <v>251.98</v>
      </c>
      <c r="IO31" s="93">
        <v>251.06</v>
      </c>
      <c r="IP31" s="93">
        <v>250.15</v>
      </c>
      <c r="IQ31" s="93">
        <v>249.24</v>
      </c>
      <c r="IR31" s="93">
        <v>248.33</v>
      </c>
      <c r="IS31" s="93">
        <v>247.42</v>
      </c>
      <c r="IT31" s="93">
        <v>246.51</v>
      </c>
      <c r="IU31" s="93">
        <v>245.61</v>
      </c>
      <c r="IV31" s="93">
        <v>244.71</v>
      </c>
      <c r="IW31" s="93">
        <v>243.81</v>
      </c>
      <c r="IX31" s="93">
        <v>242.92</v>
      </c>
      <c r="IY31" s="93">
        <v>242.02</v>
      </c>
      <c r="IZ31" s="93">
        <v>241.13</v>
      </c>
      <c r="JA31" s="93">
        <v>240.24</v>
      </c>
      <c r="JB31" s="93">
        <v>239.34</v>
      </c>
      <c r="JC31" s="93">
        <v>238.45</v>
      </c>
      <c r="JD31" s="93">
        <v>237.56</v>
      </c>
      <c r="JE31" s="93">
        <v>236.68</v>
      </c>
      <c r="JF31" s="93">
        <v>235.79</v>
      </c>
      <c r="JG31" s="93">
        <v>234.9</v>
      </c>
      <c r="JH31" s="93">
        <v>234.02</v>
      </c>
      <c r="JI31" s="93">
        <v>233.13</v>
      </c>
      <c r="JJ31" s="93">
        <v>232.25</v>
      </c>
      <c r="JK31" s="93">
        <v>231.37</v>
      </c>
      <c r="JL31" s="93">
        <v>230.49</v>
      </c>
      <c r="JM31" s="93">
        <v>229.61</v>
      </c>
      <c r="JN31" s="93">
        <v>228.73</v>
      </c>
      <c r="JO31" s="93">
        <v>227.85</v>
      </c>
      <c r="JP31" s="93">
        <v>226.98</v>
      </c>
      <c r="JQ31" s="93">
        <v>226.1</v>
      </c>
      <c r="JR31" s="93">
        <v>225.23</v>
      </c>
      <c r="JS31" s="93">
        <v>224.35</v>
      </c>
      <c r="JT31" s="93">
        <v>223.48</v>
      </c>
      <c r="JU31" s="93">
        <v>222.6</v>
      </c>
      <c r="JV31" s="93">
        <v>221.72</v>
      </c>
      <c r="JW31" s="93">
        <v>220.84</v>
      </c>
      <c r="JX31" s="93">
        <v>219.97</v>
      </c>
      <c r="JY31" s="93">
        <v>219.09</v>
      </c>
      <c r="JZ31" s="93">
        <v>218.22</v>
      </c>
      <c r="KA31" s="93">
        <v>217.35</v>
      </c>
      <c r="KB31" s="93">
        <v>216.48</v>
      </c>
      <c r="KC31" s="93">
        <v>215.61</v>
      </c>
      <c r="KD31" s="93">
        <v>214.74</v>
      </c>
      <c r="KE31" s="93">
        <v>213.87</v>
      </c>
      <c r="KF31" s="93">
        <v>213</v>
      </c>
      <c r="KG31" s="93">
        <v>212.13</v>
      </c>
      <c r="KH31" s="93">
        <v>211.27</v>
      </c>
      <c r="KI31" s="93">
        <v>210.4</v>
      </c>
      <c r="KJ31" s="93">
        <v>209.54</v>
      </c>
      <c r="KK31" s="93">
        <v>208.68</v>
      </c>
      <c r="KL31" s="93">
        <v>207.82</v>
      </c>
      <c r="KM31" s="93">
        <v>206.96</v>
      </c>
      <c r="KN31" s="93">
        <v>206.1</v>
      </c>
      <c r="KO31" s="93">
        <v>205.24</v>
      </c>
      <c r="KP31" s="93">
        <v>204.38</v>
      </c>
      <c r="KQ31" s="93">
        <v>203.53</v>
      </c>
      <c r="KR31" s="98">
        <f t="shared" si="22"/>
        <v>203.27</v>
      </c>
      <c r="KS31" s="98">
        <f t="shared" si="22"/>
        <v>202.48</v>
      </c>
      <c r="KT31" s="98">
        <f t="shared" si="22"/>
        <v>201.66</v>
      </c>
      <c r="KU31" s="98">
        <f t="shared" si="22"/>
        <v>200.87</v>
      </c>
      <c r="KV31" s="98">
        <f t="shared" si="22"/>
        <v>200.09</v>
      </c>
      <c r="KW31" s="98">
        <f t="shared" si="22"/>
        <v>199.3</v>
      </c>
      <c r="KX31" s="98">
        <f t="shared" si="22"/>
        <v>198.51</v>
      </c>
      <c r="KY31" s="98">
        <f t="shared" si="22"/>
        <v>197.73</v>
      </c>
      <c r="KZ31" s="98">
        <f t="shared" si="22"/>
        <v>196.94</v>
      </c>
      <c r="LA31" s="98">
        <f t="shared" si="22"/>
        <v>196.16</v>
      </c>
      <c r="LB31" s="98">
        <f t="shared" si="22"/>
        <v>195.38</v>
      </c>
      <c r="LC31" s="98">
        <f t="shared" si="22"/>
        <v>194.6</v>
      </c>
      <c r="LD31" s="98">
        <f t="shared" si="22"/>
        <v>193.82</v>
      </c>
      <c r="LE31" s="98">
        <f t="shared" si="22"/>
        <v>193.04</v>
      </c>
      <c r="LF31" s="98">
        <f t="shared" si="22"/>
        <v>192.27</v>
      </c>
      <c r="LG31" s="98">
        <f t="shared" si="22"/>
        <v>191.5</v>
      </c>
      <c r="LH31" s="98">
        <f t="shared" si="21"/>
        <v>190.72</v>
      </c>
      <c r="LI31" s="98">
        <f t="shared" si="21"/>
        <v>189.95</v>
      </c>
      <c r="LJ31" s="98">
        <f t="shared" si="21"/>
        <v>189.18</v>
      </c>
      <c r="LK31" s="98">
        <f t="shared" si="21"/>
        <v>188.41</v>
      </c>
      <c r="LL31" s="98">
        <f t="shared" si="21"/>
        <v>187.64</v>
      </c>
      <c r="LM31" s="98">
        <f t="shared" si="21"/>
        <v>186.88</v>
      </c>
      <c r="LN31" s="98">
        <f t="shared" si="21"/>
        <v>186.11</v>
      </c>
      <c r="LO31" s="98">
        <f t="shared" si="21"/>
        <v>185.35</v>
      </c>
      <c r="LP31" s="98">
        <f t="shared" si="21"/>
        <v>184.59</v>
      </c>
      <c r="LQ31" s="98">
        <f t="shared" si="21"/>
        <v>183.83</v>
      </c>
      <c r="LR31" s="98">
        <f t="shared" si="21"/>
        <v>183.07</v>
      </c>
      <c r="LS31" s="98">
        <f t="shared" si="21"/>
        <v>182.31</v>
      </c>
      <c r="LT31" s="98">
        <f t="shared" si="21"/>
        <v>181.56</v>
      </c>
      <c r="LU31" s="98">
        <f t="shared" si="21"/>
        <v>180.81</v>
      </c>
      <c r="LV31" s="98">
        <f t="shared" si="21"/>
        <v>180.05</v>
      </c>
      <c r="LW31" s="98">
        <f t="shared" si="21"/>
        <v>179.3</v>
      </c>
      <c r="LX31" s="98">
        <f t="shared" si="23"/>
        <v>178.55</v>
      </c>
      <c r="LY31" s="98">
        <f t="shared" si="23"/>
        <v>177.8</v>
      </c>
      <c r="LZ31" s="98">
        <f t="shared" si="23"/>
        <v>177.06</v>
      </c>
      <c r="MA31" s="98">
        <f t="shared" si="23"/>
        <v>176.31</v>
      </c>
      <c r="MB31" s="98">
        <f t="shared" si="23"/>
        <v>175.57</v>
      </c>
      <c r="MC31" s="98">
        <f t="shared" si="23"/>
        <v>174.83</v>
      </c>
      <c r="MD31" s="100">
        <f t="shared" si="23"/>
        <v>174.09</v>
      </c>
      <c r="ME31" s="101">
        <f t="shared" si="23"/>
        <v>173.36</v>
      </c>
      <c r="MF31" s="101">
        <f t="shared" si="23"/>
        <v>172.62</v>
      </c>
      <c r="MG31" s="101">
        <f t="shared" si="23"/>
        <v>171.89</v>
      </c>
      <c r="MH31" s="101">
        <f t="shared" si="23"/>
        <v>171.15</v>
      </c>
      <c r="MI31" s="101">
        <f t="shared" si="23"/>
        <v>170.42</v>
      </c>
      <c r="MJ31" s="101">
        <f t="shared" si="23"/>
        <v>169.69</v>
      </c>
      <c r="MK31" s="101">
        <f t="shared" si="23"/>
        <v>168.96</v>
      </c>
      <c r="ML31" s="101">
        <f t="shared" si="23"/>
        <v>168.24</v>
      </c>
      <c r="MM31" s="101">
        <f t="shared" si="23"/>
        <v>167.51</v>
      </c>
      <c r="MN31" s="101">
        <f t="shared" si="25"/>
        <v>166.79</v>
      </c>
      <c r="MO31" s="101">
        <f t="shared" si="26"/>
        <v>166.07</v>
      </c>
      <c r="MP31" s="101">
        <f t="shared" si="27"/>
        <v>165.35</v>
      </c>
      <c r="MQ31" s="101">
        <f t="shared" si="24"/>
        <v>164.64</v>
      </c>
      <c r="MR31" s="101">
        <f t="shared" si="24"/>
        <v>163.92</v>
      </c>
      <c r="MS31" s="101">
        <f t="shared" si="24"/>
        <v>163.21</v>
      </c>
      <c r="MT31" s="101">
        <f t="shared" si="18"/>
        <v>162.49</v>
      </c>
      <c r="MU31" s="101">
        <f t="shared" si="18"/>
        <v>161.78</v>
      </c>
      <c r="MV31" s="101">
        <f t="shared" si="18"/>
        <v>161.07</v>
      </c>
      <c r="MW31" s="101">
        <f t="shared" si="18"/>
        <v>160.37</v>
      </c>
      <c r="MX31" s="101">
        <f t="shared" si="18"/>
        <v>159.66</v>
      </c>
      <c r="MY31" s="101">
        <f t="shared" si="18"/>
        <v>158.96</v>
      </c>
    </row>
    <row r="32" spans="1:363" ht="15.75" x14ac:dyDescent="0.25">
      <c r="A32" s="90" t="s">
        <v>6</v>
      </c>
      <c r="B32" s="95">
        <v>2042</v>
      </c>
      <c r="C32" s="93">
        <v>499.02</v>
      </c>
      <c r="D32" s="93">
        <v>497.98</v>
      </c>
      <c r="E32" s="93">
        <v>496.94</v>
      </c>
      <c r="F32" s="93">
        <v>495.91</v>
      </c>
      <c r="G32" s="93">
        <v>494.87</v>
      </c>
      <c r="H32" s="93">
        <v>493.83</v>
      </c>
      <c r="I32" s="93">
        <v>492.79</v>
      </c>
      <c r="J32" s="93">
        <v>491.76</v>
      </c>
      <c r="K32" s="93">
        <v>490.72</v>
      </c>
      <c r="L32" s="93">
        <v>489.68</v>
      </c>
      <c r="M32" s="93">
        <v>488.65</v>
      </c>
      <c r="N32" s="93">
        <v>487.61</v>
      </c>
      <c r="O32" s="93">
        <v>486.57</v>
      </c>
      <c r="P32" s="93">
        <v>485.54</v>
      </c>
      <c r="Q32" s="93">
        <v>484.5</v>
      </c>
      <c r="R32" s="93">
        <v>483.46</v>
      </c>
      <c r="S32" s="93">
        <v>482.42</v>
      </c>
      <c r="T32" s="93">
        <v>481.39</v>
      </c>
      <c r="U32" s="93">
        <v>480.35</v>
      </c>
      <c r="V32" s="93">
        <v>479.31</v>
      </c>
      <c r="W32" s="93">
        <v>478.28</v>
      </c>
      <c r="X32" s="93">
        <v>477.24</v>
      </c>
      <c r="Y32" s="93">
        <v>476.2</v>
      </c>
      <c r="Z32" s="93">
        <v>475.17</v>
      </c>
      <c r="AA32" s="93">
        <v>474.13</v>
      </c>
      <c r="AB32" s="93">
        <v>473.09</v>
      </c>
      <c r="AC32" s="93">
        <v>472.05</v>
      </c>
      <c r="AD32" s="93">
        <v>471.02</v>
      </c>
      <c r="AE32" s="93">
        <v>469.98</v>
      </c>
      <c r="AF32" s="93">
        <v>468.94</v>
      </c>
      <c r="AG32" s="93">
        <v>467.91</v>
      </c>
      <c r="AH32" s="93">
        <v>466.87</v>
      </c>
      <c r="AI32" s="93">
        <v>465.83</v>
      </c>
      <c r="AJ32" s="93">
        <v>464.79</v>
      </c>
      <c r="AK32" s="93">
        <v>463.76</v>
      </c>
      <c r="AL32" s="93">
        <v>462.72</v>
      </c>
      <c r="AM32" s="93">
        <v>461.68</v>
      </c>
      <c r="AN32" s="93">
        <v>460.65</v>
      </c>
      <c r="AO32" s="93">
        <v>459.61</v>
      </c>
      <c r="AP32" s="93">
        <v>458.57</v>
      </c>
      <c r="AQ32" s="93">
        <v>457.53</v>
      </c>
      <c r="AR32" s="93">
        <v>456.5</v>
      </c>
      <c r="AS32" s="93">
        <v>455.46</v>
      </c>
      <c r="AT32" s="93">
        <v>454.42</v>
      </c>
      <c r="AU32" s="93">
        <v>453.39</v>
      </c>
      <c r="AV32" s="93">
        <v>452.35</v>
      </c>
      <c r="AW32" s="93">
        <v>451.31</v>
      </c>
      <c r="AX32" s="93">
        <v>450.28</v>
      </c>
      <c r="AY32" s="93">
        <v>449.24</v>
      </c>
      <c r="AZ32" s="93">
        <v>448.2</v>
      </c>
      <c r="BA32" s="93">
        <v>447.16</v>
      </c>
      <c r="BB32" s="93">
        <v>446.13</v>
      </c>
      <c r="BC32" s="93">
        <v>445.09</v>
      </c>
      <c r="BD32" s="93">
        <v>444.05</v>
      </c>
      <c r="BE32" s="93">
        <v>443.02</v>
      </c>
      <c r="BF32" s="93">
        <v>441.98</v>
      </c>
      <c r="BG32" s="93">
        <v>440.94</v>
      </c>
      <c r="BH32" s="93">
        <v>439.91</v>
      </c>
      <c r="BI32" s="93">
        <v>438.87</v>
      </c>
      <c r="BJ32" s="93">
        <v>437.83</v>
      </c>
      <c r="BK32" s="93">
        <v>436.79</v>
      </c>
      <c r="BL32" s="93">
        <v>435.76</v>
      </c>
      <c r="BM32" s="93">
        <v>434.72</v>
      </c>
      <c r="BN32" s="93">
        <v>433.68</v>
      </c>
      <c r="BO32" s="93">
        <v>432.64</v>
      </c>
      <c r="BP32" s="93">
        <v>431.61</v>
      </c>
      <c r="BQ32" s="93">
        <v>430.57</v>
      </c>
      <c r="BR32" s="93">
        <v>429.53</v>
      </c>
      <c r="BS32" s="93">
        <v>428.5</v>
      </c>
      <c r="BT32" s="93">
        <v>427.46</v>
      </c>
      <c r="BU32" s="93">
        <v>426.42</v>
      </c>
      <c r="BV32" s="93">
        <v>425.39</v>
      </c>
      <c r="BW32" s="93">
        <v>424.35</v>
      </c>
      <c r="BX32" s="93">
        <v>423.31</v>
      </c>
      <c r="BY32" s="93">
        <v>422.28</v>
      </c>
      <c r="BZ32" s="93">
        <v>421.24</v>
      </c>
      <c r="CA32" s="93">
        <v>420.21</v>
      </c>
      <c r="CB32" s="93">
        <v>419.17</v>
      </c>
      <c r="CC32" s="93">
        <v>418.14</v>
      </c>
      <c r="CD32" s="93">
        <v>417.11</v>
      </c>
      <c r="CE32" s="93">
        <v>416.07</v>
      </c>
      <c r="CF32" s="93">
        <v>415.04</v>
      </c>
      <c r="CG32" s="93">
        <v>414</v>
      </c>
      <c r="CH32" s="93">
        <v>412.97</v>
      </c>
      <c r="CI32" s="93">
        <v>411.94</v>
      </c>
      <c r="CJ32" s="93">
        <v>410.9</v>
      </c>
      <c r="CK32" s="93">
        <v>409.87</v>
      </c>
      <c r="CL32" s="93">
        <v>408.83</v>
      </c>
      <c r="CM32" s="93">
        <v>407.8</v>
      </c>
      <c r="CN32" s="93">
        <v>406.77</v>
      </c>
      <c r="CO32" s="93">
        <v>405.73</v>
      </c>
      <c r="CP32" s="93">
        <v>404.7</v>
      </c>
      <c r="CQ32" s="93">
        <v>403.66</v>
      </c>
      <c r="CR32" s="93">
        <v>402.63</v>
      </c>
      <c r="CS32" s="93">
        <v>401.6</v>
      </c>
      <c r="CT32" s="93">
        <v>400.56</v>
      </c>
      <c r="CU32" s="93">
        <v>399.53</v>
      </c>
      <c r="CV32" s="93">
        <v>398.5</v>
      </c>
      <c r="CW32" s="93">
        <v>397.47</v>
      </c>
      <c r="CX32" s="93">
        <v>396.44</v>
      </c>
      <c r="CY32" s="93">
        <v>395.4</v>
      </c>
      <c r="CZ32" s="93">
        <v>394.37</v>
      </c>
      <c r="DA32" s="93">
        <v>393.34</v>
      </c>
      <c r="DB32" s="93">
        <v>392.31</v>
      </c>
      <c r="DC32" s="93">
        <v>391.28</v>
      </c>
      <c r="DD32" s="93">
        <v>390.25</v>
      </c>
      <c r="DE32" s="93">
        <v>389.22</v>
      </c>
      <c r="DF32" s="93">
        <v>388.19</v>
      </c>
      <c r="DG32" s="93">
        <v>387.16</v>
      </c>
      <c r="DH32" s="93">
        <v>386.13</v>
      </c>
      <c r="DI32" s="93">
        <v>385.1</v>
      </c>
      <c r="DJ32" s="93">
        <v>384.07</v>
      </c>
      <c r="DK32" s="93">
        <v>383.04</v>
      </c>
      <c r="DL32" s="93">
        <v>382.01</v>
      </c>
      <c r="DM32" s="93">
        <v>380.98</v>
      </c>
      <c r="DN32" s="93">
        <v>379.95</v>
      </c>
      <c r="DO32" s="93">
        <v>378.93</v>
      </c>
      <c r="DP32" s="93">
        <v>377.9</v>
      </c>
      <c r="DQ32" s="93">
        <v>376.87</v>
      </c>
      <c r="DR32" s="93">
        <v>375.84</v>
      </c>
      <c r="DS32" s="93">
        <v>374.82</v>
      </c>
      <c r="DT32" s="93">
        <v>373.79</v>
      </c>
      <c r="DU32" s="93">
        <v>372.77</v>
      </c>
      <c r="DV32" s="93">
        <v>371.75</v>
      </c>
      <c r="DW32" s="93">
        <v>370.72</v>
      </c>
      <c r="DX32" s="93">
        <v>369.7</v>
      </c>
      <c r="DY32" s="93">
        <v>368.68</v>
      </c>
      <c r="DZ32" s="93">
        <v>367.66</v>
      </c>
      <c r="EA32" s="93">
        <v>366.64</v>
      </c>
      <c r="EB32" s="93">
        <v>365.61</v>
      </c>
      <c r="EC32" s="93">
        <v>364.59</v>
      </c>
      <c r="ED32" s="93">
        <v>363.57</v>
      </c>
      <c r="EE32" s="93">
        <v>362.56</v>
      </c>
      <c r="EF32" s="93">
        <v>361.54</v>
      </c>
      <c r="EG32" s="93">
        <v>360.53</v>
      </c>
      <c r="EH32" s="93">
        <v>359.51</v>
      </c>
      <c r="EI32" s="93">
        <v>358.5</v>
      </c>
      <c r="EJ32" s="93">
        <v>357.48</v>
      </c>
      <c r="EK32" s="93">
        <v>356.47</v>
      </c>
      <c r="EL32" s="93">
        <v>355.46</v>
      </c>
      <c r="EM32" s="93">
        <v>354.45</v>
      </c>
      <c r="EN32" s="93">
        <v>353.44</v>
      </c>
      <c r="EO32" s="93">
        <v>352.42</v>
      </c>
      <c r="EP32" s="93">
        <v>351.41</v>
      </c>
      <c r="EQ32" s="93">
        <v>350.4</v>
      </c>
      <c r="ER32" s="93">
        <v>349.4</v>
      </c>
      <c r="ES32" s="93">
        <v>348.39</v>
      </c>
      <c r="ET32" s="93">
        <v>347.38</v>
      </c>
      <c r="EU32" s="93">
        <v>346.38</v>
      </c>
      <c r="EV32" s="93">
        <v>345.37</v>
      </c>
      <c r="EW32" s="93">
        <v>344.37</v>
      </c>
      <c r="EX32" s="93">
        <v>343.36</v>
      </c>
      <c r="EY32" s="93">
        <v>342.36</v>
      </c>
      <c r="EZ32" s="93">
        <v>341.35</v>
      </c>
      <c r="FA32" s="93">
        <v>340.35</v>
      </c>
      <c r="FB32" s="93">
        <v>339.35</v>
      </c>
      <c r="FC32" s="93">
        <v>338.35</v>
      </c>
      <c r="FD32" s="93">
        <v>337.35</v>
      </c>
      <c r="FE32" s="93">
        <v>336.35</v>
      </c>
      <c r="FF32" s="93">
        <v>335.35</v>
      </c>
      <c r="FG32" s="93">
        <v>334.36</v>
      </c>
      <c r="FH32" s="93">
        <v>333.36</v>
      </c>
      <c r="FI32" s="93">
        <v>332.36</v>
      </c>
      <c r="FJ32" s="93">
        <v>331.37</v>
      </c>
      <c r="FK32" s="93">
        <v>330.37</v>
      </c>
      <c r="FL32" s="93">
        <v>329.38</v>
      </c>
      <c r="FM32" s="93">
        <v>328.39</v>
      </c>
      <c r="FN32" s="93">
        <v>327.39</v>
      </c>
      <c r="FO32" s="93">
        <v>326.39999999999998</v>
      </c>
      <c r="FP32" s="93">
        <v>325.41000000000003</v>
      </c>
      <c r="FQ32" s="93">
        <v>324.42</v>
      </c>
      <c r="FR32" s="93">
        <v>323.43</v>
      </c>
      <c r="FS32" s="93">
        <v>322.44</v>
      </c>
      <c r="FT32" s="93">
        <v>321.45</v>
      </c>
      <c r="FU32" s="93">
        <v>320.45999999999998</v>
      </c>
      <c r="FV32" s="93">
        <v>319.47000000000003</v>
      </c>
      <c r="FW32" s="93">
        <v>318.48</v>
      </c>
      <c r="FX32" s="93">
        <v>317.5</v>
      </c>
      <c r="FY32" s="93">
        <v>316.51</v>
      </c>
      <c r="FZ32" s="93">
        <v>315.52999999999997</v>
      </c>
      <c r="GA32" s="93">
        <v>314.54000000000002</v>
      </c>
      <c r="GB32" s="93">
        <v>313.56</v>
      </c>
      <c r="GC32" s="93">
        <v>312.57</v>
      </c>
      <c r="GD32" s="93">
        <v>311.58999999999997</v>
      </c>
      <c r="GE32" s="93">
        <v>310.60000000000002</v>
      </c>
      <c r="GF32" s="93">
        <v>309.63</v>
      </c>
      <c r="GG32" s="93">
        <v>308.64999999999998</v>
      </c>
      <c r="GH32" s="93">
        <v>307.67</v>
      </c>
      <c r="GI32" s="93">
        <v>306.69</v>
      </c>
      <c r="GJ32" s="93">
        <v>305.70999999999998</v>
      </c>
      <c r="GK32" s="93">
        <v>304.73</v>
      </c>
      <c r="GL32" s="93">
        <v>303.76</v>
      </c>
      <c r="GM32" s="93">
        <v>302.77999999999997</v>
      </c>
      <c r="GN32" s="93">
        <v>301.81</v>
      </c>
      <c r="GO32" s="93">
        <v>300.83999999999997</v>
      </c>
      <c r="GP32" s="93">
        <v>299.87</v>
      </c>
      <c r="GQ32" s="93">
        <v>298.89999999999998</v>
      </c>
      <c r="GR32" s="93">
        <v>297.94</v>
      </c>
      <c r="GS32" s="93">
        <v>296.97000000000003</v>
      </c>
      <c r="GT32" s="93">
        <v>296</v>
      </c>
      <c r="GU32" s="93">
        <v>295.04000000000002</v>
      </c>
      <c r="GV32" s="93">
        <v>294.07</v>
      </c>
      <c r="GW32" s="93">
        <v>293.10000000000002</v>
      </c>
      <c r="GX32" s="93">
        <v>292.14999999999998</v>
      </c>
      <c r="GY32" s="93">
        <v>291.18</v>
      </c>
      <c r="GZ32" s="93">
        <v>290.22000000000003</v>
      </c>
      <c r="HA32" s="93">
        <v>289.26</v>
      </c>
      <c r="HB32" s="93">
        <v>288.31</v>
      </c>
      <c r="HC32" s="93">
        <v>287.35000000000002</v>
      </c>
      <c r="HD32" s="93">
        <v>286.39</v>
      </c>
      <c r="HE32" s="93">
        <v>285.43</v>
      </c>
      <c r="HF32" s="93">
        <v>284.48</v>
      </c>
      <c r="HG32" s="93">
        <v>283.51</v>
      </c>
      <c r="HH32" s="93">
        <v>282.57</v>
      </c>
      <c r="HI32" s="93">
        <v>281.62</v>
      </c>
      <c r="HJ32" s="93">
        <v>280.67</v>
      </c>
      <c r="HK32" s="93">
        <v>279.72000000000003</v>
      </c>
      <c r="HL32" s="93">
        <v>278.76</v>
      </c>
      <c r="HM32" s="93">
        <v>277.82</v>
      </c>
      <c r="HN32" s="93">
        <v>276.89</v>
      </c>
      <c r="HO32" s="93">
        <v>275.95</v>
      </c>
      <c r="HP32" s="93">
        <v>275.01</v>
      </c>
      <c r="HQ32" s="93">
        <v>274.07</v>
      </c>
      <c r="HR32" s="93">
        <v>273.13</v>
      </c>
      <c r="HS32" s="93">
        <v>272.2</v>
      </c>
      <c r="HT32" s="93">
        <v>271.26</v>
      </c>
      <c r="HU32" s="93">
        <v>270.32</v>
      </c>
      <c r="HV32" s="93">
        <v>269.39</v>
      </c>
      <c r="HW32" s="93">
        <v>268.45999999999998</v>
      </c>
      <c r="HX32" s="93">
        <v>267.51</v>
      </c>
      <c r="HY32" s="93">
        <v>266.58999999999997</v>
      </c>
      <c r="HZ32" s="93">
        <v>265.66000000000003</v>
      </c>
      <c r="IA32" s="93">
        <v>264.74</v>
      </c>
      <c r="IB32" s="93">
        <v>263.81</v>
      </c>
      <c r="IC32" s="93">
        <v>262.88</v>
      </c>
      <c r="ID32" s="93">
        <v>261.95</v>
      </c>
      <c r="IE32" s="93">
        <v>261.02999999999997</v>
      </c>
      <c r="IF32" s="93">
        <v>260.10000000000002</v>
      </c>
      <c r="IG32" s="93">
        <v>259.18</v>
      </c>
      <c r="IH32" s="93">
        <v>258.26</v>
      </c>
      <c r="II32" s="93">
        <v>257.32</v>
      </c>
      <c r="IJ32" s="93">
        <v>256.42</v>
      </c>
      <c r="IK32" s="93">
        <v>255.5</v>
      </c>
      <c r="IL32" s="93">
        <v>254.58</v>
      </c>
      <c r="IM32" s="93">
        <v>253.66</v>
      </c>
      <c r="IN32" s="93">
        <v>252.75</v>
      </c>
      <c r="IO32" s="93">
        <v>251.83</v>
      </c>
      <c r="IP32" s="93">
        <v>250.92</v>
      </c>
      <c r="IQ32" s="93">
        <v>250.01</v>
      </c>
      <c r="IR32" s="93">
        <v>249.09</v>
      </c>
      <c r="IS32" s="93">
        <v>248.18</v>
      </c>
      <c r="IT32" s="93">
        <v>247.27</v>
      </c>
      <c r="IU32" s="93">
        <v>246.37</v>
      </c>
      <c r="IV32" s="93">
        <v>245.47</v>
      </c>
      <c r="IW32" s="93">
        <v>244.57</v>
      </c>
      <c r="IX32" s="93">
        <v>243.67</v>
      </c>
      <c r="IY32" s="93">
        <v>242.78</v>
      </c>
      <c r="IZ32" s="93">
        <v>241.88</v>
      </c>
      <c r="JA32" s="93">
        <v>240.99</v>
      </c>
      <c r="JB32" s="93">
        <v>240.09</v>
      </c>
      <c r="JC32" s="93">
        <v>239.2</v>
      </c>
      <c r="JD32" s="93">
        <v>238.31</v>
      </c>
      <c r="JE32" s="93">
        <v>237.42</v>
      </c>
      <c r="JF32" s="93">
        <v>236.53</v>
      </c>
      <c r="JG32" s="93">
        <v>235.65</v>
      </c>
      <c r="JH32" s="93">
        <v>234.76</v>
      </c>
      <c r="JI32" s="93">
        <v>233.88</v>
      </c>
      <c r="JJ32" s="93">
        <v>232.99</v>
      </c>
      <c r="JK32" s="93">
        <v>232.11</v>
      </c>
      <c r="JL32" s="93">
        <v>231.23</v>
      </c>
      <c r="JM32" s="93">
        <v>230.35</v>
      </c>
      <c r="JN32" s="93">
        <v>229.47</v>
      </c>
      <c r="JO32" s="93">
        <v>228.59</v>
      </c>
      <c r="JP32" s="93">
        <v>227.71</v>
      </c>
      <c r="JQ32" s="93">
        <v>226.83</v>
      </c>
      <c r="JR32" s="93">
        <v>225.96</v>
      </c>
      <c r="JS32" s="93">
        <v>225.08</v>
      </c>
      <c r="JT32" s="93">
        <v>224.2</v>
      </c>
      <c r="JU32" s="93">
        <v>223.32</v>
      </c>
      <c r="JV32" s="93">
        <v>222.44</v>
      </c>
      <c r="JW32" s="93">
        <v>221.56</v>
      </c>
      <c r="JX32" s="93">
        <v>220.69</v>
      </c>
      <c r="JY32" s="93">
        <v>219.81</v>
      </c>
      <c r="JZ32" s="93">
        <v>218.94</v>
      </c>
      <c r="KA32" s="93">
        <v>218.06</v>
      </c>
      <c r="KB32" s="93">
        <v>217.19</v>
      </c>
      <c r="KC32" s="93">
        <v>216.32</v>
      </c>
      <c r="KD32" s="93">
        <v>215.44</v>
      </c>
      <c r="KE32" s="93">
        <v>214.57</v>
      </c>
      <c r="KF32" s="93">
        <v>213.7</v>
      </c>
      <c r="KG32" s="93">
        <v>212.84</v>
      </c>
      <c r="KH32" s="93">
        <v>211.97</v>
      </c>
      <c r="KI32" s="93">
        <v>211.1</v>
      </c>
      <c r="KJ32" s="93">
        <v>210.24</v>
      </c>
      <c r="KK32" s="93">
        <v>209.37</v>
      </c>
      <c r="KL32" s="93">
        <v>208.51</v>
      </c>
      <c r="KM32" s="93">
        <v>207.65</v>
      </c>
      <c r="KN32" s="93">
        <v>206.79</v>
      </c>
      <c r="KO32" s="93">
        <v>205.93</v>
      </c>
      <c r="KP32" s="93">
        <v>205.07</v>
      </c>
      <c r="KQ32" s="93">
        <v>204.21</v>
      </c>
      <c r="KR32" s="98">
        <f t="shared" si="22"/>
        <v>204.02</v>
      </c>
      <c r="KS32" s="98">
        <f t="shared" si="22"/>
        <v>203.23</v>
      </c>
      <c r="KT32" s="98">
        <f t="shared" si="22"/>
        <v>202.41</v>
      </c>
      <c r="KU32" s="98">
        <f t="shared" si="22"/>
        <v>201.62</v>
      </c>
      <c r="KV32" s="98">
        <f t="shared" si="22"/>
        <v>200.84</v>
      </c>
      <c r="KW32" s="98">
        <f t="shared" si="22"/>
        <v>200.05</v>
      </c>
      <c r="KX32" s="98">
        <f t="shared" si="22"/>
        <v>199.26</v>
      </c>
      <c r="KY32" s="98">
        <f t="shared" si="22"/>
        <v>198.48</v>
      </c>
      <c r="KZ32" s="98">
        <f t="shared" si="22"/>
        <v>197.69</v>
      </c>
      <c r="LA32" s="98">
        <f t="shared" si="22"/>
        <v>196.91</v>
      </c>
      <c r="LB32" s="98">
        <f t="shared" si="22"/>
        <v>196.13</v>
      </c>
      <c r="LC32" s="98">
        <f t="shared" si="22"/>
        <v>195.35</v>
      </c>
      <c r="LD32" s="98">
        <f t="shared" si="22"/>
        <v>194.57</v>
      </c>
      <c r="LE32" s="98">
        <f t="shared" si="22"/>
        <v>193.79</v>
      </c>
      <c r="LF32" s="98">
        <f t="shared" si="22"/>
        <v>193.02</v>
      </c>
      <c r="LG32" s="98">
        <f t="shared" si="22"/>
        <v>192.25</v>
      </c>
      <c r="LH32" s="98">
        <f t="shared" si="21"/>
        <v>191.47</v>
      </c>
      <c r="LI32" s="98">
        <f t="shared" si="21"/>
        <v>190.7</v>
      </c>
      <c r="LJ32" s="98">
        <f t="shared" si="21"/>
        <v>189.93</v>
      </c>
      <c r="LK32" s="98">
        <f t="shared" si="21"/>
        <v>189.16</v>
      </c>
      <c r="LL32" s="98">
        <f t="shared" si="21"/>
        <v>188.39</v>
      </c>
      <c r="LM32" s="98">
        <f t="shared" si="21"/>
        <v>187.63</v>
      </c>
      <c r="LN32" s="98">
        <f t="shared" si="21"/>
        <v>186.86</v>
      </c>
      <c r="LO32" s="98">
        <f t="shared" si="21"/>
        <v>186.1</v>
      </c>
      <c r="LP32" s="98">
        <f t="shared" si="21"/>
        <v>185.34</v>
      </c>
      <c r="LQ32" s="98">
        <f t="shared" si="21"/>
        <v>184.58</v>
      </c>
      <c r="LR32" s="98">
        <f t="shared" si="21"/>
        <v>183.82</v>
      </c>
      <c r="LS32" s="98">
        <f t="shared" si="21"/>
        <v>183.06</v>
      </c>
      <c r="LT32" s="98">
        <f t="shared" si="21"/>
        <v>182.31</v>
      </c>
      <c r="LU32" s="98">
        <f t="shared" si="21"/>
        <v>181.56</v>
      </c>
      <c r="LV32" s="98">
        <f t="shared" si="21"/>
        <v>180.8</v>
      </c>
      <c r="LW32" s="98">
        <f t="shared" si="21"/>
        <v>180.05</v>
      </c>
      <c r="LX32" s="98">
        <f t="shared" si="23"/>
        <v>179.3</v>
      </c>
      <c r="LY32" s="98">
        <f t="shared" si="23"/>
        <v>178.55</v>
      </c>
      <c r="LZ32" s="98">
        <f t="shared" si="23"/>
        <v>177.81</v>
      </c>
      <c r="MA32" s="98">
        <f t="shared" si="23"/>
        <v>177.06</v>
      </c>
      <c r="MB32" s="98">
        <f t="shared" si="23"/>
        <v>176.32</v>
      </c>
      <c r="MC32" s="98">
        <f t="shared" si="23"/>
        <v>175.58</v>
      </c>
      <c r="MD32" s="100">
        <f t="shared" si="23"/>
        <v>174.84</v>
      </c>
      <c r="ME32" s="101">
        <f t="shared" si="23"/>
        <v>174.11</v>
      </c>
      <c r="MF32" s="101">
        <f t="shared" si="23"/>
        <v>173.37</v>
      </c>
      <c r="MG32" s="101">
        <f t="shared" si="23"/>
        <v>172.64</v>
      </c>
      <c r="MH32" s="101">
        <f t="shared" si="23"/>
        <v>171.9</v>
      </c>
      <c r="MI32" s="101">
        <f t="shared" si="23"/>
        <v>171.17</v>
      </c>
      <c r="MJ32" s="101">
        <f t="shared" si="23"/>
        <v>170.44</v>
      </c>
      <c r="MK32" s="101">
        <f t="shared" si="23"/>
        <v>169.71</v>
      </c>
      <c r="ML32" s="101">
        <f t="shared" si="23"/>
        <v>168.99</v>
      </c>
      <c r="MM32" s="101">
        <f t="shared" si="23"/>
        <v>168.26</v>
      </c>
      <c r="MN32" s="101">
        <f t="shared" si="25"/>
        <v>167.54</v>
      </c>
      <c r="MO32" s="101">
        <f t="shared" si="26"/>
        <v>166.82</v>
      </c>
      <c r="MP32" s="101">
        <f t="shared" si="27"/>
        <v>166.1</v>
      </c>
      <c r="MQ32" s="101">
        <f t="shared" si="24"/>
        <v>165.39</v>
      </c>
      <c r="MR32" s="101">
        <f t="shared" si="24"/>
        <v>164.67</v>
      </c>
      <c r="MS32" s="101">
        <f t="shared" si="24"/>
        <v>163.96</v>
      </c>
      <c r="MT32" s="101">
        <f t="shared" si="24"/>
        <v>163.24</v>
      </c>
      <c r="MU32" s="101">
        <f t="shared" si="24"/>
        <v>162.53</v>
      </c>
      <c r="MV32" s="101">
        <f t="shared" si="24"/>
        <v>161.82</v>
      </c>
      <c r="MW32" s="101">
        <f t="shared" si="24"/>
        <v>161.12</v>
      </c>
      <c r="MX32" s="101">
        <f t="shared" si="24"/>
        <v>160.41</v>
      </c>
      <c r="MY32" s="101">
        <f t="shared" si="24"/>
        <v>159.71</v>
      </c>
    </row>
    <row r="33" spans="1:363" ht="15.75" x14ac:dyDescent="0.25">
      <c r="A33" s="90" t="s">
        <v>6</v>
      </c>
      <c r="B33" s="95">
        <v>2043</v>
      </c>
      <c r="C33" s="93">
        <v>499.89</v>
      </c>
      <c r="D33" s="93">
        <v>498.85</v>
      </c>
      <c r="E33" s="93">
        <v>497.82</v>
      </c>
      <c r="F33" s="93">
        <v>496.78</v>
      </c>
      <c r="G33" s="93">
        <v>495.74</v>
      </c>
      <c r="H33" s="93">
        <v>494.71</v>
      </c>
      <c r="I33" s="93">
        <v>493.67</v>
      </c>
      <c r="J33" s="93">
        <v>492.63</v>
      </c>
      <c r="K33" s="93">
        <v>491.59</v>
      </c>
      <c r="L33" s="93">
        <v>490.56</v>
      </c>
      <c r="M33" s="93">
        <v>489.52</v>
      </c>
      <c r="N33" s="93">
        <v>488.48</v>
      </c>
      <c r="O33" s="93">
        <v>487.45</v>
      </c>
      <c r="P33" s="93">
        <v>486.41</v>
      </c>
      <c r="Q33" s="93">
        <v>485.37</v>
      </c>
      <c r="R33" s="93">
        <v>484.34</v>
      </c>
      <c r="S33" s="93">
        <v>483.3</v>
      </c>
      <c r="T33" s="93">
        <v>482.26</v>
      </c>
      <c r="U33" s="93">
        <v>481.22</v>
      </c>
      <c r="V33" s="93">
        <v>480.19</v>
      </c>
      <c r="W33" s="93">
        <v>479.15</v>
      </c>
      <c r="X33" s="93">
        <v>478.11</v>
      </c>
      <c r="Y33" s="93">
        <v>477.08</v>
      </c>
      <c r="Z33" s="93">
        <v>476.04</v>
      </c>
      <c r="AA33" s="93">
        <v>475</v>
      </c>
      <c r="AB33" s="93">
        <v>473.97</v>
      </c>
      <c r="AC33" s="93">
        <v>472.93</v>
      </c>
      <c r="AD33" s="93">
        <v>471.89</v>
      </c>
      <c r="AE33" s="93">
        <v>470.85</v>
      </c>
      <c r="AF33" s="93">
        <v>469.82</v>
      </c>
      <c r="AG33" s="93">
        <v>468.78</v>
      </c>
      <c r="AH33" s="93">
        <v>467.74</v>
      </c>
      <c r="AI33" s="93">
        <v>466.71</v>
      </c>
      <c r="AJ33" s="93">
        <v>465.67</v>
      </c>
      <c r="AK33" s="93">
        <v>464.63</v>
      </c>
      <c r="AL33" s="93">
        <v>463.6</v>
      </c>
      <c r="AM33" s="93">
        <v>462.56</v>
      </c>
      <c r="AN33" s="93">
        <v>461.52</v>
      </c>
      <c r="AO33" s="93">
        <v>460.48</v>
      </c>
      <c r="AP33" s="93">
        <v>459.45</v>
      </c>
      <c r="AQ33" s="93">
        <v>458.41</v>
      </c>
      <c r="AR33" s="93">
        <v>457.37</v>
      </c>
      <c r="AS33" s="93">
        <v>456.34</v>
      </c>
      <c r="AT33" s="93">
        <v>455.3</v>
      </c>
      <c r="AU33" s="93">
        <v>454.26</v>
      </c>
      <c r="AV33" s="93">
        <v>453.22</v>
      </c>
      <c r="AW33" s="93">
        <v>452.19</v>
      </c>
      <c r="AX33" s="93">
        <v>451.15</v>
      </c>
      <c r="AY33" s="93">
        <v>450.11</v>
      </c>
      <c r="AZ33" s="93">
        <v>449.08</v>
      </c>
      <c r="BA33" s="93">
        <v>448.04</v>
      </c>
      <c r="BB33" s="93">
        <v>447</v>
      </c>
      <c r="BC33" s="93">
        <v>445.97</v>
      </c>
      <c r="BD33" s="93">
        <v>444.93</v>
      </c>
      <c r="BE33" s="93">
        <v>443.89</v>
      </c>
      <c r="BF33" s="93">
        <v>442.86</v>
      </c>
      <c r="BG33" s="93">
        <v>441.82</v>
      </c>
      <c r="BH33" s="93">
        <v>440.78</v>
      </c>
      <c r="BI33" s="93">
        <v>439.74</v>
      </c>
      <c r="BJ33" s="93">
        <v>438.71</v>
      </c>
      <c r="BK33" s="93">
        <v>437.67</v>
      </c>
      <c r="BL33" s="93">
        <v>436.63</v>
      </c>
      <c r="BM33" s="93">
        <v>435.59</v>
      </c>
      <c r="BN33" s="93">
        <v>434.56</v>
      </c>
      <c r="BO33" s="93">
        <v>433.52</v>
      </c>
      <c r="BP33" s="93">
        <v>432.48</v>
      </c>
      <c r="BQ33" s="93">
        <v>431.44</v>
      </c>
      <c r="BR33" s="93">
        <v>430.41</v>
      </c>
      <c r="BS33" s="93">
        <v>429.37</v>
      </c>
      <c r="BT33" s="93">
        <v>428.33</v>
      </c>
      <c r="BU33" s="93">
        <v>427.3</v>
      </c>
      <c r="BV33" s="93">
        <v>426.26</v>
      </c>
      <c r="BW33" s="93">
        <v>425.22</v>
      </c>
      <c r="BX33" s="93">
        <v>424.19</v>
      </c>
      <c r="BY33" s="93">
        <v>423.15</v>
      </c>
      <c r="BZ33" s="93">
        <v>422.12</v>
      </c>
      <c r="CA33" s="93">
        <v>421.08</v>
      </c>
      <c r="CB33" s="93">
        <v>420.05</v>
      </c>
      <c r="CC33" s="93">
        <v>419.01</v>
      </c>
      <c r="CD33" s="93">
        <v>417.98</v>
      </c>
      <c r="CE33" s="93">
        <v>416.94</v>
      </c>
      <c r="CF33" s="93">
        <v>415.91</v>
      </c>
      <c r="CG33" s="93">
        <v>414.88</v>
      </c>
      <c r="CH33" s="93">
        <v>413.84</v>
      </c>
      <c r="CI33" s="93">
        <v>412.81</v>
      </c>
      <c r="CJ33" s="93">
        <v>411.77</v>
      </c>
      <c r="CK33" s="93">
        <v>410.74</v>
      </c>
      <c r="CL33" s="93">
        <v>409.71</v>
      </c>
      <c r="CM33" s="93">
        <v>408.67</v>
      </c>
      <c r="CN33" s="93">
        <v>407.64</v>
      </c>
      <c r="CO33" s="93">
        <v>406.6</v>
      </c>
      <c r="CP33" s="93">
        <v>405.57</v>
      </c>
      <c r="CQ33" s="93">
        <v>404.54</v>
      </c>
      <c r="CR33" s="93">
        <v>403.5</v>
      </c>
      <c r="CS33" s="93">
        <v>402.47</v>
      </c>
      <c r="CT33" s="93">
        <v>401.43</v>
      </c>
      <c r="CU33" s="93">
        <v>400.4</v>
      </c>
      <c r="CV33" s="93">
        <v>399.37</v>
      </c>
      <c r="CW33" s="93">
        <v>398.34</v>
      </c>
      <c r="CX33" s="93">
        <v>397.3</v>
      </c>
      <c r="CY33" s="93">
        <v>396.27</v>
      </c>
      <c r="CZ33" s="93">
        <v>395.24</v>
      </c>
      <c r="DA33" s="93">
        <v>394.21</v>
      </c>
      <c r="DB33" s="93">
        <v>393.18</v>
      </c>
      <c r="DC33" s="93">
        <v>392.15</v>
      </c>
      <c r="DD33" s="93">
        <v>391.12</v>
      </c>
      <c r="DE33" s="93">
        <v>390.08</v>
      </c>
      <c r="DF33" s="93">
        <v>389.05</v>
      </c>
      <c r="DG33" s="93">
        <v>388.02</v>
      </c>
      <c r="DH33" s="93">
        <v>386.99</v>
      </c>
      <c r="DI33" s="93">
        <v>385.96</v>
      </c>
      <c r="DJ33" s="93">
        <v>384.93</v>
      </c>
      <c r="DK33" s="93">
        <v>383.91</v>
      </c>
      <c r="DL33" s="93">
        <v>382.88</v>
      </c>
      <c r="DM33" s="93">
        <v>381.85</v>
      </c>
      <c r="DN33" s="93">
        <v>380.82</v>
      </c>
      <c r="DO33" s="93">
        <v>379.79</v>
      </c>
      <c r="DP33" s="93">
        <v>378.76</v>
      </c>
      <c r="DQ33" s="93">
        <v>377.73</v>
      </c>
      <c r="DR33" s="93">
        <v>376.71</v>
      </c>
      <c r="DS33" s="93">
        <v>375.68</v>
      </c>
      <c r="DT33" s="93">
        <v>374.65</v>
      </c>
      <c r="DU33" s="93">
        <v>373.63</v>
      </c>
      <c r="DV33" s="93">
        <v>372.61</v>
      </c>
      <c r="DW33" s="93">
        <v>371.58</v>
      </c>
      <c r="DX33" s="93">
        <v>370.56</v>
      </c>
      <c r="DY33" s="93">
        <v>369.54</v>
      </c>
      <c r="DZ33" s="93">
        <v>368.52</v>
      </c>
      <c r="EA33" s="93">
        <v>367.5</v>
      </c>
      <c r="EB33" s="93">
        <v>366.47</v>
      </c>
      <c r="EC33" s="93">
        <v>365.45</v>
      </c>
      <c r="ED33" s="93">
        <v>364.43</v>
      </c>
      <c r="EE33" s="93">
        <v>363.41</v>
      </c>
      <c r="EF33" s="93">
        <v>362.4</v>
      </c>
      <c r="EG33" s="93">
        <v>361.38</v>
      </c>
      <c r="EH33" s="93">
        <v>360.37</v>
      </c>
      <c r="EI33" s="93">
        <v>359.35</v>
      </c>
      <c r="EJ33" s="93">
        <v>358.34</v>
      </c>
      <c r="EK33" s="93">
        <v>357.33</v>
      </c>
      <c r="EL33" s="93">
        <v>356.31</v>
      </c>
      <c r="EM33" s="93">
        <v>355.3</v>
      </c>
      <c r="EN33" s="93">
        <v>354.29</v>
      </c>
      <c r="EO33" s="93">
        <v>353.28</v>
      </c>
      <c r="EP33" s="93">
        <v>352.27</v>
      </c>
      <c r="EQ33" s="93">
        <v>351.26</v>
      </c>
      <c r="ER33" s="93">
        <v>350.25</v>
      </c>
      <c r="ES33" s="93">
        <v>349.24</v>
      </c>
      <c r="ET33" s="93">
        <v>348.24</v>
      </c>
      <c r="EU33" s="93">
        <v>347.23</v>
      </c>
      <c r="EV33" s="93">
        <v>346.22</v>
      </c>
      <c r="EW33" s="93">
        <v>345.22</v>
      </c>
      <c r="EX33" s="93">
        <v>344.21</v>
      </c>
      <c r="EY33" s="93">
        <v>343.21</v>
      </c>
      <c r="EZ33" s="93">
        <v>342.2</v>
      </c>
      <c r="FA33" s="93">
        <v>341.2</v>
      </c>
      <c r="FB33" s="93">
        <v>340.2</v>
      </c>
      <c r="FC33" s="93">
        <v>339.19</v>
      </c>
      <c r="FD33" s="93">
        <v>338.19</v>
      </c>
      <c r="FE33" s="93">
        <v>337.2</v>
      </c>
      <c r="FF33" s="93">
        <v>336.2</v>
      </c>
      <c r="FG33" s="93">
        <v>335.2</v>
      </c>
      <c r="FH33" s="93">
        <v>334.2</v>
      </c>
      <c r="FI33" s="93">
        <v>333.21</v>
      </c>
      <c r="FJ33" s="93">
        <v>332.21</v>
      </c>
      <c r="FK33" s="93">
        <v>331.22</v>
      </c>
      <c r="FL33" s="93">
        <v>330.22</v>
      </c>
      <c r="FM33" s="93">
        <v>329.23</v>
      </c>
      <c r="FN33" s="93">
        <v>328.23</v>
      </c>
      <c r="FO33" s="93">
        <v>327.24</v>
      </c>
      <c r="FP33" s="93">
        <v>326.25</v>
      </c>
      <c r="FQ33" s="93">
        <v>325.26</v>
      </c>
      <c r="FR33" s="93">
        <v>324.26</v>
      </c>
      <c r="FS33" s="93">
        <v>323.26</v>
      </c>
      <c r="FT33" s="93">
        <v>322.27999999999997</v>
      </c>
      <c r="FU33" s="93">
        <v>321.29000000000002</v>
      </c>
      <c r="FV33" s="93">
        <v>320.31</v>
      </c>
      <c r="FW33" s="93">
        <v>319.32</v>
      </c>
      <c r="FX33" s="93">
        <v>318.32</v>
      </c>
      <c r="FY33" s="93">
        <v>317.33999999999997</v>
      </c>
      <c r="FZ33" s="93">
        <v>316.35000000000002</v>
      </c>
      <c r="GA33" s="93">
        <v>315.37</v>
      </c>
      <c r="GB33" s="93">
        <v>314.39</v>
      </c>
      <c r="GC33" s="93">
        <v>313.39999999999998</v>
      </c>
      <c r="GD33" s="93">
        <v>312.42</v>
      </c>
      <c r="GE33" s="93">
        <v>311.44</v>
      </c>
      <c r="GF33" s="93">
        <v>310.45999999999998</v>
      </c>
      <c r="GG33" s="93">
        <v>309.48</v>
      </c>
      <c r="GH33" s="93">
        <v>308.49</v>
      </c>
      <c r="GI33" s="93">
        <v>307.51</v>
      </c>
      <c r="GJ33" s="93">
        <v>306.54000000000002</v>
      </c>
      <c r="GK33" s="93">
        <v>305.56</v>
      </c>
      <c r="GL33" s="93">
        <v>304.57</v>
      </c>
      <c r="GM33" s="93">
        <v>303.60000000000002</v>
      </c>
      <c r="GN33" s="93">
        <v>302.63</v>
      </c>
      <c r="GO33" s="93">
        <v>301.66000000000003</v>
      </c>
      <c r="GP33" s="93">
        <v>300.69</v>
      </c>
      <c r="GQ33" s="93">
        <v>299.72000000000003</v>
      </c>
      <c r="GR33" s="93">
        <v>298.75</v>
      </c>
      <c r="GS33" s="93">
        <v>297.79000000000002</v>
      </c>
      <c r="GT33" s="93">
        <v>296.82</v>
      </c>
      <c r="GU33" s="93">
        <v>295.85000000000002</v>
      </c>
      <c r="GV33" s="93">
        <v>294.89</v>
      </c>
      <c r="GW33" s="93">
        <v>293.92</v>
      </c>
      <c r="GX33" s="93">
        <v>292.95999999999998</v>
      </c>
      <c r="GY33" s="93">
        <v>291.99</v>
      </c>
      <c r="GZ33" s="93">
        <v>291.02999999999997</v>
      </c>
      <c r="HA33" s="93">
        <v>290.07</v>
      </c>
      <c r="HB33" s="93">
        <v>289.10000000000002</v>
      </c>
      <c r="HC33" s="93">
        <v>288.14999999999998</v>
      </c>
      <c r="HD33" s="93">
        <v>287.2</v>
      </c>
      <c r="HE33" s="93">
        <v>286.24</v>
      </c>
      <c r="HF33" s="93">
        <v>285.27999999999997</v>
      </c>
      <c r="HG33" s="93">
        <v>284.32</v>
      </c>
      <c r="HH33" s="93">
        <v>283.37</v>
      </c>
      <c r="HI33" s="93">
        <v>282.42</v>
      </c>
      <c r="HJ33" s="93">
        <v>281.47000000000003</v>
      </c>
      <c r="HK33" s="93">
        <v>280.51</v>
      </c>
      <c r="HL33" s="93">
        <v>279.57</v>
      </c>
      <c r="HM33" s="93">
        <v>278.63</v>
      </c>
      <c r="HN33" s="93">
        <v>277.69</v>
      </c>
      <c r="HO33" s="93">
        <v>276.74</v>
      </c>
      <c r="HP33" s="93">
        <v>275.79000000000002</v>
      </c>
      <c r="HQ33" s="93">
        <v>274.85000000000002</v>
      </c>
      <c r="HR33" s="93">
        <v>273.92</v>
      </c>
      <c r="HS33" s="93">
        <v>272.99</v>
      </c>
      <c r="HT33" s="93">
        <v>272.04000000000002</v>
      </c>
      <c r="HU33" s="93">
        <v>271.10000000000002</v>
      </c>
      <c r="HV33" s="93">
        <v>270.18</v>
      </c>
      <c r="HW33" s="93">
        <v>269.24</v>
      </c>
      <c r="HX33" s="93">
        <v>268.31</v>
      </c>
      <c r="HY33" s="93">
        <v>267.38</v>
      </c>
      <c r="HZ33" s="93">
        <v>266.45</v>
      </c>
      <c r="IA33" s="93">
        <v>265.51</v>
      </c>
      <c r="IB33" s="93">
        <v>264.58999999999997</v>
      </c>
      <c r="IC33" s="93">
        <v>263.66000000000003</v>
      </c>
      <c r="ID33" s="93">
        <v>262.73</v>
      </c>
      <c r="IE33" s="93">
        <v>261.81</v>
      </c>
      <c r="IF33" s="93">
        <v>260.88</v>
      </c>
      <c r="IG33" s="93">
        <v>259.95</v>
      </c>
      <c r="IH33" s="93">
        <v>259.02999999999997</v>
      </c>
      <c r="II33" s="93">
        <v>258.10000000000002</v>
      </c>
      <c r="IJ33" s="93">
        <v>257.19</v>
      </c>
      <c r="IK33" s="93">
        <v>256.26</v>
      </c>
      <c r="IL33" s="93">
        <v>255.35</v>
      </c>
      <c r="IM33" s="93">
        <v>254.43</v>
      </c>
      <c r="IN33" s="93">
        <v>253.51</v>
      </c>
      <c r="IO33" s="93">
        <v>252.6</v>
      </c>
      <c r="IP33" s="93">
        <v>251.68</v>
      </c>
      <c r="IQ33" s="93">
        <v>250.77</v>
      </c>
      <c r="IR33" s="93">
        <v>249.85</v>
      </c>
      <c r="IS33" s="93">
        <v>248.94</v>
      </c>
      <c r="IT33" s="93">
        <v>248.03</v>
      </c>
      <c r="IU33" s="93">
        <v>247.12</v>
      </c>
      <c r="IV33" s="93">
        <v>246.22</v>
      </c>
      <c r="IW33" s="93">
        <v>245.32</v>
      </c>
      <c r="IX33" s="93">
        <v>244.42</v>
      </c>
      <c r="IY33" s="93">
        <v>243.53</v>
      </c>
      <c r="IZ33" s="93">
        <v>242.63</v>
      </c>
      <c r="JA33" s="93">
        <v>241.74</v>
      </c>
      <c r="JB33" s="93">
        <v>240.84</v>
      </c>
      <c r="JC33" s="93">
        <v>239.95</v>
      </c>
      <c r="JD33" s="93">
        <v>239.06</v>
      </c>
      <c r="JE33" s="93">
        <v>238.17</v>
      </c>
      <c r="JF33" s="93">
        <v>237.28</v>
      </c>
      <c r="JG33" s="93">
        <v>236.39</v>
      </c>
      <c r="JH33" s="93">
        <v>235.5</v>
      </c>
      <c r="JI33" s="93">
        <v>234.61</v>
      </c>
      <c r="JJ33" s="93">
        <v>233.73</v>
      </c>
      <c r="JK33" s="93">
        <v>232.84</v>
      </c>
      <c r="JL33" s="93">
        <v>231.96</v>
      </c>
      <c r="JM33" s="93">
        <v>231.08</v>
      </c>
      <c r="JN33" s="93">
        <v>230.2</v>
      </c>
      <c r="JO33" s="93">
        <v>229.32</v>
      </c>
      <c r="JP33" s="93">
        <v>228.44</v>
      </c>
      <c r="JQ33" s="93">
        <v>227.56</v>
      </c>
      <c r="JR33" s="93">
        <v>226.68</v>
      </c>
      <c r="JS33" s="93">
        <v>225.8</v>
      </c>
      <c r="JT33" s="93">
        <v>224.92</v>
      </c>
      <c r="JU33" s="93">
        <v>224.04</v>
      </c>
      <c r="JV33" s="93">
        <v>223.16</v>
      </c>
      <c r="JW33" s="93">
        <v>222.28</v>
      </c>
      <c r="JX33" s="93">
        <v>221.4</v>
      </c>
      <c r="JY33" s="93">
        <v>220.52</v>
      </c>
      <c r="JZ33" s="93">
        <v>219.65</v>
      </c>
      <c r="KA33" s="93">
        <v>218.77</v>
      </c>
      <c r="KB33" s="93">
        <v>217.9</v>
      </c>
      <c r="KC33" s="93">
        <v>217.02</v>
      </c>
      <c r="KD33" s="93">
        <v>216.15</v>
      </c>
      <c r="KE33" s="93">
        <v>215.27</v>
      </c>
      <c r="KF33" s="93">
        <v>214.4</v>
      </c>
      <c r="KG33" s="93">
        <v>213.53</v>
      </c>
      <c r="KH33" s="93">
        <v>212.67</v>
      </c>
      <c r="KI33" s="93">
        <v>211.8</v>
      </c>
      <c r="KJ33" s="93">
        <v>210.93</v>
      </c>
      <c r="KK33" s="93">
        <v>210.06</v>
      </c>
      <c r="KL33" s="93">
        <v>209.2</v>
      </c>
      <c r="KM33" s="93">
        <v>208.34</v>
      </c>
      <c r="KN33" s="93">
        <v>207.47</v>
      </c>
      <c r="KO33" s="93">
        <v>206.61</v>
      </c>
      <c r="KP33" s="93">
        <v>205.75</v>
      </c>
      <c r="KQ33" s="93">
        <v>204.89</v>
      </c>
      <c r="KR33" s="98">
        <f t="shared" si="22"/>
        <v>204.77</v>
      </c>
      <c r="KS33" s="98">
        <f t="shared" si="22"/>
        <v>203.98</v>
      </c>
      <c r="KT33" s="98">
        <f t="shared" si="22"/>
        <v>203.16</v>
      </c>
      <c r="KU33" s="98">
        <f t="shared" si="22"/>
        <v>202.37</v>
      </c>
      <c r="KV33" s="98">
        <f t="shared" si="22"/>
        <v>201.59</v>
      </c>
      <c r="KW33" s="98">
        <f t="shared" si="22"/>
        <v>200.8</v>
      </c>
      <c r="KX33" s="98">
        <f t="shared" si="22"/>
        <v>200.01</v>
      </c>
      <c r="KY33" s="98">
        <f t="shared" si="22"/>
        <v>199.23</v>
      </c>
      <c r="KZ33" s="98">
        <f t="shared" si="22"/>
        <v>198.44</v>
      </c>
      <c r="LA33" s="98">
        <f t="shared" si="22"/>
        <v>197.66</v>
      </c>
      <c r="LB33" s="98">
        <f t="shared" si="22"/>
        <v>196.88</v>
      </c>
      <c r="LC33" s="98">
        <f t="shared" si="22"/>
        <v>196.1</v>
      </c>
      <c r="LD33" s="98">
        <f t="shared" si="22"/>
        <v>195.32</v>
      </c>
      <c r="LE33" s="98">
        <f t="shared" si="22"/>
        <v>194.54</v>
      </c>
      <c r="LF33" s="98">
        <f t="shared" si="22"/>
        <v>193.77</v>
      </c>
      <c r="LG33" s="98">
        <f t="shared" si="22"/>
        <v>193</v>
      </c>
      <c r="LH33" s="98">
        <f t="shared" si="21"/>
        <v>192.22</v>
      </c>
      <c r="LI33" s="98">
        <f t="shared" si="21"/>
        <v>191.45</v>
      </c>
      <c r="LJ33" s="98">
        <f t="shared" si="21"/>
        <v>190.68</v>
      </c>
      <c r="LK33" s="98">
        <f t="shared" si="21"/>
        <v>189.91</v>
      </c>
      <c r="LL33" s="98">
        <f t="shared" si="21"/>
        <v>189.14</v>
      </c>
      <c r="LM33" s="98">
        <f t="shared" si="21"/>
        <v>188.38</v>
      </c>
      <c r="LN33" s="98">
        <f t="shared" si="21"/>
        <v>187.61</v>
      </c>
      <c r="LO33" s="98">
        <f t="shared" si="21"/>
        <v>186.85</v>
      </c>
      <c r="LP33" s="98">
        <f t="shared" si="21"/>
        <v>186.09</v>
      </c>
      <c r="LQ33" s="98">
        <f t="shared" si="21"/>
        <v>185.33</v>
      </c>
      <c r="LR33" s="98">
        <f t="shared" si="21"/>
        <v>184.57</v>
      </c>
      <c r="LS33" s="98">
        <f t="shared" si="21"/>
        <v>183.81</v>
      </c>
      <c r="LT33" s="98">
        <f t="shared" si="21"/>
        <v>183.06</v>
      </c>
      <c r="LU33" s="98">
        <f t="shared" si="21"/>
        <v>182.31</v>
      </c>
      <c r="LV33" s="98">
        <f t="shared" si="21"/>
        <v>181.55</v>
      </c>
      <c r="LW33" s="98">
        <f t="shared" si="21"/>
        <v>180.8</v>
      </c>
      <c r="LX33" s="98">
        <f t="shared" si="23"/>
        <v>180.05</v>
      </c>
      <c r="LY33" s="98">
        <f t="shared" si="23"/>
        <v>179.3</v>
      </c>
      <c r="LZ33" s="98">
        <f t="shared" si="23"/>
        <v>178.56</v>
      </c>
      <c r="MA33" s="98">
        <f t="shared" si="23"/>
        <v>177.81</v>
      </c>
      <c r="MB33" s="98">
        <f t="shared" si="23"/>
        <v>177.07</v>
      </c>
      <c r="MC33" s="98">
        <f t="shared" si="23"/>
        <v>176.33</v>
      </c>
      <c r="MD33" s="100">
        <f t="shared" si="23"/>
        <v>175.59</v>
      </c>
      <c r="ME33" s="101">
        <f t="shared" si="23"/>
        <v>174.86</v>
      </c>
      <c r="MF33" s="101">
        <f t="shared" si="23"/>
        <v>174.12</v>
      </c>
      <c r="MG33" s="101">
        <f t="shared" si="23"/>
        <v>173.39</v>
      </c>
      <c r="MH33" s="101">
        <f t="shared" si="23"/>
        <v>172.65</v>
      </c>
      <c r="MI33" s="101">
        <f t="shared" si="23"/>
        <v>171.92</v>
      </c>
      <c r="MJ33" s="101">
        <f t="shared" si="23"/>
        <v>171.19</v>
      </c>
      <c r="MK33" s="101">
        <f t="shared" si="23"/>
        <v>170.46</v>
      </c>
      <c r="ML33" s="101">
        <f t="shared" si="23"/>
        <v>169.74</v>
      </c>
      <c r="MM33" s="101">
        <f t="shared" si="23"/>
        <v>169.01</v>
      </c>
      <c r="MN33" s="101">
        <f t="shared" si="25"/>
        <v>168.29</v>
      </c>
      <c r="MO33" s="101">
        <f t="shared" si="26"/>
        <v>167.57</v>
      </c>
      <c r="MP33" s="101">
        <f t="shared" si="27"/>
        <v>166.85</v>
      </c>
      <c r="MQ33" s="101">
        <f t="shared" si="24"/>
        <v>166.14</v>
      </c>
      <c r="MR33" s="101">
        <f t="shared" si="24"/>
        <v>165.42</v>
      </c>
      <c r="MS33" s="101">
        <f t="shared" si="24"/>
        <v>164.71</v>
      </c>
      <c r="MT33" s="101">
        <f t="shared" si="24"/>
        <v>163.99</v>
      </c>
      <c r="MU33" s="101">
        <f t="shared" si="24"/>
        <v>163.28</v>
      </c>
      <c r="MV33" s="101">
        <f t="shared" si="24"/>
        <v>162.57</v>
      </c>
      <c r="MW33" s="101">
        <f t="shared" si="24"/>
        <v>161.87</v>
      </c>
      <c r="MX33" s="101">
        <f t="shared" si="24"/>
        <v>161.16</v>
      </c>
      <c r="MY33" s="101">
        <f t="shared" si="24"/>
        <v>160.46</v>
      </c>
    </row>
    <row r="34" spans="1:363" ht="15.75" x14ac:dyDescent="0.25">
      <c r="A34" s="90" t="s">
        <v>6</v>
      </c>
      <c r="B34" s="95">
        <v>2044</v>
      </c>
      <c r="C34" s="93">
        <v>500.76</v>
      </c>
      <c r="D34" s="93">
        <v>499.72</v>
      </c>
      <c r="E34" s="93">
        <v>498.68</v>
      </c>
      <c r="F34" s="93">
        <v>497.65</v>
      </c>
      <c r="G34" s="93">
        <v>496.61</v>
      </c>
      <c r="H34" s="93">
        <v>495.57</v>
      </c>
      <c r="I34" s="93">
        <v>494.54</v>
      </c>
      <c r="J34" s="93">
        <v>493.5</v>
      </c>
      <c r="K34" s="93">
        <v>492.46</v>
      </c>
      <c r="L34" s="93">
        <v>491.43</v>
      </c>
      <c r="M34" s="93">
        <v>490.39</v>
      </c>
      <c r="N34" s="93">
        <v>489.35</v>
      </c>
      <c r="O34" s="93">
        <v>488.32</v>
      </c>
      <c r="P34" s="93">
        <v>487.28</v>
      </c>
      <c r="Q34" s="93">
        <v>486.24</v>
      </c>
      <c r="R34" s="93">
        <v>485.2</v>
      </c>
      <c r="S34" s="93">
        <v>484.17</v>
      </c>
      <c r="T34" s="93">
        <v>483.13</v>
      </c>
      <c r="U34" s="93">
        <v>482.09</v>
      </c>
      <c r="V34" s="93">
        <v>481.06</v>
      </c>
      <c r="W34" s="93">
        <v>480.02</v>
      </c>
      <c r="X34" s="93">
        <v>478.98</v>
      </c>
      <c r="Y34" s="93">
        <v>477.95</v>
      </c>
      <c r="Z34" s="93">
        <v>476.91</v>
      </c>
      <c r="AA34" s="93">
        <v>475.87</v>
      </c>
      <c r="AB34" s="93">
        <v>474.84</v>
      </c>
      <c r="AC34" s="93">
        <v>473.8</v>
      </c>
      <c r="AD34" s="93">
        <v>472.76</v>
      </c>
      <c r="AE34" s="93">
        <v>471.72</v>
      </c>
      <c r="AF34" s="93">
        <v>470.69</v>
      </c>
      <c r="AG34" s="93">
        <v>469.65</v>
      </c>
      <c r="AH34" s="93">
        <v>468.61</v>
      </c>
      <c r="AI34" s="93">
        <v>467.58</v>
      </c>
      <c r="AJ34" s="93">
        <v>466.54</v>
      </c>
      <c r="AK34" s="93">
        <v>465.5</v>
      </c>
      <c r="AL34" s="93">
        <v>464.47</v>
      </c>
      <c r="AM34" s="93">
        <v>463.43</v>
      </c>
      <c r="AN34" s="93">
        <v>462.39</v>
      </c>
      <c r="AO34" s="93">
        <v>461.35</v>
      </c>
      <c r="AP34" s="93">
        <v>460.32</v>
      </c>
      <c r="AQ34" s="93">
        <v>459.28</v>
      </c>
      <c r="AR34" s="93">
        <v>458.24</v>
      </c>
      <c r="AS34" s="93">
        <v>457.21</v>
      </c>
      <c r="AT34" s="93">
        <v>456.17</v>
      </c>
      <c r="AU34" s="93">
        <v>455.13</v>
      </c>
      <c r="AV34" s="93">
        <v>454.09</v>
      </c>
      <c r="AW34" s="93">
        <v>453.06</v>
      </c>
      <c r="AX34" s="93">
        <v>452.02</v>
      </c>
      <c r="AY34" s="93">
        <v>450.98</v>
      </c>
      <c r="AZ34" s="93">
        <v>449.95</v>
      </c>
      <c r="BA34" s="93">
        <v>448.91</v>
      </c>
      <c r="BB34" s="93">
        <v>447.87</v>
      </c>
      <c r="BC34" s="93">
        <v>446.84</v>
      </c>
      <c r="BD34" s="93">
        <v>445.8</v>
      </c>
      <c r="BE34" s="93">
        <v>444.76</v>
      </c>
      <c r="BF34" s="93">
        <v>443.72</v>
      </c>
      <c r="BG34" s="93">
        <v>442.69</v>
      </c>
      <c r="BH34" s="93">
        <v>441.65</v>
      </c>
      <c r="BI34" s="93">
        <v>440.61</v>
      </c>
      <c r="BJ34" s="93">
        <v>439.58</v>
      </c>
      <c r="BK34" s="93">
        <v>438.54</v>
      </c>
      <c r="BL34" s="93">
        <v>437.5</v>
      </c>
      <c r="BM34" s="93">
        <v>436.46</v>
      </c>
      <c r="BN34" s="93">
        <v>435.43</v>
      </c>
      <c r="BO34" s="93">
        <v>434.39</v>
      </c>
      <c r="BP34" s="93">
        <v>433.35</v>
      </c>
      <c r="BQ34" s="93">
        <v>432.31</v>
      </c>
      <c r="BR34" s="93">
        <v>431.28</v>
      </c>
      <c r="BS34" s="93">
        <v>430.24</v>
      </c>
      <c r="BT34" s="93">
        <v>429.2</v>
      </c>
      <c r="BU34" s="93">
        <v>428.17</v>
      </c>
      <c r="BV34" s="93">
        <v>427.13</v>
      </c>
      <c r="BW34" s="93">
        <v>426.09</v>
      </c>
      <c r="BX34" s="93">
        <v>425.06</v>
      </c>
      <c r="BY34" s="93">
        <v>424.02</v>
      </c>
      <c r="BZ34" s="93">
        <v>422.99</v>
      </c>
      <c r="CA34" s="93">
        <v>421.95</v>
      </c>
      <c r="CB34" s="93">
        <v>420.92</v>
      </c>
      <c r="CC34" s="93">
        <v>419.88</v>
      </c>
      <c r="CD34" s="93">
        <v>418.85</v>
      </c>
      <c r="CE34" s="93">
        <v>417.81</v>
      </c>
      <c r="CF34" s="93">
        <v>416.78</v>
      </c>
      <c r="CG34" s="93">
        <v>415.74</v>
      </c>
      <c r="CH34" s="93">
        <v>414.71</v>
      </c>
      <c r="CI34" s="93">
        <v>413.67</v>
      </c>
      <c r="CJ34" s="93">
        <v>412.64</v>
      </c>
      <c r="CK34" s="93">
        <v>411.61</v>
      </c>
      <c r="CL34" s="93">
        <v>410.57</v>
      </c>
      <c r="CM34" s="93">
        <v>409.54</v>
      </c>
      <c r="CN34" s="93">
        <v>408.5</v>
      </c>
      <c r="CO34" s="93">
        <v>407.47</v>
      </c>
      <c r="CP34" s="93">
        <v>406.43</v>
      </c>
      <c r="CQ34" s="93">
        <v>405.4</v>
      </c>
      <c r="CR34" s="93">
        <v>404.37</v>
      </c>
      <c r="CS34" s="93">
        <v>403.33</v>
      </c>
      <c r="CT34" s="93">
        <v>402.3</v>
      </c>
      <c r="CU34" s="93">
        <v>401.26</v>
      </c>
      <c r="CV34" s="93">
        <v>400.23</v>
      </c>
      <c r="CW34" s="93">
        <v>399.2</v>
      </c>
      <c r="CX34" s="93">
        <v>398.17</v>
      </c>
      <c r="CY34" s="93">
        <v>397.14</v>
      </c>
      <c r="CZ34" s="93">
        <v>396.1</v>
      </c>
      <c r="DA34" s="93">
        <v>395.07</v>
      </c>
      <c r="DB34" s="93">
        <v>394.04</v>
      </c>
      <c r="DC34" s="93">
        <v>393.01</v>
      </c>
      <c r="DD34" s="93">
        <v>391.98</v>
      </c>
      <c r="DE34" s="93">
        <v>390.95</v>
      </c>
      <c r="DF34" s="93">
        <v>389.91</v>
      </c>
      <c r="DG34" s="93">
        <v>388.88</v>
      </c>
      <c r="DH34" s="93">
        <v>387.85</v>
      </c>
      <c r="DI34" s="93">
        <v>386.82</v>
      </c>
      <c r="DJ34" s="93">
        <v>385.79</v>
      </c>
      <c r="DK34" s="93">
        <v>384.76</v>
      </c>
      <c r="DL34" s="93">
        <v>383.74</v>
      </c>
      <c r="DM34" s="93">
        <v>382.71</v>
      </c>
      <c r="DN34" s="93">
        <v>381.68</v>
      </c>
      <c r="DO34" s="93">
        <v>380.65</v>
      </c>
      <c r="DP34" s="93">
        <v>379.62</v>
      </c>
      <c r="DQ34" s="93">
        <v>378.59</v>
      </c>
      <c r="DR34" s="93">
        <v>377.56</v>
      </c>
      <c r="DS34" s="93">
        <v>376.54</v>
      </c>
      <c r="DT34" s="93">
        <v>375.51</v>
      </c>
      <c r="DU34" s="93">
        <v>374.49</v>
      </c>
      <c r="DV34" s="93">
        <v>373.46</v>
      </c>
      <c r="DW34" s="93">
        <v>372.44</v>
      </c>
      <c r="DX34" s="93">
        <v>371.42</v>
      </c>
      <c r="DY34" s="93">
        <v>370.39</v>
      </c>
      <c r="DZ34" s="93">
        <v>369.37</v>
      </c>
      <c r="EA34" s="93">
        <v>368.35</v>
      </c>
      <c r="EB34" s="93">
        <v>367.33</v>
      </c>
      <c r="EC34" s="93">
        <v>366.31</v>
      </c>
      <c r="ED34" s="93">
        <v>365.29</v>
      </c>
      <c r="EE34" s="93">
        <v>364.27</v>
      </c>
      <c r="EF34" s="93">
        <v>363.25</v>
      </c>
      <c r="EG34" s="93">
        <v>362.24</v>
      </c>
      <c r="EH34" s="93">
        <v>361.22</v>
      </c>
      <c r="EI34" s="93">
        <v>360.21</v>
      </c>
      <c r="EJ34" s="93">
        <v>359.19</v>
      </c>
      <c r="EK34" s="93">
        <v>358.18</v>
      </c>
      <c r="EL34" s="93">
        <v>357.16</v>
      </c>
      <c r="EM34" s="93">
        <v>356.15</v>
      </c>
      <c r="EN34" s="93">
        <v>355.14</v>
      </c>
      <c r="EO34" s="93">
        <v>354.13</v>
      </c>
      <c r="EP34" s="93">
        <v>353.11</v>
      </c>
      <c r="EQ34" s="93">
        <v>352.1</v>
      </c>
      <c r="ER34" s="93">
        <v>351.1</v>
      </c>
      <c r="ES34" s="93">
        <v>350.09</v>
      </c>
      <c r="ET34" s="93">
        <v>349.08</v>
      </c>
      <c r="EU34" s="93">
        <v>348.07</v>
      </c>
      <c r="EV34" s="93">
        <v>347.07</v>
      </c>
      <c r="EW34" s="93">
        <v>346.06</v>
      </c>
      <c r="EX34" s="93">
        <v>345.06</v>
      </c>
      <c r="EY34" s="93">
        <v>344.05</v>
      </c>
      <c r="EZ34" s="93">
        <v>343.05</v>
      </c>
      <c r="FA34" s="93">
        <v>342.04</v>
      </c>
      <c r="FB34" s="93">
        <v>341.04</v>
      </c>
      <c r="FC34" s="93">
        <v>340.03</v>
      </c>
      <c r="FD34" s="93">
        <v>339.03</v>
      </c>
      <c r="FE34" s="93">
        <v>338.04</v>
      </c>
      <c r="FF34" s="93">
        <v>337.04</v>
      </c>
      <c r="FG34" s="93">
        <v>336.04</v>
      </c>
      <c r="FH34" s="93">
        <v>335.04</v>
      </c>
      <c r="FI34" s="93">
        <v>334.04</v>
      </c>
      <c r="FJ34" s="93">
        <v>333.05</v>
      </c>
      <c r="FK34" s="93">
        <v>332.05</v>
      </c>
      <c r="FL34" s="93">
        <v>331.06</v>
      </c>
      <c r="FM34" s="93">
        <v>330.06</v>
      </c>
      <c r="FN34" s="93">
        <v>329.07</v>
      </c>
      <c r="FO34" s="93">
        <v>328.07</v>
      </c>
      <c r="FP34" s="93">
        <v>327.07</v>
      </c>
      <c r="FQ34" s="93">
        <v>326.08999999999997</v>
      </c>
      <c r="FR34" s="93">
        <v>325.10000000000002</v>
      </c>
      <c r="FS34" s="93">
        <v>324.10000000000002</v>
      </c>
      <c r="FT34" s="93">
        <v>323.12</v>
      </c>
      <c r="FU34" s="93">
        <v>322.13</v>
      </c>
      <c r="FV34" s="93">
        <v>321.14</v>
      </c>
      <c r="FW34" s="93">
        <v>320.14999999999998</v>
      </c>
      <c r="FX34" s="93">
        <v>319.16000000000003</v>
      </c>
      <c r="FY34" s="93">
        <v>318.17</v>
      </c>
      <c r="FZ34" s="93">
        <v>317.18</v>
      </c>
      <c r="GA34" s="93">
        <v>316.2</v>
      </c>
      <c r="GB34" s="93">
        <v>315.20999999999998</v>
      </c>
      <c r="GC34" s="93">
        <v>314.23</v>
      </c>
      <c r="GD34" s="93">
        <v>313.24</v>
      </c>
      <c r="GE34" s="93">
        <v>312.26</v>
      </c>
      <c r="GF34" s="93">
        <v>311.27999999999997</v>
      </c>
      <c r="GG34" s="93">
        <v>310.29000000000002</v>
      </c>
      <c r="GH34" s="93">
        <v>309.32</v>
      </c>
      <c r="GI34" s="93">
        <v>308.33999999999997</v>
      </c>
      <c r="GJ34" s="93">
        <v>307.35000000000002</v>
      </c>
      <c r="GK34" s="93">
        <v>306.38</v>
      </c>
      <c r="GL34" s="93">
        <v>305.39999999999998</v>
      </c>
      <c r="GM34" s="93">
        <v>304.42</v>
      </c>
      <c r="GN34" s="93">
        <v>303.45</v>
      </c>
      <c r="GO34" s="93">
        <v>302.48</v>
      </c>
      <c r="GP34" s="93">
        <v>301.5</v>
      </c>
      <c r="GQ34" s="93">
        <v>300.52999999999997</v>
      </c>
      <c r="GR34" s="93">
        <v>299.57</v>
      </c>
      <c r="GS34" s="93">
        <v>298.60000000000002</v>
      </c>
      <c r="GT34" s="93">
        <v>297.63</v>
      </c>
      <c r="GU34" s="93">
        <v>296.66000000000003</v>
      </c>
      <c r="GV34" s="93">
        <v>295.7</v>
      </c>
      <c r="GW34" s="93">
        <v>294.73</v>
      </c>
      <c r="GX34" s="93">
        <v>293.76</v>
      </c>
      <c r="GY34" s="93">
        <v>292.79000000000002</v>
      </c>
      <c r="GZ34" s="93">
        <v>291.83999999999997</v>
      </c>
      <c r="HA34" s="93">
        <v>290.88</v>
      </c>
      <c r="HB34" s="93">
        <v>289.92</v>
      </c>
      <c r="HC34" s="93">
        <v>288.95999999999998</v>
      </c>
      <c r="HD34" s="93">
        <v>288</v>
      </c>
      <c r="HE34" s="93">
        <v>287.04000000000002</v>
      </c>
      <c r="HF34" s="93">
        <v>286.07</v>
      </c>
      <c r="HG34" s="93">
        <v>285.13</v>
      </c>
      <c r="HH34" s="93">
        <v>284.17</v>
      </c>
      <c r="HI34" s="93">
        <v>283.22000000000003</v>
      </c>
      <c r="HJ34" s="93">
        <v>282.26</v>
      </c>
      <c r="HK34" s="93">
        <v>281.31</v>
      </c>
      <c r="HL34" s="93">
        <v>280.35000000000002</v>
      </c>
      <c r="HM34" s="93">
        <v>279.42</v>
      </c>
      <c r="HN34" s="93">
        <v>278.48</v>
      </c>
      <c r="HO34" s="93">
        <v>277.52999999999997</v>
      </c>
      <c r="HP34" s="93">
        <v>276.58999999999997</v>
      </c>
      <c r="HQ34" s="93">
        <v>275.64999999999998</v>
      </c>
      <c r="HR34" s="93">
        <v>274.70999999999998</v>
      </c>
      <c r="HS34" s="93">
        <v>273.76</v>
      </c>
      <c r="HT34" s="93">
        <v>272.82</v>
      </c>
      <c r="HU34" s="93">
        <v>271.89999999999998</v>
      </c>
      <c r="HV34" s="93">
        <v>270.95999999999998</v>
      </c>
      <c r="HW34" s="93">
        <v>270.01</v>
      </c>
      <c r="HX34" s="93">
        <v>269.08999999999997</v>
      </c>
      <c r="HY34" s="93">
        <v>268.16000000000003</v>
      </c>
      <c r="HZ34" s="93">
        <v>267.23</v>
      </c>
      <c r="IA34" s="93">
        <v>266.29000000000002</v>
      </c>
      <c r="IB34" s="93">
        <v>265.35000000000002</v>
      </c>
      <c r="IC34" s="93">
        <v>264.44</v>
      </c>
      <c r="ID34" s="93">
        <v>263.51</v>
      </c>
      <c r="IE34" s="93">
        <v>262.57</v>
      </c>
      <c r="IF34" s="93">
        <v>261.64999999999998</v>
      </c>
      <c r="IG34" s="93">
        <v>260.73</v>
      </c>
      <c r="IH34" s="93">
        <v>259.79000000000002</v>
      </c>
      <c r="II34" s="93">
        <v>258.88</v>
      </c>
      <c r="IJ34" s="93">
        <v>257.95</v>
      </c>
      <c r="IK34" s="93">
        <v>257.02999999999997</v>
      </c>
      <c r="IL34" s="93">
        <v>256.10000000000002</v>
      </c>
      <c r="IM34" s="93">
        <v>255.19</v>
      </c>
      <c r="IN34" s="93">
        <v>254.27</v>
      </c>
      <c r="IO34" s="93">
        <v>253.36</v>
      </c>
      <c r="IP34" s="93">
        <v>252.44</v>
      </c>
      <c r="IQ34" s="93">
        <v>251.53</v>
      </c>
      <c r="IR34" s="93">
        <v>250.61</v>
      </c>
      <c r="IS34" s="93">
        <v>249.7</v>
      </c>
      <c r="IT34" s="93">
        <v>248.79</v>
      </c>
      <c r="IU34" s="93">
        <v>247.87</v>
      </c>
      <c r="IV34" s="93">
        <v>246.97</v>
      </c>
      <c r="IW34" s="93">
        <v>246.07</v>
      </c>
      <c r="IX34" s="93">
        <v>245.17</v>
      </c>
      <c r="IY34" s="93">
        <v>244.27</v>
      </c>
      <c r="IZ34" s="93">
        <v>243.38</v>
      </c>
      <c r="JA34" s="93">
        <v>242.48</v>
      </c>
      <c r="JB34" s="93">
        <v>241.59</v>
      </c>
      <c r="JC34" s="93">
        <v>240.69</v>
      </c>
      <c r="JD34" s="93">
        <v>239.8</v>
      </c>
      <c r="JE34" s="93">
        <v>238.9</v>
      </c>
      <c r="JF34" s="93">
        <v>238.01</v>
      </c>
      <c r="JG34" s="93">
        <v>237.12</v>
      </c>
      <c r="JH34" s="93">
        <v>236.23</v>
      </c>
      <c r="JI34" s="93">
        <v>235.35</v>
      </c>
      <c r="JJ34" s="93">
        <v>234.46</v>
      </c>
      <c r="JK34" s="93">
        <v>233.57</v>
      </c>
      <c r="JL34" s="93">
        <v>232.69</v>
      </c>
      <c r="JM34" s="93">
        <v>231.81</v>
      </c>
      <c r="JN34" s="93">
        <v>230.92</v>
      </c>
      <c r="JO34" s="93">
        <v>230.04</v>
      </c>
      <c r="JP34" s="93">
        <v>229.16</v>
      </c>
      <c r="JQ34" s="93">
        <v>228.28</v>
      </c>
      <c r="JR34" s="93">
        <v>227.4</v>
      </c>
      <c r="JS34" s="93">
        <v>226.52</v>
      </c>
      <c r="JT34" s="93">
        <v>225.64</v>
      </c>
      <c r="JU34" s="93">
        <v>224.75</v>
      </c>
      <c r="JV34" s="93">
        <v>223.87</v>
      </c>
      <c r="JW34" s="93">
        <v>222.99</v>
      </c>
      <c r="JX34" s="93">
        <v>222.11</v>
      </c>
      <c r="JY34" s="93">
        <v>221.23</v>
      </c>
      <c r="JZ34" s="93">
        <v>220.35</v>
      </c>
      <c r="KA34" s="93">
        <v>219.48</v>
      </c>
      <c r="KB34" s="93">
        <v>218.6</v>
      </c>
      <c r="KC34" s="93">
        <v>217.72</v>
      </c>
      <c r="KD34" s="93">
        <v>216.85</v>
      </c>
      <c r="KE34" s="93">
        <v>215.97</v>
      </c>
      <c r="KF34" s="93">
        <v>215.1</v>
      </c>
      <c r="KG34" s="93">
        <v>214.23</v>
      </c>
      <c r="KH34" s="93">
        <v>213.36</v>
      </c>
      <c r="KI34" s="93">
        <v>212.49</v>
      </c>
      <c r="KJ34" s="93">
        <v>211.62</v>
      </c>
      <c r="KK34" s="93">
        <v>210.75</v>
      </c>
      <c r="KL34" s="93">
        <v>209.89</v>
      </c>
      <c r="KM34" s="93">
        <v>209.02</v>
      </c>
      <c r="KN34" s="93">
        <v>208.16</v>
      </c>
      <c r="KO34" s="93">
        <v>207.29</v>
      </c>
      <c r="KP34" s="93">
        <v>206.43</v>
      </c>
      <c r="KQ34" s="93">
        <v>205.57</v>
      </c>
      <c r="KR34" s="98">
        <f t="shared" si="22"/>
        <v>205.52</v>
      </c>
      <c r="KS34" s="98">
        <f t="shared" si="22"/>
        <v>204.73</v>
      </c>
      <c r="KT34" s="98">
        <f t="shared" si="22"/>
        <v>203.91</v>
      </c>
      <c r="KU34" s="98">
        <f t="shared" si="22"/>
        <v>203.12</v>
      </c>
      <c r="KV34" s="98">
        <f t="shared" si="22"/>
        <v>202.34</v>
      </c>
      <c r="KW34" s="98">
        <f t="shared" si="22"/>
        <v>201.55</v>
      </c>
      <c r="KX34" s="98">
        <f t="shared" si="22"/>
        <v>200.76</v>
      </c>
      <c r="KY34" s="98">
        <f t="shared" si="22"/>
        <v>199.98</v>
      </c>
      <c r="KZ34" s="98">
        <f t="shared" si="22"/>
        <v>199.19</v>
      </c>
      <c r="LA34" s="98">
        <f t="shared" si="22"/>
        <v>198.41</v>
      </c>
      <c r="LB34" s="98">
        <f t="shared" si="22"/>
        <v>197.63</v>
      </c>
      <c r="LC34" s="98">
        <f t="shared" si="22"/>
        <v>196.85</v>
      </c>
      <c r="LD34" s="98">
        <f t="shared" si="22"/>
        <v>196.07</v>
      </c>
      <c r="LE34" s="98">
        <f t="shared" si="22"/>
        <v>195.29</v>
      </c>
      <c r="LF34" s="98">
        <f t="shared" si="22"/>
        <v>194.52</v>
      </c>
      <c r="LG34" s="98">
        <f t="shared" si="22"/>
        <v>193.75</v>
      </c>
      <c r="LH34" s="98">
        <f t="shared" si="21"/>
        <v>192.97</v>
      </c>
      <c r="LI34" s="98">
        <f t="shared" si="21"/>
        <v>192.2</v>
      </c>
      <c r="LJ34" s="98">
        <f t="shared" si="21"/>
        <v>191.43</v>
      </c>
      <c r="LK34" s="98">
        <f t="shared" si="21"/>
        <v>190.66</v>
      </c>
      <c r="LL34" s="98">
        <f t="shared" si="21"/>
        <v>189.89</v>
      </c>
      <c r="LM34" s="98">
        <f t="shared" si="21"/>
        <v>189.13</v>
      </c>
      <c r="LN34" s="98">
        <f t="shared" si="21"/>
        <v>188.36</v>
      </c>
      <c r="LO34" s="98">
        <f t="shared" si="21"/>
        <v>187.6</v>
      </c>
      <c r="LP34" s="98">
        <f t="shared" si="21"/>
        <v>186.84</v>
      </c>
      <c r="LQ34" s="98">
        <f t="shared" si="21"/>
        <v>186.08</v>
      </c>
      <c r="LR34" s="98">
        <f t="shared" si="21"/>
        <v>185.32</v>
      </c>
      <c r="LS34" s="98">
        <f t="shared" si="21"/>
        <v>184.56</v>
      </c>
      <c r="LT34" s="98">
        <f t="shared" si="21"/>
        <v>183.81</v>
      </c>
      <c r="LU34" s="98">
        <f t="shared" si="21"/>
        <v>183.06</v>
      </c>
      <c r="LV34" s="98">
        <f t="shared" si="21"/>
        <v>182.3</v>
      </c>
      <c r="LW34" s="98">
        <f t="shared" si="21"/>
        <v>181.55</v>
      </c>
      <c r="LX34" s="98">
        <f t="shared" si="23"/>
        <v>180.8</v>
      </c>
      <c r="LY34" s="98">
        <f t="shared" si="23"/>
        <v>180.05</v>
      </c>
      <c r="LZ34" s="98">
        <f t="shared" si="23"/>
        <v>179.31</v>
      </c>
      <c r="MA34" s="98">
        <f t="shared" si="23"/>
        <v>178.56</v>
      </c>
      <c r="MB34" s="98">
        <f t="shared" si="23"/>
        <v>177.82</v>
      </c>
      <c r="MC34" s="98">
        <f t="shared" si="23"/>
        <v>177.08</v>
      </c>
      <c r="MD34" s="100">
        <f t="shared" si="23"/>
        <v>176.34</v>
      </c>
      <c r="ME34" s="101">
        <f t="shared" si="23"/>
        <v>175.61</v>
      </c>
      <c r="MF34" s="101">
        <f t="shared" si="23"/>
        <v>174.87</v>
      </c>
      <c r="MG34" s="101">
        <f t="shared" si="23"/>
        <v>174.14</v>
      </c>
      <c r="MH34" s="101">
        <f t="shared" si="23"/>
        <v>173.4</v>
      </c>
      <c r="MI34" s="101">
        <f t="shared" si="23"/>
        <v>172.67</v>
      </c>
      <c r="MJ34" s="101">
        <f t="shared" si="23"/>
        <v>171.94</v>
      </c>
      <c r="MK34" s="101">
        <f t="shared" si="23"/>
        <v>171.21</v>
      </c>
      <c r="ML34" s="101">
        <f t="shared" si="23"/>
        <v>170.49</v>
      </c>
      <c r="MM34" s="101">
        <f t="shared" si="23"/>
        <v>169.76</v>
      </c>
      <c r="MN34" s="101">
        <f t="shared" si="25"/>
        <v>169.04</v>
      </c>
      <c r="MO34" s="101">
        <f t="shared" si="26"/>
        <v>168.32</v>
      </c>
      <c r="MP34" s="101">
        <f t="shared" si="27"/>
        <v>167.6</v>
      </c>
      <c r="MQ34" s="101">
        <f t="shared" si="24"/>
        <v>166.89</v>
      </c>
      <c r="MR34" s="101">
        <f t="shared" si="24"/>
        <v>166.17</v>
      </c>
      <c r="MS34" s="101">
        <f t="shared" si="24"/>
        <v>165.46</v>
      </c>
      <c r="MT34" s="101">
        <f t="shared" si="24"/>
        <v>164.74</v>
      </c>
      <c r="MU34" s="101">
        <f t="shared" si="24"/>
        <v>164.03</v>
      </c>
      <c r="MV34" s="101">
        <f t="shared" si="24"/>
        <v>163.32</v>
      </c>
      <c r="MW34" s="101">
        <f t="shared" si="24"/>
        <v>162.62</v>
      </c>
      <c r="MX34" s="101">
        <f t="shared" si="24"/>
        <v>161.91</v>
      </c>
      <c r="MY34" s="101">
        <f t="shared" si="24"/>
        <v>161.21</v>
      </c>
    </row>
    <row r="35" spans="1:363" ht="15.75" x14ac:dyDescent="0.25">
      <c r="A35" s="90" t="s">
        <v>6</v>
      </c>
      <c r="B35" s="95">
        <v>2045</v>
      </c>
      <c r="C35" s="93">
        <v>501.62</v>
      </c>
      <c r="D35" s="93">
        <v>500.58</v>
      </c>
      <c r="E35" s="93">
        <v>499.54</v>
      </c>
      <c r="F35" s="93">
        <v>498.51</v>
      </c>
      <c r="G35" s="93">
        <v>497.47</v>
      </c>
      <c r="H35" s="93">
        <v>496.43</v>
      </c>
      <c r="I35" s="93">
        <v>495.4</v>
      </c>
      <c r="J35" s="93">
        <v>494.36</v>
      </c>
      <c r="K35" s="93">
        <v>493.32</v>
      </c>
      <c r="L35" s="93">
        <v>492.29</v>
      </c>
      <c r="M35" s="93">
        <v>491.25</v>
      </c>
      <c r="N35" s="93">
        <v>490.21</v>
      </c>
      <c r="O35" s="93">
        <v>489.18</v>
      </c>
      <c r="P35" s="93">
        <v>488.14</v>
      </c>
      <c r="Q35" s="93">
        <v>487.1</v>
      </c>
      <c r="R35" s="93">
        <v>486.07</v>
      </c>
      <c r="S35" s="93">
        <v>485.03</v>
      </c>
      <c r="T35" s="93">
        <v>483.99</v>
      </c>
      <c r="U35" s="93">
        <v>482.96</v>
      </c>
      <c r="V35" s="93">
        <v>481.92</v>
      </c>
      <c r="W35" s="93">
        <v>480.88</v>
      </c>
      <c r="X35" s="93">
        <v>479.85</v>
      </c>
      <c r="Y35" s="93">
        <v>478.81</v>
      </c>
      <c r="Z35" s="93">
        <v>477.77</v>
      </c>
      <c r="AA35" s="93">
        <v>476.74</v>
      </c>
      <c r="AB35" s="93">
        <v>475.7</v>
      </c>
      <c r="AC35" s="93">
        <v>474.66</v>
      </c>
      <c r="AD35" s="93">
        <v>473.62</v>
      </c>
      <c r="AE35" s="93">
        <v>472.59</v>
      </c>
      <c r="AF35" s="93">
        <v>471.55</v>
      </c>
      <c r="AG35" s="93">
        <v>470.51</v>
      </c>
      <c r="AH35" s="93">
        <v>469.48</v>
      </c>
      <c r="AI35" s="93">
        <v>468.44</v>
      </c>
      <c r="AJ35" s="93">
        <v>467.4</v>
      </c>
      <c r="AK35" s="93">
        <v>466.37</v>
      </c>
      <c r="AL35" s="93">
        <v>465.33</v>
      </c>
      <c r="AM35" s="93">
        <v>464.29</v>
      </c>
      <c r="AN35" s="93">
        <v>463.25</v>
      </c>
      <c r="AO35" s="93">
        <v>462.22</v>
      </c>
      <c r="AP35" s="93">
        <v>461.18</v>
      </c>
      <c r="AQ35" s="93">
        <v>460.14</v>
      </c>
      <c r="AR35" s="93">
        <v>459.11</v>
      </c>
      <c r="AS35" s="93">
        <v>458.07</v>
      </c>
      <c r="AT35" s="93">
        <v>457.03</v>
      </c>
      <c r="AU35" s="93">
        <v>455.99</v>
      </c>
      <c r="AV35" s="93">
        <v>454.96</v>
      </c>
      <c r="AW35" s="93">
        <v>453.92</v>
      </c>
      <c r="AX35" s="93">
        <v>452.88</v>
      </c>
      <c r="AY35" s="93">
        <v>451.85</v>
      </c>
      <c r="AZ35" s="93">
        <v>450.81</v>
      </c>
      <c r="BA35" s="93">
        <v>449.77</v>
      </c>
      <c r="BB35" s="93">
        <v>448.74</v>
      </c>
      <c r="BC35" s="93">
        <v>447.7</v>
      </c>
      <c r="BD35" s="93">
        <v>446.66</v>
      </c>
      <c r="BE35" s="93">
        <v>445.62</v>
      </c>
      <c r="BF35" s="93">
        <v>444.59</v>
      </c>
      <c r="BG35" s="93">
        <v>443.55</v>
      </c>
      <c r="BH35" s="93">
        <v>442.51</v>
      </c>
      <c r="BI35" s="93">
        <v>441.48</v>
      </c>
      <c r="BJ35" s="93">
        <v>440.44</v>
      </c>
      <c r="BK35" s="93">
        <v>439.4</v>
      </c>
      <c r="BL35" s="93">
        <v>438.36</v>
      </c>
      <c r="BM35" s="93">
        <v>437.33</v>
      </c>
      <c r="BN35" s="93">
        <v>436.29</v>
      </c>
      <c r="BO35" s="93">
        <v>435.25</v>
      </c>
      <c r="BP35" s="93">
        <v>434.21</v>
      </c>
      <c r="BQ35" s="93">
        <v>433.18</v>
      </c>
      <c r="BR35" s="93">
        <v>432.14</v>
      </c>
      <c r="BS35" s="93">
        <v>431.1</v>
      </c>
      <c r="BT35" s="93">
        <v>430.06</v>
      </c>
      <c r="BU35" s="93">
        <v>429.03</v>
      </c>
      <c r="BV35" s="93">
        <v>427.99</v>
      </c>
      <c r="BW35" s="93">
        <v>426.96</v>
      </c>
      <c r="BX35" s="93">
        <v>425.92</v>
      </c>
      <c r="BY35" s="93">
        <v>424.88</v>
      </c>
      <c r="BZ35" s="93">
        <v>423.85</v>
      </c>
      <c r="CA35" s="93">
        <v>422.81</v>
      </c>
      <c r="CB35" s="93">
        <v>421.78</v>
      </c>
      <c r="CC35" s="93">
        <v>420.74</v>
      </c>
      <c r="CD35" s="93">
        <v>419.71</v>
      </c>
      <c r="CE35" s="93">
        <v>418.67</v>
      </c>
      <c r="CF35" s="93">
        <v>417.64</v>
      </c>
      <c r="CG35" s="93">
        <v>416.6</v>
      </c>
      <c r="CH35" s="93">
        <v>415.57</v>
      </c>
      <c r="CI35" s="93">
        <v>414.54</v>
      </c>
      <c r="CJ35" s="93">
        <v>413.5</v>
      </c>
      <c r="CK35" s="93">
        <v>412.47</v>
      </c>
      <c r="CL35" s="93">
        <v>411.43</v>
      </c>
      <c r="CM35" s="93">
        <v>410.4</v>
      </c>
      <c r="CN35" s="93">
        <v>409.36</v>
      </c>
      <c r="CO35" s="93">
        <v>408.33</v>
      </c>
      <c r="CP35" s="93">
        <v>407.29</v>
      </c>
      <c r="CQ35" s="93">
        <v>406.26</v>
      </c>
      <c r="CR35" s="93">
        <v>405.22</v>
      </c>
      <c r="CS35" s="93">
        <v>404.19</v>
      </c>
      <c r="CT35" s="93">
        <v>403.16</v>
      </c>
      <c r="CU35" s="93">
        <v>402.12</v>
      </c>
      <c r="CV35" s="93">
        <v>401.09</v>
      </c>
      <c r="CW35" s="93">
        <v>400.06</v>
      </c>
      <c r="CX35" s="93">
        <v>399.03</v>
      </c>
      <c r="CY35" s="93">
        <v>397.99</v>
      </c>
      <c r="CZ35" s="93">
        <v>396.96</v>
      </c>
      <c r="DA35" s="93">
        <v>395.93</v>
      </c>
      <c r="DB35" s="93">
        <v>394.9</v>
      </c>
      <c r="DC35" s="93">
        <v>393.87</v>
      </c>
      <c r="DD35" s="93">
        <v>392.83</v>
      </c>
      <c r="DE35" s="93">
        <v>391.8</v>
      </c>
      <c r="DF35" s="93">
        <v>390.77</v>
      </c>
      <c r="DG35" s="93">
        <v>389.74</v>
      </c>
      <c r="DH35" s="93">
        <v>388.71</v>
      </c>
      <c r="DI35" s="93">
        <v>387.68</v>
      </c>
      <c r="DJ35" s="93">
        <v>386.65</v>
      </c>
      <c r="DK35" s="93">
        <v>385.62</v>
      </c>
      <c r="DL35" s="93">
        <v>384.59</v>
      </c>
      <c r="DM35" s="93">
        <v>383.56</v>
      </c>
      <c r="DN35" s="93">
        <v>382.53</v>
      </c>
      <c r="DO35" s="93">
        <v>381.5</v>
      </c>
      <c r="DP35" s="93">
        <v>380.47</v>
      </c>
      <c r="DQ35" s="93">
        <v>379.44</v>
      </c>
      <c r="DR35" s="93">
        <v>378.42</v>
      </c>
      <c r="DS35" s="93">
        <v>377.39</v>
      </c>
      <c r="DT35" s="93">
        <v>376.36</v>
      </c>
      <c r="DU35" s="93">
        <v>375.34</v>
      </c>
      <c r="DV35" s="93">
        <v>374.31</v>
      </c>
      <c r="DW35" s="93">
        <v>373.29</v>
      </c>
      <c r="DX35" s="93">
        <v>372.27</v>
      </c>
      <c r="DY35" s="93">
        <v>371.24</v>
      </c>
      <c r="DZ35" s="93">
        <v>370.22</v>
      </c>
      <c r="EA35" s="93">
        <v>369.2</v>
      </c>
      <c r="EB35" s="93">
        <v>368.18</v>
      </c>
      <c r="EC35" s="93">
        <v>367.16</v>
      </c>
      <c r="ED35" s="93">
        <v>366.13</v>
      </c>
      <c r="EE35" s="93">
        <v>365.11</v>
      </c>
      <c r="EF35" s="93">
        <v>364.1</v>
      </c>
      <c r="EG35" s="93">
        <v>363.08</v>
      </c>
      <c r="EH35" s="93">
        <v>362.07</v>
      </c>
      <c r="EI35" s="93">
        <v>361.05</v>
      </c>
      <c r="EJ35" s="93">
        <v>360.04</v>
      </c>
      <c r="EK35" s="93">
        <v>359.02</v>
      </c>
      <c r="EL35" s="93">
        <v>358.01</v>
      </c>
      <c r="EM35" s="93">
        <v>357</v>
      </c>
      <c r="EN35" s="93">
        <v>355.98</v>
      </c>
      <c r="EO35" s="93">
        <v>354.97</v>
      </c>
      <c r="EP35" s="93">
        <v>353.96</v>
      </c>
      <c r="EQ35" s="93">
        <v>352.94</v>
      </c>
      <c r="ER35" s="93">
        <v>351.94</v>
      </c>
      <c r="ES35" s="93">
        <v>350.93</v>
      </c>
      <c r="ET35" s="93">
        <v>349.92</v>
      </c>
      <c r="EU35" s="93">
        <v>348.91</v>
      </c>
      <c r="EV35" s="93">
        <v>347.91</v>
      </c>
      <c r="EW35" s="93">
        <v>346.9</v>
      </c>
      <c r="EX35" s="93">
        <v>345.89</v>
      </c>
      <c r="EY35" s="93">
        <v>344.89</v>
      </c>
      <c r="EZ35" s="93">
        <v>343.88</v>
      </c>
      <c r="FA35" s="93">
        <v>342.88</v>
      </c>
      <c r="FB35" s="93">
        <v>341.87</v>
      </c>
      <c r="FC35" s="93">
        <v>340.87</v>
      </c>
      <c r="FD35" s="93">
        <v>339.87</v>
      </c>
      <c r="FE35" s="93">
        <v>338.87</v>
      </c>
      <c r="FF35" s="93">
        <v>337.87</v>
      </c>
      <c r="FG35" s="93">
        <v>336.87</v>
      </c>
      <c r="FH35" s="93">
        <v>335.88</v>
      </c>
      <c r="FI35" s="93">
        <v>334.88</v>
      </c>
      <c r="FJ35" s="93">
        <v>333.88</v>
      </c>
      <c r="FK35" s="93">
        <v>332.88</v>
      </c>
      <c r="FL35" s="93">
        <v>331.89</v>
      </c>
      <c r="FM35" s="93">
        <v>330.89</v>
      </c>
      <c r="FN35" s="93">
        <v>329.9</v>
      </c>
      <c r="FO35" s="93">
        <v>328.9</v>
      </c>
      <c r="FP35" s="93">
        <v>327.91</v>
      </c>
      <c r="FQ35" s="93">
        <v>326.92</v>
      </c>
      <c r="FR35" s="93">
        <v>325.92</v>
      </c>
      <c r="FS35" s="93">
        <v>324.93</v>
      </c>
      <c r="FT35" s="93">
        <v>323.94</v>
      </c>
      <c r="FU35" s="93">
        <v>322.95</v>
      </c>
      <c r="FV35" s="93">
        <v>321.95999999999998</v>
      </c>
      <c r="FW35" s="93">
        <v>320.97000000000003</v>
      </c>
      <c r="FX35" s="93">
        <v>319.98</v>
      </c>
      <c r="FY35" s="93">
        <v>318.99</v>
      </c>
      <c r="FZ35" s="93">
        <v>318.01</v>
      </c>
      <c r="GA35" s="93">
        <v>317.01</v>
      </c>
      <c r="GB35" s="93">
        <v>316.02999999999997</v>
      </c>
      <c r="GC35" s="93">
        <v>315.04000000000002</v>
      </c>
      <c r="GD35" s="93">
        <v>314.06</v>
      </c>
      <c r="GE35" s="93">
        <v>313.07</v>
      </c>
      <c r="GF35" s="93">
        <v>312.10000000000002</v>
      </c>
      <c r="GG35" s="93">
        <v>311.10000000000002</v>
      </c>
      <c r="GH35" s="93">
        <v>310.13</v>
      </c>
      <c r="GI35" s="93">
        <v>309.14999999999998</v>
      </c>
      <c r="GJ35" s="93">
        <v>308.17</v>
      </c>
      <c r="GK35" s="93">
        <v>307.19</v>
      </c>
      <c r="GL35" s="93">
        <v>306.20999999999998</v>
      </c>
      <c r="GM35" s="93">
        <v>305.23</v>
      </c>
      <c r="GN35" s="93">
        <v>304.26</v>
      </c>
      <c r="GO35" s="93">
        <v>303.29000000000002</v>
      </c>
      <c r="GP35" s="93">
        <v>302.31</v>
      </c>
      <c r="GQ35" s="93">
        <v>301.33999999999997</v>
      </c>
      <c r="GR35" s="93">
        <v>300.37</v>
      </c>
      <c r="GS35" s="93">
        <v>299.39999999999998</v>
      </c>
      <c r="GT35" s="93">
        <v>298.44</v>
      </c>
      <c r="GU35" s="93">
        <v>297.47000000000003</v>
      </c>
      <c r="GV35" s="93">
        <v>296.5</v>
      </c>
      <c r="GW35" s="93">
        <v>295.52999999999997</v>
      </c>
      <c r="GX35" s="93">
        <v>294.57</v>
      </c>
      <c r="GY35" s="93">
        <v>293.60000000000002</v>
      </c>
      <c r="GZ35" s="93">
        <v>292.64</v>
      </c>
      <c r="HA35" s="93">
        <v>291.68</v>
      </c>
      <c r="HB35" s="93">
        <v>290.72000000000003</v>
      </c>
      <c r="HC35" s="93">
        <v>289.76</v>
      </c>
      <c r="HD35" s="93">
        <v>288.79000000000002</v>
      </c>
      <c r="HE35" s="93">
        <v>287.83999999999997</v>
      </c>
      <c r="HF35" s="93">
        <v>286.88</v>
      </c>
      <c r="HG35" s="93">
        <v>285.92</v>
      </c>
      <c r="HH35" s="93">
        <v>284.95999999999998</v>
      </c>
      <c r="HI35" s="93">
        <v>284.01</v>
      </c>
      <c r="HJ35" s="93">
        <v>283.04000000000002</v>
      </c>
      <c r="HK35" s="93">
        <v>282.10000000000002</v>
      </c>
      <c r="HL35" s="93">
        <v>281.14999999999998</v>
      </c>
      <c r="HM35" s="93">
        <v>280.20999999999998</v>
      </c>
      <c r="HN35" s="93">
        <v>279.26</v>
      </c>
      <c r="HO35" s="93">
        <v>278.32</v>
      </c>
      <c r="HP35" s="93">
        <v>277.38</v>
      </c>
      <c r="HQ35" s="93">
        <v>276.44</v>
      </c>
      <c r="HR35" s="93">
        <v>275.5</v>
      </c>
      <c r="HS35" s="93">
        <v>274.56</v>
      </c>
      <c r="HT35" s="93">
        <v>273.62</v>
      </c>
      <c r="HU35" s="93">
        <v>272.68</v>
      </c>
      <c r="HV35" s="93">
        <v>271.74</v>
      </c>
      <c r="HW35" s="93">
        <v>270.79000000000002</v>
      </c>
      <c r="HX35" s="93">
        <v>269.87</v>
      </c>
      <c r="HY35" s="93">
        <v>268.93</v>
      </c>
      <c r="HZ35" s="93">
        <v>268</v>
      </c>
      <c r="IA35" s="93">
        <v>267.07</v>
      </c>
      <c r="IB35" s="93">
        <v>266.14</v>
      </c>
      <c r="IC35" s="93">
        <v>265.20999999999998</v>
      </c>
      <c r="ID35" s="93">
        <v>264.27999999999997</v>
      </c>
      <c r="IE35" s="93">
        <v>263.35000000000002</v>
      </c>
      <c r="IF35" s="93">
        <v>262.42</v>
      </c>
      <c r="IG35" s="93">
        <v>261.49</v>
      </c>
      <c r="IH35" s="93">
        <v>260.56</v>
      </c>
      <c r="II35" s="93">
        <v>259.64</v>
      </c>
      <c r="IJ35" s="93">
        <v>258.72000000000003</v>
      </c>
      <c r="IK35" s="93">
        <v>257.79000000000002</v>
      </c>
      <c r="IL35" s="93">
        <v>256.87</v>
      </c>
      <c r="IM35" s="93">
        <v>255.95</v>
      </c>
      <c r="IN35" s="93">
        <v>255.03</v>
      </c>
      <c r="IO35" s="93">
        <v>254.11</v>
      </c>
      <c r="IP35" s="93">
        <v>253.2</v>
      </c>
      <c r="IQ35" s="93">
        <v>252.28</v>
      </c>
      <c r="IR35" s="93">
        <v>251.36</v>
      </c>
      <c r="IS35" s="93">
        <v>250.45</v>
      </c>
      <c r="IT35" s="93">
        <v>249.54</v>
      </c>
      <c r="IU35" s="93">
        <v>248.62</v>
      </c>
      <c r="IV35" s="93">
        <v>247.72</v>
      </c>
      <c r="IW35" s="93">
        <v>246.82</v>
      </c>
      <c r="IX35" s="93">
        <v>245.92</v>
      </c>
      <c r="IY35" s="93">
        <v>245.02</v>
      </c>
      <c r="IZ35" s="93">
        <v>244.12</v>
      </c>
      <c r="JA35" s="93">
        <v>243.22</v>
      </c>
      <c r="JB35" s="93">
        <v>242.32</v>
      </c>
      <c r="JC35" s="93">
        <v>241.43</v>
      </c>
      <c r="JD35" s="93">
        <v>240.53</v>
      </c>
      <c r="JE35" s="93">
        <v>239.64</v>
      </c>
      <c r="JF35" s="93">
        <v>238.75</v>
      </c>
      <c r="JG35" s="93">
        <v>237.86</v>
      </c>
      <c r="JH35" s="93">
        <v>236.97</v>
      </c>
      <c r="JI35" s="93">
        <v>236.08</v>
      </c>
      <c r="JJ35" s="93">
        <v>235.19</v>
      </c>
      <c r="JK35" s="93">
        <v>234.3</v>
      </c>
      <c r="JL35" s="93">
        <v>233.41</v>
      </c>
      <c r="JM35" s="93">
        <v>232.53</v>
      </c>
      <c r="JN35" s="93">
        <v>231.65</v>
      </c>
      <c r="JO35" s="93">
        <v>230.76</v>
      </c>
      <c r="JP35" s="93">
        <v>229.88</v>
      </c>
      <c r="JQ35" s="93">
        <v>229</v>
      </c>
      <c r="JR35" s="93">
        <v>228.12</v>
      </c>
      <c r="JS35" s="93">
        <v>227.24</v>
      </c>
      <c r="JT35" s="93">
        <v>226.35</v>
      </c>
      <c r="JU35" s="93">
        <v>225.47</v>
      </c>
      <c r="JV35" s="93">
        <v>224.58</v>
      </c>
      <c r="JW35" s="93">
        <v>223.7</v>
      </c>
      <c r="JX35" s="93">
        <v>222.82</v>
      </c>
      <c r="JY35" s="93">
        <v>221.94</v>
      </c>
      <c r="JZ35" s="93">
        <v>221.06</v>
      </c>
      <c r="KA35" s="93">
        <v>220.18</v>
      </c>
      <c r="KB35" s="93">
        <v>219.3</v>
      </c>
      <c r="KC35" s="93">
        <v>218.42</v>
      </c>
      <c r="KD35" s="93">
        <v>217.54</v>
      </c>
      <c r="KE35" s="93">
        <v>216.67</v>
      </c>
      <c r="KF35" s="93">
        <v>215.79</v>
      </c>
      <c r="KG35" s="93">
        <v>214.92</v>
      </c>
      <c r="KH35" s="93">
        <v>214.05</v>
      </c>
      <c r="KI35" s="93">
        <v>213.18</v>
      </c>
      <c r="KJ35" s="93">
        <v>212.31</v>
      </c>
      <c r="KK35" s="93">
        <v>211.44</v>
      </c>
      <c r="KL35" s="93">
        <v>210.57</v>
      </c>
      <c r="KM35" s="93">
        <v>209.7</v>
      </c>
      <c r="KN35" s="93">
        <v>208.83</v>
      </c>
      <c r="KO35" s="93">
        <v>207.97</v>
      </c>
      <c r="KP35" s="93">
        <v>207.1</v>
      </c>
      <c r="KQ35" s="93">
        <v>206.24</v>
      </c>
      <c r="KR35" s="98">
        <f t="shared" si="22"/>
        <v>206.27</v>
      </c>
      <c r="KS35" s="98">
        <f t="shared" si="22"/>
        <v>205.48</v>
      </c>
      <c r="KT35" s="98">
        <f t="shared" si="22"/>
        <v>204.66</v>
      </c>
      <c r="KU35" s="98">
        <f t="shared" si="22"/>
        <v>203.87</v>
      </c>
      <c r="KV35" s="98">
        <f t="shared" si="22"/>
        <v>203.09</v>
      </c>
      <c r="KW35" s="98">
        <f t="shared" si="22"/>
        <v>202.3</v>
      </c>
      <c r="KX35" s="98">
        <f t="shared" si="22"/>
        <v>201.51</v>
      </c>
      <c r="KY35" s="98">
        <f t="shared" si="22"/>
        <v>200.73</v>
      </c>
      <c r="KZ35" s="98">
        <f t="shared" si="22"/>
        <v>199.94</v>
      </c>
      <c r="LA35" s="98">
        <f t="shared" si="22"/>
        <v>199.16</v>
      </c>
      <c r="LB35" s="98">
        <f t="shared" si="22"/>
        <v>198.38</v>
      </c>
      <c r="LC35" s="98">
        <f t="shared" si="22"/>
        <v>197.6</v>
      </c>
      <c r="LD35" s="98">
        <f t="shared" si="22"/>
        <v>196.82</v>
      </c>
      <c r="LE35" s="98">
        <f t="shared" si="22"/>
        <v>196.04</v>
      </c>
      <c r="LF35" s="98">
        <f t="shared" si="22"/>
        <v>195.27</v>
      </c>
      <c r="LG35" s="98">
        <f t="shared" si="22"/>
        <v>194.5</v>
      </c>
      <c r="LH35" s="98">
        <f t="shared" si="21"/>
        <v>193.72</v>
      </c>
      <c r="LI35" s="98">
        <f t="shared" si="21"/>
        <v>192.95</v>
      </c>
      <c r="LJ35" s="98">
        <f t="shared" si="21"/>
        <v>192.18</v>
      </c>
      <c r="LK35" s="98">
        <f t="shared" si="21"/>
        <v>191.41</v>
      </c>
      <c r="LL35" s="98">
        <f t="shared" si="21"/>
        <v>190.64</v>
      </c>
      <c r="LM35" s="98">
        <f t="shared" si="21"/>
        <v>189.88</v>
      </c>
      <c r="LN35" s="98">
        <f t="shared" si="21"/>
        <v>189.11</v>
      </c>
      <c r="LO35" s="98">
        <f t="shared" si="21"/>
        <v>188.35</v>
      </c>
      <c r="LP35" s="98">
        <f t="shared" si="21"/>
        <v>187.59</v>
      </c>
      <c r="LQ35" s="98">
        <f t="shared" si="21"/>
        <v>186.83</v>
      </c>
      <c r="LR35" s="98">
        <f t="shared" si="21"/>
        <v>186.07</v>
      </c>
      <c r="LS35" s="98">
        <f t="shared" si="21"/>
        <v>185.31</v>
      </c>
      <c r="LT35" s="98">
        <f t="shared" si="21"/>
        <v>184.56</v>
      </c>
      <c r="LU35" s="98">
        <f t="shared" si="21"/>
        <v>183.81</v>
      </c>
      <c r="LV35" s="98">
        <f t="shared" si="21"/>
        <v>183.05</v>
      </c>
      <c r="LW35" s="98">
        <f t="shared" si="21"/>
        <v>182.3</v>
      </c>
      <c r="LX35" s="98">
        <f t="shared" si="23"/>
        <v>181.55</v>
      </c>
      <c r="LY35" s="98">
        <f t="shared" si="23"/>
        <v>180.8</v>
      </c>
      <c r="LZ35" s="98">
        <f t="shared" si="23"/>
        <v>180.06</v>
      </c>
      <c r="MA35" s="98">
        <f t="shared" si="23"/>
        <v>179.31</v>
      </c>
      <c r="MB35" s="98">
        <f t="shared" si="23"/>
        <v>178.57</v>
      </c>
      <c r="MC35" s="98">
        <f t="shared" si="23"/>
        <v>177.83</v>
      </c>
      <c r="MD35" s="100">
        <f t="shared" si="23"/>
        <v>177.09</v>
      </c>
      <c r="ME35" s="101">
        <f t="shared" si="23"/>
        <v>176.36</v>
      </c>
      <c r="MF35" s="101">
        <f t="shared" si="23"/>
        <v>175.62</v>
      </c>
      <c r="MG35" s="101">
        <f t="shared" si="23"/>
        <v>174.89</v>
      </c>
      <c r="MH35" s="101">
        <f t="shared" si="23"/>
        <v>174.15</v>
      </c>
      <c r="MI35" s="101">
        <f t="shared" si="23"/>
        <v>173.42</v>
      </c>
      <c r="MJ35" s="101">
        <f t="shared" si="23"/>
        <v>172.69</v>
      </c>
      <c r="MK35" s="101">
        <f t="shared" si="23"/>
        <v>171.96</v>
      </c>
      <c r="ML35" s="101">
        <f t="shared" si="23"/>
        <v>171.24</v>
      </c>
      <c r="MM35" s="101">
        <f t="shared" si="23"/>
        <v>170.51</v>
      </c>
      <c r="MN35" s="101">
        <f t="shared" si="25"/>
        <v>169.79</v>
      </c>
      <c r="MO35" s="101">
        <f t="shared" si="26"/>
        <v>169.07</v>
      </c>
      <c r="MP35" s="101">
        <f t="shared" si="27"/>
        <v>168.35</v>
      </c>
      <c r="MQ35" s="101">
        <f t="shared" si="24"/>
        <v>167.64</v>
      </c>
      <c r="MR35" s="101">
        <f t="shared" si="24"/>
        <v>166.92</v>
      </c>
      <c r="MS35" s="101">
        <f t="shared" si="24"/>
        <v>166.21</v>
      </c>
      <c r="MT35" s="101">
        <f t="shared" si="24"/>
        <v>165.49</v>
      </c>
      <c r="MU35" s="101">
        <f t="shared" si="24"/>
        <v>164.78</v>
      </c>
      <c r="MV35" s="101">
        <f t="shared" si="24"/>
        <v>164.07</v>
      </c>
      <c r="MW35" s="101">
        <f t="shared" si="24"/>
        <v>163.37</v>
      </c>
      <c r="MX35" s="101">
        <f t="shared" si="24"/>
        <v>162.66</v>
      </c>
      <c r="MY35" s="101">
        <f t="shared" si="24"/>
        <v>161.96</v>
      </c>
    </row>
    <row r="36" spans="1:363" ht="15.75" x14ac:dyDescent="0.25">
      <c r="A36" s="90" t="s">
        <v>6</v>
      </c>
      <c r="B36" s="95">
        <v>2046</v>
      </c>
      <c r="C36" s="93">
        <v>502.47</v>
      </c>
      <c r="D36" s="93">
        <v>501.44</v>
      </c>
      <c r="E36" s="93">
        <v>500.4</v>
      </c>
      <c r="F36" s="93">
        <v>499.36</v>
      </c>
      <c r="G36" s="93">
        <v>498.33</v>
      </c>
      <c r="H36" s="93">
        <v>497.29</v>
      </c>
      <c r="I36" s="93">
        <v>496.25</v>
      </c>
      <c r="J36" s="93">
        <v>495.22</v>
      </c>
      <c r="K36" s="93">
        <v>494.18</v>
      </c>
      <c r="L36" s="93">
        <v>493.14</v>
      </c>
      <c r="M36" s="93">
        <v>492.11</v>
      </c>
      <c r="N36" s="93">
        <v>491.07</v>
      </c>
      <c r="O36" s="93">
        <v>490.03</v>
      </c>
      <c r="P36" s="93">
        <v>489</v>
      </c>
      <c r="Q36" s="93">
        <v>487.96</v>
      </c>
      <c r="R36" s="93">
        <v>486.92</v>
      </c>
      <c r="S36" s="93">
        <v>485.89</v>
      </c>
      <c r="T36" s="93">
        <v>484.85</v>
      </c>
      <c r="U36" s="93">
        <v>483.81</v>
      </c>
      <c r="V36" s="93">
        <v>482.78</v>
      </c>
      <c r="W36" s="93">
        <v>481.74</v>
      </c>
      <c r="X36" s="93">
        <v>480.7</v>
      </c>
      <c r="Y36" s="93">
        <v>479.67</v>
      </c>
      <c r="Z36" s="93">
        <v>478.63</v>
      </c>
      <c r="AA36" s="93">
        <v>477.59</v>
      </c>
      <c r="AB36" s="93">
        <v>476.56</v>
      </c>
      <c r="AC36" s="93">
        <v>475.52</v>
      </c>
      <c r="AD36" s="93">
        <v>474.48</v>
      </c>
      <c r="AE36" s="93">
        <v>473.44</v>
      </c>
      <c r="AF36" s="93">
        <v>472.41</v>
      </c>
      <c r="AG36" s="93">
        <v>471.37</v>
      </c>
      <c r="AH36" s="93">
        <v>470.33</v>
      </c>
      <c r="AI36" s="93">
        <v>469.3</v>
      </c>
      <c r="AJ36" s="93">
        <v>468.26</v>
      </c>
      <c r="AK36" s="93">
        <v>467.22</v>
      </c>
      <c r="AL36" s="93">
        <v>466.19</v>
      </c>
      <c r="AM36" s="93">
        <v>465.15</v>
      </c>
      <c r="AN36" s="93">
        <v>464.11</v>
      </c>
      <c r="AO36" s="93">
        <v>463.07</v>
      </c>
      <c r="AP36" s="93">
        <v>462.04</v>
      </c>
      <c r="AQ36" s="93">
        <v>461</v>
      </c>
      <c r="AR36" s="93">
        <v>459.96</v>
      </c>
      <c r="AS36" s="93">
        <v>458.93</v>
      </c>
      <c r="AT36" s="93">
        <v>457.89</v>
      </c>
      <c r="AU36" s="93">
        <v>456.85</v>
      </c>
      <c r="AV36" s="93">
        <v>455.82</v>
      </c>
      <c r="AW36" s="93">
        <v>454.78</v>
      </c>
      <c r="AX36" s="93">
        <v>453.74</v>
      </c>
      <c r="AY36" s="93">
        <v>452.7</v>
      </c>
      <c r="AZ36" s="93">
        <v>451.67</v>
      </c>
      <c r="BA36" s="93">
        <v>450.63</v>
      </c>
      <c r="BB36" s="93">
        <v>449.59</v>
      </c>
      <c r="BC36" s="93">
        <v>448.56</v>
      </c>
      <c r="BD36" s="93">
        <v>447.52</v>
      </c>
      <c r="BE36" s="93">
        <v>446.48</v>
      </c>
      <c r="BF36" s="93">
        <v>445.45</v>
      </c>
      <c r="BG36" s="93">
        <v>444.41</v>
      </c>
      <c r="BH36" s="93">
        <v>443.37</v>
      </c>
      <c r="BI36" s="93">
        <v>442.33</v>
      </c>
      <c r="BJ36" s="93">
        <v>441.3</v>
      </c>
      <c r="BK36" s="93">
        <v>440.26</v>
      </c>
      <c r="BL36" s="93">
        <v>439.22</v>
      </c>
      <c r="BM36" s="93">
        <v>438.18</v>
      </c>
      <c r="BN36" s="93">
        <v>437.15</v>
      </c>
      <c r="BO36" s="93">
        <v>436.11</v>
      </c>
      <c r="BP36" s="93">
        <v>435.07</v>
      </c>
      <c r="BQ36" s="93">
        <v>434.03</v>
      </c>
      <c r="BR36" s="93">
        <v>433</v>
      </c>
      <c r="BS36" s="93">
        <v>431.96</v>
      </c>
      <c r="BT36" s="93">
        <v>430.92</v>
      </c>
      <c r="BU36" s="93">
        <v>429.88</v>
      </c>
      <c r="BV36" s="93">
        <v>428.85</v>
      </c>
      <c r="BW36" s="93">
        <v>427.81</v>
      </c>
      <c r="BX36" s="93">
        <v>426.78</v>
      </c>
      <c r="BY36" s="93">
        <v>425.74</v>
      </c>
      <c r="BZ36" s="93">
        <v>424.7</v>
      </c>
      <c r="CA36" s="93">
        <v>423.67</v>
      </c>
      <c r="CB36" s="93">
        <v>422.63</v>
      </c>
      <c r="CC36" s="93">
        <v>421.6</v>
      </c>
      <c r="CD36" s="93">
        <v>420.56</v>
      </c>
      <c r="CE36" s="93">
        <v>419.53</v>
      </c>
      <c r="CF36" s="93">
        <v>418.49</v>
      </c>
      <c r="CG36" s="93">
        <v>417.46</v>
      </c>
      <c r="CH36" s="93">
        <v>416.42</v>
      </c>
      <c r="CI36" s="93">
        <v>415.39</v>
      </c>
      <c r="CJ36" s="93">
        <v>414.36</v>
      </c>
      <c r="CK36" s="93">
        <v>413.32</v>
      </c>
      <c r="CL36" s="93">
        <v>412.29</v>
      </c>
      <c r="CM36" s="93">
        <v>411.25</v>
      </c>
      <c r="CN36" s="93">
        <v>410.22</v>
      </c>
      <c r="CO36" s="93">
        <v>409.18</v>
      </c>
      <c r="CP36" s="93">
        <v>408.15</v>
      </c>
      <c r="CQ36" s="93">
        <v>407.11</v>
      </c>
      <c r="CR36" s="93">
        <v>406.08</v>
      </c>
      <c r="CS36" s="93">
        <v>405.04</v>
      </c>
      <c r="CT36" s="93">
        <v>404.01</v>
      </c>
      <c r="CU36" s="93">
        <v>402.98</v>
      </c>
      <c r="CV36" s="93">
        <v>401.94</v>
      </c>
      <c r="CW36" s="93">
        <v>400.91</v>
      </c>
      <c r="CX36" s="93">
        <v>399.88</v>
      </c>
      <c r="CY36" s="93">
        <v>398.84</v>
      </c>
      <c r="CZ36" s="93">
        <v>397.81</v>
      </c>
      <c r="DA36" s="93">
        <v>396.78</v>
      </c>
      <c r="DB36" s="93">
        <v>395.75</v>
      </c>
      <c r="DC36" s="93">
        <v>394.72</v>
      </c>
      <c r="DD36" s="93">
        <v>393.68</v>
      </c>
      <c r="DE36" s="93">
        <v>392.65</v>
      </c>
      <c r="DF36" s="93">
        <v>391.62</v>
      </c>
      <c r="DG36" s="93">
        <v>390.59</v>
      </c>
      <c r="DH36" s="93">
        <v>389.56</v>
      </c>
      <c r="DI36" s="93">
        <v>388.53</v>
      </c>
      <c r="DJ36" s="93">
        <v>387.5</v>
      </c>
      <c r="DK36" s="93">
        <v>386.47</v>
      </c>
      <c r="DL36" s="93">
        <v>385.44</v>
      </c>
      <c r="DM36" s="93">
        <v>384.41</v>
      </c>
      <c r="DN36" s="93">
        <v>383.38</v>
      </c>
      <c r="DO36" s="93">
        <v>382.35</v>
      </c>
      <c r="DP36" s="93">
        <v>381.32</v>
      </c>
      <c r="DQ36" s="93">
        <v>380.29</v>
      </c>
      <c r="DR36" s="93">
        <v>379.26</v>
      </c>
      <c r="DS36" s="93">
        <v>378.23</v>
      </c>
      <c r="DT36" s="93">
        <v>377.21</v>
      </c>
      <c r="DU36" s="93">
        <v>376.18</v>
      </c>
      <c r="DV36" s="93">
        <v>375.16</v>
      </c>
      <c r="DW36" s="93">
        <v>374.14</v>
      </c>
      <c r="DX36" s="93">
        <v>373.11</v>
      </c>
      <c r="DY36" s="93">
        <v>372.09</v>
      </c>
      <c r="DZ36" s="93">
        <v>371.07</v>
      </c>
      <c r="EA36" s="93">
        <v>370.04</v>
      </c>
      <c r="EB36" s="93">
        <v>369.02</v>
      </c>
      <c r="EC36" s="93">
        <v>368</v>
      </c>
      <c r="ED36" s="93">
        <v>366.98</v>
      </c>
      <c r="EE36" s="93">
        <v>365.96</v>
      </c>
      <c r="EF36" s="93">
        <v>364.94</v>
      </c>
      <c r="EG36" s="93">
        <v>363.92</v>
      </c>
      <c r="EH36" s="93">
        <v>362.91</v>
      </c>
      <c r="EI36" s="93">
        <v>361.89</v>
      </c>
      <c r="EJ36" s="93">
        <v>360.88</v>
      </c>
      <c r="EK36" s="93">
        <v>359.86</v>
      </c>
      <c r="EL36" s="93">
        <v>358.85</v>
      </c>
      <c r="EM36" s="93">
        <v>357.83</v>
      </c>
      <c r="EN36" s="93">
        <v>356.82</v>
      </c>
      <c r="EO36" s="93">
        <v>355.81</v>
      </c>
      <c r="EP36" s="93">
        <v>354.79</v>
      </c>
      <c r="EQ36" s="93">
        <v>353.78</v>
      </c>
      <c r="ER36" s="93">
        <v>352.77</v>
      </c>
      <c r="ES36" s="93">
        <v>351.77</v>
      </c>
      <c r="ET36" s="93">
        <v>350.76</v>
      </c>
      <c r="EU36" s="93">
        <v>349.75</v>
      </c>
      <c r="EV36" s="93">
        <v>348.74</v>
      </c>
      <c r="EW36" s="93">
        <v>347.74</v>
      </c>
      <c r="EX36" s="93">
        <v>346.73</v>
      </c>
      <c r="EY36" s="93">
        <v>345.72</v>
      </c>
      <c r="EZ36" s="93">
        <v>344.72</v>
      </c>
      <c r="FA36" s="93">
        <v>343.71</v>
      </c>
      <c r="FB36" s="93">
        <v>342.7</v>
      </c>
      <c r="FC36" s="93">
        <v>341.7</v>
      </c>
      <c r="FD36" s="93">
        <v>340.7</v>
      </c>
      <c r="FE36" s="93">
        <v>339.7</v>
      </c>
      <c r="FF36" s="93">
        <v>338.7</v>
      </c>
      <c r="FG36" s="93">
        <v>337.7</v>
      </c>
      <c r="FH36" s="93">
        <v>336.7</v>
      </c>
      <c r="FI36" s="93">
        <v>335.71</v>
      </c>
      <c r="FJ36" s="93">
        <v>334.71</v>
      </c>
      <c r="FK36" s="93">
        <v>333.71</v>
      </c>
      <c r="FL36" s="93">
        <v>332.71</v>
      </c>
      <c r="FM36" s="93">
        <v>331.72</v>
      </c>
      <c r="FN36" s="93">
        <v>330.72</v>
      </c>
      <c r="FO36" s="93">
        <v>329.73</v>
      </c>
      <c r="FP36" s="93">
        <v>328.73</v>
      </c>
      <c r="FQ36" s="93">
        <v>327.74</v>
      </c>
      <c r="FR36" s="93">
        <v>326.75</v>
      </c>
      <c r="FS36" s="93">
        <v>325.75</v>
      </c>
      <c r="FT36" s="93">
        <v>324.76</v>
      </c>
      <c r="FU36" s="93">
        <v>323.76</v>
      </c>
      <c r="FV36" s="93">
        <v>322.77999999999997</v>
      </c>
      <c r="FW36" s="93">
        <v>321.79000000000002</v>
      </c>
      <c r="FX36" s="93">
        <v>320.79000000000002</v>
      </c>
      <c r="FY36" s="93">
        <v>319.81</v>
      </c>
      <c r="FZ36" s="93">
        <v>318.82</v>
      </c>
      <c r="GA36" s="93">
        <v>317.82</v>
      </c>
      <c r="GB36" s="93">
        <v>316.85000000000002</v>
      </c>
      <c r="GC36" s="93">
        <v>315.85000000000002</v>
      </c>
      <c r="GD36" s="93">
        <v>314.88</v>
      </c>
      <c r="GE36" s="93">
        <v>313.89</v>
      </c>
      <c r="GF36" s="93">
        <v>312.91000000000003</v>
      </c>
      <c r="GG36" s="93">
        <v>311.93</v>
      </c>
      <c r="GH36" s="93">
        <v>310.94</v>
      </c>
      <c r="GI36" s="93">
        <v>309.95999999999998</v>
      </c>
      <c r="GJ36" s="93">
        <v>308.98</v>
      </c>
      <c r="GK36" s="93">
        <v>308</v>
      </c>
      <c r="GL36" s="93">
        <v>307.01</v>
      </c>
      <c r="GM36" s="93">
        <v>306.04000000000002</v>
      </c>
      <c r="GN36" s="93">
        <v>305.06</v>
      </c>
      <c r="GO36" s="93">
        <v>304.08999999999997</v>
      </c>
      <c r="GP36" s="93">
        <v>303.12</v>
      </c>
      <c r="GQ36" s="93">
        <v>302.14999999999998</v>
      </c>
      <c r="GR36" s="93">
        <v>301.18</v>
      </c>
      <c r="GS36" s="93">
        <v>300.20999999999998</v>
      </c>
      <c r="GT36" s="93">
        <v>299.24</v>
      </c>
      <c r="GU36" s="93">
        <v>298.26</v>
      </c>
      <c r="GV36" s="93">
        <v>297.29000000000002</v>
      </c>
      <c r="GW36" s="93">
        <v>296.32</v>
      </c>
      <c r="GX36" s="93">
        <v>295.37</v>
      </c>
      <c r="GY36" s="93">
        <v>294.39999999999998</v>
      </c>
      <c r="GZ36" s="93">
        <v>293.44</v>
      </c>
      <c r="HA36" s="93">
        <v>292.47000000000003</v>
      </c>
      <c r="HB36" s="93">
        <v>291.51</v>
      </c>
      <c r="HC36" s="93">
        <v>290.54000000000002</v>
      </c>
      <c r="HD36" s="93">
        <v>289.58999999999997</v>
      </c>
      <c r="HE36" s="93">
        <v>288.63</v>
      </c>
      <c r="HF36" s="93">
        <v>287.67</v>
      </c>
      <c r="HG36" s="93">
        <v>286.70999999999998</v>
      </c>
      <c r="HH36" s="93">
        <v>285.75</v>
      </c>
      <c r="HI36" s="93">
        <v>284.79000000000002</v>
      </c>
      <c r="HJ36" s="93">
        <v>283.83999999999997</v>
      </c>
      <c r="HK36" s="93">
        <v>282.89</v>
      </c>
      <c r="HL36" s="93">
        <v>281.94</v>
      </c>
      <c r="HM36" s="93">
        <v>280.99</v>
      </c>
      <c r="HN36" s="93">
        <v>280.04000000000002</v>
      </c>
      <c r="HO36" s="93">
        <v>279.10000000000002</v>
      </c>
      <c r="HP36" s="93">
        <v>278.16000000000003</v>
      </c>
      <c r="HQ36" s="93">
        <v>277.22000000000003</v>
      </c>
      <c r="HR36" s="93">
        <v>276.26</v>
      </c>
      <c r="HS36" s="93">
        <v>275.32</v>
      </c>
      <c r="HT36" s="93">
        <v>274.39</v>
      </c>
      <c r="HU36" s="93">
        <v>273.45</v>
      </c>
      <c r="HV36" s="93">
        <v>272.51</v>
      </c>
      <c r="HW36" s="93">
        <v>271.57</v>
      </c>
      <c r="HX36" s="93">
        <v>270.64</v>
      </c>
      <c r="HY36" s="93">
        <v>269.70999999999998</v>
      </c>
      <c r="HZ36" s="93">
        <v>268.76</v>
      </c>
      <c r="IA36" s="93">
        <v>267.83999999999997</v>
      </c>
      <c r="IB36" s="93">
        <v>266.91000000000003</v>
      </c>
      <c r="IC36" s="93">
        <v>265.97000000000003</v>
      </c>
      <c r="ID36" s="93">
        <v>265.04000000000002</v>
      </c>
      <c r="IE36" s="93">
        <v>264.10000000000002</v>
      </c>
      <c r="IF36" s="93">
        <v>263.18</v>
      </c>
      <c r="IG36" s="93">
        <v>262.25</v>
      </c>
      <c r="IH36" s="93">
        <v>261.32</v>
      </c>
      <c r="II36" s="93">
        <v>260.39999999999998</v>
      </c>
      <c r="IJ36" s="93">
        <v>259.47000000000003</v>
      </c>
      <c r="IK36" s="93">
        <v>258.54000000000002</v>
      </c>
      <c r="IL36" s="93">
        <v>257.63</v>
      </c>
      <c r="IM36" s="93">
        <v>256.70999999999998</v>
      </c>
      <c r="IN36" s="93">
        <v>255.79</v>
      </c>
      <c r="IO36" s="93">
        <v>254.87</v>
      </c>
      <c r="IP36" s="93">
        <v>253.95</v>
      </c>
      <c r="IQ36" s="93">
        <v>253.03</v>
      </c>
      <c r="IR36" s="93">
        <v>252.11</v>
      </c>
      <c r="IS36" s="93">
        <v>251.2</v>
      </c>
      <c r="IT36" s="93">
        <v>250.28</v>
      </c>
      <c r="IU36" s="93">
        <v>249.37</v>
      </c>
      <c r="IV36" s="93">
        <v>248.46</v>
      </c>
      <c r="IW36" s="93">
        <v>247.56</v>
      </c>
      <c r="IX36" s="93">
        <v>246.66</v>
      </c>
      <c r="IY36" s="93">
        <v>245.76</v>
      </c>
      <c r="IZ36" s="93">
        <v>244.86</v>
      </c>
      <c r="JA36" s="93">
        <v>243.96</v>
      </c>
      <c r="JB36" s="93">
        <v>243.06</v>
      </c>
      <c r="JC36" s="93">
        <v>242.16</v>
      </c>
      <c r="JD36" s="93">
        <v>241.27</v>
      </c>
      <c r="JE36" s="93">
        <v>240.37</v>
      </c>
      <c r="JF36" s="93">
        <v>239.48</v>
      </c>
      <c r="JG36" s="93">
        <v>238.58</v>
      </c>
      <c r="JH36" s="93">
        <v>237.69</v>
      </c>
      <c r="JI36" s="93">
        <v>236.8</v>
      </c>
      <c r="JJ36" s="93">
        <v>235.91</v>
      </c>
      <c r="JK36" s="93">
        <v>235.02</v>
      </c>
      <c r="JL36" s="93">
        <v>234.14</v>
      </c>
      <c r="JM36" s="93">
        <v>233.25</v>
      </c>
      <c r="JN36" s="93">
        <v>232.36</v>
      </c>
      <c r="JO36" s="93">
        <v>231.48</v>
      </c>
      <c r="JP36" s="93">
        <v>230.59</v>
      </c>
      <c r="JQ36" s="93">
        <v>229.71</v>
      </c>
      <c r="JR36" s="93">
        <v>228.83</v>
      </c>
      <c r="JS36" s="93">
        <v>227.95</v>
      </c>
      <c r="JT36" s="93">
        <v>227.06</v>
      </c>
      <c r="JU36" s="93">
        <v>226.18</v>
      </c>
      <c r="JV36" s="93">
        <v>225.29</v>
      </c>
      <c r="JW36" s="93">
        <v>224.41</v>
      </c>
      <c r="JX36" s="93">
        <v>223.52</v>
      </c>
      <c r="JY36" s="93">
        <v>222.64</v>
      </c>
      <c r="JZ36" s="93">
        <v>221.76</v>
      </c>
      <c r="KA36" s="93">
        <v>220.88</v>
      </c>
      <c r="KB36" s="93">
        <v>220</v>
      </c>
      <c r="KC36" s="93">
        <v>219.12</v>
      </c>
      <c r="KD36" s="93">
        <v>218.24</v>
      </c>
      <c r="KE36" s="93">
        <v>217.36</v>
      </c>
      <c r="KF36" s="93">
        <v>216.48</v>
      </c>
      <c r="KG36" s="93">
        <v>215.61</v>
      </c>
      <c r="KH36" s="93">
        <v>214.74</v>
      </c>
      <c r="KI36" s="93">
        <v>213.86</v>
      </c>
      <c r="KJ36" s="93">
        <v>212.99</v>
      </c>
      <c r="KK36" s="93">
        <v>212.12</v>
      </c>
      <c r="KL36" s="93">
        <v>211.25</v>
      </c>
      <c r="KM36" s="93">
        <v>210.38</v>
      </c>
      <c r="KN36" s="93">
        <v>209.51</v>
      </c>
      <c r="KO36" s="93">
        <v>208.64</v>
      </c>
      <c r="KP36" s="93">
        <v>207.78</v>
      </c>
      <c r="KQ36" s="93">
        <v>206.91</v>
      </c>
      <c r="KR36" s="98">
        <f t="shared" si="22"/>
        <v>207.02</v>
      </c>
      <c r="KS36" s="98">
        <f t="shared" si="22"/>
        <v>206.23</v>
      </c>
      <c r="KT36" s="98">
        <f t="shared" si="22"/>
        <v>205.41</v>
      </c>
      <c r="KU36" s="98">
        <f t="shared" si="22"/>
        <v>204.62</v>
      </c>
      <c r="KV36" s="98">
        <f t="shared" si="22"/>
        <v>203.84</v>
      </c>
      <c r="KW36" s="98">
        <f t="shared" si="22"/>
        <v>203.05</v>
      </c>
      <c r="KX36" s="98">
        <f t="shared" si="22"/>
        <v>202.26</v>
      </c>
      <c r="KY36" s="98">
        <f t="shared" si="22"/>
        <v>201.48</v>
      </c>
      <c r="KZ36" s="98">
        <f t="shared" si="22"/>
        <v>200.69</v>
      </c>
      <c r="LA36" s="98">
        <f t="shared" si="22"/>
        <v>199.91</v>
      </c>
      <c r="LB36" s="98">
        <f t="shared" si="22"/>
        <v>199.13</v>
      </c>
      <c r="LC36" s="98">
        <f t="shared" si="22"/>
        <v>198.35</v>
      </c>
      <c r="LD36" s="98">
        <f t="shared" si="22"/>
        <v>197.57</v>
      </c>
      <c r="LE36" s="98">
        <f t="shared" si="22"/>
        <v>196.79</v>
      </c>
      <c r="LF36" s="98">
        <f t="shared" si="22"/>
        <v>196.02</v>
      </c>
      <c r="LG36" s="98">
        <f t="shared" si="22"/>
        <v>195.25</v>
      </c>
      <c r="LH36" s="98">
        <f t="shared" si="21"/>
        <v>194.47</v>
      </c>
      <c r="LI36" s="98">
        <f t="shared" si="21"/>
        <v>193.7</v>
      </c>
      <c r="LJ36" s="98">
        <f t="shared" si="21"/>
        <v>192.93</v>
      </c>
      <c r="LK36" s="98">
        <f t="shared" si="21"/>
        <v>192.16</v>
      </c>
      <c r="LL36" s="98">
        <f t="shared" si="21"/>
        <v>191.39</v>
      </c>
      <c r="LM36" s="98">
        <f t="shared" si="21"/>
        <v>190.63</v>
      </c>
      <c r="LN36" s="98">
        <f t="shared" si="21"/>
        <v>189.86</v>
      </c>
      <c r="LO36" s="98">
        <f t="shared" si="21"/>
        <v>189.1</v>
      </c>
      <c r="LP36" s="98">
        <f t="shared" si="21"/>
        <v>188.34</v>
      </c>
      <c r="LQ36" s="98">
        <f t="shared" si="21"/>
        <v>187.58</v>
      </c>
      <c r="LR36" s="98">
        <f t="shared" si="21"/>
        <v>186.82</v>
      </c>
      <c r="LS36" s="98">
        <f t="shared" si="21"/>
        <v>186.06</v>
      </c>
      <c r="LT36" s="98">
        <f t="shared" si="21"/>
        <v>185.31</v>
      </c>
      <c r="LU36" s="98">
        <f t="shared" si="21"/>
        <v>184.56</v>
      </c>
      <c r="LV36" s="98">
        <f t="shared" si="21"/>
        <v>183.8</v>
      </c>
      <c r="LW36" s="98">
        <f t="shared" si="21"/>
        <v>183.05</v>
      </c>
      <c r="LX36" s="98">
        <f t="shared" si="23"/>
        <v>182.3</v>
      </c>
      <c r="LY36" s="98">
        <f t="shared" si="23"/>
        <v>181.55</v>
      </c>
      <c r="LZ36" s="98">
        <f t="shared" si="23"/>
        <v>180.81</v>
      </c>
      <c r="MA36" s="98">
        <f t="shared" si="23"/>
        <v>180.06</v>
      </c>
      <c r="MB36" s="98">
        <f t="shared" si="23"/>
        <v>179.32</v>
      </c>
      <c r="MC36" s="98">
        <f t="shared" si="23"/>
        <v>178.58</v>
      </c>
      <c r="MD36" s="100">
        <f t="shared" si="23"/>
        <v>177.84</v>
      </c>
      <c r="ME36" s="101">
        <f t="shared" si="23"/>
        <v>177.11</v>
      </c>
      <c r="MF36" s="101">
        <f t="shared" si="23"/>
        <v>176.37</v>
      </c>
      <c r="MG36" s="101">
        <f t="shared" si="23"/>
        <v>175.64</v>
      </c>
      <c r="MH36" s="101">
        <f t="shared" si="23"/>
        <v>174.9</v>
      </c>
      <c r="MI36" s="101">
        <f t="shared" si="23"/>
        <v>174.17</v>
      </c>
      <c r="MJ36" s="101">
        <f t="shared" si="23"/>
        <v>173.44</v>
      </c>
      <c r="MK36" s="101">
        <f t="shared" si="23"/>
        <v>172.71</v>
      </c>
      <c r="ML36" s="101">
        <f t="shared" si="23"/>
        <v>171.99</v>
      </c>
      <c r="MM36" s="101">
        <f t="shared" si="23"/>
        <v>171.26</v>
      </c>
      <c r="MN36" s="101">
        <f t="shared" si="25"/>
        <v>170.54</v>
      </c>
      <c r="MO36" s="101">
        <f t="shared" si="26"/>
        <v>169.82</v>
      </c>
      <c r="MP36" s="101">
        <f t="shared" si="27"/>
        <v>169.1</v>
      </c>
      <c r="MQ36" s="101">
        <f t="shared" si="24"/>
        <v>168.39</v>
      </c>
      <c r="MR36" s="101">
        <f t="shared" si="24"/>
        <v>167.67</v>
      </c>
      <c r="MS36" s="101">
        <f t="shared" si="24"/>
        <v>166.96</v>
      </c>
      <c r="MT36" s="101">
        <f t="shared" si="24"/>
        <v>166.24</v>
      </c>
      <c r="MU36" s="101">
        <f t="shared" si="24"/>
        <v>165.53</v>
      </c>
      <c r="MV36" s="101">
        <f t="shared" si="24"/>
        <v>164.82</v>
      </c>
      <c r="MW36" s="101">
        <f t="shared" si="24"/>
        <v>164.12</v>
      </c>
      <c r="MX36" s="101">
        <f t="shared" si="24"/>
        <v>163.41</v>
      </c>
      <c r="MY36" s="101">
        <f t="shared" si="24"/>
        <v>162.71</v>
      </c>
    </row>
    <row r="37" spans="1:363" ht="15.75" x14ac:dyDescent="0.25">
      <c r="A37" s="90" t="s">
        <v>6</v>
      </c>
      <c r="B37" s="95">
        <v>2047</v>
      </c>
      <c r="C37" s="93">
        <v>503.32</v>
      </c>
      <c r="D37" s="93">
        <v>502.28</v>
      </c>
      <c r="E37" s="93">
        <v>501.25</v>
      </c>
      <c r="F37" s="93">
        <v>500.21</v>
      </c>
      <c r="G37" s="93">
        <v>499.17</v>
      </c>
      <c r="H37" s="93">
        <v>498.14</v>
      </c>
      <c r="I37" s="93">
        <v>497.1</v>
      </c>
      <c r="J37" s="93">
        <v>496.07</v>
      </c>
      <c r="K37" s="93">
        <v>495.03</v>
      </c>
      <c r="L37" s="93">
        <v>493.99</v>
      </c>
      <c r="M37" s="93">
        <v>492.96</v>
      </c>
      <c r="N37" s="93">
        <v>491.92</v>
      </c>
      <c r="O37" s="93">
        <v>490.88</v>
      </c>
      <c r="P37" s="93">
        <v>489.85</v>
      </c>
      <c r="Q37" s="93">
        <v>488.81</v>
      </c>
      <c r="R37" s="93">
        <v>487.77</v>
      </c>
      <c r="S37" s="93">
        <v>486.74</v>
      </c>
      <c r="T37" s="93">
        <v>485.7</v>
      </c>
      <c r="U37" s="93">
        <v>484.66</v>
      </c>
      <c r="V37" s="93">
        <v>483.63</v>
      </c>
      <c r="W37" s="93">
        <v>482.59</v>
      </c>
      <c r="X37" s="93">
        <v>481.55</v>
      </c>
      <c r="Y37" s="93">
        <v>480.52</v>
      </c>
      <c r="Z37" s="93">
        <v>479.48</v>
      </c>
      <c r="AA37" s="93">
        <v>478.44</v>
      </c>
      <c r="AB37" s="93">
        <v>477.41</v>
      </c>
      <c r="AC37" s="93">
        <v>476.37</v>
      </c>
      <c r="AD37" s="93">
        <v>475.33</v>
      </c>
      <c r="AE37" s="93">
        <v>474.3</v>
      </c>
      <c r="AF37" s="93">
        <v>473.26</v>
      </c>
      <c r="AG37" s="93">
        <v>472.22</v>
      </c>
      <c r="AH37" s="93">
        <v>471.18</v>
      </c>
      <c r="AI37" s="93">
        <v>470.15</v>
      </c>
      <c r="AJ37" s="93">
        <v>469.11</v>
      </c>
      <c r="AK37" s="93">
        <v>468.07</v>
      </c>
      <c r="AL37" s="93">
        <v>467.04</v>
      </c>
      <c r="AM37" s="93">
        <v>466</v>
      </c>
      <c r="AN37" s="93">
        <v>464.96</v>
      </c>
      <c r="AO37" s="93">
        <v>463.93</v>
      </c>
      <c r="AP37" s="93">
        <v>462.89</v>
      </c>
      <c r="AQ37" s="93">
        <v>461.85</v>
      </c>
      <c r="AR37" s="93">
        <v>460.81</v>
      </c>
      <c r="AS37" s="93">
        <v>459.78</v>
      </c>
      <c r="AT37" s="93">
        <v>458.74</v>
      </c>
      <c r="AU37" s="93">
        <v>457.7</v>
      </c>
      <c r="AV37" s="93">
        <v>456.67</v>
      </c>
      <c r="AW37" s="93">
        <v>455.63</v>
      </c>
      <c r="AX37" s="93">
        <v>454.59</v>
      </c>
      <c r="AY37" s="93">
        <v>453.56</v>
      </c>
      <c r="AZ37" s="93">
        <v>452.52</v>
      </c>
      <c r="BA37" s="93">
        <v>451.48</v>
      </c>
      <c r="BB37" s="93">
        <v>450.44</v>
      </c>
      <c r="BC37" s="93">
        <v>449.41</v>
      </c>
      <c r="BD37" s="93">
        <v>448.37</v>
      </c>
      <c r="BE37" s="93">
        <v>447.33</v>
      </c>
      <c r="BF37" s="93">
        <v>446.3</v>
      </c>
      <c r="BG37" s="93">
        <v>445.26</v>
      </c>
      <c r="BH37" s="93">
        <v>444.22</v>
      </c>
      <c r="BI37" s="93">
        <v>443.18</v>
      </c>
      <c r="BJ37" s="93">
        <v>442.15</v>
      </c>
      <c r="BK37" s="93">
        <v>441.11</v>
      </c>
      <c r="BL37" s="93">
        <v>440.07</v>
      </c>
      <c r="BM37" s="93">
        <v>439.03</v>
      </c>
      <c r="BN37" s="93">
        <v>438</v>
      </c>
      <c r="BO37" s="93">
        <v>436.96</v>
      </c>
      <c r="BP37" s="93">
        <v>435.92</v>
      </c>
      <c r="BQ37" s="93">
        <v>434.88</v>
      </c>
      <c r="BR37" s="93">
        <v>433.85</v>
      </c>
      <c r="BS37" s="93">
        <v>432.81</v>
      </c>
      <c r="BT37" s="93">
        <v>431.77</v>
      </c>
      <c r="BU37" s="93">
        <v>430.74</v>
      </c>
      <c r="BV37" s="93">
        <v>429.7</v>
      </c>
      <c r="BW37" s="93">
        <v>428.66</v>
      </c>
      <c r="BX37" s="93">
        <v>427.63</v>
      </c>
      <c r="BY37" s="93">
        <v>426.59</v>
      </c>
      <c r="BZ37" s="93">
        <v>425.55</v>
      </c>
      <c r="CA37" s="93">
        <v>424.52</v>
      </c>
      <c r="CB37" s="93">
        <v>423.48</v>
      </c>
      <c r="CC37" s="93">
        <v>422.45</v>
      </c>
      <c r="CD37" s="93">
        <v>421.41</v>
      </c>
      <c r="CE37" s="93">
        <v>420.38</v>
      </c>
      <c r="CF37" s="93">
        <v>419.34</v>
      </c>
      <c r="CG37" s="93">
        <v>418.31</v>
      </c>
      <c r="CH37" s="93">
        <v>417.27</v>
      </c>
      <c r="CI37" s="93">
        <v>416.24</v>
      </c>
      <c r="CJ37" s="93">
        <v>415.2</v>
      </c>
      <c r="CK37" s="93">
        <v>414.17</v>
      </c>
      <c r="CL37" s="93">
        <v>413.13</v>
      </c>
      <c r="CM37" s="93">
        <v>412.1</v>
      </c>
      <c r="CN37" s="93">
        <v>411.06</v>
      </c>
      <c r="CO37" s="93">
        <v>410.03</v>
      </c>
      <c r="CP37" s="93">
        <v>409</v>
      </c>
      <c r="CQ37" s="93">
        <v>407.96</v>
      </c>
      <c r="CR37" s="93">
        <v>406.93</v>
      </c>
      <c r="CS37" s="93">
        <v>405.89</v>
      </c>
      <c r="CT37" s="93">
        <v>404.86</v>
      </c>
      <c r="CU37" s="93">
        <v>403.82</v>
      </c>
      <c r="CV37" s="93">
        <v>402.79</v>
      </c>
      <c r="CW37" s="93">
        <v>401.76</v>
      </c>
      <c r="CX37" s="93">
        <v>400.72</v>
      </c>
      <c r="CY37" s="93">
        <v>399.69</v>
      </c>
      <c r="CZ37" s="93">
        <v>398.66</v>
      </c>
      <c r="DA37" s="93">
        <v>397.63</v>
      </c>
      <c r="DB37" s="93">
        <v>396.59</v>
      </c>
      <c r="DC37" s="93">
        <v>395.56</v>
      </c>
      <c r="DD37" s="93">
        <v>394.53</v>
      </c>
      <c r="DE37" s="93">
        <v>393.5</v>
      </c>
      <c r="DF37" s="93">
        <v>392.47</v>
      </c>
      <c r="DG37" s="93">
        <v>391.43</v>
      </c>
      <c r="DH37" s="93">
        <v>390.4</v>
      </c>
      <c r="DI37" s="93">
        <v>389.37</v>
      </c>
      <c r="DJ37" s="93">
        <v>388.34</v>
      </c>
      <c r="DK37" s="93">
        <v>387.31</v>
      </c>
      <c r="DL37" s="93">
        <v>386.28</v>
      </c>
      <c r="DM37" s="93">
        <v>385.25</v>
      </c>
      <c r="DN37" s="93">
        <v>384.22</v>
      </c>
      <c r="DO37" s="93">
        <v>383.19</v>
      </c>
      <c r="DP37" s="93">
        <v>382.16</v>
      </c>
      <c r="DQ37" s="93">
        <v>381.13</v>
      </c>
      <c r="DR37" s="93">
        <v>380.1</v>
      </c>
      <c r="DS37" s="93">
        <v>379.08</v>
      </c>
      <c r="DT37" s="93">
        <v>378.05</v>
      </c>
      <c r="DU37" s="93">
        <v>377.02</v>
      </c>
      <c r="DV37" s="93">
        <v>376</v>
      </c>
      <c r="DW37" s="93">
        <v>374.98</v>
      </c>
      <c r="DX37" s="93">
        <v>373.95</v>
      </c>
      <c r="DY37" s="93">
        <v>372.93</v>
      </c>
      <c r="DZ37" s="93">
        <v>371.9</v>
      </c>
      <c r="EA37" s="93">
        <v>370.88</v>
      </c>
      <c r="EB37" s="93">
        <v>369.86</v>
      </c>
      <c r="EC37" s="93">
        <v>368.84</v>
      </c>
      <c r="ED37" s="93">
        <v>367.81</v>
      </c>
      <c r="EE37" s="93">
        <v>366.79</v>
      </c>
      <c r="EF37" s="93">
        <v>365.78</v>
      </c>
      <c r="EG37" s="93">
        <v>364.76</v>
      </c>
      <c r="EH37" s="93">
        <v>363.74</v>
      </c>
      <c r="EI37" s="93">
        <v>362.73</v>
      </c>
      <c r="EJ37" s="93">
        <v>361.71</v>
      </c>
      <c r="EK37" s="93">
        <v>360.7</v>
      </c>
      <c r="EL37" s="93">
        <v>359.68</v>
      </c>
      <c r="EM37" s="93">
        <v>358.67</v>
      </c>
      <c r="EN37" s="93">
        <v>357.65</v>
      </c>
      <c r="EO37" s="93">
        <v>356.64</v>
      </c>
      <c r="EP37" s="93">
        <v>355.63</v>
      </c>
      <c r="EQ37" s="93">
        <v>354.61</v>
      </c>
      <c r="ER37" s="93">
        <v>353.6</v>
      </c>
      <c r="ES37" s="93">
        <v>352.6</v>
      </c>
      <c r="ET37" s="93">
        <v>351.59</v>
      </c>
      <c r="EU37" s="93">
        <v>350.58</v>
      </c>
      <c r="EV37" s="93">
        <v>349.57</v>
      </c>
      <c r="EW37" s="93">
        <v>348.56</v>
      </c>
      <c r="EX37" s="93">
        <v>347.56</v>
      </c>
      <c r="EY37" s="93">
        <v>346.55</v>
      </c>
      <c r="EZ37" s="93">
        <v>345.54</v>
      </c>
      <c r="FA37" s="93">
        <v>344.54</v>
      </c>
      <c r="FB37" s="93">
        <v>343.53</v>
      </c>
      <c r="FC37" s="93">
        <v>342.53</v>
      </c>
      <c r="FD37" s="93">
        <v>341.53</v>
      </c>
      <c r="FE37" s="93">
        <v>340.52</v>
      </c>
      <c r="FF37" s="93">
        <v>339.53</v>
      </c>
      <c r="FG37" s="93">
        <v>338.53</v>
      </c>
      <c r="FH37" s="93">
        <v>337.53</v>
      </c>
      <c r="FI37" s="93">
        <v>336.53</v>
      </c>
      <c r="FJ37" s="93">
        <v>335.53</v>
      </c>
      <c r="FK37" s="93">
        <v>334.53</v>
      </c>
      <c r="FL37" s="93">
        <v>333.53</v>
      </c>
      <c r="FM37" s="93">
        <v>332.54</v>
      </c>
      <c r="FN37" s="93">
        <v>331.54</v>
      </c>
      <c r="FO37" s="93">
        <v>330.55</v>
      </c>
      <c r="FP37" s="93">
        <v>329.55</v>
      </c>
      <c r="FQ37" s="93">
        <v>328.56</v>
      </c>
      <c r="FR37" s="93">
        <v>327.56</v>
      </c>
      <c r="FS37" s="93">
        <v>326.57</v>
      </c>
      <c r="FT37" s="93">
        <v>325.57</v>
      </c>
      <c r="FU37" s="93">
        <v>324.58999999999997</v>
      </c>
      <c r="FV37" s="93">
        <v>323.60000000000002</v>
      </c>
      <c r="FW37" s="93">
        <v>322.60000000000002</v>
      </c>
      <c r="FX37" s="93">
        <v>321.60000000000002</v>
      </c>
      <c r="FY37" s="93">
        <v>320.62</v>
      </c>
      <c r="FZ37" s="93">
        <v>319.64</v>
      </c>
      <c r="GA37" s="93">
        <v>318.64999999999998</v>
      </c>
      <c r="GB37" s="93">
        <v>317.66000000000003</v>
      </c>
      <c r="GC37" s="93">
        <v>316.67</v>
      </c>
      <c r="GD37" s="93">
        <v>315.69</v>
      </c>
      <c r="GE37" s="93">
        <v>314.7</v>
      </c>
      <c r="GF37" s="93">
        <v>313.72000000000003</v>
      </c>
      <c r="GG37" s="93">
        <v>312.73</v>
      </c>
      <c r="GH37" s="93">
        <v>311.75</v>
      </c>
      <c r="GI37" s="93">
        <v>310.76</v>
      </c>
      <c r="GJ37" s="93">
        <v>309.77999999999997</v>
      </c>
      <c r="GK37" s="93">
        <v>308.79000000000002</v>
      </c>
      <c r="GL37" s="93">
        <v>307.82</v>
      </c>
      <c r="GM37" s="93">
        <v>306.83999999999997</v>
      </c>
      <c r="GN37" s="93">
        <v>305.87</v>
      </c>
      <c r="GO37" s="93">
        <v>304.89</v>
      </c>
      <c r="GP37" s="93">
        <v>303.92</v>
      </c>
      <c r="GQ37" s="93">
        <v>302.95</v>
      </c>
      <c r="GR37" s="93">
        <v>301.98</v>
      </c>
      <c r="GS37" s="93">
        <v>301.01</v>
      </c>
      <c r="GT37" s="93">
        <v>300.02999999999997</v>
      </c>
      <c r="GU37" s="93">
        <v>299.07</v>
      </c>
      <c r="GV37" s="93">
        <v>298.10000000000002</v>
      </c>
      <c r="GW37" s="93">
        <v>297.13</v>
      </c>
      <c r="GX37" s="93">
        <v>296.16000000000003</v>
      </c>
      <c r="GY37" s="93">
        <v>295.19</v>
      </c>
      <c r="GZ37" s="93">
        <v>294.23</v>
      </c>
      <c r="HA37" s="93">
        <v>293.26</v>
      </c>
      <c r="HB37" s="93">
        <v>292.29000000000002</v>
      </c>
      <c r="HC37" s="93">
        <v>291.33999999999997</v>
      </c>
      <c r="HD37" s="93">
        <v>290.38</v>
      </c>
      <c r="HE37" s="93">
        <v>289.42</v>
      </c>
      <c r="HF37" s="93">
        <v>288.45999999999998</v>
      </c>
      <c r="HG37" s="93">
        <v>287.5</v>
      </c>
      <c r="HH37" s="93">
        <v>286.54000000000002</v>
      </c>
      <c r="HI37" s="93">
        <v>285.57</v>
      </c>
      <c r="HJ37" s="93">
        <v>284.62</v>
      </c>
      <c r="HK37" s="93">
        <v>283.67</v>
      </c>
      <c r="HL37" s="93">
        <v>282.72000000000003</v>
      </c>
      <c r="HM37" s="93">
        <v>281.76</v>
      </c>
      <c r="HN37" s="93">
        <v>280.82</v>
      </c>
      <c r="HO37" s="93">
        <v>279.88</v>
      </c>
      <c r="HP37" s="93">
        <v>278.94</v>
      </c>
      <c r="HQ37" s="93">
        <v>277.99</v>
      </c>
      <c r="HR37" s="93">
        <v>277.04000000000002</v>
      </c>
      <c r="HS37" s="93">
        <v>276.10000000000002</v>
      </c>
      <c r="HT37" s="93">
        <v>275.17</v>
      </c>
      <c r="HU37" s="93">
        <v>274.22000000000003</v>
      </c>
      <c r="HV37" s="93">
        <v>273.29000000000002</v>
      </c>
      <c r="HW37" s="93">
        <v>272.35000000000002</v>
      </c>
      <c r="HX37" s="93">
        <v>271.41000000000003</v>
      </c>
      <c r="HY37" s="93">
        <v>270.47000000000003</v>
      </c>
      <c r="HZ37" s="93">
        <v>269.54000000000002</v>
      </c>
      <c r="IA37" s="93">
        <v>268.60000000000002</v>
      </c>
      <c r="IB37" s="93">
        <v>267.67</v>
      </c>
      <c r="IC37" s="93">
        <v>266.74</v>
      </c>
      <c r="ID37" s="93">
        <v>265.79000000000002</v>
      </c>
      <c r="IE37" s="93">
        <v>264.87</v>
      </c>
      <c r="IF37" s="93">
        <v>263.94</v>
      </c>
      <c r="IG37" s="93">
        <v>263.01</v>
      </c>
      <c r="IH37" s="93">
        <v>262.07</v>
      </c>
      <c r="II37" s="93">
        <v>261.16000000000003</v>
      </c>
      <c r="IJ37" s="93">
        <v>260.23</v>
      </c>
      <c r="IK37" s="93">
        <v>259.29000000000002</v>
      </c>
      <c r="IL37" s="93">
        <v>258.38</v>
      </c>
      <c r="IM37" s="93">
        <v>257.45999999999998</v>
      </c>
      <c r="IN37" s="93">
        <v>256.54000000000002</v>
      </c>
      <c r="IO37" s="93">
        <v>255.61</v>
      </c>
      <c r="IP37" s="93">
        <v>254.69</v>
      </c>
      <c r="IQ37" s="93">
        <v>253.78</v>
      </c>
      <c r="IR37" s="93">
        <v>252.86</v>
      </c>
      <c r="IS37" s="93">
        <v>251.94</v>
      </c>
      <c r="IT37" s="93">
        <v>251.02</v>
      </c>
      <c r="IU37" s="93">
        <v>250.11</v>
      </c>
      <c r="IV37" s="93">
        <v>249.2</v>
      </c>
      <c r="IW37" s="93">
        <v>248.3</v>
      </c>
      <c r="IX37" s="93">
        <v>247.4</v>
      </c>
      <c r="IY37" s="93">
        <v>246.49</v>
      </c>
      <c r="IZ37" s="93">
        <v>245.59</v>
      </c>
      <c r="JA37" s="93">
        <v>244.69</v>
      </c>
      <c r="JB37" s="93">
        <v>243.79</v>
      </c>
      <c r="JC37" s="93">
        <v>242.89</v>
      </c>
      <c r="JD37" s="93">
        <v>242</v>
      </c>
      <c r="JE37" s="93">
        <v>241.1</v>
      </c>
      <c r="JF37" s="93">
        <v>240.2</v>
      </c>
      <c r="JG37" s="93">
        <v>239.31</v>
      </c>
      <c r="JH37" s="93">
        <v>238.42</v>
      </c>
      <c r="JI37" s="93">
        <v>237.52</v>
      </c>
      <c r="JJ37" s="93">
        <v>236.63</v>
      </c>
      <c r="JK37" s="93">
        <v>235.74</v>
      </c>
      <c r="JL37" s="93">
        <v>234.85</v>
      </c>
      <c r="JM37" s="93">
        <v>233.97</v>
      </c>
      <c r="JN37" s="93">
        <v>233.08</v>
      </c>
      <c r="JO37" s="93">
        <v>232.19</v>
      </c>
      <c r="JP37" s="93">
        <v>231.31</v>
      </c>
      <c r="JQ37" s="93">
        <v>230.42</v>
      </c>
      <c r="JR37" s="93">
        <v>229.54</v>
      </c>
      <c r="JS37" s="93">
        <v>228.66</v>
      </c>
      <c r="JT37" s="93">
        <v>227.77</v>
      </c>
      <c r="JU37" s="93">
        <v>226.88</v>
      </c>
      <c r="JV37" s="93">
        <v>225.99</v>
      </c>
      <c r="JW37" s="93">
        <v>225.11</v>
      </c>
      <c r="JX37" s="93">
        <v>224.22</v>
      </c>
      <c r="JY37" s="93">
        <v>223.34</v>
      </c>
      <c r="JZ37" s="93">
        <v>222.45</v>
      </c>
      <c r="KA37" s="93">
        <v>221.57</v>
      </c>
      <c r="KB37" s="93">
        <v>220.69</v>
      </c>
      <c r="KC37" s="93">
        <v>219.81</v>
      </c>
      <c r="KD37" s="93">
        <v>218.93</v>
      </c>
      <c r="KE37" s="93">
        <v>218.05</v>
      </c>
      <c r="KF37" s="93">
        <v>217.17</v>
      </c>
      <c r="KG37" s="93">
        <v>216.3</v>
      </c>
      <c r="KH37" s="93">
        <v>215.42</v>
      </c>
      <c r="KI37" s="93">
        <v>214.54</v>
      </c>
      <c r="KJ37" s="93">
        <v>213.67</v>
      </c>
      <c r="KK37" s="93">
        <v>212.8</v>
      </c>
      <c r="KL37" s="93">
        <v>211.92</v>
      </c>
      <c r="KM37" s="93">
        <v>211.05</v>
      </c>
      <c r="KN37" s="93">
        <v>210.18</v>
      </c>
      <c r="KO37" s="93">
        <v>209.31</v>
      </c>
      <c r="KP37" s="93">
        <v>208.45</v>
      </c>
      <c r="KQ37" s="93">
        <v>207.58</v>
      </c>
      <c r="KR37" s="98">
        <f t="shared" si="22"/>
        <v>207.77</v>
      </c>
      <c r="KS37" s="98">
        <f t="shared" si="22"/>
        <v>206.98</v>
      </c>
      <c r="KT37" s="98">
        <f t="shared" si="22"/>
        <v>206.16</v>
      </c>
      <c r="KU37" s="98">
        <f t="shared" si="22"/>
        <v>205.37</v>
      </c>
      <c r="KV37" s="98">
        <f t="shared" si="22"/>
        <v>204.59</v>
      </c>
      <c r="KW37" s="98">
        <f t="shared" si="22"/>
        <v>203.8</v>
      </c>
      <c r="KX37" s="98">
        <f t="shared" si="22"/>
        <v>203.01</v>
      </c>
      <c r="KY37" s="98">
        <f t="shared" si="22"/>
        <v>202.23</v>
      </c>
      <c r="KZ37" s="98">
        <f t="shared" si="22"/>
        <v>201.44</v>
      </c>
      <c r="LA37" s="98">
        <f t="shared" si="22"/>
        <v>200.66</v>
      </c>
      <c r="LB37" s="98">
        <f t="shared" si="22"/>
        <v>199.88</v>
      </c>
      <c r="LC37" s="98">
        <f t="shared" si="22"/>
        <v>199.1</v>
      </c>
      <c r="LD37" s="98">
        <f t="shared" si="22"/>
        <v>198.32</v>
      </c>
      <c r="LE37" s="98">
        <f t="shared" si="22"/>
        <v>197.54</v>
      </c>
      <c r="LF37" s="98">
        <f t="shared" si="22"/>
        <v>196.77</v>
      </c>
      <c r="LG37" s="98">
        <f t="shared" ref="LG37:LW51" si="28">LG36+0.75</f>
        <v>196</v>
      </c>
      <c r="LH37" s="98">
        <f t="shared" si="28"/>
        <v>195.22</v>
      </c>
      <c r="LI37" s="98">
        <f t="shared" si="28"/>
        <v>194.45</v>
      </c>
      <c r="LJ37" s="98">
        <f t="shared" si="28"/>
        <v>193.68</v>
      </c>
      <c r="LK37" s="98">
        <f t="shared" si="28"/>
        <v>192.91</v>
      </c>
      <c r="LL37" s="98">
        <f t="shared" si="28"/>
        <v>192.14</v>
      </c>
      <c r="LM37" s="98">
        <f t="shared" si="28"/>
        <v>191.38</v>
      </c>
      <c r="LN37" s="98">
        <f t="shared" si="28"/>
        <v>190.61</v>
      </c>
      <c r="LO37" s="98">
        <f t="shared" si="28"/>
        <v>189.85</v>
      </c>
      <c r="LP37" s="98">
        <f t="shared" si="28"/>
        <v>189.09</v>
      </c>
      <c r="LQ37" s="98">
        <f t="shared" si="28"/>
        <v>188.33</v>
      </c>
      <c r="LR37" s="98">
        <f t="shared" si="28"/>
        <v>187.57</v>
      </c>
      <c r="LS37" s="98">
        <f t="shared" si="28"/>
        <v>186.81</v>
      </c>
      <c r="LT37" s="98">
        <f t="shared" si="28"/>
        <v>186.06</v>
      </c>
      <c r="LU37" s="98">
        <f t="shared" si="28"/>
        <v>185.31</v>
      </c>
      <c r="LV37" s="98">
        <f t="shared" si="28"/>
        <v>184.55</v>
      </c>
      <c r="LW37" s="98">
        <f t="shared" si="28"/>
        <v>183.8</v>
      </c>
      <c r="LX37" s="98">
        <f t="shared" si="23"/>
        <v>183.05</v>
      </c>
      <c r="LY37" s="98">
        <f t="shared" si="23"/>
        <v>182.3</v>
      </c>
      <c r="LZ37" s="98">
        <f t="shared" si="23"/>
        <v>181.56</v>
      </c>
      <c r="MA37" s="98">
        <f t="shared" si="23"/>
        <v>180.81</v>
      </c>
      <c r="MB37" s="98">
        <f t="shared" si="23"/>
        <v>180.07</v>
      </c>
      <c r="MC37" s="98">
        <f t="shared" si="23"/>
        <v>179.33</v>
      </c>
      <c r="MD37" s="100">
        <f t="shared" si="23"/>
        <v>178.59</v>
      </c>
      <c r="ME37" s="101">
        <f t="shared" si="23"/>
        <v>177.86</v>
      </c>
      <c r="MF37" s="101">
        <f t="shared" si="23"/>
        <v>177.12</v>
      </c>
      <c r="MG37" s="101">
        <f t="shared" si="23"/>
        <v>176.39</v>
      </c>
      <c r="MH37" s="101">
        <f t="shared" si="23"/>
        <v>175.65</v>
      </c>
      <c r="MI37" s="101">
        <f t="shared" si="23"/>
        <v>174.92</v>
      </c>
      <c r="MJ37" s="101">
        <f t="shared" si="23"/>
        <v>174.19</v>
      </c>
      <c r="MK37" s="101">
        <f t="shared" si="23"/>
        <v>173.46</v>
      </c>
      <c r="ML37" s="101">
        <f t="shared" si="23"/>
        <v>172.74</v>
      </c>
      <c r="MM37" s="101">
        <f t="shared" si="23"/>
        <v>172.01</v>
      </c>
      <c r="MN37" s="101">
        <f t="shared" si="25"/>
        <v>171.29</v>
      </c>
      <c r="MO37" s="101">
        <f t="shared" si="26"/>
        <v>170.57</v>
      </c>
      <c r="MP37" s="101">
        <f t="shared" si="27"/>
        <v>169.85</v>
      </c>
      <c r="MQ37" s="101">
        <f t="shared" si="24"/>
        <v>169.14</v>
      </c>
      <c r="MR37" s="101">
        <f t="shared" si="24"/>
        <v>168.42</v>
      </c>
      <c r="MS37" s="101">
        <f t="shared" si="24"/>
        <v>167.71</v>
      </c>
      <c r="MT37" s="101">
        <f t="shared" si="24"/>
        <v>166.99</v>
      </c>
      <c r="MU37" s="101">
        <f t="shared" si="24"/>
        <v>166.28</v>
      </c>
      <c r="MV37" s="101">
        <f t="shared" si="24"/>
        <v>165.57</v>
      </c>
      <c r="MW37" s="101">
        <f t="shared" si="24"/>
        <v>164.87</v>
      </c>
      <c r="MX37" s="101">
        <f t="shared" si="24"/>
        <v>164.16</v>
      </c>
      <c r="MY37" s="101">
        <f t="shared" si="24"/>
        <v>163.46</v>
      </c>
    </row>
    <row r="38" spans="1:363" ht="15.75" x14ac:dyDescent="0.25">
      <c r="A38" s="90" t="s">
        <v>6</v>
      </c>
      <c r="B38" s="95">
        <v>2048</v>
      </c>
      <c r="C38" s="93">
        <v>504.16</v>
      </c>
      <c r="D38" s="93">
        <v>503.13</v>
      </c>
      <c r="E38" s="93">
        <v>502.09</v>
      </c>
      <c r="F38" s="93">
        <v>501.05</v>
      </c>
      <c r="G38" s="93">
        <v>500.02</v>
      </c>
      <c r="H38" s="93">
        <v>498.98</v>
      </c>
      <c r="I38" s="93">
        <v>497.94</v>
      </c>
      <c r="J38" s="93">
        <v>496.91</v>
      </c>
      <c r="K38" s="93">
        <v>495.87</v>
      </c>
      <c r="L38" s="93">
        <v>494.84</v>
      </c>
      <c r="M38" s="93">
        <v>493.8</v>
      </c>
      <c r="N38" s="93">
        <v>492.76</v>
      </c>
      <c r="O38" s="93">
        <v>491.73</v>
      </c>
      <c r="P38" s="93">
        <v>490.69</v>
      </c>
      <c r="Q38" s="93">
        <v>489.65</v>
      </c>
      <c r="R38" s="93">
        <v>488.62</v>
      </c>
      <c r="S38" s="93">
        <v>487.58</v>
      </c>
      <c r="T38" s="93">
        <v>486.54</v>
      </c>
      <c r="U38" s="93">
        <v>485.51</v>
      </c>
      <c r="V38" s="93">
        <v>484.47</v>
      </c>
      <c r="W38" s="93">
        <v>483.43</v>
      </c>
      <c r="X38" s="93">
        <v>482.4</v>
      </c>
      <c r="Y38" s="93">
        <v>481.36</v>
      </c>
      <c r="Z38" s="93">
        <v>480.32</v>
      </c>
      <c r="AA38" s="93">
        <v>479.29</v>
      </c>
      <c r="AB38" s="93">
        <v>478.25</v>
      </c>
      <c r="AC38" s="93">
        <v>477.21</v>
      </c>
      <c r="AD38" s="93">
        <v>476.18</v>
      </c>
      <c r="AE38" s="93">
        <v>475.14</v>
      </c>
      <c r="AF38" s="93">
        <v>474.1</v>
      </c>
      <c r="AG38" s="93">
        <v>473.07</v>
      </c>
      <c r="AH38" s="93">
        <v>472.03</v>
      </c>
      <c r="AI38" s="93">
        <v>470.99</v>
      </c>
      <c r="AJ38" s="93">
        <v>469.96</v>
      </c>
      <c r="AK38" s="93">
        <v>468.92</v>
      </c>
      <c r="AL38" s="93">
        <v>467.88</v>
      </c>
      <c r="AM38" s="93">
        <v>466.85</v>
      </c>
      <c r="AN38" s="93">
        <v>465.81</v>
      </c>
      <c r="AO38" s="93">
        <v>464.77</v>
      </c>
      <c r="AP38" s="93">
        <v>463.73</v>
      </c>
      <c r="AQ38" s="93">
        <v>462.7</v>
      </c>
      <c r="AR38" s="93">
        <v>461.66</v>
      </c>
      <c r="AS38" s="93">
        <v>460.62</v>
      </c>
      <c r="AT38" s="93">
        <v>459.59</v>
      </c>
      <c r="AU38" s="93">
        <v>458.55</v>
      </c>
      <c r="AV38" s="93">
        <v>457.51</v>
      </c>
      <c r="AW38" s="93">
        <v>456.48</v>
      </c>
      <c r="AX38" s="93">
        <v>455.44</v>
      </c>
      <c r="AY38" s="93">
        <v>454.4</v>
      </c>
      <c r="AZ38" s="93">
        <v>453.36</v>
      </c>
      <c r="BA38" s="93">
        <v>452.33</v>
      </c>
      <c r="BB38" s="93">
        <v>451.29</v>
      </c>
      <c r="BC38" s="93">
        <v>450.25</v>
      </c>
      <c r="BD38" s="93">
        <v>449.22</v>
      </c>
      <c r="BE38" s="93">
        <v>448.18</v>
      </c>
      <c r="BF38" s="93">
        <v>447.14</v>
      </c>
      <c r="BG38" s="93">
        <v>446.1</v>
      </c>
      <c r="BH38" s="93">
        <v>445.07</v>
      </c>
      <c r="BI38" s="93">
        <v>444.03</v>
      </c>
      <c r="BJ38" s="93">
        <v>442.99</v>
      </c>
      <c r="BK38" s="93">
        <v>441.96</v>
      </c>
      <c r="BL38" s="93">
        <v>440.92</v>
      </c>
      <c r="BM38" s="93">
        <v>439.88</v>
      </c>
      <c r="BN38" s="93">
        <v>438.84</v>
      </c>
      <c r="BO38" s="93">
        <v>437.8</v>
      </c>
      <c r="BP38" s="93">
        <v>436.77</v>
      </c>
      <c r="BQ38" s="93">
        <v>435.73</v>
      </c>
      <c r="BR38" s="93">
        <v>434.69</v>
      </c>
      <c r="BS38" s="93">
        <v>433.65</v>
      </c>
      <c r="BT38" s="93">
        <v>432.62</v>
      </c>
      <c r="BU38" s="93">
        <v>431.58</v>
      </c>
      <c r="BV38" s="93">
        <v>430.54</v>
      </c>
      <c r="BW38" s="93">
        <v>429.51</v>
      </c>
      <c r="BX38" s="93">
        <v>428.47</v>
      </c>
      <c r="BY38" s="93">
        <v>427.43</v>
      </c>
      <c r="BZ38" s="93">
        <v>426.4</v>
      </c>
      <c r="CA38" s="93">
        <v>425.36</v>
      </c>
      <c r="CB38" s="93">
        <v>424.33</v>
      </c>
      <c r="CC38" s="93">
        <v>423.29</v>
      </c>
      <c r="CD38" s="93">
        <v>422.26</v>
      </c>
      <c r="CE38" s="93">
        <v>421.22</v>
      </c>
      <c r="CF38" s="93">
        <v>420.19</v>
      </c>
      <c r="CG38" s="93">
        <v>419.15</v>
      </c>
      <c r="CH38" s="93">
        <v>418.12</v>
      </c>
      <c r="CI38" s="93">
        <v>417.08</v>
      </c>
      <c r="CJ38" s="93">
        <v>416.05</v>
      </c>
      <c r="CK38" s="93">
        <v>415.01</v>
      </c>
      <c r="CL38" s="93">
        <v>413.98</v>
      </c>
      <c r="CM38" s="93">
        <v>412.94</v>
      </c>
      <c r="CN38" s="93">
        <v>411.91</v>
      </c>
      <c r="CO38" s="93">
        <v>410.87</v>
      </c>
      <c r="CP38" s="93">
        <v>409.84</v>
      </c>
      <c r="CQ38" s="93">
        <v>408.8</v>
      </c>
      <c r="CR38" s="93">
        <v>407.77</v>
      </c>
      <c r="CS38" s="93">
        <v>406.73</v>
      </c>
      <c r="CT38" s="93">
        <v>405.7</v>
      </c>
      <c r="CU38" s="93">
        <v>404.66</v>
      </c>
      <c r="CV38" s="93">
        <v>403.63</v>
      </c>
      <c r="CW38" s="93">
        <v>402.6</v>
      </c>
      <c r="CX38" s="93">
        <v>401.56</v>
      </c>
      <c r="CY38" s="93">
        <v>400.53</v>
      </c>
      <c r="CZ38" s="93">
        <v>399.5</v>
      </c>
      <c r="DA38" s="93">
        <v>398.47</v>
      </c>
      <c r="DB38" s="93">
        <v>397.43</v>
      </c>
      <c r="DC38" s="93">
        <v>396.4</v>
      </c>
      <c r="DD38" s="93">
        <v>395.37</v>
      </c>
      <c r="DE38" s="93">
        <v>394.34</v>
      </c>
      <c r="DF38" s="93">
        <v>393.3</v>
      </c>
      <c r="DG38" s="93">
        <v>392.27</v>
      </c>
      <c r="DH38" s="93">
        <v>391.24</v>
      </c>
      <c r="DI38" s="93">
        <v>390.21</v>
      </c>
      <c r="DJ38" s="93">
        <v>389.18</v>
      </c>
      <c r="DK38" s="93">
        <v>388.15</v>
      </c>
      <c r="DL38" s="93">
        <v>387.12</v>
      </c>
      <c r="DM38" s="93">
        <v>386.09</v>
      </c>
      <c r="DN38" s="93">
        <v>385.06</v>
      </c>
      <c r="DO38" s="93">
        <v>384.03</v>
      </c>
      <c r="DP38" s="93">
        <v>383</v>
      </c>
      <c r="DQ38" s="93">
        <v>381.97</v>
      </c>
      <c r="DR38" s="93">
        <v>380.94</v>
      </c>
      <c r="DS38" s="93">
        <v>379.91</v>
      </c>
      <c r="DT38" s="93">
        <v>378.89</v>
      </c>
      <c r="DU38" s="93">
        <v>377.86</v>
      </c>
      <c r="DV38" s="93">
        <v>376.83</v>
      </c>
      <c r="DW38" s="93">
        <v>375.81</v>
      </c>
      <c r="DX38" s="93">
        <v>374.79</v>
      </c>
      <c r="DY38" s="93">
        <v>373.76</v>
      </c>
      <c r="DZ38" s="93">
        <v>372.74</v>
      </c>
      <c r="EA38" s="93">
        <v>371.71</v>
      </c>
      <c r="EB38" s="93">
        <v>370.69</v>
      </c>
      <c r="EC38" s="93">
        <v>369.67</v>
      </c>
      <c r="ED38" s="93">
        <v>368.65</v>
      </c>
      <c r="EE38" s="93">
        <v>367.63</v>
      </c>
      <c r="EF38" s="93">
        <v>366.61</v>
      </c>
      <c r="EG38" s="93">
        <v>365.59</v>
      </c>
      <c r="EH38" s="93">
        <v>364.57</v>
      </c>
      <c r="EI38" s="93">
        <v>363.56</v>
      </c>
      <c r="EJ38" s="93">
        <v>362.54</v>
      </c>
      <c r="EK38" s="93">
        <v>361.53</v>
      </c>
      <c r="EL38" s="93">
        <v>360.51</v>
      </c>
      <c r="EM38" s="93">
        <v>359.5</v>
      </c>
      <c r="EN38" s="93">
        <v>358.48</v>
      </c>
      <c r="EO38" s="93">
        <v>357.47</v>
      </c>
      <c r="EP38" s="93">
        <v>356.45</v>
      </c>
      <c r="EQ38" s="93">
        <v>355.44</v>
      </c>
      <c r="ER38" s="93">
        <v>354.43</v>
      </c>
      <c r="ES38" s="93">
        <v>353.42</v>
      </c>
      <c r="ET38" s="93">
        <v>352.41</v>
      </c>
      <c r="EU38" s="93">
        <v>351.4</v>
      </c>
      <c r="EV38" s="93">
        <v>350.4</v>
      </c>
      <c r="EW38" s="93">
        <v>349.39</v>
      </c>
      <c r="EX38" s="93">
        <v>348.38</v>
      </c>
      <c r="EY38" s="93">
        <v>347.37</v>
      </c>
      <c r="EZ38" s="93">
        <v>346.37</v>
      </c>
      <c r="FA38" s="93">
        <v>345.36</v>
      </c>
      <c r="FB38" s="93">
        <v>344.35</v>
      </c>
      <c r="FC38" s="93">
        <v>343.35</v>
      </c>
      <c r="FD38" s="93">
        <v>342.35</v>
      </c>
      <c r="FE38" s="93">
        <v>341.34</v>
      </c>
      <c r="FF38" s="93">
        <v>340.34</v>
      </c>
      <c r="FG38" s="93">
        <v>339.34</v>
      </c>
      <c r="FH38" s="93">
        <v>338.34</v>
      </c>
      <c r="FI38" s="93">
        <v>337.35</v>
      </c>
      <c r="FJ38" s="93">
        <v>336.35</v>
      </c>
      <c r="FK38" s="93">
        <v>335.35</v>
      </c>
      <c r="FL38" s="93">
        <v>334.35</v>
      </c>
      <c r="FM38" s="93">
        <v>333.35</v>
      </c>
      <c r="FN38" s="93">
        <v>332.36</v>
      </c>
      <c r="FO38" s="93">
        <v>331.36</v>
      </c>
      <c r="FP38" s="93">
        <v>330.37</v>
      </c>
      <c r="FQ38" s="93">
        <v>329.37</v>
      </c>
      <c r="FR38" s="93">
        <v>328.38</v>
      </c>
      <c r="FS38" s="93">
        <v>327.38</v>
      </c>
      <c r="FT38" s="93">
        <v>326.39</v>
      </c>
      <c r="FU38" s="93">
        <v>325.39999999999998</v>
      </c>
      <c r="FV38" s="93">
        <v>324.41000000000003</v>
      </c>
      <c r="FW38" s="93">
        <v>323.41000000000003</v>
      </c>
      <c r="FX38" s="93">
        <v>322.42</v>
      </c>
      <c r="FY38" s="93">
        <v>321.43</v>
      </c>
      <c r="FZ38" s="93">
        <v>320.44</v>
      </c>
      <c r="GA38" s="93">
        <v>319.45</v>
      </c>
      <c r="GB38" s="93">
        <v>318.47000000000003</v>
      </c>
      <c r="GC38" s="93">
        <v>317.48</v>
      </c>
      <c r="GD38" s="93">
        <v>316.49</v>
      </c>
      <c r="GE38" s="93">
        <v>315.51</v>
      </c>
      <c r="GF38" s="93">
        <v>314.51</v>
      </c>
      <c r="GG38" s="93">
        <v>313.54000000000002</v>
      </c>
      <c r="GH38" s="93">
        <v>312.54000000000002</v>
      </c>
      <c r="GI38" s="93">
        <v>311.57</v>
      </c>
      <c r="GJ38" s="93">
        <v>310.57</v>
      </c>
      <c r="GK38" s="93">
        <v>309.60000000000002</v>
      </c>
      <c r="GL38" s="93">
        <v>308.62</v>
      </c>
      <c r="GM38" s="93">
        <v>307.64</v>
      </c>
      <c r="GN38" s="93">
        <v>306.66000000000003</v>
      </c>
      <c r="GO38" s="93">
        <v>305.69</v>
      </c>
      <c r="GP38" s="93">
        <v>304.72000000000003</v>
      </c>
      <c r="GQ38" s="93">
        <v>303.74</v>
      </c>
      <c r="GR38" s="93">
        <v>302.76</v>
      </c>
      <c r="GS38" s="93">
        <v>301.79000000000002</v>
      </c>
      <c r="GT38" s="93">
        <v>300.82</v>
      </c>
      <c r="GU38" s="93">
        <v>299.85000000000002</v>
      </c>
      <c r="GV38" s="93">
        <v>298.89</v>
      </c>
      <c r="GW38" s="93">
        <v>297.92</v>
      </c>
      <c r="GX38" s="93">
        <v>296.95</v>
      </c>
      <c r="GY38" s="93">
        <v>295.98</v>
      </c>
      <c r="GZ38" s="93">
        <v>295.01</v>
      </c>
      <c r="HA38" s="93">
        <v>294.04000000000002</v>
      </c>
      <c r="HB38" s="93">
        <v>293.08999999999997</v>
      </c>
      <c r="HC38" s="93">
        <v>292.12</v>
      </c>
      <c r="HD38" s="93">
        <v>291.16000000000003</v>
      </c>
      <c r="HE38" s="93">
        <v>290.2</v>
      </c>
      <c r="HF38" s="93">
        <v>289.24</v>
      </c>
      <c r="HG38" s="93">
        <v>288.27999999999997</v>
      </c>
      <c r="HH38" s="93">
        <v>287.32</v>
      </c>
      <c r="HI38" s="93">
        <v>286.35000000000002</v>
      </c>
      <c r="HJ38" s="93">
        <v>285.39999999999998</v>
      </c>
      <c r="HK38" s="93">
        <v>284.45</v>
      </c>
      <c r="HL38" s="93">
        <v>283.5</v>
      </c>
      <c r="HM38" s="93">
        <v>282.54000000000002</v>
      </c>
      <c r="HN38" s="93">
        <v>281.60000000000002</v>
      </c>
      <c r="HO38" s="93">
        <v>280.64999999999998</v>
      </c>
      <c r="HP38" s="93">
        <v>279.70999999999998</v>
      </c>
      <c r="HQ38" s="93">
        <v>278.76</v>
      </c>
      <c r="HR38" s="93">
        <v>277.82</v>
      </c>
      <c r="HS38" s="93">
        <v>276.88</v>
      </c>
      <c r="HT38" s="93">
        <v>275.93</v>
      </c>
      <c r="HU38" s="93">
        <v>274.99</v>
      </c>
      <c r="HV38" s="93">
        <v>274.04000000000002</v>
      </c>
      <c r="HW38" s="93">
        <v>273.10000000000002</v>
      </c>
      <c r="HX38" s="93">
        <v>272.17</v>
      </c>
      <c r="HY38" s="93">
        <v>271.24</v>
      </c>
      <c r="HZ38" s="93">
        <v>270.29000000000002</v>
      </c>
      <c r="IA38" s="93">
        <v>269.35000000000002</v>
      </c>
      <c r="IB38" s="93">
        <v>268.43</v>
      </c>
      <c r="IC38" s="93">
        <v>267.49</v>
      </c>
      <c r="ID38" s="93">
        <v>266.56</v>
      </c>
      <c r="IE38" s="93">
        <v>265.63</v>
      </c>
      <c r="IF38" s="93">
        <v>264.7</v>
      </c>
      <c r="IG38" s="93">
        <v>263.76</v>
      </c>
      <c r="IH38" s="93">
        <v>262.83999999999997</v>
      </c>
      <c r="II38" s="93">
        <v>261.91000000000003</v>
      </c>
      <c r="IJ38" s="93">
        <v>260.98</v>
      </c>
      <c r="IK38" s="93">
        <v>260.04000000000002</v>
      </c>
      <c r="IL38" s="93">
        <v>259.13</v>
      </c>
      <c r="IM38" s="93">
        <v>258.2</v>
      </c>
      <c r="IN38" s="93">
        <v>257.27999999999997</v>
      </c>
      <c r="IO38" s="93">
        <v>256.35000000000002</v>
      </c>
      <c r="IP38" s="93">
        <v>255.44</v>
      </c>
      <c r="IQ38" s="93">
        <v>254.52</v>
      </c>
      <c r="IR38" s="93">
        <v>253.6</v>
      </c>
      <c r="IS38" s="93">
        <v>252.68</v>
      </c>
      <c r="IT38" s="93">
        <v>251.76</v>
      </c>
      <c r="IU38" s="93">
        <v>250.85</v>
      </c>
      <c r="IV38" s="93">
        <v>249.94</v>
      </c>
      <c r="IW38" s="93">
        <v>249.03</v>
      </c>
      <c r="IX38" s="93">
        <v>248.13</v>
      </c>
      <c r="IY38" s="93">
        <v>247.22</v>
      </c>
      <c r="IZ38" s="93">
        <v>246.32</v>
      </c>
      <c r="JA38" s="93">
        <v>245.42</v>
      </c>
      <c r="JB38" s="93">
        <v>244.52</v>
      </c>
      <c r="JC38" s="93">
        <v>243.62</v>
      </c>
      <c r="JD38" s="93">
        <v>242.72</v>
      </c>
      <c r="JE38" s="93">
        <v>241.82</v>
      </c>
      <c r="JF38" s="93">
        <v>240.93</v>
      </c>
      <c r="JG38" s="93">
        <v>240.03</v>
      </c>
      <c r="JH38" s="93">
        <v>239.14</v>
      </c>
      <c r="JI38" s="93">
        <v>238.24</v>
      </c>
      <c r="JJ38" s="93">
        <v>237.35</v>
      </c>
      <c r="JK38" s="93">
        <v>236.46</v>
      </c>
      <c r="JL38" s="93">
        <v>235.57</v>
      </c>
      <c r="JM38" s="93">
        <v>234.68</v>
      </c>
      <c r="JN38" s="93">
        <v>233.79</v>
      </c>
      <c r="JO38" s="93">
        <v>232.9</v>
      </c>
      <c r="JP38" s="93">
        <v>232.02</v>
      </c>
      <c r="JQ38" s="93">
        <v>231.13</v>
      </c>
      <c r="JR38" s="93">
        <v>230.24</v>
      </c>
      <c r="JS38" s="93">
        <v>229.36</v>
      </c>
      <c r="JT38" s="93">
        <v>228.47</v>
      </c>
      <c r="JU38" s="93">
        <v>227.58</v>
      </c>
      <c r="JV38" s="93">
        <v>226.69</v>
      </c>
      <c r="JW38" s="93">
        <v>225.81</v>
      </c>
      <c r="JX38" s="93">
        <v>224.92</v>
      </c>
      <c r="JY38" s="93">
        <v>224.03</v>
      </c>
      <c r="JZ38" s="93">
        <v>223.15</v>
      </c>
      <c r="KA38" s="93">
        <v>222.26</v>
      </c>
      <c r="KB38" s="93">
        <v>221.38</v>
      </c>
      <c r="KC38" s="93">
        <v>220.5</v>
      </c>
      <c r="KD38" s="93">
        <v>219.62</v>
      </c>
      <c r="KE38" s="93">
        <v>218.73</v>
      </c>
      <c r="KF38" s="93">
        <v>217.85</v>
      </c>
      <c r="KG38" s="93">
        <v>216.98</v>
      </c>
      <c r="KH38" s="93">
        <v>216.1</v>
      </c>
      <c r="KI38" s="93">
        <v>215.22</v>
      </c>
      <c r="KJ38" s="93">
        <v>214.35</v>
      </c>
      <c r="KK38" s="93">
        <v>213.47</v>
      </c>
      <c r="KL38" s="93">
        <v>212.6</v>
      </c>
      <c r="KM38" s="93">
        <v>211.73</v>
      </c>
      <c r="KN38" s="93">
        <v>210.85</v>
      </c>
      <c r="KO38" s="93">
        <v>209.98</v>
      </c>
      <c r="KP38" s="93">
        <v>209.11</v>
      </c>
      <c r="KQ38" s="93">
        <v>208.24</v>
      </c>
      <c r="KR38" s="98">
        <f t="shared" ref="KR38:LG53" si="29">KR37+0.75</f>
        <v>208.52</v>
      </c>
      <c r="KS38" s="98">
        <f t="shared" si="29"/>
        <v>207.73</v>
      </c>
      <c r="KT38" s="98">
        <f t="shared" si="29"/>
        <v>206.91</v>
      </c>
      <c r="KU38" s="98">
        <f t="shared" si="29"/>
        <v>206.12</v>
      </c>
      <c r="KV38" s="98">
        <f t="shared" si="29"/>
        <v>205.34</v>
      </c>
      <c r="KW38" s="98">
        <f t="shared" si="29"/>
        <v>204.55</v>
      </c>
      <c r="KX38" s="98">
        <f t="shared" si="29"/>
        <v>203.76</v>
      </c>
      <c r="KY38" s="98">
        <f t="shared" si="29"/>
        <v>202.98</v>
      </c>
      <c r="KZ38" s="98">
        <f t="shared" si="29"/>
        <v>202.19</v>
      </c>
      <c r="LA38" s="98">
        <f t="shared" si="29"/>
        <v>201.41</v>
      </c>
      <c r="LB38" s="98">
        <f t="shared" si="29"/>
        <v>200.63</v>
      </c>
      <c r="LC38" s="98">
        <f t="shared" si="29"/>
        <v>199.85</v>
      </c>
      <c r="LD38" s="98">
        <f t="shared" si="29"/>
        <v>199.07</v>
      </c>
      <c r="LE38" s="98">
        <f t="shared" si="29"/>
        <v>198.29</v>
      </c>
      <c r="LF38" s="98">
        <f t="shared" si="29"/>
        <v>197.52</v>
      </c>
      <c r="LG38" s="98">
        <f t="shared" si="28"/>
        <v>196.75</v>
      </c>
      <c r="LH38" s="98">
        <f t="shared" si="28"/>
        <v>195.97</v>
      </c>
      <c r="LI38" s="98">
        <f t="shared" si="28"/>
        <v>195.2</v>
      </c>
      <c r="LJ38" s="98">
        <f t="shared" si="28"/>
        <v>194.43</v>
      </c>
      <c r="LK38" s="98">
        <f t="shared" si="28"/>
        <v>193.66</v>
      </c>
      <c r="LL38" s="98">
        <f t="shared" si="28"/>
        <v>192.89</v>
      </c>
      <c r="LM38" s="98">
        <f t="shared" si="28"/>
        <v>192.13</v>
      </c>
      <c r="LN38" s="98">
        <f t="shared" si="28"/>
        <v>191.36</v>
      </c>
      <c r="LO38" s="98">
        <f t="shared" si="28"/>
        <v>190.6</v>
      </c>
      <c r="LP38" s="98">
        <f t="shared" si="28"/>
        <v>189.84</v>
      </c>
      <c r="LQ38" s="98">
        <f t="shared" si="28"/>
        <v>189.08</v>
      </c>
      <c r="LR38" s="98">
        <f t="shared" si="28"/>
        <v>188.32</v>
      </c>
      <c r="LS38" s="98">
        <f t="shared" si="28"/>
        <v>187.56</v>
      </c>
      <c r="LT38" s="98">
        <f t="shared" si="28"/>
        <v>186.81</v>
      </c>
      <c r="LU38" s="98">
        <f t="shared" si="28"/>
        <v>186.06</v>
      </c>
      <c r="LV38" s="98">
        <f t="shared" si="28"/>
        <v>185.3</v>
      </c>
      <c r="LW38" s="98">
        <f t="shared" si="28"/>
        <v>184.55</v>
      </c>
      <c r="LX38" s="98">
        <f t="shared" si="23"/>
        <v>183.8</v>
      </c>
      <c r="LY38" s="98">
        <f t="shared" si="23"/>
        <v>183.05</v>
      </c>
      <c r="LZ38" s="98">
        <f t="shared" si="23"/>
        <v>182.31</v>
      </c>
      <c r="MA38" s="98">
        <f t="shared" si="23"/>
        <v>181.56</v>
      </c>
      <c r="MB38" s="98">
        <f t="shared" si="23"/>
        <v>180.82</v>
      </c>
      <c r="MC38" s="98">
        <f t="shared" si="23"/>
        <v>180.08</v>
      </c>
      <c r="MD38" s="100">
        <f t="shared" si="23"/>
        <v>179.34</v>
      </c>
      <c r="ME38" s="101">
        <f t="shared" si="23"/>
        <v>178.61</v>
      </c>
      <c r="MF38" s="101">
        <f t="shared" si="23"/>
        <v>177.87</v>
      </c>
      <c r="MG38" s="101">
        <f t="shared" si="23"/>
        <v>177.14</v>
      </c>
      <c r="MH38" s="101">
        <f t="shared" si="23"/>
        <v>176.4</v>
      </c>
      <c r="MI38" s="101">
        <f t="shared" si="23"/>
        <v>175.67</v>
      </c>
      <c r="MJ38" s="101">
        <f t="shared" si="23"/>
        <v>174.94</v>
      </c>
      <c r="MK38" s="101">
        <f t="shared" si="23"/>
        <v>174.21</v>
      </c>
      <c r="ML38" s="101">
        <f t="shared" si="23"/>
        <v>173.49</v>
      </c>
      <c r="MM38" s="101">
        <f t="shared" si="23"/>
        <v>172.76</v>
      </c>
      <c r="MN38" s="101">
        <f t="shared" si="25"/>
        <v>172.04</v>
      </c>
      <c r="MO38" s="101">
        <f t="shared" si="26"/>
        <v>171.32</v>
      </c>
      <c r="MP38" s="101">
        <f t="shared" si="27"/>
        <v>170.6</v>
      </c>
      <c r="MQ38" s="101">
        <f t="shared" si="24"/>
        <v>169.89</v>
      </c>
      <c r="MR38" s="101">
        <f t="shared" si="24"/>
        <v>169.17</v>
      </c>
      <c r="MS38" s="101">
        <f t="shared" si="24"/>
        <v>168.46</v>
      </c>
      <c r="MT38" s="101">
        <f t="shared" si="24"/>
        <v>167.74</v>
      </c>
      <c r="MU38" s="101">
        <f t="shared" si="24"/>
        <v>167.03</v>
      </c>
      <c r="MV38" s="101">
        <f t="shared" si="24"/>
        <v>166.32</v>
      </c>
      <c r="MW38" s="101">
        <f t="shared" si="24"/>
        <v>165.62</v>
      </c>
      <c r="MX38" s="101">
        <f t="shared" si="24"/>
        <v>164.91</v>
      </c>
      <c r="MY38" s="101">
        <f t="shared" si="24"/>
        <v>164.21</v>
      </c>
    </row>
    <row r="39" spans="1:363" ht="15.75" x14ac:dyDescent="0.25">
      <c r="A39" s="90" t="s">
        <v>6</v>
      </c>
      <c r="B39" s="95">
        <v>2049</v>
      </c>
      <c r="C39" s="93">
        <v>505</v>
      </c>
      <c r="D39" s="93">
        <v>503.96</v>
      </c>
      <c r="E39" s="93">
        <v>502.93</v>
      </c>
      <c r="F39" s="93">
        <v>501.89</v>
      </c>
      <c r="G39" s="93">
        <v>500.85</v>
      </c>
      <c r="H39" s="93">
        <v>499.82</v>
      </c>
      <c r="I39" s="93">
        <v>498.78</v>
      </c>
      <c r="J39" s="93">
        <v>497.75</v>
      </c>
      <c r="K39" s="93">
        <v>496.71</v>
      </c>
      <c r="L39" s="93">
        <v>495.67</v>
      </c>
      <c r="M39" s="93">
        <v>494.64</v>
      </c>
      <c r="N39" s="93">
        <v>493.6</v>
      </c>
      <c r="O39" s="93">
        <v>492.57</v>
      </c>
      <c r="P39" s="93">
        <v>491.53</v>
      </c>
      <c r="Q39" s="93">
        <v>490.49</v>
      </c>
      <c r="R39" s="93">
        <v>489.46</v>
      </c>
      <c r="S39" s="93">
        <v>488.42</v>
      </c>
      <c r="T39" s="93">
        <v>487.38</v>
      </c>
      <c r="U39" s="93">
        <v>486.35</v>
      </c>
      <c r="V39" s="93">
        <v>485.31</v>
      </c>
      <c r="W39" s="93">
        <v>484.27</v>
      </c>
      <c r="X39" s="93">
        <v>483.24</v>
      </c>
      <c r="Y39" s="93">
        <v>482.2</v>
      </c>
      <c r="Z39" s="93">
        <v>481.16</v>
      </c>
      <c r="AA39" s="93">
        <v>480.13</v>
      </c>
      <c r="AB39" s="93">
        <v>479.09</v>
      </c>
      <c r="AC39" s="93">
        <v>478.05</v>
      </c>
      <c r="AD39" s="93">
        <v>477.02</v>
      </c>
      <c r="AE39" s="93">
        <v>475.98</v>
      </c>
      <c r="AF39" s="93">
        <v>474.94</v>
      </c>
      <c r="AG39" s="93">
        <v>473.91</v>
      </c>
      <c r="AH39" s="93">
        <v>472.87</v>
      </c>
      <c r="AI39" s="93">
        <v>471.83</v>
      </c>
      <c r="AJ39" s="93">
        <v>470.8</v>
      </c>
      <c r="AK39" s="93">
        <v>469.76</v>
      </c>
      <c r="AL39" s="93">
        <v>468.72</v>
      </c>
      <c r="AM39" s="93">
        <v>467.69</v>
      </c>
      <c r="AN39" s="93">
        <v>466.65</v>
      </c>
      <c r="AO39" s="93">
        <v>465.61</v>
      </c>
      <c r="AP39" s="93">
        <v>464.57</v>
      </c>
      <c r="AQ39" s="93">
        <v>463.54</v>
      </c>
      <c r="AR39" s="93">
        <v>462.5</v>
      </c>
      <c r="AS39" s="93">
        <v>461.46</v>
      </c>
      <c r="AT39" s="93">
        <v>460.43</v>
      </c>
      <c r="AU39" s="93">
        <v>459.39</v>
      </c>
      <c r="AV39" s="93">
        <v>458.35</v>
      </c>
      <c r="AW39" s="93">
        <v>457.32</v>
      </c>
      <c r="AX39" s="93">
        <v>456.28</v>
      </c>
      <c r="AY39" s="93">
        <v>455.24</v>
      </c>
      <c r="AZ39" s="93">
        <v>454.2</v>
      </c>
      <c r="BA39" s="93">
        <v>453.17</v>
      </c>
      <c r="BB39" s="93">
        <v>452.13</v>
      </c>
      <c r="BC39" s="93">
        <v>451.09</v>
      </c>
      <c r="BD39" s="93">
        <v>450.06</v>
      </c>
      <c r="BE39" s="93">
        <v>449.02</v>
      </c>
      <c r="BF39" s="93">
        <v>447.98</v>
      </c>
      <c r="BG39" s="93">
        <v>446.94</v>
      </c>
      <c r="BH39" s="93">
        <v>445.91</v>
      </c>
      <c r="BI39" s="93">
        <v>444.87</v>
      </c>
      <c r="BJ39" s="93">
        <v>443.83</v>
      </c>
      <c r="BK39" s="93">
        <v>442.8</v>
      </c>
      <c r="BL39" s="93">
        <v>441.76</v>
      </c>
      <c r="BM39" s="93">
        <v>440.72</v>
      </c>
      <c r="BN39" s="93">
        <v>439.68</v>
      </c>
      <c r="BO39" s="93">
        <v>438.64</v>
      </c>
      <c r="BP39" s="93">
        <v>437.61</v>
      </c>
      <c r="BQ39" s="93">
        <v>436.57</v>
      </c>
      <c r="BR39" s="93">
        <v>435.53</v>
      </c>
      <c r="BS39" s="93">
        <v>434.49</v>
      </c>
      <c r="BT39" s="93">
        <v>433.46</v>
      </c>
      <c r="BU39" s="93">
        <v>432.42</v>
      </c>
      <c r="BV39" s="93">
        <v>431.38</v>
      </c>
      <c r="BW39" s="93">
        <v>430.35</v>
      </c>
      <c r="BX39" s="93">
        <v>429.31</v>
      </c>
      <c r="BY39" s="93">
        <v>428.27</v>
      </c>
      <c r="BZ39" s="93">
        <v>427.24</v>
      </c>
      <c r="CA39" s="93">
        <v>426.2</v>
      </c>
      <c r="CB39" s="93">
        <v>425.17</v>
      </c>
      <c r="CC39" s="93">
        <v>424.13</v>
      </c>
      <c r="CD39" s="93">
        <v>423.1</v>
      </c>
      <c r="CE39" s="93">
        <v>422.06</v>
      </c>
      <c r="CF39" s="93">
        <v>421.03</v>
      </c>
      <c r="CG39" s="93">
        <v>419.99</v>
      </c>
      <c r="CH39" s="93">
        <v>418.96</v>
      </c>
      <c r="CI39" s="93">
        <v>417.92</v>
      </c>
      <c r="CJ39" s="93">
        <v>416.89</v>
      </c>
      <c r="CK39" s="93">
        <v>415.85</v>
      </c>
      <c r="CL39" s="93">
        <v>414.81</v>
      </c>
      <c r="CM39" s="93">
        <v>413.78</v>
      </c>
      <c r="CN39" s="93">
        <v>412.74</v>
      </c>
      <c r="CO39" s="93">
        <v>411.71</v>
      </c>
      <c r="CP39" s="93">
        <v>410.67</v>
      </c>
      <c r="CQ39" s="93">
        <v>409.64</v>
      </c>
      <c r="CR39" s="93">
        <v>408.6</v>
      </c>
      <c r="CS39" s="93">
        <v>407.57</v>
      </c>
      <c r="CT39" s="93">
        <v>406.53</v>
      </c>
      <c r="CU39" s="93">
        <v>405.5</v>
      </c>
      <c r="CV39" s="93">
        <v>404.47</v>
      </c>
      <c r="CW39" s="93">
        <v>403.43</v>
      </c>
      <c r="CX39" s="93">
        <v>402.4</v>
      </c>
      <c r="CY39" s="93">
        <v>401.37</v>
      </c>
      <c r="CZ39" s="93">
        <v>400.33</v>
      </c>
      <c r="DA39" s="93">
        <v>399.3</v>
      </c>
      <c r="DB39" s="93">
        <v>398.27</v>
      </c>
      <c r="DC39" s="93">
        <v>397.24</v>
      </c>
      <c r="DD39" s="93">
        <v>396.2</v>
      </c>
      <c r="DE39" s="93">
        <v>395.17</v>
      </c>
      <c r="DF39" s="93">
        <v>394.14</v>
      </c>
      <c r="DG39" s="93">
        <v>393.11</v>
      </c>
      <c r="DH39" s="93">
        <v>392.07</v>
      </c>
      <c r="DI39" s="93">
        <v>391.04</v>
      </c>
      <c r="DJ39" s="93">
        <v>390.01</v>
      </c>
      <c r="DK39" s="93">
        <v>388.98</v>
      </c>
      <c r="DL39" s="93">
        <v>387.95</v>
      </c>
      <c r="DM39" s="93">
        <v>386.92</v>
      </c>
      <c r="DN39" s="93">
        <v>385.89</v>
      </c>
      <c r="DO39" s="93">
        <v>384.86</v>
      </c>
      <c r="DP39" s="93">
        <v>383.83</v>
      </c>
      <c r="DQ39" s="93">
        <v>382.8</v>
      </c>
      <c r="DR39" s="93">
        <v>381.77</v>
      </c>
      <c r="DS39" s="93">
        <v>380.74</v>
      </c>
      <c r="DT39" s="93">
        <v>379.72</v>
      </c>
      <c r="DU39" s="93">
        <v>378.69</v>
      </c>
      <c r="DV39" s="93">
        <v>377.66</v>
      </c>
      <c r="DW39" s="93">
        <v>376.64</v>
      </c>
      <c r="DX39" s="93">
        <v>375.61</v>
      </c>
      <c r="DY39" s="93">
        <v>374.59</v>
      </c>
      <c r="DZ39" s="93">
        <v>373.57</v>
      </c>
      <c r="EA39" s="93">
        <v>372.54</v>
      </c>
      <c r="EB39" s="93">
        <v>371.52</v>
      </c>
      <c r="EC39" s="93">
        <v>370.5</v>
      </c>
      <c r="ED39" s="93">
        <v>369.47</v>
      </c>
      <c r="EE39" s="93">
        <v>368.45</v>
      </c>
      <c r="EF39" s="93">
        <v>367.43</v>
      </c>
      <c r="EG39" s="93">
        <v>366.42</v>
      </c>
      <c r="EH39" s="93">
        <v>365.4</v>
      </c>
      <c r="EI39" s="93">
        <v>364.38</v>
      </c>
      <c r="EJ39" s="93">
        <v>363.37</v>
      </c>
      <c r="EK39" s="93">
        <v>362.35</v>
      </c>
      <c r="EL39" s="93">
        <v>361.33</v>
      </c>
      <c r="EM39" s="93">
        <v>360.32</v>
      </c>
      <c r="EN39" s="93">
        <v>359.3</v>
      </c>
      <c r="EO39" s="93">
        <v>358.29</v>
      </c>
      <c r="EP39" s="93">
        <v>357.28</v>
      </c>
      <c r="EQ39" s="93">
        <v>356.26</v>
      </c>
      <c r="ER39" s="93">
        <v>355.25</v>
      </c>
      <c r="ES39" s="93">
        <v>354.24</v>
      </c>
      <c r="ET39" s="93">
        <v>353.23</v>
      </c>
      <c r="EU39" s="93">
        <v>352.22</v>
      </c>
      <c r="EV39" s="93">
        <v>351.22</v>
      </c>
      <c r="EW39" s="93">
        <v>350.21</v>
      </c>
      <c r="EX39" s="93">
        <v>349.2</v>
      </c>
      <c r="EY39" s="93">
        <v>348.19</v>
      </c>
      <c r="EZ39" s="93">
        <v>347.18</v>
      </c>
      <c r="FA39" s="93">
        <v>346.18</v>
      </c>
      <c r="FB39" s="93">
        <v>345.17</v>
      </c>
      <c r="FC39" s="93">
        <v>344.16</v>
      </c>
      <c r="FD39" s="93">
        <v>343.16</v>
      </c>
      <c r="FE39" s="93">
        <v>342.16</v>
      </c>
      <c r="FF39" s="93">
        <v>341.16</v>
      </c>
      <c r="FG39" s="93">
        <v>340.16</v>
      </c>
      <c r="FH39" s="93">
        <v>339.16</v>
      </c>
      <c r="FI39" s="93">
        <v>338.16</v>
      </c>
      <c r="FJ39" s="93">
        <v>337.16</v>
      </c>
      <c r="FK39" s="93">
        <v>336.16</v>
      </c>
      <c r="FL39" s="93">
        <v>335.16</v>
      </c>
      <c r="FM39" s="93">
        <v>334.16</v>
      </c>
      <c r="FN39" s="93">
        <v>333.17</v>
      </c>
      <c r="FO39" s="93">
        <v>332.17</v>
      </c>
      <c r="FP39" s="93">
        <v>331.17</v>
      </c>
      <c r="FQ39" s="93">
        <v>330.18</v>
      </c>
      <c r="FR39" s="93">
        <v>329.18</v>
      </c>
      <c r="FS39" s="93">
        <v>328.19</v>
      </c>
      <c r="FT39" s="93">
        <v>327.2</v>
      </c>
      <c r="FU39" s="93">
        <v>326.2</v>
      </c>
      <c r="FV39" s="93">
        <v>325.20999999999998</v>
      </c>
      <c r="FW39" s="93">
        <v>324.22000000000003</v>
      </c>
      <c r="FX39" s="93">
        <v>323.23</v>
      </c>
      <c r="FY39" s="93">
        <v>322.24</v>
      </c>
      <c r="FZ39" s="93">
        <v>321.25</v>
      </c>
      <c r="GA39" s="93">
        <v>320.26</v>
      </c>
      <c r="GB39" s="93">
        <v>319.26</v>
      </c>
      <c r="GC39" s="93">
        <v>318.27999999999997</v>
      </c>
      <c r="GD39" s="93">
        <v>317.29000000000002</v>
      </c>
      <c r="GE39" s="93">
        <v>316.31</v>
      </c>
      <c r="GF39" s="93">
        <v>315.32</v>
      </c>
      <c r="GG39" s="93">
        <v>314.32</v>
      </c>
      <c r="GH39" s="93">
        <v>313.35000000000002</v>
      </c>
      <c r="GI39" s="93">
        <v>312.35000000000002</v>
      </c>
      <c r="GJ39" s="93">
        <v>311.38</v>
      </c>
      <c r="GK39" s="93">
        <v>310.39999999999998</v>
      </c>
      <c r="GL39" s="93">
        <v>309.41000000000003</v>
      </c>
      <c r="GM39" s="93">
        <v>308.43</v>
      </c>
      <c r="GN39" s="93">
        <v>307.45999999999998</v>
      </c>
      <c r="GO39" s="93">
        <v>306.48</v>
      </c>
      <c r="GP39" s="93">
        <v>305.51</v>
      </c>
      <c r="GQ39" s="93">
        <v>304.52999999999997</v>
      </c>
      <c r="GR39" s="93">
        <v>303.56</v>
      </c>
      <c r="GS39" s="93">
        <v>302.58999999999997</v>
      </c>
      <c r="GT39" s="93">
        <v>301.62</v>
      </c>
      <c r="GU39" s="93">
        <v>300.64</v>
      </c>
      <c r="GV39" s="93">
        <v>299.67</v>
      </c>
      <c r="GW39" s="93">
        <v>298.7</v>
      </c>
      <c r="GX39" s="93">
        <v>297.73</v>
      </c>
      <c r="GY39" s="93">
        <v>296.76</v>
      </c>
      <c r="GZ39" s="93">
        <v>295.79000000000002</v>
      </c>
      <c r="HA39" s="93">
        <v>294.82</v>
      </c>
      <c r="HB39" s="93">
        <v>293.87</v>
      </c>
      <c r="HC39" s="93">
        <v>292.89999999999998</v>
      </c>
      <c r="HD39" s="93">
        <v>291.94</v>
      </c>
      <c r="HE39" s="93">
        <v>290.98</v>
      </c>
      <c r="HF39" s="93">
        <v>290.01</v>
      </c>
      <c r="HG39" s="93">
        <v>289.04000000000002</v>
      </c>
      <c r="HH39" s="93">
        <v>288.08999999999997</v>
      </c>
      <c r="HI39" s="93">
        <v>287.13</v>
      </c>
      <c r="HJ39" s="93">
        <v>286.18</v>
      </c>
      <c r="HK39" s="93">
        <v>285.22000000000003</v>
      </c>
      <c r="HL39" s="93">
        <v>284.26</v>
      </c>
      <c r="HM39" s="93">
        <v>283.32</v>
      </c>
      <c r="HN39" s="93">
        <v>282.37</v>
      </c>
      <c r="HO39" s="93">
        <v>281.42</v>
      </c>
      <c r="HP39" s="93">
        <v>280.48</v>
      </c>
      <c r="HQ39" s="93">
        <v>279.52999999999997</v>
      </c>
      <c r="HR39" s="93">
        <v>278.58999999999997</v>
      </c>
      <c r="HS39" s="93">
        <v>277.64</v>
      </c>
      <c r="HT39" s="93">
        <v>276.7</v>
      </c>
      <c r="HU39" s="93">
        <v>275.76</v>
      </c>
      <c r="HV39" s="93">
        <v>274.81</v>
      </c>
      <c r="HW39" s="93">
        <v>273.87</v>
      </c>
      <c r="HX39" s="93">
        <v>272.93</v>
      </c>
      <c r="HY39" s="93">
        <v>271.99</v>
      </c>
      <c r="HZ39" s="93">
        <v>271.06</v>
      </c>
      <c r="IA39" s="93">
        <v>270.12</v>
      </c>
      <c r="IB39" s="93">
        <v>269.18</v>
      </c>
      <c r="IC39" s="93">
        <v>268.25</v>
      </c>
      <c r="ID39" s="93">
        <v>267.31</v>
      </c>
      <c r="IE39" s="93">
        <v>266.38</v>
      </c>
      <c r="IF39" s="93">
        <v>265.45</v>
      </c>
      <c r="IG39" s="93">
        <v>264.51</v>
      </c>
      <c r="IH39" s="93">
        <v>263.58999999999997</v>
      </c>
      <c r="II39" s="93">
        <v>262.64999999999998</v>
      </c>
      <c r="IJ39" s="93">
        <v>261.73</v>
      </c>
      <c r="IK39" s="93">
        <v>260.79000000000002</v>
      </c>
      <c r="IL39" s="93">
        <v>259.87</v>
      </c>
      <c r="IM39" s="93">
        <v>258.95</v>
      </c>
      <c r="IN39" s="93">
        <v>258.01</v>
      </c>
      <c r="IO39" s="93">
        <v>257.10000000000002</v>
      </c>
      <c r="IP39" s="93">
        <v>256.18</v>
      </c>
      <c r="IQ39" s="93">
        <v>255.26</v>
      </c>
      <c r="IR39" s="93">
        <v>254.33</v>
      </c>
      <c r="IS39" s="93">
        <v>253.41</v>
      </c>
      <c r="IT39" s="93">
        <v>252.5</v>
      </c>
      <c r="IU39" s="93">
        <v>251.58</v>
      </c>
      <c r="IV39" s="93">
        <v>250.67</v>
      </c>
      <c r="IW39" s="93">
        <v>249.76</v>
      </c>
      <c r="IX39" s="93">
        <v>248.86</v>
      </c>
      <c r="IY39" s="93">
        <v>247.95</v>
      </c>
      <c r="IZ39" s="93">
        <v>247.05</v>
      </c>
      <c r="JA39" s="93">
        <v>246.15</v>
      </c>
      <c r="JB39" s="93">
        <v>245.24</v>
      </c>
      <c r="JC39" s="93">
        <v>244.34</v>
      </c>
      <c r="JD39" s="93">
        <v>243.44</v>
      </c>
      <c r="JE39" s="93">
        <v>242.54</v>
      </c>
      <c r="JF39" s="93">
        <v>241.65</v>
      </c>
      <c r="JG39" s="93">
        <v>240.75</v>
      </c>
      <c r="JH39" s="93">
        <v>239.85</v>
      </c>
      <c r="JI39" s="93">
        <v>238.96</v>
      </c>
      <c r="JJ39" s="93">
        <v>238.06</v>
      </c>
      <c r="JK39" s="93">
        <v>237.17</v>
      </c>
      <c r="JL39" s="93">
        <v>236.28</v>
      </c>
      <c r="JM39" s="93">
        <v>235.39</v>
      </c>
      <c r="JN39" s="93">
        <v>234.5</v>
      </c>
      <c r="JO39" s="93">
        <v>233.61</v>
      </c>
      <c r="JP39" s="93">
        <v>232.72</v>
      </c>
      <c r="JQ39" s="93">
        <v>231.83</v>
      </c>
      <c r="JR39" s="93">
        <v>230.95</v>
      </c>
      <c r="JS39" s="93">
        <v>230.06</v>
      </c>
      <c r="JT39" s="93">
        <v>229.17</v>
      </c>
      <c r="JU39" s="93">
        <v>228.28</v>
      </c>
      <c r="JV39" s="93">
        <v>227.39</v>
      </c>
      <c r="JW39" s="93">
        <v>226.5</v>
      </c>
      <c r="JX39" s="93">
        <v>225.61</v>
      </c>
      <c r="JY39" s="93">
        <v>224.72</v>
      </c>
      <c r="JZ39" s="93">
        <v>223.84</v>
      </c>
      <c r="KA39" s="93">
        <v>222.95</v>
      </c>
      <c r="KB39" s="93">
        <v>222.07</v>
      </c>
      <c r="KC39" s="93">
        <v>221.18</v>
      </c>
      <c r="KD39" s="93">
        <v>220.3</v>
      </c>
      <c r="KE39" s="93">
        <v>219.42</v>
      </c>
      <c r="KF39" s="93">
        <v>218.53</v>
      </c>
      <c r="KG39" s="93">
        <v>217.65</v>
      </c>
      <c r="KH39" s="93">
        <v>216.78</v>
      </c>
      <c r="KI39" s="93">
        <v>215.9</v>
      </c>
      <c r="KJ39" s="93">
        <v>215.02</v>
      </c>
      <c r="KK39" s="93">
        <v>214.14</v>
      </c>
      <c r="KL39" s="93">
        <v>213.27</v>
      </c>
      <c r="KM39" s="93">
        <v>212.39</v>
      </c>
      <c r="KN39" s="93">
        <v>211.52</v>
      </c>
      <c r="KO39" s="93">
        <v>210.65</v>
      </c>
      <c r="KP39" s="93">
        <v>209.78</v>
      </c>
      <c r="KQ39" s="93">
        <v>208.91</v>
      </c>
      <c r="KR39" s="98">
        <f t="shared" si="29"/>
        <v>209.27</v>
      </c>
      <c r="KS39" s="98">
        <f t="shared" si="29"/>
        <v>208.48</v>
      </c>
      <c r="KT39" s="98">
        <f t="shared" si="29"/>
        <v>207.66</v>
      </c>
      <c r="KU39" s="98">
        <f t="shared" si="29"/>
        <v>206.87</v>
      </c>
      <c r="KV39" s="98">
        <f t="shared" si="29"/>
        <v>206.09</v>
      </c>
      <c r="KW39" s="98">
        <f t="shared" si="29"/>
        <v>205.3</v>
      </c>
      <c r="KX39" s="98">
        <f t="shared" si="29"/>
        <v>204.51</v>
      </c>
      <c r="KY39" s="98">
        <f t="shared" si="29"/>
        <v>203.73</v>
      </c>
      <c r="KZ39" s="98">
        <f t="shared" si="29"/>
        <v>202.94</v>
      </c>
      <c r="LA39" s="98">
        <f t="shared" si="29"/>
        <v>202.16</v>
      </c>
      <c r="LB39" s="98">
        <f t="shared" si="29"/>
        <v>201.38</v>
      </c>
      <c r="LC39" s="98">
        <f t="shared" si="29"/>
        <v>200.6</v>
      </c>
      <c r="LD39" s="98">
        <f t="shared" si="29"/>
        <v>199.82</v>
      </c>
      <c r="LE39" s="98">
        <f t="shared" si="29"/>
        <v>199.04</v>
      </c>
      <c r="LF39" s="98">
        <f t="shared" si="29"/>
        <v>198.27</v>
      </c>
      <c r="LG39" s="98">
        <f t="shared" si="28"/>
        <v>197.5</v>
      </c>
      <c r="LH39" s="98">
        <f t="shared" si="28"/>
        <v>196.72</v>
      </c>
      <c r="LI39" s="98">
        <f t="shared" si="28"/>
        <v>195.95</v>
      </c>
      <c r="LJ39" s="98">
        <f t="shared" si="28"/>
        <v>195.18</v>
      </c>
      <c r="LK39" s="98">
        <f t="shared" si="28"/>
        <v>194.41</v>
      </c>
      <c r="LL39" s="98">
        <f t="shared" si="28"/>
        <v>193.64</v>
      </c>
      <c r="LM39" s="98">
        <f t="shared" si="28"/>
        <v>192.88</v>
      </c>
      <c r="LN39" s="98">
        <f t="shared" si="28"/>
        <v>192.11</v>
      </c>
      <c r="LO39" s="98">
        <f t="shared" si="28"/>
        <v>191.35</v>
      </c>
      <c r="LP39" s="98">
        <f t="shared" si="28"/>
        <v>190.59</v>
      </c>
      <c r="LQ39" s="98">
        <f t="shared" si="28"/>
        <v>189.83</v>
      </c>
      <c r="LR39" s="98">
        <f t="shared" si="28"/>
        <v>189.07</v>
      </c>
      <c r="LS39" s="98">
        <f t="shared" si="28"/>
        <v>188.31</v>
      </c>
      <c r="LT39" s="98">
        <f t="shared" si="28"/>
        <v>187.56</v>
      </c>
      <c r="LU39" s="98">
        <f t="shared" si="28"/>
        <v>186.81</v>
      </c>
      <c r="LV39" s="98">
        <f t="shared" si="28"/>
        <v>186.05</v>
      </c>
      <c r="LW39" s="98">
        <f t="shared" si="28"/>
        <v>185.3</v>
      </c>
      <c r="LX39" s="98">
        <f t="shared" si="23"/>
        <v>184.55</v>
      </c>
      <c r="LY39" s="98">
        <f t="shared" si="23"/>
        <v>183.8</v>
      </c>
      <c r="LZ39" s="98">
        <f t="shared" si="23"/>
        <v>183.06</v>
      </c>
      <c r="MA39" s="98">
        <f t="shared" si="23"/>
        <v>182.31</v>
      </c>
      <c r="MB39" s="98">
        <f t="shared" si="23"/>
        <v>181.57</v>
      </c>
      <c r="MC39" s="98">
        <f t="shared" si="23"/>
        <v>180.83</v>
      </c>
      <c r="MD39" s="100">
        <f t="shared" si="23"/>
        <v>180.09</v>
      </c>
      <c r="ME39" s="101">
        <f t="shared" si="23"/>
        <v>179.36</v>
      </c>
      <c r="MF39" s="101">
        <f t="shared" si="23"/>
        <v>178.62</v>
      </c>
      <c r="MG39" s="101">
        <f t="shared" si="23"/>
        <v>177.89</v>
      </c>
      <c r="MH39" s="101">
        <f t="shared" si="23"/>
        <v>177.15</v>
      </c>
      <c r="MI39" s="101">
        <f t="shared" si="23"/>
        <v>176.42</v>
      </c>
      <c r="MJ39" s="101">
        <f t="shared" si="23"/>
        <v>175.69</v>
      </c>
      <c r="MK39" s="101">
        <f t="shared" si="23"/>
        <v>174.96</v>
      </c>
      <c r="ML39" s="101">
        <f t="shared" si="23"/>
        <v>174.24</v>
      </c>
      <c r="MM39" s="101">
        <f t="shared" si="23"/>
        <v>173.51</v>
      </c>
      <c r="MN39" s="101">
        <f t="shared" si="25"/>
        <v>172.79</v>
      </c>
      <c r="MO39" s="101">
        <f t="shared" si="26"/>
        <v>172.07</v>
      </c>
      <c r="MP39" s="101">
        <f t="shared" si="27"/>
        <v>171.35</v>
      </c>
      <c r="MQ39" s="101">
        <f t="shared" si="24"/>
        <v>170.64</v>
      </c>
      <c r="MR39" s="101">
        <f t="shared" si="24"/>
        <v>169.92</v>
      </c>
      <c r="MS39" s="101">
        <f t="shared" si="24"/>
        <v>169.21</v>
      </c>
      <c r="MT39" s="101">
        <f t="shared" si="24"/>
        <v>168.49</v>
      </c>
      <c r="MU39" s="101">
        <f t="shared" si="24"/>
        <v>167.78</v>
      </c>
      <c r="MV39" s="101">
        <f t="shared" si="24"/>
        <v>167.07</v>
      </c>
      <c r="MW39" s="101">
        <f t="shared" si="24"/>
        <v>166.37</v>
      </c>
      <c r="MX39" s="101">
        <f t="shared" si="24"/>
        <v>165.66</v>
      </c>
      <c r="MY39" s="101">
        <f t="shared" si="24"/>
        <v>164.96</v>
      </c>
    </row>
    <row r="40" spans="1:363" ht="15.75" x14ac:dyDescent="0.25">
      <c r="A40" s="90" t="s">
        <v>6</v>
      </c>
      <c r="B40" s="95">
        <v>2050</v>
      </c>
      <c r="C40" s="93">
        <v>505.83</v>
      </c>
      <c r="D40" s="93">
        <v>504.79</v>
      </c>
      <c r="E40" s="93">
        <v>503.76</v>
      </c>
      <c r="F40" s="93">
        <v>502.72</v>
      </c>
      <c r="G40" s="93">
        <v>501.69</v>
      </c>
      <c r="H40" s="93">
        <v>500.65</v>
      </c>
      <c r="I40" s="93">
        <v>499.61</v>
      </c>
      <c r="J40" s="93">
        <v>498.58</v>
      </c>
      <c r="K40" s="93">
        <v>497.54</v>
      </c>
      <c r="L40" s="93">
        <v>496.5</v>
      </c>
      <c r="M40" s="93">
        <v>495.47</v>
      </c>
      <c r="N40" s="93">
        <v>494.43</v>
      </c>
      <c r="O40" s="93">
        <v>493.4</v>
      </c>
      <c r="P40" s="93">
        <v>492.36</v>
      </c>
      <c r="Q40" s="93">
        <v>491.32</v>
      </c>
      <c r="R40" s="93">
        <v>490.29</v>
      </c>
      <c r="S40" s="93">
        <v>489.25</v>
      </c>
      <c r="T40" s="93">
        <v>488.21</v>
      </c>
      <c r="U40" s="93">
        <v>487.18</v>
      </c>
      <c r="V40" s="93">
        <v>486.14</v>
      </c>
      <c r="W40" s="93">
        <v>485.1</v>
      </c>
      <c r="X40" s="93">
        <v>484.07</v>
      </c>
      <c r="Y40" s="93">
        <v>483.03</v>
      </c>
      <c r="Z40" s="93">
        <v>482</v>
      </c>
      <c r="AA40" s="93">
        <v>480.96</v>
      </c>
      <c r="AB40" s="93">
        <v>479.92</v>
      </c>
      <c r="AC40" s="93">
        <v>478.89</v>
      </c>
      <c r="AD40" s="93">
        <v>477.85</v>
      </c>
      <c r="AE40" s="93">
        <v>476.81</v>
      </c>
      <c r="AF40" s="93">
        <v>475.78</v>
      </c>
      <c r="AG40" s="93">
        <v>474.74</v>
      </c>
      <c r="AH40" s="93">
        <v>473.7</v>
      </c>
      <c r="AI40" s="93">
        <v>472.67</v>
      </c>
      <c r="AJ40" s="93">
        <v>471.63</v>
      </c>
      <c r="AK40" s="93">
        <v>470.59</v>
      </c>
      <c r="AL40" s="93">
        <v>469.56</v>
      </c>
      <c r="AM40" s="93">
        <v>468.52</v>
      </c>
      <c r="AN40" s="93">
        <v>467.48</v>
      </c>
      <c r="AO40" s="93">
        <v>466.44</v>
      </c>
      <c r="AP40" s="93">
        <v>465.41</v>
      </c>
      <c r="AQ40" s="93">
        <v>464.37</v>
      </c>
      <c r="AR40" s="93">
        <v>463.33</v>
      </c>
      <c r="AS40" s="93">
        <v>462.3</v>
      </c>
      <c r="AT40" s="93">
        <v>461.26</v>
      </c>
      <c r="AU40" s="93">
        <v>460.22</v>
      </c>
      <c r="AV40" s="93">
        <v>459.19</v>
      </c>
      <c r="AW40" s="93">
        <v>458.15</v>
      </c>
      <c r="AX40" s="93">
        <v>457.11</v>
      </c>
      <c r="AY40" s="93">
        <v>456.08</v>
      </c>
      <c r="AZ40" s="93">
        <v>455.04</v>
      </c>
      <c r="BA40" s="93">
        <v>454</v>
      </c>
      <c r="BB40" s="93">
        <v>452.96</v>
      </c>
      <c r="BC40" s="93">
        <v>451.93</v>
      </c>
      <c r="BD40" s="93">
        <v>450.89</v>
      </c>
      <c r="BE40" s="93">
        <v>449.85</v>
      </c>
      <c r="BF40" s="93">
        <v>448.82</v>
      </c>
      <c r="BG40" s="93">
        <v>447.78</v>
      </c>
      <c r="BH40" s="93">
        <v>446.74</v>
      </c>
      <c r="BI40" s="93">
        <v>445.7</v>
      </c>
      <c r="BJ40" s="93">
        <v>444.67</v>
      </c>
      <c r="BK40" s="93">
        <v>443.63</v>
      </c>
      <c r="BL40" s="93">
        <v>442.59</v>
      </c>
      <c r="BM40" s="93">
        <v>441.55</v>
      </c>
      <c r="BN40" s="93">
        <v>440.52</v>
      </c>
      <c r="BO40" s="93">
        <v>439.48</v>
      </c>
      <c r="BP40" s="93">
        <v>438.44</v>
      </c>
      <c r="BQ40" s="93">
        <v>437.4</v>
      </c>
      <c r="BR40" s="93">
        <v>436.36</v>
      </c>
      <c r="BS40" s="93">
        <v>435.33</v>
      </c>
      <c r="BT40" s="93">
        <v>434.29</v>
      </c>
      <c r="BU40" s="93">
        <v>433.25</v>
      </c>
      <c r="BV40" s="93">
        <v>432.22</v>
      </c>
      <c r="BW40" s="93">
        <v>431.18</v>
      </c>
      <c r="BX40" s="93">
        <v>430.14</v>
      </c>
      <c r="BY40" s="93">
        <v>429.11</v>
      </c>
      <c r="BZ40" s="93">
        <v>428.07</v>
      </c>
      <c r="CA40" s="93">
        <v>427.03</v>
      </c>
      <c r="CB40" s="93">
        <v>426</v>
      </c>
      <c r="CC40" s="93">
        <v>424.96</v>
      </c>
      <c r="CD40" s="93">
        <v>423.93</v>
      </c>
      <c r="CE40" s="93">
        <v>422.89</v>
      </c>
      <c r="CF40" s="93">
        <v>421.86</v>
      </c>
      <c r="CG40" s="93">
        <v>420.82</v>
      </c>
      <c r="CH40" s="93">
        <v>419.79</v>
      </c>
      <c r="CI40" s="93">
        <v>418.75</v>
      </c>
      <c r="CJ40" s="93">
        <v>417.72</v>
      </c>
      <c r="CK40" s="93">
        <v>416.68</v>
      </c>
      <c r="CL40" s="93">
        <v>415.65</v>
      </c>
      <c r="CM40" s="93">
        <v>414.61</v>
      </c>
      <c r="CN40" s="93">
        <v>413.58</v>
      </c>
      <c r="CO40" s="93">
        <v>412.54</v>
      </c>
      <c r="CP40" s="93">
        <v>411.5</v>
      </c>
      <c r="CQ40" s="93">
        <v>410.47</v>
      </c>
      <c r="CR40" s="93">
        <v>409.43</v>
      </c>
      <c r="CS40" s="93">
        <v>408.4</v>
      </c>
      <c r="CT40" s="93">
        <v>407.36</v>
      </c>
      <c r="CU40" s="93">
        <v>406.33</v>
      </c>
      <c r="CV40" s="93">
        <v>405.3</v>
      </c>
      <c r="CW40" s="93">
        <v>404.26</v>
      </c>
      <c r="CX40" s="93">
        <v>403.23</v>
      </c>
      <c r="CY40" s="93">
        <v>402.2</v>
      </c>
      <c r="CZ40" s="93">
        <v>401.16</v>
      </c>
      <c r="DA40" s="93">
        <v>400.13</v>
      </c>
      <c r="DB40" s="93">
        <v>399.1</v>
      </c>
      <c r="DC40" s="93">
        <v>398.06</v>
      </c>
      <c r="DD40" s="93">
        <v>397.03</v>
      </c>
      <c r="DE40" s="93">
        <v>396</v>
      </c>
      <c r="DF40" s="93">
        <v>394.97</v>
      </c>
      <c r="DG40" s="93">
        <v>393.93</v>
      </c>
      <c r="DH40" s="93">
        <v>392.9</v>
      </c>
      <c r="DI40" s="93">
        <v>391.87</v>
      </c>
      <c r="DJ40" s="93">
        <v>390.84</v>
      </c>
      <c r="DK40" s="93">
        <v>389.81</v>
      </c>
      <c r="DL40" s="93">
        <v>388.78</v>
      </c>
      <c r="DM40" s="93">
        <v>387.75</v>
      </c>
      <c r="DN40" s="93">
        <v>386.72</v>
      </c>
      <c r="DO40" s="93">
        <v>385.69</v>
      </c>
      <c r="DP40" s="93">
        <v>384.66</v>
      </c>
      <c r="DQ40" s="93">
        <v>383.63</v>
      </c>
      <c r="DR40" s="93">
        <v>382.6</v>
      </c>
      <c r="DS40" s="93">
        <v>381.57</v>
      </c>
      <c r="DT40" s="93">
        <v>380.54</v>
      </c>
      <c r="DU40" s="93">
        <v>379.51</v>
      </c>
      <c r="DV40" s="93">
        <v>378.49</v>
      </c>
      <c r="DW40" s="93">
        <v>377.46</v>
      </c>
      <c r="DX40" s="93">
        <v>376.44</v>
      </c>
      <c r="DY40" s="93">
        <v>375.41</v>
      </c>
      <c r="DZ40" s="93">
        <v>374.39</v>
      </c>
      <c r="EA40" s="93">
        <v>373.36</v>
      </c>
      <c r="EB40" s="93">
        <v>372.34</v>
      </c>
      <c r="EC40" s="93">
        <v>371.32</v>
      </c>
      <c r="ED40" s="93">
        <v>370.29</v>
      </c>
      <c r="EE40" s="93">
        <v>369.27</v>
      </c>
      <c r="EF40" s="93">
        <v>368.25</v>
      </c>
      <c r="EG40" s="93">
        <v>367.24</v>
      </c>
      <c r="EH40" s="93">
        <v>366.22</v>
      </c>
      <c r="EI40" s="93">
        <v>365.2</v>
      </c>
      <c r="EJ40" s="93">
        <v>364.19</v>
      </c>
      <c r="EK40" s="93">
        <v>363.17</v>
      </c>
      <c r="EL40" s="93">
        <v>362.15</v>
      </c>
      <c r="EM40" s="93">
        <v>361.14</v>
      </c>
      <c r="EN40" s="93">
        <v>360.12</v>
      </c>
      <c r="EO40" s="93">
        <v>359.11</v>
      </c>
      <c r="EP40" s="93">
        <v>358.09</v>
      </c>
      <c r="EQ40" s="93">
        <v>357.08</v>
      </c>
      <c r="ER40" s="93">
        <v>356.07</v>
      </c>
      <c r="ES40" s="93">
        <v>355.06</v>
      </c>
      <c r="ET40" s="93">
        <v>354.05</v>
      </c>
      <c r="EU40" s="93">
        <v>353.04</v>
      </c>
      <c r="EV40" s="93">
        <v>352.03</v>
      </c>
      <c r="EW40" s="93">
        <v>351.02</v>
      </c>
      <c r="EX40" s="93">
        <v>350.01</v>
      </c>
      <c r="EY40" s="93">
        <v>349</v>
      </c>
      <c r="EZ40" s="93">
        <v>348</v>
      </c>
      <c r="FA40" s="93">
        <v>346.99</v>
      </c>
      <c r="FB40" s="93">
        <v>345.98</v>
      </c>
      <c r="FC40" s="93">
        <v>344.97</v>
      </c>
      <c r="FD40" s="93">
        <v>343.97</v>
      </c>
      <c r="FE40" s="93">
        <v>342.97</v>
      </c>
      <c r="FF40" s="93">
        <v>341.97</v>
      </c>
      <c r="FG40" s="93">
        <v>340.97</v>
      </c>
      <c r="FH40" s="93">
        <v>339.97</v>
      </c>
      <c r="FI40" s="93">
        <v>338.97</v>
      </c>
      <c r="FJ40" s="93">
        <v>337.97</v>
      </c>
      <c r="FK40" s="93">
        <v>336.97</v>
      </c>
      <c r="FL40" s="93">
        <v>335.97</v>
      </c>
      <c r="FM40" s="93">
        <v>334.97</v>
      </c>
      <c r="FN40" s="93">
        <v>333.97</v>
      </c>
      <c r="FO40" s="93">
        <v>332.97</v>
      </c>
      <c r="FP40" s="93">
        <v>331.98</v>
      </c>
      <c r="FQ40" s="93">
        <v>330.98</v>
      </c>
      <c r="FR40" s="93">
        <v>329.99</v>
      </c>
      <c r="FS40" s="93">
        <v>328.99</v>
      </c>
      <c r="FT40" s="93">
        <v>328</v>
      </c>
      <c r="FU40" s="93">
        <v>327</v>
      </c>
      <c r="FV40" s="93">
        <v>326.01</v>
      </c>
      <c r="FW40" s="93">
        <v>325.01</v>
      </c>
      <c r="FX40" s="93">
        <v>324.02999999999997</v>
      </c>
      <c r="FY40" s="93">
        <v>323.02999999999997</v>
      </c>
      <c r="FZ40" s="93">
        <v>322.04000000000002</v>
      </c>
      <c r="GA40" s="93">
        <v>321.04000000000002</v>
      </c>
      <c r="GB40" s="93">
        <v>320.06</v>
      </c>
      <c r="GC40" s="93">
        <v>319.07</v>
      </c>
      <c r="GD40" s="93">
        <v>318.08999999999997</v>
      </c>
      <c r="GE40" s="93">
        <v>317.10000000000002</v>
      </c>
      <c r="GF40" s="93">
        <v>316.10000000000002</v>
      </c>
      <c r="GG40" s="93">
        <v>315.13</v>
      </c>
      <c r="GH40" s="93">
        <v>314.14</v>
      </c>
      <c r="GI40" s="93">
        <v>313.16000000000003</v>
      </c>
      <c r="GJ40" s="93">
        <v>312.17</v>
      </c>
      <c r="GK40" s="93">
        <v>311.19</v>
      </c>
      <c r="GL40" s="93">
        <v>310.2</v>
      </c>
      <c r="GM40" s="93">
        <v>309.22000000000003</v>
      </c>
      <c r="GN40" s="93">
        <v>308.24</v>
      </c>
      <c r="GO40" s="93">
        <v>307.26</v>
      </c>
      <c r="GP40" s="93">
        <v>306.29000000000002</v>
      </c>
      <c r="GQ40" s="93">
        <v>305.32</v>
      </c>
      <c r="GR40" s="93">
        <v>304.33999999999997</v>
      </c>
      <c r="GS40" s="93">
        <v>303.37</v>
      </c>
      <c r="GT40" s="93">
        <v>302.39999999999998</v>
      </c>
      <c r="GU40" s="93">
        <v>301.43</v>
      </c>
      <c r="GV40" s="93">
        <v>300.45999999999998</v>
      </c>
      <c r="GW40" s="93">
        <v>299.48</v>
      </c>
      <c r="GX40" s="93">
        <v>298.51</v>
      </c>
      <c r="GY40" s="93">
        <v>297.54000000000002</v>
      </c>
      <c r="GZ40" s="93">
        <v>296.57</v>
      </c>
      <c r="HA40" s="93">
        <v>295.60000000000002</v>
      </c>
      <c r="HB40" s="93">
        <v>294.64999999999998</v>
      </c>
      <c r="HC40" s="93">
        <v>293.68</v>
      </c>
      <c r="HD40" s="93">
        <v>292.72000000000003</v>
      </c>
      <c r="HE40" s="93">
        <v>291.75</v>
      </c>
      <c r="HF40" s="93">
        <v>290.79000000000002</v>
      </c>
      <c r="HG40" s="93">
        <v>289.82</v>
      </c>
      <c r="HH40" s="93">
        <v>288.87</v>
      </c>
      <c r="HI40" s="93">
        <v>287.91000000000003</v>
      </c>
      <c r="HJ40" s="93">
        <v>286.95</v>
      </c>
      <c r="HK40" s="93">
        <v>285.99</v>
      </c>
      <c r="HL40" s="93">
        <v>285.04000000000002</v>
      </c>
      <c r="HM40" s="93">
        <v>284.08999999999997</v>
      </c>
      <c r="HN40" s="93">
        <v>283.14</v>
      </c>
      <c r="HO40" s="93">
        <v>282.19</v>
      </c>
      <c r="HP40" s="93">
        <v>281.24</v>
      </c>
      <c r="HQ40" s="93">
        <v>280.29000000000002</v>
      </c>
      <c r="HR40" s="93">
        <v>279.35000000000002</v>
      </c>
      <c r="HS40" s="93">
        <v>278.39999999999998</v>
      </c>
      <c r="HT40" s="93">
        <v>277.45999999999998</v>
      </c>
      <c r="HU40" s="93">
        <v>276.51</v>
      </c>
      <c r="HV40" s="93">
        <v>275.57</v>
      </c>
      <c r="HW40" s="93">
        <v>274.63</v>
      </c>
      <c r="HX40" s="93">
        <v>273.69</v>
      </c>
      <c r="HY40" s="93">
        <v>272.75</v>
      </c>
      <c r="HZ40" s="93">
        <v>271.81</v>
      </c>
      <c r="IA40" s="93">
        <v>270.87</v>
      </c>
      <c r="IB40" s="93">
        <v>269.94</v>
      </c>
      <c r="IC40" s="93">
        <v>269</v>
      </c>
      <c r="ID40" s="93">
        <v>268.06</v>
      </c>
      <c r="IE40" s="93">
        <v>267.13</v>
      </c>
      <c r="IF40" s="93">
        <v>266.2</v>
      </c>
      <c r="IG40" s="93">
        <v>265.26</v>
      </c>
      <c r="IH40" s="93">
        <v>264.32</v>
      </c>
      <c r="II40" s="93">
        <v>263.39999999999998</v>
      </c>
      <c r="IJ40" s="93">
        <v>262.47000000000003</v>
      </c>
      <c r="IK40" s="93">
        <v>261.54000000000002</v>
      </c>
      <c r="IL40" s="93">
        <v>260.60000000000002</v>
      </c>
      <c r="IM40" s="93">
        <v>259.69</v>
      </c>
      <c r="IN40" s="93">
        <v>258.76</v>
      </c>
      <c r="IO40" s="93">
        <v>257.83999999999997</v>
      </c>
      <c r="IP40" s="93">
        <v>256.91000000000003</v>
      </c>
      <c r="IQ40" s="93">
        <v>255.99</v>
      </c>
      <c r="IR40" s="93">
        <v>255.07</v>
      </c>
      <c r="IS40" s="93">
        <v>254.15</v>
      </c>
      <c r="IT40" s="93">
        <v>253.23</v>
      </c>
      <c r="IU40" s="93">
        <v>252.31</v>
      </c>
      <c r="IV40" s="93">
        <v>251.4</v>
      </c>
      <c r="IW40" s="93">
        <v>250.49</v>
      </c>
      <c r="IX40" s="93">
        <v>249.58</v>
      </c>
      <c r="IY40" s="93">
        <v>248.68</v>
      </c>
      <c r="IZ40" s="93">
        <v>247.77</v>
      </c>
      <c r="JA40" s="93">
        <v>246.87</v>
      </c>
      <c r="JB40" s="93">
        <v>245.96</v>
      </c>
      <c r="JC40" s="93">
        <v>245.06</v>
      </c>
      <c r="JD40" s="93">
        <v>244.16</v>
      </c>
      <c r="JE40" s="93">
        <v>243.26</v>
      </c>
      <c r="JF40" s="93">
        <v>242.36</v>
      </c>
      <c r="JG40" s="93">
        <v>241.46</v>
      </c>
      <c r="JH40" s="93">
        <v>240.56</v>
      </c>
      <c r="JI40" s="93">
        <v>239.67</v>
      </c>
      <c r="JJ40" s="93">
        <v>238.77</v>
      </c>
      <c r="JK40" s="93">
        <v>237.88</v>
      </c>
      <c r="JL40" s="93">
        <v>236.99</v>
      </c>
      <c r="JM40" s="93">
        <v>236.09</v>
      </c>
      <c r="JN40" s="93">
        <v>235.2</v>
      </c>
      <c r="JO40" s="93">
        <v>234.31</v>
      </c>
      <c r="JP40" s="93">
        <v>233.42</v>
      </c>
      <c r="JQ40" s="93">
        <v>232.53</v>
      </c>
      <c r="JR40" s="93">
        <v>231.65</v>
      </c>
      <c r="JS40" s="93">
        <v>230.76</v>
      </c>
      <c r="JT40" s="93">
        <v>229.87</v>
      </c>
      <c r="JU40" s="93">
        <v>228.97</v>
      </c>
      <c r="JV40" s="93">
        <v>228.08</v>
      </c>
      <c r="JW40" s="93">
        <v>227.19</v>
      </c>
      <c r="JX40" s="93">
        <v>226.3</v>
      </c>
      <c r="JY40" s="93">
        <v>225.41</v>
      </c>
      <c r="JZ40" s="93">
        <v>224.52</v>
      </c>
      <c r="KA40" s="93">
        <v>223.64</v>
      </c>
      <c r="KB40" s="93">
        <v>222.75</v>
      </c>
      <c r="KC40" s="93">
        <v>221.86</v>
      </c>
      <c r="KD40" s="93">
        <v>220.98</v>
      </c>
      <c r="KE40" s="93">
        <v>220.09</v>
      </c>
      <c r="KF40" s="93">
        <v>219.21</v>
      </c>
      <c r="KG40" s="93">
        <v>218.33</v>
      </c>
      <c r="KH40" s="93">
        <v>217.45</v>
      </c>
      <c r="KI40" s="93">
        <v>216.57</v>
      </c>
      <c r="KJ40" s="93">
        <v>215.69</v>
      </c>
      <c r="KK40" s="93">
        <v>214.81</v>
      </c>
      <c r="KL40" s="93">
        <v>213.93</v>
      </c>
      <c r="KM40" s="93">
        <v>213.06</v>
      </c>
      <c r="KN40" s="93">
        <v>212.18</v>
      </c>
      <c r="KO40" s="93">
        <v>211.31</v>
      </c>
      <c r="KP40" s="93">
        <v>210.44</v>
      </c>
      <c r="KQ40" s="93">
        <v>209.56</v>
      </c>
      <c r="KR40" s="98">
        <f t="shared" si="29"/>
        <v>210.02</v>
      </c>
      <c r="KS40" s="98">
        <f t="shared" si="29"/>
        <v>209.23</v>
      </c>
      <c r="KT40" s="98">
        <f t="shared" si="29"/>
        <v>208.41</v>
      </c>
      <c r="KU40" s="98">
        <f t="shared" si="29"/>
        <v>207.62</v>
      </c>
      <c r="KV40" s="98">
        <f t="shared" si="29"/>
        <v>206.84</v>
      </c>
      <c r="KW40" s="98">
        <f t="shared" si="29"/>
        <v>206.05</v>
      </c>
      <c r="KX40" s="98">
        <f t="shared" si="29"/>
        <v>205.26</v>
      </c>
      <c r="KY40" s="98">
        <f t="shared" si="29"/>
        <v>204.48</v>
      </c>
      <c r="KZ40" s="98">
        <f t="shared" si="29"/>
        <v>203.69</v>
      </c>
      <c r="LA40" s="98">
        <f t="shared" si="29"/>
        <v>202.91</v>
      </c>
      <c r="LB40" s="98">
        <f t="shared" si="29"/>
        <v>202.13</v>
      </c>
      <c r="LC40" s="98">
        <f t="shared" si="29"/>
        <v>201.35</v>
      </c>
      <c r="LD40" s="98">
        <f t="shared" si="29"/>
        <v>200.57</v>
      </c>
      <c r="LE40" s="98">
        <f t="shared" si="29"/>
        <v>199.79</v>
      </c>
      <c r="LF40" s="98">
        <f t="shared" si="29"/>
        <v>199.02</v>
      </c>
      <c r="LG40" s="98">
        <f t="shared" si="28"/>
        <v>198.25</v>
      </c>
      <c r="LH40" s="98">
        <f t="shared" si="28"/>
        <v>197.47</v>
      </c>
      <c r="LI40" s="98">
        <f t="shared" si="28"/>
        <v>196.7</v>
      </c>
      <c r="LJ40" s="98">
        <f t="shared" si="28"/>
        <v>195.93</v>
      </c>
      <c r="LK40" s="98">
        <f t="shared" si="28"/>
        <v>195.16</v>
      </c>
      <c r="LL40" s="98">
        <f t="shared" si="28"/>
        <v>194.39</v>
      </c>
      <c r="LM40" s="98">
        <f t="shared" si="28"/>
        <v>193.63</v>
      </c>
      <c r="LN40" s="98">
        <f t="shared" si="28"/>
        <v>192.86</v>
      </c>
      <c r="LO40" s="98">
        <f t="shared" si="28"/>
        <v>192.1</v>
      </c>
      <c r="LP40" s="98">
        <f t="shared" si="28"/>
        <v>191.34</v>
      </c>
      <c r="LQ40" s="98">
        <f t="shared" si="28"/>
        <v>190.58</v>
      </c>
      <c r="LR40" s="98">
        <f t="shared" si="28"/>
        <v>189.82</v>
      </c>
      <c r="LS40" s="98">
        <f t="shared" si="28"/>
        <v>189.06</v>
      </c>
      <c r="LT40" s="98">
        <f t="shared" si="28"/>
        <v>188.31</v>
      </c>
      <c r="LU40" s="98">
        <f t="shared" si="28"/>
        <v>187.56</v>
      </c>
      <c r="LV40" s="98">
        <f t="shared" si="28"/>
        <v>186.8</v>
      </c>
      <c r="LW40" s="98">
        <f t="shared" si="28"/>
        <v>186.05</v>
      </c>
      <c r="LX40" s="98">
        <f t="shared" si="23"/>
        <v>185.3</v>
      </c>
      <c r="LY40" s="98">
        <f t="shared" si="23"/>
        <v>184.55</v>
      </c>
      <c r="LZ40" s="98">
        <f t="shared" si="23"/>
        <v>183.81</v>
      </c>
      <c r="MA40" s="98">
        <f t="shared" si="23"/>
        <v>183.06</v>
      </c>
      <c r="MB40" s="98">
        <f t="shared" si="23"/>
        <v>182.32</v>
      </c>
      <c r="MC40" s="98">
        <f t="shared" si="23"/>
        <v>181.58</v>
      </c>
      <c r="MD40" s="100">
        <f t="shared" si="23"/>
        <v>180.84</v>
      </c>
      <c r="ME40" s="101">
        <f t="shared" si="23"/>
        <v>180.11</v>
      </c>
      <c r="MF40" s="101">
        <f t="shared" si="23"/>
        <v>179.37</v>
      </c>
      <c r="MG40" s="101">
        <f t="shared" si="23"/>
        <v>178.64</v>
      </c>
      <c r="MH40" s="101">
        <f t="shared" si="23"/>
        <v>177.9</v>
      </c>
      <c r="MI40" s="101">
        <f t="shared" si="23"/>
        <v>177.17</v>
      </c>
      <c r="MJ40" s="101">
        <f t="shared" si="23"/>
        <v>176.44</v>
      </c>
      <c r="MK40" s="101">
        <f t="shared" si="23"/>
        <v>175.71</v>
      </c>
      <c r="ML40" s="101">
        <f t="shared" si="23"/>
        <v>174.99</v>
      </c>
      <c r="MM40" s="101">
        <f t="shared" si="23"/>
        <v>174.26</v>
      </c>
      <c r="MN40" s="101">
        <f t="shared" si="25"/>
        <v>173.54</v>
      </c>
      <c r="MO40" s="101">
        <f t="shared" si="26"/>
        <v>172.82</v>
      </c>
      <c r="MP40" s="101">
        <f t="shared" si="27"/>
        <v>172.1</v>
      </c>
      <c r="MQ40" s="101">
        <f t="shared" si="24"/>
        <v>171.39</v>
      </c>
      <c r="MR40" s="101">
        <f t="shared" si="24"/>
        <v>170.67</v>
      </c>
      <c r="MS40" s="101">
        <f t="shared" si="24"/>
        <v>169.96</v>
      </c>
      <c r="MT40" s="101">
        <f t="shared" si="24"/>
        <v>169.24</v>
      </c>
      <c r="MU40" s="101">
        <f t="shared" si="24"/>
        <v>168.53</v>
      </c>
      <c r="MV40" s="101">
        <f t="shared" si="24"/>
        <v>167.82</v>
      </c>
      <c r="MW40" s="101">
        <f t="shared" si="24"/>
        <v>167.12</v>
      </c>
      <c r="MX40" s="101">
        <f t="shared" si="24"/>
        <v>166.41</v>
      </c>
      <c r="MY40" s="101">
        <f t="shared" si="24"/>
        <v>165.71</v>
      </c>
    </row>
    <row r="41" spans="1:363" ht="15.75" x14ac:dyDescent="0.25">
      <c r="A41" s="90" t="s">
        <v>6</v>
      </c>
      <c r="B41" s="95">
        <v>2051</v>
      </c>
      <c r="C41" s="93">
        <v>506.66</v>
      </c>
      <c r="D41" s="93">
        <v>505.62</v>
      </c>
      <c r="E41" s="93">
        <v>504.58</v>
      </c>
      <c r="F41" s="93">
        <v>503.55</v>
      </c>
      <c r="G41" s="93">
        <v>502.51</v>
      </c>
      <c r="H41" s="93">
        <v>501.47</v>
      </c>
      <c r="I41" s="93">
        <v>500.44</v>
      </c>
      <c r="J41" s="93">
        <v>499.4</v>
      </c>
      <c r="K41" s="93">
        <v>498.37</v>
      </c>
      <c r="L41" s="93">
        <v>497.33</v>
      </c>
      <c r="M41" s="93">
        <v>496.29</v>
      </c>
      <c r="N41" s="93">
        <v>495.26</v>
      </c>
      <c r="O41" s="93">
        <v>494.22</v>
      </c>
      <c r="P41" s="93">
        <v>493.19</v>
      </c>
      <c r="Q41" s="93">
        <v>492.15</v>
      </c>
      <c r="R41" s="93">
        <v>491.11</v>
      </c>
      <c r="S41" s="93">
        <v>490.08</v>
      </c>
      <c r="T41" s="93">
        <v>489.04</v>
      </c>
      <c r="U41" s="93">
        <v>488</v>
      </c>
      <c r="V41" s="93">
        <v>486.97</v>
      </c>
      <c r="W41" s="93">
        <v>485.93</v>
      </c>
      <c r="X41" s="93">
        <v>484.9</v>
      </c>
      <c r="Y41" s="93">
        <v>483.86</v>
      </c>
      <c r="Z41" s="93">
        <v>482.82</v>
      </c>
      <c r="AA41" s="93">
        <v>481.79</v>
      </c>
      <c r="AB41" s="93">
        <v>480.75</v>
      </c>
      <c r="AC41" s="93">
        <v>479.71</v>
      </c>
      <c r="AD41" s="93">
        <v>478.68</v>
      </c>
      <c r="AE41" s="93">
        <v>477.64</v>
      </c>
      <c r="AF41" s="93">
        <v>476.6</v>
      </c>
      <c r="AG41" s="93">
        <v>475.57</v>
      </c>
      <c r="AH41" s="93">
        <v>474.53</v>
      </c>
      <c r="AI41" s="93">
        <v>473.49</v>
      </c>
      <c r="AJ41" s="93">
        <v>472.46</v>
      </c>
      <c r="AK41" s="93">
        <v>471.42</v>
      </c>
      <c r="AL41" s="93">
        <v>470.38</v>
      </c>
      <c r="AM41" s="93">
        <v>469.35</v>
      </c>
      <c r="AN41" s="93">
        <v>468.31</v>
      </c>
      <c r="AO41" s="93">
        <v>467.27</v>
      </c>
      <c r="AP41" s="93">
        <v>466.24</v>
      </c>
      <c r="AQ41" s="93">
        <v>465.2</v>
      </c>
      <c r="AR41" s="93">
        <v>464.16</v>
      </c>
      <c r="AS41" s="93">
        <v>463.12</v>
      </c>
      <c r="AT41" s="93">
        <v>462.09</v>
      </c>
      <c r="AU41" s="93">
        <v>461.05</v>
      </c>
      <c r="AV41" s="93">
        <v>460.01</v>
      </c>
      <c r="AW41" s="93">
        <v>458.98</v>
      </c>
      <c r="AX41" s="93">
        <v>457.94</v>
      </c>
      <c r="AY41" s="93">
        <v>456.9</v>
      </c>
      <c r="AZ41" s="93">
        <v>455.87</v>
      </c>
      <c r="BA41" s="93">
        <v>454.83</v>
      </c>
      <c r="BB41" s="93">
        <v>453.79</v>
      </c>
      <c r="BC41" s="93">
        <v>452.75</v>
      </c>
      <c r="BD41" s="93">
        <v>451.72</v>
      </c>
      <c r="BE41" s="93">
        <v>450.68</v>
      </c>
      <c r="BF41" s="93">
        <v>449.64</v>
      </c>
      <c r="BG41" s="93">
        <v>448.61</v>
      </c>
      <c r="BH41" s="93">
        <v>447.57</v>
      </c>
      <c r="BI41" s="93">
        <v>446.53</v>
      </c>
      <c r="BJ41" s="93">
        <v>445.49</v>
      </c>
      <c r="BK41" s="93">
        <v>444.46</v>
      </c>
      <c r="BL41" s="93">
        <v>443.42</v>
      </c>
      <c r="BM41" s="93">
        <v>442.38</v>
      </c>
      <c r="BN41" s="93">
        <v>441.34</v>
      </c>
      <c r="BO41" s="93">
        <v>440.31</v>
      </c>
      <c r="BP41" s="93">
        <v>439.27</v>
      </c>
      <c r="BQ41" s="93">
        <v>438.23</v>
      </c>
      <c r="BR41" s="93">
        <v>437.19</v>
      </c>
      <c r="BS41" s="93">
        <v>436.15</v>
      </c>
      <c r="BT41" s="93">
        <v>435.12</v>
      </c>
      <c r="BU41" s="93">
        <v>434.08</v>
      </c>
      <c r="BV41" s="93">
        <v>433.04</v>
      </c>
      <c r="BW41" s="93">
        <v>432.01</v>
      </c>
      <c r="BX41" s="93">
        <v>430.97</v>
      </c>
      <c r="BY41" s="93">
        <v>429.93</v>
      </c>
      <c r="BZ41" s="93">
        <v>428.9</v>
      </c>
      <c r="CA41" s="93">
        <v>427.86</v>
      </c>
      <c r="CB41" s="93">
        <v>426.83</v>
      </c>
      <c r="CC41" s="93">
        <v>425.79</v>
      </c>
      <c r="CD41" s="93">
        <v>424.75</v>
      </c>
      <c r="CE41" s="93">
        <v>423.72</v>
      </c>
      <c r="CF41" s="93">
        <v>422.68</v>
      </c>
      <c r="CG41" s="93">
        <v>421.65</v>
      </c>
      <c r="CH41" s="93">
        <v>420.61</v>
      </c>
      <c r="CI41" s="93">
        <v>419.58</v>
      </c>
      <c r="CJ41" s="93">
        <v>418.54</v>
      </c>
      <c r="CK41" s="93">
        <v>417.51</v>
      </c>
      <c r="CL41" s="93">
        <v>416.47</v>
      </c>
      <c r="CM41" s="93">
        <v>415.44</v>
      </c>
      <c r="CN41" s="93">
        <v>414.4</v>
      </c>
      <c r="CO41" s="93">
        <v>413.37</v>
      </c>
      <c r="CP41" s="93">
        <v>412.33</v>
      </c>
      <c r="CQ41" s="93">
        <v>411.29</v>
      </c>
      <c r="CR41" s="93">
        <v>410.26</v>
      </c>
      <c r="CS41" s="93">
        <v>409.22</v>
      </c>
      <c r="CT41" s="93">
        <v>408.19</v>
      </c>
      <c r="CU41" s="93">
        <v>407.15</v>
      </c>
      <c r="CV41" s="93">
        <v>406.12</v>
      </c>
      <c r="CW41" s="93">
        <v>405.09</v>
      </c>
      <c r="CX41" s="93">
        <v>404.05</v>
      </c>
      <c r="CY41" s="93">
        <v>403.02</v>
      </c>
      <c r="CZ41" s="93">
        <v>401.99</v>
      </c>
      <c r="DA41" s="93">
        <v>400.95</v>
      </c>
      <c r="DB41" s="93">
        <v>399.92</v>
      </c>
      <c r="DC41" s="93">
        <v>398.89</v>
      </c>
      <c r="DD41" s="93">
        <v>397.85</v>
      </c>
      <c r="DE41" s="93">
        <v>396.82</v>
      </c>
      <c r="DF41" s="93">
        <v>395.79</v>
      </c>
      <c r="DG41" s="93">
        <v>394.76</v>
      </c>
      <c r="DH41" s="93">
        <v>393.72</v>
      </c>
      <c r="DI41" s="93">
        <v>392.69</v>
      </c>
      <c r="DJ41" s="93">
        <v>391.66</v>
      </c>
      <c r="DK41" s="93">
        <v>390.63</v>
      </c>
      <c r="DL41" s="93">
        <v>389.6</v>
      </c>
      <c r="DM41" s="93">
        <v>388.57</v>
      </c>
      <c r="DN41" s="93">
        <v>387.54</v>
      </c>
      <c r="DO41" s="93">
        <v>386.51</v>
      </c>
      <c r="DP41" s="93">
        <v>385.48</v>
      </c>
      <c r="DQ41" s="93">
        <v>384.45</v>
      </c>
      <c r="DR41" s="93">
        <v>383.42</v>
      </c>
      <c r="DS41" s="93">
        <v>382.39</v>
      </c>
      <c r="DT41" s="93">
        <v>381.36</v>
      </c>
      <c r="DU41" s="93">
        <v>380.33</v>
      </c>
      <c r="DV41" s="93">
        <v>379.31</v>
      </c>
      <c r="DW41" s="93">
        <v>378.28</v>
      </c>
      <c r="DX41" s="93">
        <v>377.26</v>
      </c>
      <c r="DY41" s="93">
        <v>376.23</v>
      </c>
      <c r="DZ41" s="93">
        <v>375.21</v>
      </c>
      <c r="EA41" s="93">
        <v>374.18</v>
      </c>
      <c r="EB41" s="93">
        <v>373.16</v>
      </c>
      <c r="EC41" s="93">
        <v>372.13</v>
      </c>
      <c r="ED41" s="93">
        <v>371.11</v>
      </c>
      <c r="EE41" s="93">
        <v>370.09</v>
      </c>
      <c r="EF41" s="93">
        <v>369.07</v>
      </c>
      <c r="EG41" s="93">
        <v>368.05</v>
      </c>
      <c r="EH41" s="93">
        <v>367.03</v>
      </c>
      <c r="EI41" s="93">
        <v>366.02</v>
      </c>
      <c r="EJ41" s="93">
        <v>365</v>
      </c>
      <c r="EK41" s="93">
        <v>363.98</v>
      </c>
      <c r="EL41" s="93">
        <v>362.97</v>
      </c>
      <c r="EM41" s="93">
        <v>361.95</v>
      </c>
      <c r="EN41" s="93">
        <v>360.93</v>
      </c>
      <c r="EO41" s="93">
        <v>359.92</v>
      </c>
      <c r="EP41" s="93">
        <v>358.9</v>
      </c>
      <c r="EQ41" s="93">
        <v>357.89</v>
      </c>
      <c r="ER41" s="93">
        <v>356.88</v>
      </c>
      <c r="ES41" s="93">
        <v>355.87</v>
      </c>
      <c r="ET41" s="93">
        <v>354.86</v>
      </c>
      <c r="EU41" s="93">
        <v>353.85</v>
      </c>
      <c r="EV41" s="93">
        <v>352.84</v>
      </c>
      <c r="EW41" s="93">
        <v>351.83</v>
      </c>
      <c r="EX41" s="93">
        <v>350.82</v>
      </c>
      <c r="EY41" s="93">
        <v>349.81</v>
      </c>
      <c r="EZ41" s="93">
        <v>348.8</v>
      </c>
      <c r="FA41" s="93">
        <v>347.79</v>
      </c>
      <c r="FB41" s="93">
        <v>346.79</v>
      </c>
      <c r="FC41" s="93">
        <v>345.78</v>
      </c>
      <c r="FD41" s="93">
        <v>344.78</v>
      </c>
      <c r="FE41" s="93">
        <v>343.77</v>
      </c>
      <c r="FF41" s="93">
        <v>342.77</v>
      </c>
      <c r="FG41" s="93">
        <v>341.77</v>
      </c>
      <c r="FH41" s="93">
        <v>340.77</v>
      </c>
      <c r="FI41" s="93">
        <v>339.77</v>
      </c>
      <c r="FJ41" s="93">
        <v>338.77</v>
      </c>
      <c r="FK41" s="93">
        <v>337.77</v>
      </c>
      <c r="FL41" s="93">
        <v>336.77</v>
      </c>
      <c r="FM41" s="93">
        <v>335.77</v>
      </c>
      <c r="FN41" s="93">
        <v>334.77</v>
      </c>
      <c r="FO41" s="93">
        <v>333.77</v>
      </c>
      <c r="FP41" s="93">
        <v>332.78</v>
      </c>
      <c r="FQ41" s="93">
        <v>331.78</v>
      </c>
      <c r="FR41" s="93">
        <v>330.79</v>
      </c>
      <c r="FS41" s="93">
        <v>329.79</v>
      </c>
      <c r="FT41" s="93">
        <v>328.8</v>
      </c>
      <c r="FU41" s="93">
        <v>327.8</v>
      </c>
      <c r="FV41" s="93">
        <v>326.81</v>
      </c>
      <c r="FW41" s="93">
        <v>325.81</v>
      </c>
      <c r="FX41" s="93">
        <v>324.82</v>
      </c>
      <c r="FY41" s="93">
        <v>323.82</v>
      </c>
      <c r="FZ41" s="93">
        <v>322.83999999999997</v>
      </c>
      <c r="GA41" s="93">
        <v>321.85000000000002</v>
      </c>
      <c r="GB41" s="93">
        <v>320.85000000000002</v>
      </c>
      <c r="GC41" s="93">
        <v>319.87</v>
      </c>
      <c r="GD41" s="93">
        <v>318.88</v>
      </c>
      <c r="GE41" s="93">
        <v>317.89</v>
      </c>
      <c r="GF41" s="93">
        <v>316.89999999999998</v>
      </c>
      <c r="GG41" s="93">
        <v>315.92</v>
      </c>
      <c r="GH41" s="93">
        <v>314.93</v>
      </c>
      <c r="GI41" s="93">
        <v>313.94</v>
      </c>
      <c r="GJ41" s="93">
        <v>312.95999999999998</v>
      </c>
      <c r="GK41" s="93">
        <v>311.97000000000003</v>
      </c>
      <c r="GL41" s="93">
        <v>310.99</v>
      </c>
      <c r="GM41" s="93">
        <v>310.01</v>
      </c>
      <c r="GN41" s="93">
        <v>309.02999999999997</v>
      </c>
      <c r="GO41" s="93">
        <v>308.04000000000002</v>
      </c>
      <c r="GP41" s="93">
        <v>307.07</v>
      </c>
      <c r="GQ41" s="93">
        <v>306.10000000000002</v>
      </c>
      <c r="GR41" s="93">
        <v>305.13</v>
      </c>
      <c r="GS41" s="93">
        <v>304.14999999999998</v>
      </c>
      <c r="GT41" s="93">
        <v>303.18</v>
      </c>
      <c r="GU41" s="93">
        <v>302.20999999999998</v>
      </c>
      <c r="GV41" s="93">
        <v>301.23</v>
      </c>
      <c r="GW41" s="93">
        <v>300.26</v>
      </c>
      <c r="GX41" s="93">
        <v>299.29000000000002</v>
      </c>
      <c r="GY41" s="93">
        <v>298.32</v>
      </c>
      <c r="GZ41" s="93">
        <v>297.35000000000002</v>
      </c>
      <c r="HA41" s="93">
        <v>296.38</v>
      </c>
      <c r="HB41" s="93">
        <v>295.42</v>
      </c>
      <c r="HC41" s="93">
        <v>294.45</v>
      </c>
      <c r="HD41" s="93">
        <v>293.49</v>
      </c>
      <c r="HE41" s="93">
        <v>292.51</v>
      </c>
      <c r="HF41" s="93">
        <v>291.56</v>
      </c>
      <c r="HG41" s="93">
        <v>290.60000000000002</v>
      </c>
      <c r="HH41" s="93">
        <v>289.63</v>
      </c>
      <c r="HI41" s="93">
        <v>288.67</v>
      </c>
      <c r="HJ41" s="93">
        <v>287.70999999999998</v>
      </c>
      <c r="HK41" s="93">
        <v>286.75</v>
      </c>
      <c r="HL41" s="93">
        <v>285.79000000000002</v>
      </c>
      <c r="HM41" s="93">
        <v>284.85000000000002</v>
      </c>
      <c r="HN41" s="93">
        <v>283.89999999999998</v>
      </c>
      <c r="HO41" s="93">
        <v>282.95</v>
      </c>
      <c r="HP41" s="93">
        <v>282</v>
      </c>
      <c r="HQ41" s="93">
        <v>281.04000000000002</v>
      </c>
      <c r="HR41" s="93">
        <v>280.10000000000002</v>
      </c>
      <c r="HS41" s="93">
        <v>279.16000000000003</v>
      </c>
      <c r="HT41" s="93">
        <v>278.20999999999998</v>
      </c>
      <c r="HU41" s="93">
        <v>277.26</v>
      </c>
      <c r="HV41" s="93">
        <v>276.32</v>
      </c>
      <c r="HW41" s="93">
        <v>275.38</v>
      </c>
      <c r="HX41" s="93">
        <v>274.44</v>
      </c>
      <c r="HY41" s="93">
        <v>273.5</v>
      </c>
      <c r="HZ41" s="93">
        <v>272.56</v>
      </c>
      <c r="IA41" s="93">
        <v>271.62</v>
      </c>
      <c r="IB41" s="93">
        <v>270.68</v>
      </c>
      <c r="IC41" s="93">
        <v>269.75</v>
      </c>
      <c r="ID41" s="93">
        <v>268.81</v>
      </c>
      <c r="IE41" s="93">
        <v>267.87</v>
      </c>
      <c r="IF41" s="93">
        <v>266.94</v>
      </c>
      <c r="IG41" s="93">
        <v>266</v>
      </c>
      <c r="IH41" s="93">
        <v>265.07</v>
      </c>
      <c r="II41" s="93">
        <v>264.14</v>
      </c>
      <c r="IJ41" s="93">
        <v>263.20999999999998</v>
      </c>
      <c r="IK41" s="93">
        <v>262.27999999999997</v>
      </c>
      <c r="IL41" s="93">
        <v>261.35000000000002</v>
      </c>
      <c r="IM41" s="93">
        <v>260.42</v>
      </c>
      <c r="IN41" s="93">
        <v>259.49</v>
      </c>
      <c r="IO41" s="93">
        <v>258.57</v>
      </c>
      <c r="IP41" s="93">
        <v>257.64</v>
      </c>
      <c r="IQ41" s="93">
        <v>256.72000000000003</v>
      </c>
      <c r="IR41" s="93">
        <v>255.8</v>
      </c>
      <c r="IS41" s="93">
        <v>254.87</v>
      </c>
      <c r="IT41" s="93">
        <v>253.95</v>
      </c>
      <c r="IU41" s="93">
        <v>253.03</v>
      </c>
      <c r="IV41" s="93">
        <v>252.12</v>
      </c>
      <c r="IW41" s="93">
        <v>251.21</v>
      </c>
      <c r="IX41" s="93">
        <v>250.3</v>
      </c>
      <c r="IY41" s="93">
        <v>249.4</v>
      </c>
      <c r="IZ41" s="93">
        <v>248.49</v>
      </c>
      <c r="JA41" s="93">
        <v>247.59</v>
      </c>
      <c r="JB41" s="93">
        <v>246.68</v>
      </c>
      <c r="JC41" s="93">
        <v>245.78</v>
      </c>
      <c r="JD41" s="93">
        <v>244.87</v>
      </c>
      <c r="JE41" s="93">
        <v>243.97</v>
      </c>
      <c r="JF41" s="93">
        <v>243.07</v>
      </c>
      <c r="JG41" s="93">
        <v>242.17</v>
      </c>
      <c r="JH41" s="93">
        <v>241.27</v>
      </c>
      <c r="JI41" s="93">
        <v>240.38</v>
      </c>
      <c r="JJ41" s="93">
        <v>239.48</v>
      </c>
      <c r="JK41" s="93">
        <v>238.58</v>
      </c>
      <c r="JL41" s="93">
        <v>237.69</v>
      </c>
      <c r="JM41" s="93">
        <v>236.8</v>
      </c>
      <c r="JN41" s="93">
        <v>235.9</v>
      </c>
      <c r="JO41" s="93">
        <v>235.01</v>
      </c>
      <c r="JP41" s="93">
        <v>234.12</v>
      </c>
      <c r="JQ41" s="93">
        <v>233.23</v>
      </c>
      <c r="JR41" s="93">
        <v>232.34</v>
      </c>
      <c r="JS41" s="93">
        <v>231.45</v>
      </c>
      <c r="JT41" s="93">
        <v>230.56</v>
      </c>
      <c r="JU41" s="93">
        <v>229.66</v>
      </c>
      <c r="JV41" s="93">
        <v>228.77</v>
      </c>
      <c r="JW41" s="93">
        <v>227.88</v>
      </c>
      <c r="JX41" s="93">
        <v>226.99</v>
      </c>
      <c r="JY41" s="93">
        <v>226.1</v>
      </c>
      <c r="JZ41" s="93">
        <v>225.21</v>
      </c>
      <c r="KA41" s="93">
        <v>224.32</v>
      </c>
      <c r="KB41" s="93">
        <v>223.43</v>
      </c>
      <c r="KC41" s="93">
        <v>222.54</v>
      </c>
      <c r="KD41" s="93">
        <v>221.65</v>
      </c>
      <c r="KE41" s="93">
        <v>220.77</v>
      </c>
      <c r="KF41" s="93">
        <v>219.88</v>
      </c>
      <c r="KG41" s="93">
        <v>219</v>
      </c>
      <c r="KH41" s="93">
        <v>218.12</v>
      </c>
      <c r="KI41" s="93">
        <v>217.24</v>
      </c>
      <c r="KJ41" s="93">
        <v>216.36</v>
      </c>
      <c r="KK41" s="93">
        <v>215.48</v>
      </c>
      <c r="KL41" s="93">
        <v>214.6</v>
      </c>
      <c r="KM41" s="93">
        <v>213.72</v>
      </c>
      <c r="KN41" s="93">
        <v>212.84</v>
      </c>
      <c r="KO41" s="93">
        <v>211.97</v>
      </c>
      <c r="KP41" s="93">
        <v>211.09</v>
      </c>
      <c r="KQ41" s="93">
        <v>210.22</v>
      </c>
      <c r="KR41" s="98">
        <f t="shared" si="29"/>
        <v>210.77</v>
      </c>
      <c r="KS41" s="98">
        <f t="shared" si="29"/>
        <v>209.98</v>
      </c>
      <c r="KT41" s="98">
        <f t="shared" si="29"/>
        <v>209.16</v>
      </c>
      <c r="KU41" s="98">
        <f t="shared" si="29"/>
        <v>208.37</v>
      </c>
      <c r="KV41" s="98">
        <f t="shared" si="29"/>
        <v>207.59</v>
      </c>
      <c r="KW41" s="98">
        <f t="shared" si="29"/>
        <v>206.8</v>
      </c>
      <c r="KX41" s="98">
        <f t="shared" si="29"/>
        <v>206.01</v>
      </c>
      <c r="KY41" s="98">
        <f t="shared" si="29"/>
        <v>205.23</v>
      </c>
      <c r="KZ41" s="98">
        <f t="shared" si="29"/>
        <v>204.44</v>
      </c>
      <c r="LA41" s="98">
        <f t="shared" si="29"/>
        <v>203.66</v>
      </c>
      <c r="LB41" s="98">
        <f t="shared" si="29"/>
        <v>202.88</v>
      </c>
      <c r="LC41" s="98">
        <f t="shared" si="29"/>
        <v>202.1</v>
      </c>
      <c r="LD41" s="98">
        <f t="shared" si="29"/>
        <v>201.32</v>
      </c>
      <c r="LE41" s="98">
        <f t="shared" si="29"/>
        <v>200.54</v>
      </c>
      <c r="LF41" s="98">
        <f t="shared" si="29"/>
        <v>199.77</v>
      </c>
      <c r="LG41" s="98">
        <f t="shared" si="28"/>
        <v>199</v>
      </c>
      <c r="LH41" s="98">
        <f t="shared" si="28"/>
        <v>198.22</v>
      </c>
      <c r="LI41" s="98">
        <f t="shared" si="28"/>
        <v>197.45</v>
      </c>
      <c r="LJ41" s="98">
        <f t="shared" si="28"/>
        <v>196.68</v>
      </c>
      <c r="LK41" s="98">
        <f t="shared" si="28"/>
        <v>195.91</v>
      </c>
      <c r="LL41" s="98">
        <f t="shared" si="28"/>
        <v>195.14</v>
      </c>
      <c r="LM41" s="98">
        <f t="shared" si="28"/>
        <v>194.38</v>
      </c>
      <c r="LN41" s="98">
        <f t="shared" si="28"/>
        <v>193.61</v>
      </c>
      <c r="LO41" s="98">
        <f t="shared" si="28"/>
        <v>192.85</v>
      </c>
      <c r="LP41" s="98">
        <f t="shared" si="28"/>
        <v>192.09</v>
      </c>
      <c r="LQ41" s="98">
        <f t="shared" si="28"/>
        <v>191.33</v>
      </c>
      <c r="LR41" s="98">
        <f t="shared" si="28"/>
        <v>190.57</v>
      </c>
      <c r="LS41" s="98">
        <f t="shared" si="28"/>
        <v>189.81</v>
      </c>
      <c r="LT41" s="98">
        <f t="shared" si="28"/>
        <v>189.06</v>
      </c>
      <c r="LU41" s="98">
        <f t="shared" si="28"/>
        <v>188.31</v>
      </c>
      <c r="LV41" s="98">
        <f t="shared" si="28"/>
        <v>187.55</v>
      </c>
      <c r="LW41" s="98">
        <f t="shared" si="28"/>
        <v>186.8</v>
      </c>
      <c r="LX41" s="98">
        <f t="shared" ref="LX41:MM56" si="30">LX40+0.75</f>
        <v>186.05</v>
      </c>
      <c r="LY41" s="98">
        <f t="shared" si="30"/>
        <v>185.3</v>
      </c>
      <c r="LZ41" s="98">
        <f t="shared" si="30"/>
        <v>184.56</v>
      </c>
      <c r="MA41" s="98">
        <f t="shared" si="30"/>
        <v>183.81</v>
      </c>
      <c r="MB41" s="98">
        <f t="shared" si="30"/>
        <v>183.07</v>
      </c>
      <c r="MC41" s="98">
        <f t="shared" si="30"/>
        <v>182.33</v>
      </c>
      <c r="MD41" s="100">
        <f t="shared" si="30"/>
        <v>181.59</v>
      </c>
      <c r="ME41" s="101">
        <f t="shared" si="30"/>
        <v>180.86</v>
      </c>
      <c r="MF41" s="101">
        <f t="shared" si="30"/>
        <v>180.12</v>
      </c>
      <c r="MG41" s="101">
        <f t="shared" si="30"/>
        <v>179.39</v>
      </c>
      <c r="MH41" s="101">
        <f t="shared" si="30"/>
        <v>178.65</v>
      </c>
      <c r="MI41" s="101">
        <f t="shared" si="30"/>
        <v>177.92</v>
      </c>
      <c r="MJ41" s="101">
        <f t="shared" si="30"/>
        <v>177.19</v>
      </c>
      <c r="MK41" s="101">
        <f t="shared" si="30"/>
        <v>176.46</v>
      </c>
      <c r="ML41" s="101">
        <f t="shared" si="30"/>
        <v>175.74</v>
      </c>
      <c r="MM41" s="101">
        <f t="shared" si="30"/>
        <v>175.01</v>
      </c>
      <c r="MN41" s="101">
        <f t="shared" si="25"/>
        <v>174.29</v>
      </c>
      <c r="MO41" s="101">
        <f t="shared" si="26"/>
        <v>173.57</v>
      </c>
      <c r="MP41" s="101">
        <f t="shared" si="27"/>
        <v>172.85</v>
      </c>
      <c r="MQ41" s="101">
        <f t="shared" si="24"/>
        <v>172.14</v>
      </c>
      <c r="MR41" s="101">
        <f t="shared" si="24"/>
        <v>171.42</v>
      </c>
      <c r="MS41" s="101">
        <f t="shared" si="24"/>
        <v>170.71</v>
      </c>
      <c r="MT41" s="101">
        <f t="shared" si="24"/>
        <v>169.99</v>
      </c>
      <c r="MU41" s="101">
        <f t="shared" si="24"/>
        <v>169.28</v>
      </c>
      <c r="MV41" s="101">
        <f t="shared" si="24"/>
        <v>168.57</v>
      </c>
      <c r="MW41" s="101">
        <f t="shared" si="24"/>
        <v>167.87</v>
      </c>
      <c r="MX41" s="101">
        <f t="shared" si="24"/>
        <v>167.16</v>
      </c>
      <c r="MY41" s="101">
        <f t="shared" si="24"/>
        <v>166.46</v>
      </c>
    </row>
    <row r="42" spans="1:363" ht="15.75" x14ac:dyDescent="0.25">
      <c r="A42" s="90" t="s">
        <v>6</v>
      </c>
      <c r="B42" s="95">
        <v>2052</v>
      </c>
      <c r="C42" s="93">
        <v>507.47</v>
      </c>
      <c r="D42" s="93">
        <v>506.44</v>
      </c>
      <c r="E42" s="93">
        <v>505.4</v>
      </c>
      <c r="F42" s="93">
        <v>504.37</v>
      </c>
      <c r="G42" s="93">
        <v>503.33</v>
      </c>
      <c r="H42" s="93">
        <v>502.29</v>
      </c>
      <c r="I42" s="93">
        <v>501.26</v>
      </c>
      <c r="J42" s="93">
        <v>500.22</v>
      </c>
      <c r="K42" s="93">
        <v>499.19</v>
      </c>
      <c r="L42" s="93">
        <v>498.15</v>
      </c>
      <c r="M42" s="93">
        <v>497.11</v>
      </c>
      <c r="N42" s="93">
        <v>496.08</v>
      </c>
      <c r="O42" s="93">
        <v>495.04</v>
      </c>
      <c r="P42" s="93">
        <v>494.01</v>
      </c>
      <c r="Q42" s="93">
        <v>492.97</v>
      </c>
      <c r="R42" s="93">
        <v>491.93</v>
      </c>
      <c r="S42" s="93">
        <v>490.9</v>
      </c>
      <c r="T42" s="93">
        <v>489.86</v>
      </c>
      <c r="U42" s="93">
        <v>488.82</v>
      </c>
      <c r="V42" s="93">
        <v>487.79</v>
      </c>
      <c r="W42" s="93">
        <v>486.75</v>
      </c>
      <c r="X42" s="93">
        <v>485.72</v>
      </c>
      <c r="Y42" s="93">
        <v>484.68</v>
      </c>
      <c r="Z42" s="93">
        <v>483.64</v>
      </c>
      <c r="AA42" s="93">
        <v>482.61</v>
      </c>
      <c r="AB42" s="93">
        <v>481.57</v>
      </c>
      <c r="AC42" s="93">
        <v>480.53</v>
      </c>
      <c r="AD42" s="93">
        <v>479.5</v>
      </c>
      <c r="AE42" s="93">
        <v>478.46</v>
      </c>
      <c r="AF42" s="93">
        <v>477.42</v>
      </c>
      <c r="AG42" s="93">
        <v>476.39</v>
      </c>
      <c r="AH42" s="93">
        <v>475.35</v>
      </c>
      <c r="AI42" s="93">
        <v>474.31</v>
      </c>
      <c r="AJ42" s="93">
        <v>473.28</v>
      </c>
      <c r="AK42" s="93">
        <v>472.24</v>
      </c>
      <c r="AL42" s="93">
        <v>471.21</v>
      </c>
      <c r="AM42" s="93">
        <v>470.17</v>
      </c>
      <c r="AN42" s="93">
        <v>469.13</v>
      </c>
      <c r="AO42" s="93">
        <v>468.09</v>
      </c>
      <c r="AP42" s="93">
        <v>467.06</v>
      </c>
      <c r="AQ42" s="93">
        <v>466.02</v>
      </c>
      <c r="AR42" s="93">
        <v>464.98</v>
      </c>
      <c r="AS42" s="93">
        <v>463.95</v>
      </c>
      <c r="AT42" s="93">
        <v>462.91</v>
      </c>
      <c r="AU42" s="93">
        <v>461.87</v>
      </c>
      <c r="AV42" s="93">
        <v>460.84</v>
      </c>
      <c r="AW42" s="93">
        <v>459.8</v>
      </c>
      <c r="AX42" s="93">
        <v>458.76</v>
      </c>
      <c r="AY42" s="93">
        <v>457.73</v>
      </c>
      <c r="AZ42" s="93">
        <v>456.69</v>
      </c>
      <c r="BA42" s="93">
        <v>455.65</v>
      </c>
      <c r="BB42" s="93">
        <v>454.61</v>
      </c>
      <c r="BC42" s="93">
        <v>453.58</v>
      </c>
      <c r="BD42" s="93">
        <v>452.54</v>
      </c>
      <c r="BE42" s="93">
        <v>451.5</v>
      </c>
      <c r="BF42" s="93">
        <v>450.47</v>
      </c>
      <c r="BG42" s="93">
        <v>449.43</v>
      </c>
      <c r="BH42" s="93">
        <v>448.39</v>
      </c>
      <c r="BI42" s="93">
        <v>447.35</v>
      </c>
      <c r="BJ42" s="93">
        <v>446.32</v>
      </c>
      <c r="BK42" s="93">
        <v>445.28</v>
      </c>
      <c r="BL42" s="93">
        <v>444.24</v>
      </c>
      <c r="BM42" s="93">
        <v>443.2</v>
      </c>
      <c r="BN42" s="93">
        <v>442.17</v>
      </c>
      <c r="BO42" s="93">
        <v>441.13</v>
      </c>
      <c r="BP42" s="93">
        <v>440.09</v>
      </c>
      <c r="BQ42" s="93">
        <v>439.05</v>
      </c>
      <c r="BR42" s="93">
        <v>438.01</v>
      </c>
      <c r="BS42" s="93">
        <v>436.98</v>
      </c>
      <c r="BT42" s="93">
        <v>435.94</v>
      </c>
      <c r="BU42" s="93">
        <v>434.9</v>
      </c>
      <c r="BV42" s="93">
        <v>433.87</v>
      </c>
      <c r="BW42" s="93">
        <v>432.83</v>
      </c>
      <c r="BX42" s="93">
        <v>431.79</v>
      </c>
      <c r="BY42" s="93">
        <v>430.76</v>
      </c>
      <c r="BZ42" s="93">
        <v>429.72</v>
      </c>
      <c r="CA42" s="93">
        <v>428.68</v>
      </c>
      <c r="CB42" s="93">
        <v>427.65</v>
      </c>
      <c r="CC42" s="93">
        <v>426.61</v>
      </c>
      <c r="CD42" s="93">
        <v>425.58</v>
      </c>
      <c r="CE42" s="93">
        <v>424.54</v>
      </c>
      <c r="CF42" s="93">
        <v>423.51</v>
      </c>
      <c r="CG42" s="93">
        <v>422.47</v>
      </c>
      <c r="CH42" s="93">
        <v>421.43</v>
      </c>
      <c r="CI42" s="93">
        <v>420.4</v>
      </c>
      <c r="CJ42" s="93">
        <v>419.36</v>
      </c>
      <c r="CK42" s="93">
        <v>418.33</v>
      </c>
      <c r="CL42" s="93">
        <v>417.29</v>
      </c>
      <c r="CM42" s="93">
        <v>416.26</v>
      </c>
      <c r="CN42" s="93">
        <v>415.22</v>
      </c>
      <c r="CO42" s="93">
        <v>414.19</v>
      </c>
      <c r="CP42" s="93">
        <v>413.15</v>
      </c>
      <c r="CQ42" s="93">
        <v>412.11</v>
      </c>
      <c r="CR42" s="93">
        <v>411.08</v>
      </c>
      <c r="CS42" s="93">
        <v>410.04</v>
      </c>
      <c r="CT42" s="93">
        <v>409.01</v>
      </c>
      <c r="CU42" s="93">
        <v>407.97</v>
      </c>
      <c r="CV42" s="93">
        <v>406.94</v>
      </c>
      <c r="CW42" s="93">
        <v>405.91</v>
      </c>
      <c r="CX42" s="93">
        <v>404.87</v>
      </c>
      <c r="CY42" s="93">
        <v>403.84</v>
      </c>
      <c r="CZ42" s="93">
        <v>402.8</v>
      </c>
      <c r="DA42" s="93">
        <v>401.77</v>
      </c>
      <c r="DB42" s="93">
        <v>400.74</v>
      </c>
      <c r="DC42" s="93">
        <v>399.7</v>
      </c>
      <c r="DD42" s="93">
        <v>398.67</v>
      </c>
      <c r="DE42" s="93">
        <v>397.64</v>
      </c>
      <c r="DF42" s="93">
        <v>396.61</v>
      </c>
      <c r="DG42" s="93">
        <v>395.57</v>
      </c>
      <c r="DH42" s="93">
        <v>394.54</v>
      </c>
      <c r="DI42" s="93">
        <v>393.51</v>
      </c>
      <c r="DJ42" s="93">
        <v>392.48</v>
      </c>
      <c r="DK42" s="93">
        <v>391.45</v>
      </c>
      <c r="DL42" s="93">
        <v>390.41</v>
      </c>
      <c r="DM42" s="93">
        <v>389.38</v>
      </c>
      <c r="DN42" s="93">
        <v>388.35</v>
      </c>
      <c r="DO42" s="93">
        <v>387.32</v>
      </c>
      <c r="DP42" s="93">
        <v>386.29</v>
      </c>
      <c r="DQ42" s="93">
        <v>385.26</v>
      </c>
      <c r="DR42" s="93">
        <v>384.23</v>
      </c>
      <c r="DS42" s="93">
        <v>383.2</v>
      </c>
      <c r="DT42" s="93">
        <v>382.17</v>
      </c>
      <c r="DU42" s="93">
        <v>381.15</v>
      </c>
      <c r="DV42" s="93">
        <v>380.12</v>
      </c>
      <c r="DW42" s="93">
        <v>379.09</v>
      </c>
      <c r="DX42" s="93">
        <v>378.07</v>
      </c>
      <c r="DY42" s="93">
        <v>377.04</v>
      </c>
      <c r="DZ42" s="93">
        <v>376.02</v>
      </c>
      <c r="EA42" s="93">
        <v>374.99</v>
      </c>
      <c r="EB42" s="93">
        <v>373.97</v>
      </c>
      <c r="EC42" s="93">
        <v>372.95</v>
      </c>
      <c r="ED42" s="93">
        <v>371.92</v>
      </c>
      <c r="EE42" s="93">
        <v>370.9</v>
      </c>
      <c r="EF42" s="93">
        <v>369.88</v>
      </c>
      <c r="EG42" s="93">
        <v>368.86</v>
      </c>
      <c r="EH42" s="93">
        <v>367.84</v>
      </c>
      <c r="EI42" s="93">
        <v>366.83</v>
      </c>
      <c r="EJ42" s="93">
        <v>365.81</v>
      </c>
      <c r="EK42" s="93">
        <v>364.79</v>
      </c>
      <c r="EL42" s="93">
        <v>363.77</v>
      </c>
      <c r="EM42" s="93">
        <v>362.76</v>
      </c>
      <c r="EN42" s="93">
        <v>361.74</v>
      </c>
      <c r="EO42" s="93">
        <v>360.73</v>
      </c>
      <c r="EP42" s="93">
        <v>359.71</v>
      </c>
      <c r="EQ42" s="93">
        <v>358.7</v>
      </c>
      <c r="ER42" s="93">
        <v>357.68</v>
      </c>
      <c r="ES42" s="93">
        <v>356.67</v>
      </c>
      <c r="ET42" s="93">
        <v>355.66</v>
      </c>
      <c r="EU42" s="93">
        <v>354.65</v>
      </c>
      <c r="EV42" s="93">
        <v>353.64</v>
      </c>
      <c r="EW42" s="93">
        <v>352.63</v>
      </c>
      <c r="EX42" s="93">
        <v>351.62</v>
      </c>
      <c r="EY42" s="93">
        <v>350.61</v>
      </c>
      <c r="EZ42" s="93">
        <v>349.6</v>
      </c>
      <c r="FA42" s="93">
        <v>348.6</v>
      </c>
      <c r="FB42" s="93">
        <v>347.59</v>
      </c>
      <c r="FC42" s="93">
        <v>346.58</v>
      </c>
      <c r="FD42" s="93">
        <v>345.58</v>
      </c>
      <c r="FE42" s="93">
        <v>344.57</v>
      </c>
      <c r="FF42" s="93">
        <v>343.57</v>
      </c>
      <c r="FG42" s="93">
        <v>342.57</v>
      </c>
      <c r="FH42" s="93">
        <v>341.57</v>
      </c>
      <c r="FI42" s="93">
        <v>340.57</v>
      </c>
      <c r="FJ42" s="93">
        <v>339.57</v>
      </c>
      <c r="FK42" s="93">
        <v>338.57</v>
      </c>
      <c r="FL42" s="93">
        <v>337.57</v>
      </c>
      <c r="FM42" s="93">
        <v>336.57</v>
      </c>
      <c r="FN42" s="93">
        <v>335.57</v>
      </c>
      <c r="FO42" s="93">
        <v>334.57</v>
      </c>
      <c r="FP42" s="93">
        <v>333.57</v>
      </c>
      <c r="FQ42" s="93">
        <v>332.58</v>
      </c>
      <c r="FR42" s="93">
        <v>331.58</v>
      </c>
      <c r="FS42" s="93">
        <v>330.58</v>
      </c>
      <c r="FT42" s="93">
        <v>329.59</v>
      </c>
      <c r="FU42" s="93">
        <v>328.59</v>
      </c>
      <c r="FV42" s="93">
        <v>327.60000000000002</v>
      </c>
      <c r="FW42" s="93">
        <v>326.60000000000002</v>
      </c>
      <c r="FX42" s="93">
        <v>325.60000000000002</v>
      </c>
      <c r="FY42" s="93">
        <v>324.62</v>
      </c>
      <c r="FZ42" s="93">
        <v>323.63</v>
      </c>
      <c r="GA42" s="93">
        <v>322.63</v>
      </c>
      <c r="GB42" s="93">
        <v>321.64</v>
      </c>
      <c r="GC42" s="93">
        <v>320.64999999999998</v>
      </c>
      <c r="GD42" s="93">
        <v>319.66000000000003</v>
      </c>
      <c r="GE42" s="93">
        <v>318.68</v>
      </c>
      <c r="GF42" s="93">
        <v>317.69</v>
      </c>
      <c r="GG42" s="93">
        <v>316.7</v>
      </c>
      <c r="GH42" s="93">
        <v>315.70999999999998</v>
      </c>
      <c r="GI42" s="93">
        <v>314.73</v>
      </c>
      <c r="GJ42" s="93">
        <v>313.74</v>
      </c>
      <c r="GK42" s="93">
        <v>312.75</v>
      </c>
      <c r="GL42" s="93">
        <v>311.76</v>
      </c>
      <c r="GM42" s="93">
        <v>310.79000000000002</v>
      </c>
      <c r="GN42" s="93">
        <v>309.81</v>
      </c>
      <c r="GO42" s="93">
        <v>308.82</v>
      </c>
      <c r="GP42" s="93">
        <v>307.85000000000002</v>
      </c>
      <c r="GQ42" s="93">
        <v>306.88</v>
      </c>
      <c r="GR42" s="93">
        <v>305.89999999999998</v>
      </c>
      <c r="GS42" s="93">
        <v>304.93</v>
      </c>
      <c r="GT42" s="93">
        <v>303.95</v>
      </c>
      <c r="GU42" s="93">
        <v>302.98</v>
      </c>
      <c r="GV42" s="93">
        <v>302.01</v>
      </c>
      <c r="GW42" s="93">
        <v>301.02999999999997</v>
      </c>
      <c r="GX42" s="93">
        <v>300.06</v>
      </c>
      <c r="GY42" s="93">
        <v>299.08999999999997</v>
      </c>
      <c r="GZ42" s="93">
        <v>298.12</v>
      </c>
      <c r="HA42" s="93">
        <v>297.14999999999998</v>
      </c>
      <c r="HB42" s="93">
        <v>296.19</v>
      </c>
      <c r="HC42" s="93">
        <v>295.22000000000003</v>
      </c>
      <c r="HD42" s="93">
        <v>294.25</v>
      </c>
      <c r="HE42" s="93">
        <v>293.29000000000002</v>
      </c>
      <c r="HF42" s="93">
        <v>292.32</v>
      </c>
      <c r="HG42" s="93">
        <v>291.35000000000002</v>
      </c>
      <c r="HH42" s="93">
        <v>290.39999999999998</v>
      </c>
      <c r="HI42" s="93">
        <v>289.43</v>
      </c>
      <c r="HJ42" s="93">
        <v>288.47000000000003</v>
      </c>
      <c r="HK42" s="93">
        <v>287.51</v>
      </c>
      <c r="HL42" s="93">
        <v>286.56</v>
      </c>
      <c r="HM42" s="93">
        <v>285.60000000000002</v>
      </c>
      <c r="HN42" s="93">
        <v>284.66000000000003</v>
      </c>
      <c r="HO42" s="93">
        <v>283.7</v>
      </c>
      <c r="HP42" s="93">
        <v>282.76</v>
      </c>
      <c r="HQ42" s="93">
        <v>281.81</v>
      </c>
      <c r="HR42" s="93">
        <v>280.85000000000002</v>
      </c>
      <c r="HS42" s="93">
        <v>279.91000000000003</v>
      </c>
      <c r="HT42" s="93">
        <v>278.97000000000003</v>
      </c>
      <c r="HU42" s="93">
        <v>278.01</v>
      </c>
      <c r="HV42" s="93">
        <v>277.07</v>
      </c>
      <c r="HW42" s="93">
        <v>276.13</v>
      </c>
      <c r="HX42" s="93">
        <v>275.19</v>
      </c>
      <c r="HY42" s="93">
        <v>274.25</v>
      </c>
      <c r="HZ42" s="93">
        <v>273.31</v>
      </c>
      <c r="IA42" s="93">
        <v>272.37</v>
      </c>
      <c r="IB42" s="93">
        <v>271.43</v>
      </c>
      <c r="IC42" s="93">
        <v>270.49</v>
      </c>
      <c r="ID42" s="93">
        <v>269.54000000000002</v>
      </c>
      <c r="IE42" s="93">
        <v>268.60000000000002</v>
      </c>
      <c r="IF42" s="93">
        <v>267.68</v>
      </c>
      <c r="IG42" s="93">
        <v>266.74</v>
      </c>
      <c r="IH42" s="93">
        <v>265.81</v>
      </c>
      <c r="II42" s="93">
        <v>264.87</v>
      </c>
      <c r="IJ42" s="93">
        <v>263.94</v>
      </c>
      <c r="IK42" s="93">
        <v>263.01</v>
      </c>
      <c r="IL42" s="93">
        <v>262.07</v>
      </c>
      <c r="IM42" s="93">
        <v>261.14999999999998</v>
      </c>
      <c r="IN42" s="93">
        <v>260.22000000000003</v>
      </c>
      <c r="IO42" s="93">
        <v>259.29000000000002</v>
      </c>
      <c r="IP42" s="93">
        <v>258.37</v>
      </c>
      <c r="IQ42" s="93">
        <v>257.45</v>
      </c>
      <c r="IR42" s="93">
        <v>256.51</v>
      </c>
      <c r="IS42" s="93">
        <v>255.6</v>
      </c>
      <c r="IT42" s="93">
        <v>254.68</v>
      </c>
      <c r="IU42" s="93">
        <v>253.75</v>
      </c>
      <c r="IV42" s="93">
        <v>252.84</v>
      </c>
      <c r="IW42" s="93">
        <v>251.93</v>
      </c>
      <c r="IX42" s="93">
        <v>251.02</v>
      </c>
      <c r="IY42" s="93">
        <v>250.11</v>
      </c>
      <c r="IZ42" s="93">
        <v>249.21</v>
      </c>
      <c r="JA42" s="93">
        <v>248.3</v>
      </c>
      <c r="JB42" s="93">
        <v>247.39</v>
      </c>
      <c r="JC42" s="93">
        <v>246.49</v>
      </c>
      <c r="JD42" s="93">
        <v>245.58</v>
      </c>
      <c r="JE42" s="93">
        <v>244.68</v>
      </c>
      <c r="JF42" s="93">
        <v>243.78</v>
      </c>
      <c r="JG42" s="93">
        <v>242.88</v>
      </c>
      <c r="JH42" s="93">
        <v>241.98</v>
      </c>
      <c r="JI42" s="93">
        <v>241.08</v>
      </c>
      <c r="JJ42" s="93">
        <v>240.18</v>
      </c>
      <c r="JK42" s="93">
        <v>239.29</v>
      </c>
      <c r="JL42" s="93">
        <v>238.39</v>
      </c>
      <c r="JM42" s="93">
        <v>237.49</v>
      </c>
      <c r="JN42" s="93">
        <v>236.6</v>
      </c>
      <c r="JO42" s="93">
        <v>235.71</v>
      </c>
      <c r="JP42" s="93">
        <v>234.81</v>
      </c>
      <c r="JQ42" s="93">
        <v>233.92</v>
      </c>
      <c r="JR42" s="93">
        <v>233.03</v>
      </c>
      <c r="JS42" s="93">
        <v>232.14</v>
      </c>
      <c r="JT42" s="93">
        <v>231.25</v>
      </c>
      <c r="JU42" s="93">
        <v>230.35</v>
      </c>
      <c r="JV42" s="93">
        <v>229.46</v>
      </c>
      <c r="JW42" s="93">
        <v>228.56</v>
      </c>
      <c r="JX42" s="93">
        <v>227.67</v>
      </c>
      <c r="JY42" s="93">
        <v>226.78</v>
      </c>
      <c r="JZ42" s="93">
        <v>225.89</v>
      </c>
      <c r="KA42" s="93">
        <v>225</v>
      </c>
      <c r="KB42" s="93">
        <v>224.11</v>
      </c>
      <c r="KC42" s="93">
        <v>223.22</v>
      </c>
      <c r="KD42" s="93">
        <v>222.33</v>
      </c>
      <c r="KE42" s="93">
        <v>221.44</v>
      </c>
      <c r="KF42" s="93">
        <v>220.55</v>
      </c>
      <c r="KG42" s="93">
        <v>219.67</v>
      </c>
      <c r="KH42" s="93">
        <v>218.79</v>
      </c>
      <c r="KI42" s="93">
        <v>217.9</v>
      </c>
      <c r="KJ42" s="93">
        <v>217.02</v>
      </c>
      <c r="KK42" s="93">
        <v>216.14</v>
      </c>
      <c r="KL42" s="93">
        <v>215.26</v>
      </c>
      <c r="KM42" s="93">
        <v>214.38</v>
      </c>
      <c r="KN42" s="93">
        <v>213.5</v>
      </c>
      <c r="KO42" s="93">
        <v>212.62</v>
      </c>
      <c r="KP42" s="93">
        <v>211.75</v>
      </c>
      <c r="KQ42" s="93">
        <v>210.87</v>
      </c>
      <c r="KR42" s="98">
        <f t="shared" si="29"/>
        <v>211.52</v>
      </c>
      <c r="KS42" s="98">
        <f t="shared" si="29"/>
        <v>210.73</v>
      </c>
      <c r="KT42" s="98">
        <f t="shared" si="29"/>
        <v>209.91</v>
      </c>
      <c r="KU42" s="98">
        <f t="shared" si="29"/>
        <v>209.12</v>
      </c>
      <c r="KV42" s="98">
        <f t="shared" si="29"/>
        <v>208.34</v>
      </c>
      <c r="KW42" s="98">
        <f t="shared" si="29"/>
        <v>207.55</v>
      </c>
      <c r="KX42" s="98">
        <f t="shared" si="29"/>
        <v>206.76</v>
      </c>
      <c r="KY42" s="98">
        <f t="shared" si="29"/>
        <v>205.98</v>
      </c>
      <c r="KZ42" s="98">
        <f t="shared" si="29"/>
        <v>205.19</v>
      </c>
      <c r="LA42" s="98">
        <f t="shared" si="29"/>
        <v>204.41</v>
      </c>
      <c r="LB42" s="98">
        <f t="shared" si="29"/>
        <v>203.63</v>
      </c>
      <c r="LC42" s="98">
        <f t="shared" si="29"/>
        <v>202.85</v>
      </c>
      <c r="LD42" s="98">
        <f t="shared" si="29"/>
        <v>202.07</v>
      </c>
      <c r="LE42" s="98">
        <f t="shared" si="29"/>
        <v>201.29</v>
      </c>
      <c r="LF42" s="98">
        <f t="shared" si="29"/>
        <v>200.52</v>
      </c>
      <c r="LG42" s="98">
        <f t="shared" si="28"/>
        <v>199.75</v>
      </c>
      <c r="LH42" s="98">
        <f t="shared" si="28"/>
        <v>198.97</v>
      </c>
      <c r="LI42" s="98">
        <f t="shared" si="28"/>
        <v>198.2</v>
      </c>
      <c r="LJ42" s="98">
        <f t="shared" si="28"/>
        <v>197.43</v>
      </c>
      <c r="LK42" s="98">
        <f t="shared" si="28"/>
        <v>196.66</v>
      </c>
      <c r="LL42" s="98">
        <f t="shared" si="28"/>
        <v>195.89</v>
      </c>
      <c r="LM42" s="98">
        <f t="shared" si="28"/>
        <v>195.13</v>
      </c>
      <c r="LN42" s="98">
        <f t="shared" si="28"/>
        <v>194.36</v>
      </c>
      <c r="LO42" s="98">
        <f t="shared" si="28"/>
        <v>193.6</v>
      </c>
      <c r="LP42" s="98">
        <f t="shared" si="28"/>
        <v>192.84</v>
      </c>
      <c r="LQ42" s="98">
        <f t="shared" si="28"/>
        <v>192.08</v>
      </c>
      <c r="LR42" s="98">
        <f t="shared" si="28"/>
        <v>191.32</v>
      </c>
      <c r="LS42" s="98">
        <f t="shared" si="28"/>
        <v>190.56</v>
      </c>
      <c r="LT42" s="98">
        <f t="shared" si="28"/>
        <v>189.81</v>
      </c>
      <c r="LU42" s="98">
        <f t="shared" si="28"/>
        <v>189.06</v>
      </c>
      <c r="LV42" s="98">
        <f t="shared" si="28"/>
        <v>188.3</v>
      </c>
      <c r="LW42" s="98">
        <f t="shared" si="28"/>
        <v>187.55</v>
      </c>
      <c r="LX42" s="98">
        <f t="shared" si="30"/>
        <v>186.8</v>
      </c>
      <c r="LY42" s="98">
        <f t="shared" si="30"/>
        <v>186.05</v>
      </c>
      <c r="LZ42" s="98">
        <f t="shared" si="30"/>
        <v>185.31</v>
      </c>
      <c r="MA42" s="98">
        <f t="shared" si="30"/>
        <v>184.56</v>
      </c>
      <c r="MB42" s="98">
        <f t="shared" si="30"/>
        <v>183.82</v>
      </c>
      <c r="MC42" s="98">
        <f t="shared" si="30"/>
        <v>183.08</v>
      </c>
      <c r="MD42" s="100">
        <f t="shared" si="30"/>
        <v>182.34</v>
      </c>
      <c r="ME42" s="101">
        <f t="shared" si="30"/>
        <v>181.61</v>
      </c>
      <c r="MF42" s="101">
        <f t="shared" si="30"/>
        <v>180.87</v>
      </c>
      <c r="MG42" s="101">
        <f t="shared" si="30"/>
        <v>180.14</v>
      </c>
      <c r="MH42" s="101">
        <f t="shared" si="30"/>
        <v>179.4</v>
      </c>
      <c r="MI42" s="101">
        <f t="shared" si="30"/>
        <v>178.67</v>
      </c>
      <c r="MJ42" s="101">
        <f t="shared" si="30"/>
        <v>177.94</v>
      </c>
      <c r="MK42" s="101">
        <f t="shared" si="30"/>
        <v>177.21</v>
      </c>
      <c r="ML42" s="101">
        <f t="shared" si="30"/>
        <v>176.49</v>
      </c>
      <c r="MM42" s="101">
        <f t="shared" si="30"/>
        <v>175.76</v>
      </c>
      <c r="MN42" s="101">
        <f t="shared" si="25"/>
        <v>175.04</v>
      </c>
      <c r="MO42" s="101">
        <f t="shared" si="26"/>
        <v>174.32</v>
      </c>
      <c r="MP42" s="101">
        <f t="shared" si="27"/>
        <v>173.6</v>
      </c>
      <c r="MQ42" s="101">
        <f t="shared" si="24"/>
        <v>172.89</v>
      </c>
      <c r="MR42" s="101">
        <f t="shared" si="24"/>
        <v>172.17</v>
      </c>
      <c r="MS42" s="101">
        <f t="shared" si="24"/>
        <v>171.46</v>
      </c>
      <c r="MT42" s="101">
        <f t="shared" si="24"/>
        <v>170.74</v>
      </c>
      <c r="MU42" s="101">
        <f t="shared" si="24"/>
        <v>170.03</v>
      </c>
      <c r="MV42" s="101">
        <f t="shared" si="24"/>
        <v>169.32</v>
      </c>
      <c r="MW42" s="101">
        <f t="shared" si="24"/>
        <v>168.62</v>
      </c>
      <c r="MX42" s="101">
        <f t="shared" si="24"/>
        <v>167.91</v>
      </c>
      <c r="MY42" s="101">
        <f t="shared" si="24"/>
        <v>167.21</v>
      </c>
    </row>
    <row r="43" spans="1:363" ht="15.75" x14ac:dyDescent="0.25">
      <c r="A43" s="90" t="s">
        <v>6</v>
      </c>
      <c r="B43" s="95">
        <v>2053</v>
      </c>
      <c r="C43" s="93">
        <v>508.29</v>
      </c>
      <c r="D43" s="93">
        <v>507.25</v>
      </c>
      <c r="E43" s="93">
        <v>506.22</v>
      </c>
      <c r="F43" s="93">
        <v>505.18</v>
      </c>
      <c r="G43" s="93">
        <v>504.14</v>
      </c>
      <c r="H43" s="93">
        <v>503.11</v>
      </c>
      <c r="I43" s="93">
        <v>502.07</v>
      </c>
      <c r="J43" s="93">
        <v>501.04</v>
      </c>
      <c r="K43" s="93">
        <v>500</v>
      </c>
      <c r="L43" s="93">
        <v>498.96</v>
      </c>
      <c r="M43" s="93">
        <v>497.93</v>
      </c>
      <c r="N43" s="93">
        <v>496.89</v>
      </c>
      <c r="O43" s="93">
        <v>495.86</v>
      </c>
      <c r="P43" s="93">
        <v>494.82</v>
      </c>
      <c r="Q43" s="93">
        <v>493.78</v>
      </c>
      <c r="R43" s="93">
        <v>492.75</v>
      </c>
      <c r="S43" s="93">
        <v>491.71</v>
      </c>
      <c r="T43" s="93">
        <v>490.68</v>
      </c>
      <c r="U43" s="93">
        <v>489.64</v>
      </c>
      <c r="V43" s="93">
        <v>488.6</v>
      </c>
      <c r="W43" s="93">
        <v>487.57</v>
      </c>
      <c r="X43" s="93">
        <v>486.53</v>
      </c>
      <c r="Y43" s="93">
        <v>485.5</v>
      </c>
      <c r="Z43" s="93">
        <v>484.46</v>
      </c>
      <c r="AA43" s="93">
        <v>483.42</v>
      </c>
      <c r="AB43" s="93">
        <v>482.39</v>
      </c>
      <c r="AC43" s="93">
        <v>481.35</v>
      </c>
      <c r="AD43" s="93">
        <v>480.31</v>
      </c>
      <c r="AE43" s="93">
        <v>479.28</v>
      </c>
      <c r="AF43" s="93">
        <v>478.24</v>
      </c>
      <c r="AG43" s="93">
        <v>477.2</v>
      </c>
      <c r="AH43" s="93">
        <v>476.17</v>
      </c>
      <c r="AI43" s="93">
        <v>475.13</v>
      </c>
      <c r="AJ43" s="93">
        <v>474.09</v>
      </c>
      <c r="AK43" s="93">
        <v>473.06</v>
      </c>
      <c r="AL43" s="93">
        <v>472.02</v>
      </c>
      <c r="AM43" s="93">
        <v>470.98</v>
      </c>
      <c r="AN43" s="93">
        <v>469.95</v>
      </c>
      <c r="AO43" s="93">
        <v>468.91</v>
      </c>
      <c r="AP43" s="93">
        <v>467.87</v>
      </c>
      <c r="AQ43" s="93">
        <v>466.84</v>
      </c>
      <c r="AR43" s="93">
        <v>465.8</v>
      </c>
      <c r="AS43" s="93">
        <v>464.76</v>
      </c>
      <c r="AT43" s="93">
        <v>463.73</v>
      </c>
      <c r="AU43" s="93">
        <v>462.69</v>
      </c>
      <c r="AV43" s="93">
        <v>461.65</v>
      </c>
      <c r="AW43" s="93">
        <v>460.62</v>
      </c>
      <c r="AX43" s="93">
        <v>459.58</v>
      </c>
      <c r="AY43" s="93">
        <v>458.54</v>
      </c>
      <c r="AZ43" s="93">
        <v>457.51</v>
      </c>
      <c r="BA43" s="93">
        <v>456.47</v>
      </c>
      <c r="BB43" s="93">
        <v>455.43</v>
      </c>
      <c r="BC43" s="93">
        <v>454.39</v>
      </c>
      <c r="BD43" s="93">
        <v>453.36</v>
      </c>
      <c r="BE43" s="93">
        <v>452.32</v>
      </c>
      <c r="BF43" s="93">
        <v>451.28</v>
      </c>
      <c r="BG43" s="93">
        <v>450.24</v>
      </c>
      <c r="BH43" s="93">
        <v>449.21</v>
      </c>
      <c r="BI43" s="93">
        <v>448.17</v>
      </c>
      <c r="BJ43" s="93">
        <v>447.13</v>
      </c>
      <c r="BK43" s="93">
        <v>446.1</v>
      </c>
      <c r="BL43" s="93">
        <v>445.06</v>
      </c>
      <c r="BM43" s="93">
        <v>444.02</v>
      </c>
      <c r="BN43" s="93">
        <v>442.98</v>
      </c>
      <c r="BO43" s="93">
        <v>441.94</v>
      </c>
      <c r="BP43" s="93">
        <v>440.91</v>
      </c>
      <c r="BQ43" s="93">
        <v>439.87</v>
      </c>
      <c r="BR43" s="93">
        <v>438.83</v>
      </c>
      <c r="BS43" s="93">
        <v>437.79</v>
      </c>
      <c r="BT43" s="93">
        <v>436.76</v>
      </c>
      <c r="BU43" s="93">
        <v>435.72</v>
      </c>
      <c r="BV43" s="93">
        <v>434.68</v>
      </c>
      <c r="BW43" s="93">
        <v>433.64</v>
      </c>
      <c r="BX43" s="93">
        <v>432.61</v>
      </c>
      <c r="BY43" s="93">
        <v>431.57</v>
      </c>
      <c r="BZ43" s="93">
        <v>430.54</v>
      </c>
      <c r="CA43" s="93">
        <v>429.5</v>
      </c>
      <c r="CB43" s="93">
        <v>428.46</v>
      </c>
      <c r="CC43" s="93">
        <v>427.43</v>
      </c>
      <c r="CD43" s="93">
        <v>426.39</v>
      </c>
      <c r="CE43" s="93">
        <v>425.36</v>
      </c>
      <c r="CF43" s="93">
        <v>424.32</v>
      </c>
      <c r="CG43" s="93">
        <v>423.29</v>
      </c>
      <c r="CH43" s="93">
        <v>422.25</v>
      </c>
      <c r="CI43" s="93">
        <v>421.21</v>
      </c>
      <c r="CJ43" s="93">
        <v>420.18</v>
      </c>
      <c r="CK43" s="93">
        <v>419.14</v>
      </c>
      <c r="CL43" s="93">
        <v>418.11</v>
      </c>
      <c r="CM43" s="93">
        <v>417.07</v>
      </c>
      <c r="CN43" s="93">
        <v>416.04</v>
      </c>
      <c r="CO43" s="93">
        <v>415</v>
      </c>
      <c r="CP43" s="93">
        <v>413.96</v>
      </c>
      <c r="CQ43" s="93">
        <v>412.93</v>
      </c>
      <c r="CR43" s="93">
        <v>411.89</v>
      </c>
      <c r="CS43" s="93">
        <v>410.86</v>
      </c>
      <c r="CT43" s="93">
        <v>409.82</v>
      </c>
      <c r="CU43" s="93">
        <v>408.79</v>
      </c>
      <c r="CV43" s="93">
        <v>407.75</v>
      </c>
      <c r="CW43" s="93">
        <v>406.72</v>
      </c>
      <c r="CX43" s="93">
        <v>405.68</v>
      </c>
      <c r="CY43" s="93">
        <v>404.65</v>
      </c>
      <c r="CZ43" s="93">
        <v>403.62</v>
      </c>
      <c r="DA43" s="93">
        <v>402.58</v>
      </c>
      <c r="DB43" s="93">
        <v>401.55</v>
      </c>
      <c r="DC43" s="93">
        <v>400.52</v>
      </c>
      <c r="DD43" s="93">
        <v>399.48</v>
      </c>
      <c r="DE43" s="93">
        <v>398.45</v>
      </c>
      <c r="DF43" s="93">
        <v>397.42</v>
      </c>
      <c r="DG43" s="93">
        <v>396.38</v>
      </c>
      <c r="DH43" s="93">
        <v>395.35</v>
      </c>
      <c r="DI43" s="93">
        <v>394.32</v>
      </c>
      <c r="DJ43" s="93">
        <v>393.29</v>
      </c>
      <c r="DK43" s="93">
        <v>392.26</v>
      </c>
      <c r="DL43" s="93">
        <v>391.22</v>
      </c>
      <c r="DM43" s="93">
        <v>390.19</v>
      </c>
      <c r="DN43" s="93">
        <v>389.16</v>
      </c>
      <c r="DO43" s="93">
        <v>388.13</v>
      </c>
      <c r="DP43" s="93">
        <v>387.1</v>
      </c>
      <c r="DQ43" s="93">
        <v>386.07</v>
      </c>
      <c r="DR43" s="93">
        <v>385.04</v>
      </c>
      <c r="DS43" s="93">
        <v>384.01</v>
      </c>
      <c r="DT43" s="93">
        <v>382.98</v>
      </c>
      <c r="DU43" s="93">
        <v>381.95</v>
      </c>
      <c r="DV43" s="93">
        <v>380.93</v>
      </c>
      <c r="DW43" s="93">
        <v>379.9</v>
      </c>
      <c r="DX43" s="93">
        <v>378.88</v>
      </c>
      <c r="DY43" s="93">
        <v>377.85</v>
      </c>
      <c r="DZ43" s="93">
        <v>376.83</v>
      </c>
      <c r="EA43" s="93">
        <v>375.8</v>
      </c>
      <c r="EB43" s="93">
        <v>374.78</v>
      </c>
      <c r="EC43" s="93">
        <v>373.75</v>
      </c>
      <c r="ED43" s="93">
        <v>372.73</v>
      </c>
      <c r="EE43" s="93">
        <v>371.7</v>
      </c>
      <c r="EF43" s="93">
        <v>370.69</v>
      </c>
      <c r="EG43" s="93">
        <v>369.67</v>
      </c>
      <c r="EH43" s="93">
        <v>368.65</v>
      </c>
      <c r="EI43" s="93">
        <v>367.63</v>
      </c>
      <c r="EJ43" s="93">
        <v>366.61</v>
      </c>
      <c r="EK43" s="93">
        <v>365.59</v>
      </c>
      <c r="EL43" s="93">
        <v>364.58</v>
      </c>
      <c r="EM43" s="93">
        <v>363.56</v>
      </c>
      <c r="EN43" s="93">
        <v>362.54</v>
      </c>
      <c r="EO43" s="93">
        <v>361.53</v>
      </c>
      <c r="EP43" s="93">
        <v>360.51</v>
      </c>
      <c r="EQ43" s="93">
        <v>359.5</v>
      </c>
      <c r="ER43" s="93">
        <v>358.49</v>
      </c>
      <c r="ES43" s="93">
        <v>357.47</v>
      </c>
      <c r="ET43" s="93">
        <v>356.46</v>
      </c>
      <c r="EU43" s="93">
        <v>355.45</v>
      </c>
      <c r="EV43" s="93">
        <v>354.44</v>
      </c>
      <c r="EW43" s="93">
        <v>353.43</v>
      </c>
      <c r="EX43" s="93">
        <v>352.42</v>
      </c>
      <c r="EY43" s="93">
        <v>351.41</v>
      </c>
      <c r="EZ43" s="93">
        <v>350.4</v>
      </c>
      <c r="FA43" s="93">
        <v>349.39</v>
      </c>
      <c r="FB43" s="93">
        <v>348.38</v>
      </c>
      <c r="FC43" s="93">
        <v>347.38</v>
      </c>
      <c r="FD43" s="93">
        <v>346.37</v>
      </c>
      <c r="FE43" s="93">
        <v>345.37</v>
      </c>
      <c r="FF43" s="93">
        <v>344.37</v>
      </c>
      <c r="FG43" s="93">
        <v>343.36</v>
      </c>
      <c r="FH43" s="93">
        <v>342.36</v>
      </c>
      <c r="FI43" s="93">
        <v>341.36</v>
      </c>
      <c r="FJ43" s="93">
        <v>340.36</v>
      </c>
      <c r="FK43" s="93">
        <v>339.36</v>
      </c>
      <c r="FL43" s="93">
        <v>338.36</v>
      </c>
      <c r="FM43" s="93">
        <v>337.36</v>
      </c>
      <c r="FN43" s="93">
        <v>336.36</v>
      </c>
      <c r="FO43" s="93">
        <v>335.36</v>
      </c>
      <c r="FP43" s="93">
        <v>334.36</v>
      </c>
      <c r="FQ43" s="93">
        <v>333.36</v>
      </c>
      <c r="FR43" s="93">
        <v>332.37</v>
      </c>
      <c r="FS43" s="93">
        <v>331.37</v>
      </c>
      <c r="FT43" s="93">
        <v>330.38</v>
      </c>
      <c r="FU43" s="93">
        <v>329.38</v>
      </c>
      <c r="FV43" s="93">
        <v>328.38</v>
      </c>
      <c r="FW43" s="93">
        <v>327.39</v>
      </c>
      <c r="FX43" s="93">
        <v>326.39999999999998</v>
      </c>
      <c r="FY43" s="93">
        <v>325.39999999999998</v>
      </c>
      <c r="FZ43" s="93">
        <v>324.41000000000003</v>
      </c>
      <c r="GA43" s="93">
        <v>323.42</v>
      </c>
      <c r="GB43" s="93">
        <v>322.43</v>
      </c>
      <c r="GC43" s="93">
        <v>321.44</v>
      </c>
      <c r="GD43" s="93">
        <v>320.45</v>
      </c>
      <c r="GE43" s="93">
        <v>319.45999999999998</v>
      </c>
      <c r="GF43" s="93">
        <v>318.47000000000003</v>
      </c>
      <c r="GG43" s="93">
        <v>317.48</v>
      </c>
      <c r="GH43" s="93">
        <v>316.49</v>
      </c>
      <c r="GI43" s="93">
        <v>315.5</v>
      </c>
      <c r="GJ43" s="93">
        <v>314.51</v>
      </c>
      <c r="GK43" s="93">
        <v>313.52999999999997</v>
      </c>
      <c r="GL43" s="93">
        <v>312.54000000000002</v>
      </c>
      <c r="GM43" s="93">
        <v>311.56</v>
      </c>
      <c r="GN43" s="93">
        <v>310.57</v>
      </c>
      <c r="GO43" s="93">
        <v>309.60000000000002</v>
      </c>
      <c r="GP43" s="93">
        <v>308.63</v>
      </c>
      <c r="GQ43" s="93">
        <v>307.64999999999998</v>
      </c>
      <c r="GR43" s="93">
        <v>306.67</v>
      </c>
      <c r="GS43" s="93">
        <v>305.7</v>
      </c>
      <c r="GT43" s="93">
        <v>304.72000000000003</v>
      </c>
      <c r="GU43" s="93">
        <v>303.75</v>
      </c>
      <c r="GV43" s="93">
        <v>302.76</v>
      </c>
      <c r="GW43" s="93">
        <v>301.79000000000002</v>
      </c>
      <c r="GX43" s="93">
        <v>300.82</v>
      </c>
      <c r="GY43" s="93">
        <v>299.85000000000002</v>
      </c>
      <c r="GZ43" s="93">
        <v>298.89</v>
      </c>
      <c r="HA43" s="93">
        <v>297.92</v>
      </c>
      <c r="HB43" s="93">
        <v>296.95</v>
      </c>
      <c r="HC43" s="93">
        <v>295.98</v>
      </c>
      <c r="HD43" s="93">
        <v>295.01</v>
      </c>
      <c r="HE43" s="93">
        <v>294.04000000000002</v>
      </c>
      <c r="HF43" s="93">
        <v>293.07</v>
      </c>
      <c r="HG43" s="93">
        <v>292.12</v>
      </c>
      <c r="HH43" s="93">
        <v>291.14999999999998</v>
      </c>
      <c r="HI43" s="93">
        <v>290.19</v>
      </c>
      <c r="HJ43" s="93">
        <v>289.23</v>
      </c>
      <c r="HK43" s="93">
        <v>288.26</v>
      </c>
      <c r="HL43" s="93">
        <v>287.31</v>
      </c>
      <c r="HM43" s="93">
        <v>286.35000000000002</v>
      </c>
      <c r="HN43" s="93">
        <v>285.41000000000003</v>
      </c>
      <c r="HO43" s="93">
        <v>284.45999999999998</v>
      </c>
      <c r="HP43" s="93">
        <v>283.51</v>
      </c>
      <c r="HQ43" s="93">
        <v>282.56</v>
      </c>
      <c r="HR43" s="93">
        <v>281.60000000000002</v>
      </c>
      <c r="HS43" s="93">
        <v>280.66000000000003</v>
      </c>
      <c r="HT43" s="93">
        <v>279.70999999999998</v>
      </c>
      <c r="HU43" s="93">
        <v>278.76</v>
      </c>
      <c r="HV43" s="93">
        <v>277.82</v>
      </c>
      <c r="HW43" s="93">
        <v>276.87</v>
      </c>
      <c r="HX43" s="93">
        <v>275.93</v>
      </c>
      <c r="HY43" s="93">
        <v>274.99</v>
      </c>
      <c r="HZ43" s="93">
        <v>274.04000000000002</v>
      </c>
      <c r="IA43" s="93">
        <v>273.10000000000002</v>
      </c>
      <c r="IB43" s="93">
        <v>272.17</v>
      </c>
      <c r="IC43" s="93">
        <v>271.23</v>
      </c>
      <c r="ID43" s="93">
        <v>270.29000000000002</v>
      </c>
      <c r="IE43" s="93">
        <v>269.35000000000002</v>
      </c>
      <c r="IF43" s="93">
        <v>268.41000000000003</v>
      </c>
      <c r="IG43" s="93">
        <v>267.48</v>
      </c>
      <c r="IH43" s="93">
        <v>266.54000000000002</v>
      </c>
      <c r="II43" s="93">
        <v>265.60000000000002</v>
      </c>
      <c r="IJ43" s="93">
        <v>264.67</v>
      </c>
      <c r="IK43" s="93">
        <v>263.74</v>
      </c>
      <c r="IL43" s="93">
        <v>262.81</v>
      </c>
      <c r="IM43" s="93">
        <v>261.88</v>
      </c>
      <c r="IN43" s="93">
        <v>260.95</v>
      </c>
      <c r="IO43" s="93">
        <v>260.01</v>
      </c>
      <c r="IP43" s="93">
        <v>259.08999999999997</v>
      </c>
      <c r="IQ43" s="93">
        <v>258.17</v>
      </c>
      <c r="IR43" s="93">
        <v>257.24</v>
      </c>
      <c r="IS43" s="93">
        <v>256.32</v>
      </c>
      <c r="IT43" s="93">
        <v>255.39</v>
      </c>
      <c r="IU43" s="93">
        <v>254.47</v>
      </c>
      <c r="IV43" s="93">
        <v>253.56</v>
      </c>
      <c r="IW43" s="93">
        <v>252.65</v>
      </c>
      <c r="IX43" s="93">
        <v>251.74</v>
      </c>
      <c r="IY43" s="93">
        <v>250.83</v>
      </c>
      <c r="IZ43" s="93">
        <v>249.92</v>
      </c>
      <c r="JA43" s="93">
        <v>249.01</v>
      </c>
      <c r="JB43" s="93">
        <v>248.1</v>
      </c>
      <c r="JC43" s="93">
        <v>247.2</v>
      </c>
      <c r="JD43" s="93">
        <v>246.29</v>
      </c>
      <c r="JE43" s="93">
        <v>245.39</v>
      </c>
      <c r="JF43" s="93">
        <v>244.48</v>
      </c>
      <c r="JG43" s="93">
        <v>243.58</v>
      </c>
      <c r="JH43" s="93">
        <v>242.68</v>
      </c>
      <c r="JI43" s="93">
        <v>241.78</v>
      </c>
      <c r="JJ43" s="93">
        <v>240.88</v>
      </c>
      <c r="JK43" s="93">
        <v>239.98</v>
      </c>
      <c r="JL43" s="93">
        <v>239.09</v>
      </c>
      <c r="JM43" s="93">
        <v>238.19</v>
      </c>
      <c r="JN43" s="93">
        <v>237.29</v>
      </c>
      <c r="JO43" s="93">
        <v>236.4</v>
      </c>
      <c r="JP43" s="93">
        <v>235.5</v>
      </c>
      <c r="JQ43" s="93">
        <v>234.61</v>
      </c>
      <c r="JR43" s="93">
        <v>233.72</v>
      </c>
      <c r="JS43" s="93">
        <v>232.83</v>
      </c>
      <c r="JT43" s="93">
        <v>231.93</v>
      </c>
      <c r="JU43" s="93">
        <v>231.03</v>
      </c>
      <c r="JV43" s="93">
        <v>230.14</v>
      </c>
      <c r="JW43" s="93">
        <v>229.24</v>
      </c>
      <c r="JX43" s="93">
        <v>228.35</v>
      </c>
      <c r="JY43" s="93">
        <v>227.45</v>
      </c>
      <c r="JZ43" s="93">
        <v>226.56</v>
      </c>
      <c r="KA43" s="93">
        <v>225.67</v>
      </c>
      <c r="KB43" s="93">
        <v>224.78</v>
      </c>
      <c r="KC43" s="93">
        <v>223.89</v>
      </c>
      <c r="KD43" s="93">
        <v>223</v>
      </c>
      <c r="KE43" s="93">
        <v>222.11</v>
      </c>
      <c r="KF43" s="93">
        <v>221.22</v>
      </c>
      <c r="KG43" s="93">
        <v>220.33</v>
      </c>
      <c r="KH43" s="93">
        <v>219.45</v>
      </c>
      <c r="KI43" s="93">
        <v>218.56</v>
      </c>
      <c r="KJ43" s="93">
        <v>217.68</v>
      </c>
      <c r="KK43" s="93">
        <v>216.8</v>
      </c>
      <c r="KL43" s="93">
        <v>215.91</v>
      </c>
      <c r="KM43" s="93">
        <v>215.03</v>
      </c>
      <c r="KN43" s="93">
        <v>214.15</v>
      </c>
      <c r="KO43" s="93">
        <v>213.27</v>
      </c>
      <c r="KP43" s="93">
        <v>212.4</v>
      </c>
      <c r="KQ43" s="93">
        <v>211.52</v>
      </c>
      <c r="KR43" s="98">
        <f t="shared" si="29"/>
        <v>212.27</v>
      </c>
      <c r="KS43" s="98">
        <f t="shared" si="29"/>
        <v>211.48</v>
      </c>
      <c r="KT43" s="98">
        <f t="shared" si="29"/>
        <v>210.66</v>
      </c>
      <c r="KU43" s="98">
        <f t="shared" si="29"/>
        <v>209.87</v>
      </c>
      <c r="KV43" s="98">
        <f t="shared" si="29"/>
        <v>209.09</v>
      </c>
      <c r="KW43" s="98">
        <f t="shared" si="29"/>
        <v>208.3</v>
      </c>
      <c r="KX43" s="98">
        <f t="shared" si="29"/>
        <v>207.51</v>
      </c>
      <c r="KY43" s="98">
        <f t="shared" si="29"/>
        <v>206.73</v>
      </c>
      <c r="KZ43" s="98">
        <f t="shared" si="29"/>
        <v>205.94</v>
      </c>
      <c r="LA43" s="98">
        <f t="shared" si="29"/>
        <v>205.16</v>
      </c>
      <c r="LB43" s="98">
        <f t="shared" si="29"/>
        <v>204.38</v>
      </c>
      <c r="LC43" s="98">
        <f t="shared" si="29"/>
        <v>203.6</v>
      </c>
      <c r="LD43" s="98">
        <f t="shared" si="29"/>
        <v>202.82</v>
      </c>
      <c r="LE43" s="98">
        <f t="shared" si="29"/>
        <v>202.04</v>
      </c>
      <c r="LF43" s="98">
        <f t="shared" si="29"/>
        <v>201.27</v>
      </c>
      <c r="LG43" s="98">
        <f t="shared" si="28"/>
        <v>200.5</v>
      </c>
      <c r="LH43" s="98">
        <f t="shared" si="28"/>
        <v>199.72</v>
      </c>
      <c r="LI43" s="98">
        <f t="shared" si="28"/>
        <v>198.95</v>
      </c>
      <c r="LJ43" s="98">
        <f t="shared" si="28"/>
        <v>198.18</v>
      </c>
      <c r="LK43" s="98">
        <f t="shared" si="28"/>
        <v>197.41</v>
      </c>
      <c r="LL43" s="98">
        <f t="shared" si="28"/>
        <v>196.64</v>
      </c>
      <c r="LM43" s="98">
        <f t="shared" si="28"/>
        <v>195.88</v>
      </c>
      <c r="LN43" s="98">
        <f t="shared" si="28"/>
        <v>195.11</v>
      </c>
      <c r="LO43" s="98">
        <f t="shared" si="28"/>
        <v>194.35</v>
      </c>
      <c r="LP43" s="98">
        <f t="shared" si="28"/>
        <v>193.59</v>
      </c>
      <c r="LQ43" s="98">
        <f t="shared" si="28"/>
        <v>192.83</v>
      </c>
      <c r="LR43" s="98">
        <f t="shared" si="28"/>
        <v>192.07</v>
      </c>
      <c r="LS43" s="98">
        <f t="shared" si="28"/>
        <v>191.31</v>
      </c>
      <c r="LT43" s="98">
        <f t="shared" si="28"/>
        <v>190.56</v>
      </c>
      <c r="LU43" s="98">
        <f t="shared" si="28"/>
        <v>189.81</v>
      </c>
      <c r="LV43" s="98">
        <f t="shared" si="28"/>
        <v>189.05</v>
      </c>
      <c r="LW43" s="98">
        <f t="shared" si="28"/>
        <v>188.3</v>
      </c>
      <c r="LX43" s="98">
        <f t="shared" si="30"/>
        <v>187.55</v>
      </c>
      <c r="LY43" s="98">
        <f t="shared" si="30"/>
        <v>186.8</v>
      </c>
      <c r="LZ43" s="98">
        <f t="shared" si="30"/>
        <v>186.06</v>
      </c>
      <c r="MA43" s="98">
        <f t="shared" si="30"/>
        <v>185.31</v>
      </c>
      <c r="MB43" s="98">
        <f t="shared" si="30"/>
        <v>184.57</v>
      </c>
      <c r="MC43" s="98">
        <f t="shared" si="30"/>
        <v>183.83</v>
      </c>
      <c r="MD43" s="100">
        <f t="shared" si="30"/>
        <v>183.09</v>
      </c>
      <c r="ME43" s="101">
        <f t="shared" si="30"/>
        <v>182.36</v>
      </c>
      <c r="MF43" s="101">
        <f t="shared" si="30"/>
        <v>181.62</v>
      </c>
      <c r="MG43" s="101">
        <f t="shared" si="30"/>
        <v>180.89</v>
      </c>
      <c r="MH43" s="101">
        <f t="shared" si="30"/>
        <v>180.15</v>
      </c>
      <c r="MI43" s="101">
        <f t="shared" si="30"/>
        <v>179.42</v>
      </c>
      <c r="MJ43" s="101">
        <f t="shared" si="30"/>
        <v>178.69</v>
      </c>
      <c r="MK43" s="101">
        <f t="shared" si="30"/>
        <v>177.96</v>
      </c>
      <c r="ML43" s="101">
        <f t="shared" si="30"/>
        <v>177.24</v>
      </c>
      <c r="MM43" s="101">
        <f t="shared" si="30"/>
        <v>176.51</v>
      </c>
      <c r="MN43" s="101">
        <f t="shared" si="25"/>
        <v>175.79</v>
      </c>
      <c r="MO43" s="101">
        <f t="shared" si="26"/>
        <v>175.07</v>
      </c>
      <c r="MP43" s="101">
        <f t="shared" si="27"/>
        <v>174.35</v>
      </c>
      <c r="MQ43" s="101">
        <f t="shared" si="24"/>
        <v>173.64</v>
      </c>
      <c r="MR43" s="101">
        <f t="shared" si="24"/>
        <v>172.92</v>
      </c>
      <c r="MS43" s="101">
        <f t="shared" si="24"/>
        <v>172.21</v>
      </c>
      <c r="MT43" s="101">
        <f t="shared" si="24"/>
        <v>171.49</v>
      </c>
      <c r="MU43" s="101">
        <f t="shared" si="24"/>
        <v>170.78</v>
      </c>
      <c r="MV43" s="101">
        <f t="shared" si="24"/>
        <v>170.07</v>
      </c>
      <c r="MW43" s="101">
        <f t="shared" si="24"/>
        <v>169.37</v>
      </c>
      <c r="MX43" s="101">
        <f t="shared" si="24"/>
        <v>168.66</v>
      </c>
      <c r="MY43" s="101">
        <f t="shared" si="24"/>
        <v>167.96</v>
      </c>
    </row>
    <row r="44" spans="1:363" ht="15.75" x14ac:dyDescent="0.25">
      <c r="A44" s="90" t="s">
        <v>6</v>
      </c>
      <c r="B44" s="95">
        <v>2054</v>
      </c>
      <c r="C44" s="93">
        <v>509.09</v>
      </c>
      <c r="D44" s="93">
        <v>508.06</v>
      </c>
      <c r="E44" s="93">
        <v>507.02</v>
      </c>
      <c r="F44" s="93">
        <v>505.99</v>
      </c>
      <c r="G44" s="93">
        <v>504.95</v>
      </c>
      <c r="H44" s="93">
        <v>503.92</v>
      </c>
      <c r="I44" s="93">
        <v>502.88</v>
      </c>
      <c r="J44" s="93">
        <v>501.84</v>
      </c>
      <c r="K44" s="93">
        <v>500.81</v>
      </c>
      <c r="L44" s="93">
        <v>499.77</v>
      </c>
      <c r="M44" s="93">
        <v>498.74</v>
      </c>
      <c r="N44" s="93">
        <v>497.7</v>
      </c>
      <c r="O44" s="93">
        <v>496.67</v>
      </c>
      <c r="P44" s="93">
        <v>495.63</v>
      </c>
      <c r="Q44" s="93">
        <v>494.59</v>
      </c>
      <c r="R44" s="93">
        <v>493.56</v>
      </c>
      <c r="S44" s="93">
        <v>492.52</v>
      </c>
      <c r="T44" s="93">
        <v>491.49</v>
      </c>
      <c r="U44" s="93">
        <v>490.45</v>
      </c>
      <c r="V44" s="93">
        <v>489.41</v>
      </c>
      <c r="W44" s="93">
        <v>488.38</v>
      </c>
      <c r="X44" s="93">
        <v>487.34</v>
      </c>
      <c r="Y44" s="93">
        <v>486.3</v>
      </c>
      <c r="Z44" s="93">
        <v>485.27</v>
      </c>
      <c r="AA44" s="93">
        <v>484.23</v>
      </c>
      <c r="AB44" s="93">
        <v>483.2</v>
      </c>
      <c r="AC44" s="93">
        <v>482.16</v>
      </c>
      <c r="AD44" s="93">
        <v>481.12</v>
      </c>
      <c r="AE44" s="93">
        <v>480.09</v>
      </c>
      <c r="AF44" s="93">
        <v>479.05</v>
      </c>
      <c r="AG44" s="93">
        <v>478.01</v>
      </c>
      <c r="AH44" s="93">
        <v>476.98</v>
      </c>
      <c r="AI44" s="93">
        <v>475.94</v>
      </c>
      <c r="AJ44" s="93">
        <v>474.9</v>
      </c>
      <c r="AK44" s="93">
        <v>473.87</v>
      </c>
      <c r="AL44" s="93">
        <v>472.83</v>
      </c>
      <c r="AM44" s="93">
        <v>471.8</v>
      </c>
      <c r="AN44" s="93">
        <v>470.76</v>
      </c>
      <c r="AO44" s="93">
        <v>469.72</v>
      </c>
      <c r="AP44" s="93">
        <v>468.68</v>
      </c>
      <c r="AQ44" s="93">
        <v>467.65</v>
      </c>
      <c r="AR44" s="93">
        <v>466.61</v>
      </c>
      <c r="AS44" s="93">
        <v>465.57</v>
      </c>
      <c r="AT44" s="93">
        <v>464.54</v>
      </c>
      <c r="AU44" s="93">
        <v>463.5</v>
      </c>
      <c r="AV44" s="93">
        <v>462.46</v>
      </c>
      <c r="AW44" s="93">
        <v>461.43</v>
      </c>
      <c r="AX44" s="93">
        <v>460.39</v>
      </c>
      <c r="AY44" s="93">
        <v>459.35</v>
      </c>
      <c r="AZ44" s="93">
        <v>458.32</v>
      </c>
      <c r="BA44" s="93">
        <v>457.28</v>
      </c>
      <c r="BB44" s="93">
        <v>456.24</v>
      </c>
      <c r="BC44" s="93">
        <v>455.2</v>
      </c>
      <c r="BD44" s="93">
        <v>454.17</v>
      </c>
      <c r="BE44" s="93">
        <v>453.13</v>
      </c>
      <c r="BF44" s="93">
        <v>452.09</v>
      </c>
      <c r="BG44" s="93">
        <v>451.06</v>
      </c>
      <c r="BH44" s="93">
        <v>450.02</v>
      </c>
      <c r="BI44" s="93">
        <v>448.98</v>
      </c>
      <c r="BJ44" s="93">
        <v>447.94</v>
      </c>
      <c r="BK44" s="93">
        <v>446.91</v>
      </c>
      <c r="BL44" s="93">
        <v>445.87</v>
      </c>
      <c r="BM44" s="93">
        <v>444.83</v>
      </c>
      <c r="BN44" s="93">
        <v>443.79</v>
      </c>
      <c r="BO44" s="93">
        <v>442.75</v>
      </c>
      <c r="BP44" s="93">
        <v>441.72</v>
      </c>
      <c r="BQ44" s="93">
        <v>440.68</v>
      </c>
      <c r="BR44" s="93">
        <v>439.64</v>
      </c>
      <c r="BS44" s="93">
        <v>438.6</v>
      </c>
      <c r="BT44" s="93">
        <v>437.57</v>
      </c>
      <c r="BU44" s="93">
        <v>436.53</v>
      </c>
      <c r="BV44" s="93">
        <v>435.49</v>
      </c>
      <c r="BW44" s="93">
        <v>434.46</v>
      </c>
      <c r="BX44" s="93">
        <v>433.42</v>
      </c>
      <c r="BY44" s="93">
        <v>432.38</v>
      </c>
      <c r="BZ44" s="93">
        <v>431.35</v>
      </c>
      <c r="CA44" s="93">
        <v>430.31</v>
      </c>
      <c r="CB44" s="93">
        <v>429.27</v>
      </c>
      <c r="CC44" s="93">
        <v>428.24</v>
      </c>
      <c r="CD44" s="93">
        <v>427.2</v>
      </c>
      <c r="CE44" s="93">
        <v>426.17</v>
      </c>
      <c r="CF44" s="93">
        <v>425.13</v>
      </c>
      <c r="CG44" s="93">
        <v>424.1</v>
      </c>
      <c r="CH44" s="93">
        <v>423.06</v>
      </c>
      <c r="CI44" s="93">
        <v>422.02</v>
      </c>
      <c r="CJ44" s="93">
        <v>420.99</v>
      </c>
      <c r="CK44" s="93">
        <v>419.95</v>
      </c>
      <c r="CL44" s="93">
        <v>418.92</v>
      </c>
      <c r="CM44" s="93">
        <v>417.88</v>
      </c>
      <c r="CN44" s="93">
        <v>416.84</v>
      </c>
      <c r="CO44" s="93">
        <v>415.81</v>
      </c>
      <c r="CP44" s="93">
        <v>414.77</v>
      </c>
      <c r="CQ44" s="93">
        <v>413.74</v>
      </c>
      <c r="CR44" s="93">
        <v>412.7</v>
      </c>
      <c r="CS44" s="93">
        <v>411.67</v>
      </c>
      <c r="CT44" s="93">
        <v>410.63</v>
      </c>
      <c r="CU44" s="93">
        <v>409.59</v>
      </c>
      <c r="CV44" s="93">
        <v>408.56</v>
      </c>
      <c r="CW44" s="93">
        <v>407.53</v>
      </c>
      <c r="CX44" s="93">
        <v>406.49</v>
      </c>
      <c r="CY44" s="93">
        <v>405.46</v>
      </c>
      <c r="CZ44" s="93">
        <v>404.42</v>
      </c>
      <c r="DA44" s="93">
        <v>403.39</v>
      </c>
      <c r="DB44" s="93">
        <v>402.36</v>
      </c>
      <c r="DC44" s="93">
        <v>401.32</v>
      </c>
      <c r="DD44" s="93">
        <v>400.29</v>
      </c>
      <c r="DE44" s="93">
        <v>399.26</v>
      </c>
      <c r="DF44" s="93">
        <v>398.22</v>
      </c>
      <c r="DG44" s="93">
        <v>397.19</v>
      </c>
      <c r="DH44" s="93">
        <v>396.16</v>
      </c>
      <c r="DI44" s="93">
        <v>395.13</v>
      </c>
      <c r="DJ44" s="93">
        <v>394.09</v>
      </c>
      <c r="DK44" s="93">
        <v>393.06</v>
      </c>
      <c r="DL44" s="93">
        <v>392.03</v>
      </c>
      <c r="DM44" s="93">
        <v>391</v>
      </c>
      <c r="DN44" s="93">
        <v>389.97</v>
      </c>
      <c r="DO44" s="93">
        <v>388.94</v>
      </c>
      <c r="DP44" s="93">
        <v>387.9</v>
      </c>
      <c r="DQ44" s="93">
        <v>386.87</v>
      </c>
      <c r="DR44" s="93">
        <v>385.84</v>
      </c>
      <c r="DS44" s="93">
        <v>384.81</v>
      </c>
      <c r="DT44" s="93">
        <v>383.79</v>
      </c>
      <c r="DU44" s="93">
        <v>382.76</v>
      </c>
      <c r="DV44" s="93">
        <v>381.73</v>
      </c>
      <c r="DW44" s="93">
        <v>380.7</v>
      </c>
      <c r="DX44" s="93">
        <v>379.68</v>
      </c>
      <c r="DY44" s="93">
        <v>378.65</v>
      </c>
      <c r="DZ44" s="93">
        <v>377.63</v>
      </c>
      <c r="EA44" s="93">
        <v>376.6</v>
      </c>
      <c r="EB44" s="93">
        <v>375.58</v>
      </c>
      <c r="EC44" s="93">
        <v>374.55</v>
      </c>
      <c r="ED44" s="93">
        <v>373.53</v>
      </c>
      <c r="EE44" s="93">
        <v>372.51</v>
      </c>
      <c r="EF44" s="93">
        <v>371.49</v>
      </c>
      <c r="EG44" s="93">
        <v>370.47</v>
      </c>
      <c r="EH44" s="93">
        <v>369.45</v>
      </c>
      <c r="EI44" s="93">
        <v>368.43</v>
      </c>
      <c r="EJ44" s="93">
        <v>367.41</v>
      </c>
      <c r="EK44" s="93">
        <v>366.39</v>
      </c>
      <c r="EL44" s="93">
        <v>365.38</v>
      </c>
      <c r="EM44" s="93">
        <v>364.36</v>
      </c>
      <c r="EN44" s="93">
        <v>363.34</v>
      </c>
      <c r="EO44" s="93">
        <v>362.33</v>
      </c>
      <c r="EP44" s="93">
        <v>361.31</v>
      </c>
      <c r="EQ44" s="93">
        <v>360.29</v>
      </c>
      <c r="ER44" s="93">
        <v>359.28</v>
      </c>
      <c r="ES44" s="93">
        <v>358.27</v>
      </c>
      <c r="ET44" s="93">
        <v>357.26</v>
      </c>
      <c r="EU44" s="93">
        <v>356.25</v>
      </c>
      <c r="EV44" s="93">
        <v>355.24</v>
      </c>
      <c r="EW44" s="93">
        <v>354.22</v>
      </c>
      <c r="EX44" s="93">
        <v>353.21</v>
      </c>
      <c r="EY44" s="93">
        <v>352.2</v>
      </c>
      <c r="EZ44" s="93">
        <v>351.19</v>
      </c>
      <c r="FA44" s="93">
        <v>350.19</v>
      </c>
      <c r="FB44" s="93">
        <v>349.18</v>
      </c>
      <c r="FC44" s="93">
        <v>348.17</v>
      </c>
      <c r="FD44" s="93">
        <v>347.16</v>
      </c>
      <c r="FE44" s="93">
        <v>346.16</v>
      </c>
      <c r="FF44" s="93">
        <v>345.16</v>
      </c>
      <c r="FG44" s="93">
        <v>344.15</v>
      </c>
      <c r="FH44" s="93">
        <v>343.15</v>
      </c>
      <c r="FI44" s="93">
        <v>342.15</v>
      </c>
      <c r="FJ44" s="93">
        <v>341.15</v>
      </c>
      <c r="FK44" s="93">
        <v>340.15</v>
      </c>
      <c r="FL44" s="93">
        <v>339.14</v>
      </c>
      <c r="FM44" s="93">
        <v>338.14</v>
      </c>
      <c r="FN44" s="93">
        <v>337.14</v>
      </c>
      <c r="FO44" s="93">
        <v>336.14</v>
      </c>
      <c r="FP44" s="93">
        <v>335.15</v>
      </c>
      <c r="FQ44" s="93">
        <v>334.15</v>
      </c>
      <c r="FR44" s="93">
        <v>333.15</v>
      </c>
      <c r="FS44" s="93">
        <v>332.15</v>
      </c>
      <c r="FT44" s="93">
        <v>331.16</v>
      </c>
      <c r="FU44" s="93">
        <v>330.16</v>
      </c>
      <c r="FV44" s="93">
        <v>329.17</v>
      </c>
      <c r="FW44" s="93">
        <v>328.17</v>
      </c>
      <c r="FX44" s="93">
        <v>327.18</v>
      </c>
      <c r="FY44" s="93">
        <v>326.18</v>
      </c>
      <c r="FZ44" s="93">
        <v>325.19</v>
      </c>
      <c r="GA44" s="93">
        <v>324.19</v>
      </c>
      <c r="GB44" s="93">
        <v>323.2</v>
      </c>
      <c r="GC44" s="93">
        <v>322.20999999999998</v>
      </c>
      <c r="GD44" s="93">
        <v>321.22000000000003</v>
      </c>
      <c r="GE44" s="93">
        <v>320.23</v>
      </c>
      <c r="GF44" s="93">
        <v>319.24</v>
      </c>
      <c r="GG44" s="93">
        <v>318.25</v>
      </c>
      <c r="GH44" s="93">
        <v>317.26</v>
      </c>
      <c r="GI44" s="93">
        <v>316.27999999999997</v>
      </c>
      <c r="GJ44" s="93">
        <v>315.29000000000002</v>
      </c>
      <c r="GK44" s="93">
        <v>314.29000000000002</v>
      </c>
      <c r="GL44" s="93">
        <v>313.32</v>
      </c>
      <c r="GM44" s="93">
        <v>312.32</v>
      </c>
      <c r="GN44" s="93">
        <v>311.35000000000002</v>
      </c>
      <c r="GO44" s="93">
        <v>310.37</v>
      </c>
      <c r="GP44" s="93">
        <v>309.39</v>
      </c>
      <c r="GQ44" s="93">
        <v>308.42</v>
      </c>
      <c r="GR44" s="93">
        <v>307.44</v>
      </c>
      <c r="GS44" s="93">
        <v>306.45999999999998</v>
      </c>
      <c r="GT44" s="93">
        <v>305.49</v>
      </c>
      <c r="GU44" s="93">
        <v>304.51</v>
      </c>
      <c r="GV44" s="93">
        <v>303.54000000000002</v>
      </c>
      <c r="GW44" s="93">
        <v>302.56</v>
      </c>
      <c r="GX44" s="93">
        <v>301.58999999999997</v>
      </c>
      <c r="GY44" s="93">
        <v>300.62</v>
      </c>
      <c r="GZ44" s="93">
        <v>299.64999999999998</v>
      </c>
      <c r="HA44" s="93">
        <v>298.68</v>
      </c>
      <c r="HB44" s="93">
        <v>297.70999999999998</v>
      </c>
      <c r="HC44" s="93">
        <v>296.74</v>
      </c>
      <c r="HD44" s="93">
        <v>295.76</v>
      </c>
      <c r="HE44" s="93">
        <v>294.81</v>
      </c>
      <c r="HF44" s="93">
        <v>293.83999999999997</v>
      </c>
      <c r="HG44" s="93">
        <v>292.87</v>
      </c>
      <c r="HH44" s="93">
        <v>291.91000000000003</v>
      </c>
      <c r="HI44" s="93">
        <v>290.94</v>
      </c>
      <c r="HJ44" s="93">
        <v>289.98</v>
      </c>
      <c r="HK44" s="93">
        <v>289.01</v>
      </c>
      <c r="HL44" s="93">
        <v>288.06</v>
      </c>
      <c r="HM44" s="93">
        <v>287.10000000000002</v>
      </c>
      <c r="HN44" s="93">
        <v>286.16000000000003</v>
      </c>
      <c r="HO44" s="93">
        <v>285.2</v>
      </c>
      <c r="HP44" s="93">
        <v>284.25</v>
      </c>
      <c r="HQ44" s="93">
        <v>283.29000000000002</v>
      </c>
      <c r="HR44" s="93">
        <v>282.35000000000002</v>
      </c>
      <c r="HS44" s="93">
        <v>281.39999999999998</v>
      </c>
      <c r="HT44" s="93">
        <v>280.45999999999998</v>
      </c>
      <c r="HU44" s="93">
        <v>279.51</v>
      </c>
      <c r="HV44" s="93">
        <v>278.56</v>
      </c>
      <c r="HW44" s="93">
        <v>277.60000000000002</v>
      </c>
      <c r="HX44" s="93">
        <v>276.67</v>
      </c>
      <c r="HY44" s="93">
        <v>275.73</v>
      </c>
      <c r="HZ44" s="93">
        <v>274.77999999999997</v>
      </c>
      <c r="IA44" s="93">
        <v>273.83999999999997</v>
      </c>
      <c r="IB44" s="93">
        <v>272.89999999999998</v>
      </c>
      <c r="IC44" s="93">
        <v>271.95999999999998</v>
      </c>
      <c r="ID44" s="93">
        <v>271.01</v>
      </c>
      <c r="IE44" s="93">
        <v>270.07</v>
      </c>
      <c r="IF44" s="93">
        <v>269.14</v>
      </c>
      <c r="IG44" s="93">
        <v>268.20999999999998</v>
      </c>
      <c r="IH44" s="93">
        <v>267.26</v>
      </c>
      <c r="II44" s="93">
        <v>266.32</v>
      </c>
      <c r="IJ44" s="93">
        <v>265.39999999999998</v>
      </c>
      <c r="IK44" s="93">
        <v>264.47000000000003</v>
      </c>
      <c r="IL44" s="93">
        <v>263.52999999999997</v>
      </c>
      <c r="IM44" s="93">
        <v>262.60000000000002</v>
      </c>
      <c r="IN44" s="93">
        <v>261.67</v>
      </c>
      <c r="IO44" s="93">
        <v>260.74</v>
      </c>
      <c r="IP44" s="93">
        <v>259.81</v>
      </c>
      <c r="IQ44" s="93">
        <v>258.89</v>
      </c>
      <c r="IR44" s="93">
        <v>257.95999999999998</v>
      </c>
      <c r="IS44" s="93">
        <v>257.02999999999997</v>
      </c>
      <c r="IT44" s="93">
        <v>256.10000000000002</v>
      </c>
      <c r="IU44" s="93">
        <v>255.19</v>
      </c>
      <c r="IV44" s="93">
        <v>254.27</v>
      </c>
      <c r="IW44" s="93">
        <v>253.36</v>
      </c>
      <c r="IX44" s="93">
        <v>252.45</v>
      </c>
      <c r="IY44" s="93">
        <v>251.54</v>
      </c>
      <c r="IZ44" s="93">
        <v>250.63</v>
      </c>
      <c r="JA44" s="93">
        <v>249.72</v>
      </c>
      <c r="JB44" s="93">
        <v>248.81</v>
      </c>
      <c r="JC44" s="93">
        <v>247.9</v>
      </c>
      <c r="JD44" s="93">
        <v>246.99</v>
      </c>
      <c r="JE44" s="93">
        <v>246.09</v>
      </c>
      <c r="JF44" s="93">
        <v>245.18</v>
      </c>
      <c r="JG44" s="93">
        <v>244.28</v>
      </c>
      <c r="JH44" s="93">
        <v>243.38</v>
      </c>
      <c r="JI44" s="93">
        <v>242.48</v>
      </c>
      <c r="JJ44" s="93">
        <v>241.58</v>
      </c>
      <c r="JK44" s="93">
        <v>240.68</v>
      </c>
      <c r="JL44" s="93">
        <v>239.78</v>
      </c>
      <c r="JM44" s="93">
        <v>238.88</v>
      </c>
      <c r="JN44" s="93">
        <v>237.98</v>
      </c>
      <c r="JO44" s="93">
        <v>237.09</v>
      </c>
      <c r="JP44" s="93">
        <v>236.19</v>
      </c>
      <c r="JQ44" s="93">
        <v>235.3</v>
      </c>
      <c r="JR44" s="93">
        <v>234.4</v>
      </c>
      <c r="JS44" s="93">
        <v>233.51</v>
      </c>
      <c r="JT44" s="93">
        <v>232.61</v>
      </c>
      <c r="JU44" s="93">
        <v>231.71</v>
      </c>
      <c r="JV44" s="93">
        <v>230.82</v>
      </c>
      <c r="JW44" s="93">
        <v>229.92</v>
      </c>
      <c r="JX44" s="93">
        <v>229.02</v>
      </c>
      <c r="JY44" s="93">
        <v>228.13</v>
      </c>
      <c r="JZ44" s="93">
        <v>227.23</v>
      </c>
      <c r="KA44" s="93">
        <v>226.34</v>
      </c>
      <c r="KB44" s="93">
        <v>225.45</v>
      </c>
      <c r="KC44" s="93">
        <v>224.56</v>
      </c>
      <c r="KD44" s="93">
        <v>223.66</v>
      </c>
      <c r="KE44" s="93">
        <v>222.77</v>
      </c>
      <c r="KF44" s="93">
        <v>221.88</v>
      </c>
      <c r="KG44" s="93">
        <v>221</v>
      </c>
      <c r="KH44" s="93">
        <v>220.11</v>
      </c>
      <c r="KI44" s="93">
        <v>219.22</v>
      </c>
      <c r="KJ44" s="93">
        <v>218.34</v>
      </c>
      <c r="KK44" s="93">
        <v>217.45</v>
      </c>
      <c r="KL44" s="93">
        <v>216.57</v>
      </c>
      <c r="KM44" s="93">
        <v>215.68</v>
      </c>
      <c r="KN44" s="93">
        <v>214.8</v>
      </c>
      <c r="KO44" s="93">
        <v>213.92</v>
      </c>
      <c r="KP44" s="93">
        <v>213.04</v>
      </c>
      <c r="KQ44" s="93">
        <v>212.16</v>
      </c>
      <c r="KR44" s="98">
        <f t="shared" si="29"/>
        <v>213.02</v>
      </c>
      <c r="KS44" s="98">
        <f t="shared" si="29"/>
        <v>212.23</v>
      </c>
      <c r="KT44" s="98">
        <f t="shared" si="29"/>
        <v>211.41</v>
      </c>
      <c r="KU44" s="98">
        <f t="shared" si="29"/>
        <v>210.62</v>
      </c>
      <c r="KV44" s="98">
        <f t="shared" si="29"/>
        <v>209.84</v>
      </c>
      <c r="KW44" s="98">
        <f t="shared" si="29"/>
        <v>209.05</v>
      </c>
      <c r="KX44" s="98">
        <f t="shared" si="29"/>
        <v>208.26</v>
      </c>
      <c r="KY44" s="98">
        <f t="shared" si="29"/>
        <v>207.48</v>
      </c>
      <c r="KZ44" s="98">
        <f t="shared" si="29"/>
        <v>206.69</v>
      </c>
      <c r="LA44" s="98">
        <f t="shared" si="29"/>
        <v>205.91</v>
      </c>
      <c r="LB44" s="98">
        <f t="shared" si="29"/>
        <v>205.13</v>
      </c>
      <c r="LC44" s="98">
        <f t="shared" si="29"/>
        <v>204.35</v>
      </c>
      <c r="LD44" s="98">
        <f t="shared" si="29"/>
        <v>203.57</v>
      </c>
      <c r="LE44" s="98">
        <f t="shared" si="29"/>
        <v>202.79</v>
      </c>
      <c r="LF44" s="98">
        <f t="shared" si="29"/>
        <v>202.02</v>
      </c>
      <c r="LG44" s="98">
        <f t="shared" si="28"/>
        <v>201.25</v>
      </c>
      <c r="LH44" s="98">
        <f t="shared" si="28"/>
        <v>200.47</v>
      </c>
      <c r="LI44" s="98">
        <f t="shared" si="28"/>
        <v>199.7</v>
      </c>
      <c r="LJ44" s="98">
        <f t="shared" si="28"/>
        <v>198.93</v>
      </c>
      <c r="LK44" s="98">
        <f t="shared" si="28"/>
        <v>198.16</v>
      </c>
      <c r="LL44" s="98">
        <f t="shared" si="28"/>
        <v>197.39</v>
      </c>
      <c r="LM44" s="98">
        <f t="shared" si="28"/>
        <v>196.63</v>
      </c>
      <c r="LN44" s="98">
        <f t="shared" si="28"/>
        <v>195.86</v>
      </c>
      <c r="LO44" s="98">
        <f t="shared" si="28"/>
        <v>195.1</v>
      </c>
      <c r="LP44" s="98">
        <f t="shared" si="28"/>
        <v>194.34</v>
      </c>
      <c r="LQ44" s="98">
        <f t="shared" si="28"/>
        <v>193.58</v>
      </c>
      <c r="LR44" s="98">
        <f t="shared" si="28"/>
        <v>192.82</v>
      </c>
      <c r="LS44" s="98">
        <f t="shared" si="28"/>
        <v>192.06</v>
      </c>
      <c r="LT44" s="98">
        <f t="shared" si="28"/>
        <v>191.31</v>
      </c>
      <c r="LU44" s="98">
        <f t="shared" si="28"/>
        <v>190.56</v>
      </c>
      <c r="LV44" s="98">
        <f t="shared" si="28"/>
        <v>189.8</v>
      </c>
      <c r="LW44" s="98">
        <f t="shared" si="28"/>
        <v>189.05</v>
      </c>
      <c r="LX44" s="98">
        <f t="shared" si="30"/>
        <v>188.3</v>
      </c>
      <c r="LY44" s="98">
        <f t="shared" si="30"/>
        <v>187.55</v>
      </c>
      <c r="LZ44" s="98">
        <f t="shared" si="30"/>
        <v>186.81</v>
      </c>
      <c r="MA44" s="98">
        <f t="shared" si="30"/>
        <v>186.06</v>
      </c>
      <c r="MB44" s="98">
        <f t="shared" si="30"/>
        <v>185.32</v>
      </c>
      <c r="MC44" s="98">
        <f t="shared" si="30"/>
        <v>184.58</v>
      </c>
      <c r="MD44" s="100">
        <f t="shared" si="30"/>
        <v>183.84</v>
      </c>
      <c r="ME44" s="101">
        <f t="shared" si="30"/>
        <v>183.11</v>
      </c>
      <c r="MF44" s="101">
        <f t="shared" si="30"/>
        <v>182.37</v>
      </c>
      <c r="MG44" s="101">
        <f t="shared" si="30"/>
        <v>181.64</v>
      </c>
      <c r="MH44" s="101">
        <f t="shared" si="30"/>
        <v>180.9</v>
      </c>
      <c r="MI44" s="101">
        <f t="shared" si="30"/>
        <v>180.17</v>
      </c>
      <c r="MJ44" s="101">
        <f t="shared" si="30"/>
        <v>179.44</v>
      </c>
      <c r="MK44" s="101">
        <f t="shared" si="30"/>
        <v>178.71</v>
      </c>
      <c r="ML44" s="101">
        <f t="shared" si="30"/>
        <v>177.99</v>
      </c>
      <c r="MM44" s="101">
        <f t="shared" si="30"/>
        <v>177.26</v>
      </c>
      <c r="MN44" s="101">
        <f t="shared" si="25"/>
        <v>176.54</v>
      </c>
      <c r="MO44" s="101">
        <f t="shared" si="26"/>
        <v>175.82</v>
      </c>
      <c r="MP44" s="101">
        <f t="shared" si="27"/>
        <v>175.1</v>
      </c>
      <c r="MQ44" s="101">
        <f t="shared" si="24"/>
        <v>174.39</v>
      </c>
      <c r="MR44" s="101">
        <f t="shared" si="24"/>
        <v>173.67</v>
      </c>
      <c r="MS44" s="101">
        <f t="shared" si="24"/>
        <v>172.96</v>
      </c>
      <c r="MT44" s="101">
        <f t="shared" si="24"/>
        <v>172.24</v>
      </c>
      <c r="MU44" s="101">
        <f t="shared" si="24"/>
        <v>171.53</v>
      </c>
      <c r="MV44" s="101">
        <f t="shared" si="24"/>
        <v>170.82</v>
      </c>
      <c r="MW44" s="101">
        <f t="shared" si="24"/>
        <v>170.12</v>
      </c>
      <c r="MX44" s="101">
        <f t="shared" si="24"/>
        <v>169.41</v>
      </c>
      <c r="MY44" s="101">
        <f t="shared" si="24"/>
        <v>168.71</v>
      </c>
    </row>
    <row r="45" spans="1:363" ht="15.75" x14ac:dyDescent="0.25">
      <c r="A45" s="90" t="s">
        <v>6</v>
      </c>
      <c r="B45" s="95">
        <v>2055</v>
      </c>
      <c r="C45" s="93">
        <v>509.9</v>
      </c>
      <c r="D45" s="93">
        <v>508.86</v>
      </c>
      <c r="E45" s="93">
        <v>507.82</v>
      </c>
      <c r="F45" s="93">
        <v>506.79</v>
      </c>
      <c r="G45" s="93">
        <v>505.75</v>
      </c>
      <c r="H45" s="93">
        <v>504.72</v>
      </c>
      <c r="I45" s="93">
        <v>503.68</v>
      </c>
      <c r="J45" s="93">
        <v>502.65</v>
      </c>
      <c r="K45" s="93">
        <v>501.61</v>
      </c>
      <c r="L45" s="93">
        <v>500.58</v>
      </c>
      <c r="M45" s="93">
        <v>499.54</v>
      </c>
      <c r="N45" s="93">
        <v>498.5</v>
      </c>
      <c r="O45" s="93">
        <v>497.47</v>
      </c>
      <c r="P45" s="93">
        <v>496.43</v>
      </c>
      <c r="Q45" s="93">
        <v>495.4</v>
      </c>
      <c r="R45" s="93">
        <v>494.36</v>
      </c>
      <c r="S45" s="93">
        <v>493.32</v>
      </c>
      <c r="T45" s="93">
        <v>492.29</v>
      </c>
      <c r="U45" s="93">
        <v>491.25</v>
      </c>
      <c r="V45" s="93">
        <v>490.22</v>
      </c>
      <c r="W45" s="93">
        <v>489.18</v>
      </c>
      <c r="X45" s="93">
        <v>488.14</v>
      </c>
      <c r="Y45" s="93">
        <v>487.11</v>
      </c>
      <c r="Z45" s="93">
        <v>486.07</v>
      </c>
      <c r="AA45" s="93">
        <v>485.04</v>
      </c>
      <c r="AB45" s="93">
        <v>484</v>
      </c>
      <c r="AC45" s="93">
        <v>482.96</v>
      </c>
      <c r="AD45" s="93">
        <v>481.93</v>
      </c>
      <c r="AE45" s="93">
        <v>480.89</v>
      </c>
      <c r="AF45" s="93">
        <v>479.85</v>
      </c>
      <c r="AG45" s="93">
        <v>478.82</v>
      </c>
      <c r="AH45" s="93">
        <v>477.78</v>
      </c>
      <c r="AI45" s="93">
        <v>476.75</v>
      </c>
      <c r="AJ45" s="93">
        <v>475.71</v>
      </c>
      <c r="AK45" s="93">
        <v>474.67</v>
      </c>
      <c r="AL45" s="93">
        <v>473.64</v>
      </c>
      <c r="AM45" s="93">
        <v>472.6</v>
      </c>
      <c r="AN45" s="93">
        <v>471.56</v>
      </c>
      <c r="AO45" s="93">
        <v>470.53</v>
      </c>
      <c r="AP45" s="93">
        <v>469.49</v>
      </c>
      <c r="AQ45" s="93">
        <v>468.45</v>
      </c>
      <c r="AR45" s="93">
        <v>467.42</v>
      </c>
      <c r="AS45" s="93">
        <v>466.38</v>
      </c>
      <c r="AT45" s="93">
        <v>465.34</v>
      </c>
      <c r="AU45" s="93">
        <v>464.3</v>
      </c>
      <c r="AV45" s="93">
        <v>463.27</v>
      </c>
      <c r="AW45" s="93">
        <v>462.23</v>
      </c>
      <c r="AX45" s="93">
        <v>461.19</v>
      </c>
      <c r="AY45" s="93">
        <v>460.16</v>
      </c>
      <c r="AZ45" s="93">
        <v>459.12</v>
      </c>
      <c r="BA45" s="93">
        <v>458.08</v>
      </c>
      <c r="BB45" s="93">
        <v>457.05</v>
      </c>
      <c r="BC45" s="93">
        <v>456.01</v>
      </c>
      <c r="BD45" s="93">
        <v>454.97</v>
      </c>
      <c r="BE45" s="93">
        <v>453.94</v>
      </c>
      <c r="BF45" s="93">
        <v>452.9</v>
      </c>
      <c r="BG45" s="93">
        <v>451.86</v>
      </c>
      <c r="BH45" s="93">
        <v>450.82</v>
      </c>
      <c r="BI45" s="93">
        <v>449.79</v>
      </c>
      <c r="BJ45" s="93">
        <v>448.75</v>
      </c>
      <c r="BK45" s="93">
        <v>447.71</v>
      </c>
      <c r="BL45" s="93">
        <v>446.67</v>
      </c>
      <c r="BM45" s="93">
        <v>445.64</v>
      </c>
      <c r="BN45" s="93">
        <v>444.6</v>
      </c>
      <c r="BO45" s="93">
        <v>443.56</v>
      </c>
      <c r="BP45" s="93">
        <v>442.52</v>
      </c>
      <c r="BQ45" s="93">
        <v>441.48</v>
      </c>
      <c r="BR45" s="93">
        <v>440.45</v>
      </c>
      <c r="BS45" s="93">
        <v>439.41</v>
      </c>
      <c r="BT45" s="93">
        <v>438.37</v>
      </c>
      <c r="BU45" s="93">
        <v>437.33</v>
      </c>
      <c r="BV45" s="93">
        <v>436.3</v>
      </c>
      <c r="BW45" s="93">
        <v>435.26</v>
      </c>
      <c r="BX45" s="93">
        <v>434.22</v>
      </c>
      <c r="BY45" s="93">
        <v>433.19</v>
      </c>
      <c r="BZ45" s="93">
        <v>432.15</v>
      </c>
      <c r="CA45" s="93">
        <v>431.11</v>
      </c>
      <c r="CB45" s="93">
        <v>430.08</v>
      </c>
      <c r="CC45" s="93">
        <v>429.04</v>
      </c>
      <c r="CD45" s="93">
        <v>428.01</v>
      </c>
      <c r="CE45" s="93">
        <v>426.97</v>
      </c>
      <c r="CF45" s="93">
        <v>425.93</v>
      </c>
      <c r="CG45" s="93">
        <v>424.9</v>
      </c>
      <c r="CH45" s="93">
        <v>423.86</v>
      </c>
      <c r="CI45" s="93">
        <v>422.83</v>
      </c>
      <c r="CJ45" s="93">
        <v>421.79</v>
      </c>
      <c r="CK45" s="93">
        <v>420.76</v>
      </c>
      <c r="CL45" s="93">
        <v>419.72</v>
      </c>
      <c r="CM45" s="93">
        <v>418.68</v>
      </c>
      <c r="CN45" s="93">
        <v>417.65</v>
      </c>
      <c r="CO45" s="93">
        <v>416.61</v>
      </c>
      <c r="CP45" s="93">
        <v>415.58</v>
      </c>
      <c r="CQ45" s="93">
        <v>414.54</v>
      </c>
      <c r="CR45" s="93">
        <v>413.5</v>
      </c>
      <c r="CS45" s="93">
        <v>412.47</v>
      </c>
      <c r="CT45" s="93">
        <v>411.43</v>
      </c>
      <c r="CU45" s="93">
        <v>410.4</v>
      </c>
      <c r="CV45" s="93">
        <v>409.36</v>
      </c>
      <c r="CW45" s="93">
        <v>408.33</v>
      </c>
      <c r="CX45" s="93">
        <v>407.29</v>
      </c>
      <c r="CY45" s="93">
        <v>406.26</v>
      </c>
      <c r="CZ45" s="93">
        <v>405.23</v>
      </c>
      <c r="DA45" s="93">
        <v>404.19</v>
      </c>
      <c r="DB45" s="93">
        <v>403.16</v>
      </c>
      <c r="DC45" s="93">
        <v>402.13</v>
      </c>
      <c r="DD45" s="93">
        <v>401.09</v>
      </c>
      <c r="DE45" s="93">
        <v>400.06</v>
      </c>
      <c r="DF45" s="93">
        <v>399.02</v>
      </c>
      <c r="DG45" s="93">
        <v>397.99</v>
      </c>
      <c r="DH45" s="93">
        <v>396.96</v>
      </c>
      <c r="DI45" s="93">
        <v>395.93</v>
      </c>
      <c r="DJ45" s="93">
        <v>394.89</v>
      </c>
      <c r="DK45" s="93">
        <v>393.86</v>
      </c>
      <c r="DL45" s="93">
        <v>392.83</v>
      </c>
      <c r="DM45" s="93">
        <v>391.8</v>
      </c>
      <c r="DN45" s="93">
        <v>390.77</v>
      </c>
      <c r="DO45" s="93">
        <v>389.74</v>
      </c>
      <c r="DP45" s="93">
        <v>388.7</v>
      </c>
      <c r="DQ45" s="93">
        <v>387.67</v>
      </c>
      <c r="DR45" s="93">
        <v>386.64</v>
      </c>
      <c r="DS45" s="93">
        <v>385.61</v>
      </c>
      <c r="DT45" s="93">
        <v>384.58</v>
      </c>
      <c r="DU45" s="93">
        <v>383.56</v>
      </c>
      <c r="DV45" s="93">
        <v>382.53</v>
      </c>
      <c r="DW45" s="93">
        <v>381.5</v>
      </c>
      <c r="DX45" s="93">
        <v>380.48</v>
      </c>
      <c r="DY45" s="93">
        <v>379.45</v>
      </c>
      <c r="DZ45" s="93">
        <v>378.42</v>
      </c>
      <c r="EA45" s="93">
        <v>377.4</v>
      </c>
      <c r="EB45" s="93">
        <v>376.37</v>
      </c>
      <c r="EC45" s="93">
        <v>375.35</v>
      </c>
      <c r="ED45" s="93">
        <v>374.32</v>
      </c>
      <c r="EE45" s="93">
        <v>373.3</v>
      </c>
      <c r="EF45" s="93">
        <v>372.28</v>
      </c>
      <c r="EG45" s="93">
        <v>371.26</v>
      </c>
      <c r="EH45" s="93">
        <v>370.24</v>
      </c>
      <c r="EI45" s="93">
        <v>369.22</v>
      </c>
      <c r="EJ45" s="93">
        <v>368.2</v>
      </c>
      <c r="EK45" s="93">
        <v>367.19</v>
      </c>
      <c r="EL45" s="93">
        <v>366.17</v>
      </c>
      <c r="EM45" s="93">
        <v>365.15</v>
      </c>
      <c r="EN45" s="93">
        <v>364.13</v>
      </c>
      <c r="EO45" s="93">
        <v>363.12</v>
      </c>
      <c r="EP45" s="93">
        <v>362.1</v>
      </c>
      <c r="EQ45" s="93">
        <v>361.08</v>
      </c>
      <c r="ER45" s="93">
        <v>360.07</v>
      </c>
      <c r="ES45" s="93">
        <v>359.06</v>
      </c>
      <c r="ET45" s="93">
        <v>358.05</v>
      </c>
      <c r="EU45" s="93">
        <v>357.04</v>
      </c>
      <c r="EV45" s="93">
        <v>356.02</v>
      </c>
      <c r="EW45" s="93">
        <v>355.01</v>
      </c>
      <c r="EX45" s="93">
        <v>354</v>
      </c>
      <c r="EY45" s="93">
        <v>352.99</v>
      </c>
      <c r="EZ45" s="93">
        <v>351.98</v>
      </c>
      <c r="FA45" s="93">
        <v>350.97</v>
      </c>
      <c r="FB45" s="93">
        <v>349.96</v>
      </c>
      <c r="FC45" s="93">
        <v>348.95</v>
      </c>
      <c r="FD45" s="93">
        <v>347.95</v>
      </c>
      <c r="FE45" s="93">
        <v>346.94</v>
      </c>
      <c r="FF45" s="93">
        <v>345.94</v>
      </c>
      <c r="FG45" s="93">
        <v>344.94</v>
      </c>
      <c r="FH45" s="93">
        <v>343.93</v>
      </c>
      <c r="FI45" s="93">
        <v>342.93</v>
      </c>
      <c r="FJ45" s="93">
        <v>341.93</v>
      </c>
      <c r="FK45" s="93">
        <v>340.93</v>
      </c>
      <c r="FL45" s="93">
        <v>339.93</v>
      </c>
      <c r="FM45" s="93">
        <v>338.93</v>
      </c>
      <c r="FN45" s="93">
        <v>337.93</v>
      </c>
      <c r="FO45" s="93">
        <v>336.92</v>
      </c>
      <c r="FP45" s="93">
        <v>335.93</v>
      </c>
      <c r="FQ45" s="93">
        <v>334.93</v>
      </c>
      <c r="FR45" s="93">
        <v>333.93</v>
      </c>
      <c r="FS45" s="93">
        <v>332.93</v>
      </c>
      <c r="FT45" s="93">
        <v>331.94</v>
      </c>
      <c r="FU45" s="93">
        <v>330.94</v>
      </c>
      <c r="FV45" s="93">
        <v>329.94</v>
      </c>
      <c r="FW45" s="93">
        <v>328.95</v>
      </c>
      <c r="FX45" s="93">
        <v>327.95</v>
      </c>
      <c r="FY45" s="93">
        <v>326.95999999999998</v>
      </c>
      <c r="FZ45" s="93">
        <v>325.95999999999998</v>
      </c>
      <c r="GA45" s="93">
        <v>324.97000000000003</v>
      </c>
      <c r="GB45" s="93">
        <v>323.98</v>
      </c>
      <c r="GC45" s="93">
        <v>322.99</v>
      </c>
      <c r="GD45" s="93">
        <v>321.99</v>
      </c>
      <c r="GE45" s="93">
        <v>321</v>
      </c>
      <c r="GF45" s="93">
        <v>320.01</v>
      </c>
      <c r="GG45" s="93">
        <v>319.01</v>
      </c>
      <c r="GH45" s="93">
        <v>318.02999999999997</v>
      </c>
      <c r="GI45" s="93">
        <v>317.04000000000002</v>
      </c>
      <c r="GJ45" s="93">
        <v>316.06</v>
      </c>
      <c r="GK45" s="93">
        <v>315.07</v>
      </c>
      <c r="GL45" s="93">
        <v>314.07</v>
      </c>
      <c r="GM45" s="93">
        <v>313.10000000000002</v>
      </c>
      <c r="GN45" s="93">
        <v>312.12</v>
      </c>
      <c r="GO45" s="93">
        <v>311.14</v>
      </c>
      <c r="GP45" s="93">
        <v>310.16000000000003</v>
      </c>
      <c r="GQ45" s="93">
        <v>309.18</v>
      </c>
      <c r="GR45" s="93">
        <v>308.2</v>
      </c>
      <c r="GS45" s="93">
        <v>307.23</v>
      </c>
      <c r="GT45" s="93">
        <v>306.25</v>
      </c>
      <c r="GU45" s="93">
        <v>305.26</v>
      </c>
      <c r="GV45" s="93">
        <v>304.29000000000002</v>
      </c>
      <c r="GW45" s="93">
        <v>303.32</v>
      </c>
      <c r="GX45" s="93">
        <v>302.35000000000002</v>
      </c>
      <c r="GY45" s="93">
        <v>301.38</v>
      </c>
      <c r="GZ45" s="93">
        <v>300.39999999999998</v>
      </c>
      <c r="HA45" s="93">
        <v>299.43</v>
      </c>
      <c r="HB45" s="93">
        <v>298.45999999999998</v>
      </c>
      <c r="HC45" s="93">
        <v>297.49</v>
      </c>
      <c r="HD45" s="93">
        <v>296.52999999999997</v>
      </c>
      <c r="HE45" s="93">
        <v>295.56</v>
      </c>
      <c r="HF45" s="93">
        <v>294.58999999999997</v>
      </c>
      <c r="HG45" s="93">
        <v>293.62</v>
      </c>
      <c r="HH45" s="93">
        <v>292.66000000000003</v>
      </c>
      <c r="HI45" s="93">
        <v>291.69</v>
      </c>
      <c r="HJ45" s="93">
        <v>290.73</v>
      </c>
      <c r="HK45" s="93">
        <v>289.76</v>
      </c>
      <c r="HL45" s="93">
        <v>288.81</v>
      </c>
      <c r="HM45" s="93">
        <v>287.85000000000002</v>
      </c>
      <c r="HN45" s="93">
        <v>286.89999999999998</v>
      </c>
      <c r="HO45" s="93">
        <v>285.95</v>
      </c>
      <c r="HP45" s="93">
        <v>285</v>
      </c>
      <c r="HQ45" s="93">
        <v>284.04000000000002</v>
      </c>
      <c r="HR45" s="93">
        <v>283.08999999999997</v>
      </c>
      <c r="HS45" s="93">
        <v>282.14</v>
      </c>
      <c r="HT45" s="93">
        <v>281.19</v>
      </c>
      <c r="HU45" s="93">
        <v>280.25</v>
      </c>
      <c r="HV45" s="93">
        <v>279.29000000000002</v>
      </c>
      <c r="HW45" s="93">
        <v>278.35000000000002</v>
      </c>
      <c r="HX45" s="93">
        <v>277.41000000000003</v>
      </c>
      <c r="HY45" s="93">
        <v>276.45999999999998</v>
      </c>
      <c r="HZ45" s="93">
        <v>275.51</v>
      </c>
      <c r="IA45" s="93">
        <v>274.57</v>
      </c>
      <c r="IB45" s="93">
        <v>273.63</v>
      </c>
      <c r="IC45" s="93">
        <v>272.69</v>
      </c>
      <c r="ID45" s="93">
        <v>271.75</v>
      </c>
      <c r="IE45" s="93">
        <v>270.81</v>
      </c>
      <c r="IF45" s="93">
        <v>269.87</v>
      </c>
      <c r="IG45" s="93">
        <v>268.93</v>
      </c>
      <c r="IH45" s="93">
        <v>267.99</v>
      </c>
      <c r="II45" s="93">
        <v>267.06</v>
      </c>
      <c r="IJ45" s="93">
        <v>266.12</v>
      </c>
      <c r="IK45" s="93">
        <v>265.19</v>
      </c>
      <c r="IL45" s="93">
        <v>264.25</v>
      </c>
      <c r="IM45" s="93">
        <v>263.32</v>
      </c>
      <c r="IN45" s="93">
        <v>262.39</v>
      </c>
      <c r="IO45" s="93">
        <v>261.45999999999998</v>
      </c>
      <c r="IP45" s="93">
        <v>260.52999999999997</v>
      </c>
      <c r="IQ45" s="93">
        <v>259.60000000000002</v>
      </c>
      <c r="IR45" s="93">
        <v>258.67</v>
      </c>
      <c r="IS45" s="93">
        <v>257.75</v>
      </c>
      <c r="IT45" s="93">
        <v>256.82</v>
      </c>
      <c r="IU45" s="93">
        <v>255.9</v>
      </c>
      <c r="IV45" s="93">
        <v>254.98</v>
      </c>
      <c r="IW45" s="93">
        <v>254.07</v>
      </c>
      <c r="IX45" s="93">
        <v>253.15</v>
      </c>
      <c r="IY45" s="93">
        <v>252.24</v>
      </c>
      <c r="IZ45" s="93">
        <v>251.33</v>
      </c>
      <c r="JA45" s="93">
        <v>250.42</v>
      </c>
      <c r="JB45" s="93">
        <v>249.51</v>
      </c>
      <c r="JC45" s="93">
        <v>248.6</v>
      </c>
      <c r="JD45" s="93">
        <v>247.69</v>
      </c>
      <c r="JE45" s="93">
        <v>246.79</v>
      </c>
      <c r="JF45" s="93">
        <v>245.88</v>
      </c>
      <c r="JG45" s="93">
        <v>244.97</v>
      </c>
      <c r="JH45" s="93">
        <v>244.07</v>
      </c>
      <c r="JI45" s="93">
        <v>243.17</v>
      </c>
      <c r="JJ45" s="93">
        <v>242.27</v>
      </c>
      <c r="JK45" s="93">
        <v>241.37</v>
      </c>
      <c r="JL45" s="93">
        <v>240.47</v>
      </c>
      <c r="JM45" s="93">
        <v>239.57</v>
      </c>
      <c r="JN45" s="93">
        <v>238.67</v>
      </c>
      <c r="JO45" s="93">
        <v>237.77</v>
      </c>
      <c r="JP45" s="93">
        <v>236.88</v>
      </c>
      <c r="JQ45" s="93">
        <v>235.98</v>
      </c>
      <c r="JR45" s="93">
        <v>235.08</v>
      </c>
      <c r="JS45" s="93">
        <v>234.19</v>
      </c>
      <c r="JT45" s="93">
        <v>233.29</v>
      </c>
      <c r="JU45" s="93">
        <v>232.39</v>
      </c>
      <c r="JV45" s="93">
        <v>231.49</v>
      </c>
      <c r="JW45" s="93">
        <v>230.59</v>
      </c>
      <c r="JX45" s="93">
        <v>229.7</v>
      </c>
      <c r="JY45" s="93">
        <v>228.8</v>
      </c>
      <c r="JZ45" s="93">
        <v>227.9</v>
      </c>
      <c r="KA45" s="93">
        <v>227.01</v>
      </c>
      <c r="KB45" s="93">
        <v>226.11</v>
      </c>
      <c r="KC45" s="93">
        <v>225.22</v>
      </c>
      <c r="KD45" s="93">
        <v>224.33</v>
      </c>
      <c r="KE45" s="93">
        <v>223.43</v>
      </c>
      <c r="KF45" s="93">
        <v>222.54</v>
      </c>
      <c r="KG45" s="93">
        <v>221.65</v>
      </c>
      <c r="KH45" s="93">
        <v>220.77</v>
      </c>
      <c r="KI45" s="93">
        <v>219.88</v>
      </c>
      <c r="KJ45" s="93">
        <v>218.99</v>
      </c>
      <c r="KK45" s="93">
        <v>218.1</v>
      </c>
      <c r="KL45" s="93">
        <v>217.22</v>
      </c>
      <c r="KM45" s="93">
        <v>216.33</v>
      </c>
      <c r="KN45" s="93">
        <v>215.45</v>
      </c>
      <c r="KO45" s="93">
        <v>214.57</v>
      </c>
      <c r="KP45" s="93">
        <v>213.69</v>
      </c>
      <c r="KQ45" s="93">
        <v>212.81</v>
      </c>
      <c r="KR45" s="98">
        <f t="shared" si="29"/>
        <v>213.77</v>
      </c>
      <c r="KS45" s="98">
        <f t="shared" si="29"/>
        <v>212.98</v>
      </c>
      <c r="KT45" s="98">
        <f t="shared" si="29"/>
        <v>212.16</v>
      </c>
      <c r="KU45" s="98">
        <f t="shared" si="29"/>
        <v>211.37</v>
      </c>
      <c r="KV45" s="98">
        <f t="shared" si="29"/>
        <v>210.59</v>
      </c>
      <c r="KW45" s="98">
        <f t="shared" si="29"/>
        <v>209.8</v>
      </c>
      <c r="KX45" s="98">
        <f t="shared" si="29"/>
        <v>209.01</v>
      </c>
      <c r="KY45" s="98">
        <f t="shared" si="29"/>
        <v>208.23</v>
      </c>
      <c r="KZ45" s="98">
        <f t="shared" si="29"/>
        <v>207.44</v>
      </c>
      <c r="LA45" s="98">
        <f t="shared" si="29"/>
        <v>206.66</v>
      </c>
      <c r="LB45" s="98">
        <f t="shared" si="29"/>
        <v>205.88</v>
      </c>
      <c r="LC45" s="98">
        <f t="shared" si="29"/>
        <v>205.1</v>
      </c>
      <c r="LD45" s="98">
        <f t="shared" si="29"/>
        <v>204.32</v>
      </c>
      <c r="LE45" s="98">
        <f t="shared" si="29"/>
        <v>203.54</v>
      </c>
      <c r="LF45" s="98">
        <f t="shared" si="29"/>
        <v>202.77</v>
      </c>
      <c r="LG45" s="98">
        <f t="shared" si="28"/>
        <v>202</v>
      </c>
      <c r="LH45" s="98">
        <f t="shared" si="28"/>
        <v>201.22</v>
      </c>
      <c r="LI45" s="98">
        <f t="shared" si="28"/>
        <v>200.45</v>
      </c>
      <c r="LJ45" s="98">
        <f t="shared" si="28"/>
        <v>199.68</v>
      </c>
      <c r="LK45" s="98">
        <f t="shared" si="28"/>
        <v>198.91</v>
      </c>
      <c r="LL45" s="98">
        <f t="shared" si="28"/>
        <v>198.14</v>
      </c>
      <c r="LM45" s="98">
        <f t="shared" si="28"/>
        <v>197.38</v>
      </c>
      <c r="LN45" s="98">
        <f t="shared" si="28"/>
        <v>196.61</v>
      </c>
      <c r="LO45" s="98">
        <f t="shared" si="28"/>
        <v>195.85</v>
      </c>
      <c r="LP45" s="98">
        <f t="shared" si="28"/>
        <v>195.09</v>
      </c>
      <c r="LQ45" s="98">
        <f t="shared" si="28"/>
        <v>194.33</v>
      </c>
      <c r="LR45" s="98">
        <f t="shared" si="28"/>
        <v>193.57</v>
      </c>
      <c r="LS45" s="98">
        <f t="shared" si="28"/>
        <v>192.81</v>
      </c>
      <c r="LT45" s="98">
        <f t="shared" si="28"/>
        <v>192.06</v>
      </c>
      <c r="LU45" s="98">
        <f t="shared" si="28"/>
        <v>191.31</v>
      </c>
      <c r="LV45" s="98">
        <f t="shared" si="28"/>
        <v>190.55</v>
      </c>
      <c r="LW45" s="98">
        <f t="shared" si="28"/>
        <v>189.8</v>
      </c>
      <c r="LX45" s="98">
        <f t="shared" si="30"/>
        <v>189.05</v>
      </c>
      <c r="LY45" s="98">
        <f t="shared" si="30"/>
        <v>188.3</v>
      </c>
      <c r="LZ45" s="98">
        <f t="shared" si="30"/>
        <v>187.56</v>
      </c>
      <c r="MA45" s="98">
        <f t="shared" si="30"/>
        <v>186.81</v>
      </c>
      <c r="MB45" s="98">
        <f t="shared" si="30"/>
        <v>186.07</v>
      </c>
      <c r="MC45" s="98">
        <f t="shared" si="30"/>
        <v>185.33</v>
      </c>
      <c r="MD45" s="100">
        <f t="shared" si="30"/>
        <v>184.59</v>
      </c>
      <c r="ME45" s="101">
        <f t="shared" si="30"/>
        <v>183.86</v>
      </c>
      <c r="MF45" s="101">
        <f t="shared" si="30"/>
        <v>183.12</v>
      </c>
      <c r="MG45" s="101">
        <f t="shared" si="30"/>
        <v>182.39</v>
      </c>
      <c r="MH45" s="101">
        <f t="shared" si="30"/>
        <v>181.65</v>
      </c>
      <c r="MI45" s="101">
        <f t="shared" si="30"/>
        <v>180.92</v>
      </c>
      <c r="MJ45" s="101">
        <f t="shared" si="30"/>
        <v>180.19</v>
      </c>
      <c r="MK45" s="101">
        <f t="shared" si="30"/>
        <v>179.46</v>
      </c>
      <c r="ML45" s="101">
        <f t="shared" si="30"/>
        <v>178.74</v>
      </c>
      <c r="MM45" s="101">
        <f t="shared" si="30"/>
        <v>178.01</v>
      </c>
      <c r="MN45" s="101">
        <f t="shared" si="25"/>
        <v>177.29</v>
      </c>
      <c r="MO45" s="101">
        <f t="shared" si="26"/>
        <v>176.57</v>
      </c>
      <c r="MP45" s="101">
        <f t="shared" si="27"/>
        <v>175.85</v>
      </c>
      <c r="MQ45" s="101">
        <f t="shared" ref="MQ45:MY45" si="31">MQ44+0.75</f>
        <v>175.14</v>
      </c>
      <c r="MR45" s="101">
        <f t="shared" si="31"/>
        <v>174.42</v>
      </c>
      <c r="MS45" s="101">
        <f t="shared" si="31"/>
        <v>173.71</v>
      </c>
      <c r="MT45" s="101">
        <f t="shared" si="31"/>
        <v>172.99</v>
      </c>
      <c r="MU45" s="101">
        <f t="shared" si="31"/>
        <v>172.28</v>
      </c>
      <c r="MV45" s="101">
        <f t="shared" si="31"/>
        <v>171.57</v>
      </c>
      <c r="MW45" s="101">
        <f t="shared" si="31"/>
        <v>170.87</v>
      </c>
      <c r="MX45" s="101">
        <f t="shared" si="31"/>
        <v>170.16</v>
      </c>
      <c r="MY45" s="101">
        <f t="shared" si="31"/>
        <v>169.46</v>
      </c>
    </row>
    <row r="46" spans="1:363" ht="15.75" x14ac:dyDescent="0.25">
      <c r="A46" s="90" t="s">
        <v>6</v>
      </c>
      <c r="B46" s="95">
        <v>2056</v>
      </c>
      <c r="C46" s="93">
        <v>510.69</v>
      </c>
      <c r="D46" s="93">
        <v>509.66</v>
      </c>
      <c r="E46" s="93">
        <v>508.62</v>
      </c>
      <c r="F46" s="93">
        <v>507.58</v>
      </c>
      <c r="G46" s="93">
        <v>506.55</v>
      </c>
      <c r="H46" s="93">
        <v>505.51</v>
      </c>
      <c r="I46" s="93">
        <v>504.48</v>
      </c>
      <c r="J46" s="93">
        <v>503.44</v>
      </c>
      <c r="K46" s="93">
        <v>502.41</v>
      </c>
      <c r="L46" s="93">
        <v>501.37</v>
      </c>
      <c r="M46" s="93">
        <v>500.34</v>
      </c>
      <c r="N46" s="93">
        <v>499.3</v>
      </c>
      <c r="O46" s="93">
        <v>498.27</v>
      </c>
      <c r="P46" s="93">
        <v>497.23</v>
      </c>
      <c r="Q46" s="93">
        <v>496.19</v>
      </c>
      <c r="R46" s="93">
        <v>495.16</v>
      </c>
      <c r="S46" s="93">
        <v>494.12</v>
      </c>
      <c r="T46" s="93">
        <v>493.09</v>
      </c>
      <c r="U46" s="93">
        <v>492.05</v>
      </c>
      <c r="V46" s="93">
        <v>491.01</v>
      </c>
      <c r="W46" s="93">
        <v>489.98</v>
      </c>
      <c r="X46" s="93">
        <v>488.94</v>
      </c>
      <c r="Y46" s="93">
        <v>487.91</v>
      </c>
      <c r="Z46" s="93">
        <v>486.87</v>
      </c>
      <c r="AA46" s="93">
        <v>485.84</v>
      </c>
      <c r="AB46" s="93">
        <v>484.8</v>
      </c>
      <c r="AC46" s="93">
        <v>483.76</v>
      </c>
      <c r="AD46" s="93">
        <v>482.73</v>
      </c>
      <c r="AE46" s="93">
        <v>481.69</v>
      </c>
      <c r="AF46" s="93">
        <v>480.65</v>
      </c>
      <c r="AG46" s="93">
        <v>479.62</v>
      </c>
      <c r="AH46" s="93">
        <v>478.58</v>
      </c>
      <c r="AI46" s="93">
        <v>477.54</v>
      </c>
      <c r="AJ46" s="93">
        <v>476.51</v>
      </c>
      <c r="AK46" s="93">
        <v>475.47</v>
      </c>
      <c r="AL46" s="93">
        <v>474.44</v>
      </c>
      <c r="AM46" s="93">
        <v>473.4</v>
      </c>
      <c r="AN46" s="93">
        <v>472.36</v>
      </c>
      <c r="AO46" s="93">
        <v>471.33</v>
      </c>
      <c r="AP46" s="93">
        <v>470.29</v>
      </c>
      <c r="AQ46" s="93">
        <v>469.25</v>
      </c>
      <c r="AR46" s="93">
        <v>468.21</v>
      </c>
      <c r="AS46" s="93">
        <v>467.18</v>
      </c>
      <c r="AT46" s="93">
        <v>466.14</v>
      </c>
      <c r="AU46" s="93">
        <v>465.1</v>
      </c>
      <c r="AV46" s="93">
        <v>464.07</v>
      </c>
      <c r="AW46" s="93">
        <v>463.03</v>
      </c>
      <c r="AX46" s="93">
        <v>461.99</v>
      </c>
      <c r="AY46" s="93">
        <v>460.96</v>
      </c>
      <c r="AZ46" s="93">
        <v>459.92</v>
      </c>
      <c r="BA46" s="93">
        <v>458.88</v>
      </c>
      <c r="BB46" s="93">
        <v>457.85</v>
      </c>
      <c r="BC46" s="93">
        <v>456.81</v>
      </c>
      <c r="BD46" s="93">
        <v>455.77</v>
      </c>
      <c r="BE46" s="93">
        <v>454.73</v>
      </c>
      <c r="BF46" s="93">
        <v>453.7</v>
      </c>
      <c r="BG46" s="93">
        <v>452.66</v>
      </c>
      <c r="BH46" s="93">
        <v>451.62</v>
      </c>
      <c r="BI46" s="93">
        <v>450.59</v>
      </c>
      <c r="BJ46" s="93">
        <v>449.55</v>
      </c>
      <c r="BK46" s="93">
        <v>448.51</v>
      </c>
      <c r="BL46" s="93">
        <v>447.47</v>
      </c>
      <c r="BM46" s="93">
        <v>446.44</v>
      </c>
      <c r="BN46" s="93">
        <v>445.4</v>
      </c>
      <c r="BO46" s="93">
        <v>444.36</v>
      </c>
      <c r="BP46" s="93">
        <v>443.32</v>
      </c>
      <c r="BQ46" s="93">
        <v>442.28</v>
      </c>
      <c r="BR46" s="93">
        <v>441.25</v>
      </c>
      <c r="BS46" s="93">
        <v>440.21</v>
      </c>
      <c r="BT46" s="93">
        <v>439.17</v>
      </c>
      <c r="BU46" s="93">
        <v>438.13</v>
      </c>
      <c r="BV46" s="93">
        <v>437.1</v>
      </c>
      <c r="BW46" s="93">
        <v>436.06</v>
      </c>
      <c r="BX46" s="93">
        <v>435.02</v>
      </c>
      <c r="BY46" s="93">
        <v>433.99</v>
      </c>
      <c r="BZ46" s="93">
        <v>432.95</v>
      </c>
      <c r="CA46" s="93">
        <v>431.91</v>
      </c>
      <c r="CB46" s="93">
        <v>430.88</v>
      </c>
      <c r="CC46" s="93">
        <v>429.84</v>
      </c>
      <c r="CD46" s="93">
        <v>428.81</v>
      </c>
      <c r="CE46" s="93">
        <v>427.77</v>
      </c>
      <c r="CF46" s="93">
        <v>426.73</v>
      </c>
      <c r="CG46" s="93">
        <v>425.7</v>
      </c>
      <c r="CH46" s="93">
        <v>424.66</v>
      </c>
      <c r="CI46" s="93">
        <v>423.63</v>
      </c>
      <c r="CJ46" s="93">
        <v>422.59</v>
      </c>
      <c r="CK46" s="93">
        <v>421.55</v>
      </c>
      <c r="CL46" s="93">
        <v>420.52</v>
      </c>
      <c r="CM46" s="93">
        <v>419.48</v>
      </c>
      <c r="CN46" s="93">
        <v>418.45</v>
      </c>
      <c r="CO46" s="93">
        <v>417.41</v>
      </c>
      <c r="CP46" s="93">
        <v>416.37</v>
      </c>
      <c r="CQ46" s="93">
        <v>415.34</v>
      </c>
      <c r="CR46" s="93">
        <v>414.3</v>
      </c>
      <c r="CS46" s="93">
        <v>413.27</v>
      </c>
      <c r="CT46" s="93">
        <v>412.23</v>
      </c>
      <c r="CU46" s="93">
        <v>411.19</v>
      </c>
      <c r="CV46" s="93">
        <v>410.16</v>
      </c>
      <c r="CW46" s="93">
        <v>409.13</v>
      </c>
      <c r="CX46" s="93">
        <v>408.09</v>
      </c>
      <c r="CY46" s="93">
        <v>407.06</v>
      </c>
      <c r="CZ46" s="93">
        <v>406.02</v>
      </c>
      <c r="DA46" s="93">
        <v>404.99</v>
      </c>
      <c r="DB46" s="93">
        <v>403.96</v>
      </c>
      <c r="DC46" s="93">
        <v>402.92</v>
      </c>
      <c r="DD46" s="93">
        <v>401.89</v>
      </c>
      <c r="DE46" s="93">
        <v>400.85</v>
      </c>
      <c r="DF46" s="93">
        <v>399.82</v>
      </c>
      <c r="DG46" s="93">
        <v>398.79</v>
      </c>
      <c r="DH46" s="93">
        <v>397.75</v>
      </c>
      <c r="DI46" s="93">
        <v>396.72</v>
      </c>
      <c r="DJ46" s="93">
        <v>395.69</v>
      </c>
      <c r="DK46" s="93">
        <v>394.66</v>
      </c>
      <c r="DL46" s="93">
        <v>393.62</v>
      </c>
      <c r="DM46" s="93">
        <v>392.59</v>
      </c>
      <c r="DN46" s="93">
        <v>391.56</v>
      </c>
      <c r="DO46" s="93">
        <v>390.53</v>
      </c>
      <c r="DP46" s="93">
        <v>389.5</v>
      </c>
      <c r="DQ46" s="93">
        <v>388.47</v>
      </c>
      <c r="DR46" s="93">
        <v>387.43</v>
      </c>
      <c r="DS46" s="93">
        <v>386.4</v>
      </c>
      <c r="DT46" s="93">
        <v>385.38</v>
      </c>
      <c r="DU46" s="93">
        <v>384.35</v>
      </c>
      <c r="DV46" s="93">
        <v>383.32</v>
      </c>
      <c r="DW46" s="93">
        <v>382.29</v>
      </c>
      <c r="DX46" s="93">
        <v>381.27</v>
      </c>
      <c r="DY46" s="93">
        <v>380.24</v>
      </c>
      <c r="DZ46" s="93">
        <v>379.22</v>
      </c>
      <c r="EA46" s="93">
        <v>378.19</v>
      </c>
      <c r="EB46" s="93">
        <v>377.16</v>
      </c>
      <c r="EC46" s="93">
        <v>376.14</v>
      </c>
      <c r="ED46" s="93">
        <v>375.11</v>
      </c>
      <c r="EE46" s="93">
        <v>374.09</v>
      </c>
      <c r="EF46" s="93">
        <v>373.07</v>
      </c>
      <c r="EG46" s="93">
        <v>372.05</v>
      </c>
      <c r="EH46" s="93">
        <v>371.03</v>
      </c>
      <c r="EI46" s="93">
        <v>370.01</v>
      </c>
      <c r="EJ46" s="93">
        <v>368.99</v>
      </c>
      <c r="EK46" s="93">
        <v>367.97</v>
      </c>
      <c r="EL46" s="93">
        <v>366.96</v>
      </c>
      <c r="EM46" s="93">
        <v>365.94</v>
      </c>
      <c r="EN46" s="93">
        <v>364.92</v>
      </c>
      <c r="EO46" s="93">
        <v>363.9</v>
      </c>
      <c r="EP46" s="93">
        <v>362.89</v>
      </c>
      <c r="EQ46" s="93">
        <v>361.87</v>
      </c>
      <c r="ER46" s="93">
        <v>360.86</v>
      </c>
      <c r="ES46" s="93">
        <v>359.84</v>
      </c>
      <c r="ET46" s="93">
        <v>358.83</v>
      </c>
      <c r="EU46" s="93">
        <v>357.82</v>
      </c>
      <c r="EV46" s="93">
        <v>356.81</v>
      </c>
      <c r="EW46" s="93">
        <v>355.8</v>
      </c>
      <c r="EX46" s="93">
        <v>354.79</v>
      </c>
      <c r="EY46" s="93">
        <v>353.78</v>
      </c>
      <c r="EZ46" s="93">
        <v>352.76</v>
      </c>
      <c r="FA46" s="93">
        <v>351.75</v>
      </c>
      <c r="FB46" s="93">
        <v>350.74</v>
      </c>
      <c r="FC46" s="93">
        <v>349.73</v>
      </c>
      <c r="FD46" s="93">
        <v>348.73</v>
      </c>
      <c r="FE46" s="93">
        <v>347.73</v>
      </c>
      <c r="FF46" s="93">
        <v>346.72</v>
      </c>
      <c r="FG46" s="93">
        <v>345.72</v>
      </c>
      <c r="FH46" s="93">
        <v>344.71</v>
      </c>
      <c r="FI46" s="93">
        <v>343.71</v>
      </c>
      <c r="FJ46" s="93">
        <v>342.71</v>
      </c>
      <c r="FK46" s="93">
        <v>341.71</v>
      </c>
      <c r="FL46" s="93">
        <v>340.7</v>
      </c>
      <c r="FM46" s="93">
        <v>339.7</v>
      </c>
      <c r="FN46" s="93">
        <v>338.7</v>
      </c>
      <c r="FO46" s="93">
        <v>337.7</v>
      </c>
      <c r="FP46" s="93">
        <v>336.7</v>
      </c>
      <c r="FQ46" s="93">
        <v>335.7</v>
      </c>
      <c r="FR46" s="93">
        <v>334.7</v>
      </c>
      <c r="FS46" s="93">
        <v>333.71</v>
      </c>
      <c r="FT46" s="93">
        <v>332.71</v>
      </c>
      <c r="FU46" s="93">
        <v>331.71</v>
      </c>
      <c r="FV46" s="93">
        <v>330.71</v>
      </c>
      <c r="FW46" s="93">
        <v>329.72</v>
      </c>
      <c r="FX46" s="93">
        <v>328.72</v>
      </c>
      <c r="FY46" s="93">
        <v>327.73</v>
      </c>
      <c r="FZ46" s="93">
        <v>326.73</v>
      </c>
      <c r="GA46" s="93">
        <v>325.74</v>
      </c>
      <c r="GB46" s="93">
        <v>324.75</v>
      </c>
      <c r="GC46" s="93">
        <v>323.75</v>
      </c>
      <c r="GD46" s="93">
        <v>322.76</v>
      </c>
      <c r="GE46" s="93">
        <v>321.76</v>
      </c>
      <c r="GF46" s="93">
        <v>320.77999999999997</v>
      </c>
      <c r="GG46" s="93">
        <v>319.79000000000002</v>
      </c>
      <c r="GH46" s="93">
        <v>318.79000000000002</v>
      </c>
      <c r="GI46" s="93">
        <v>317.81</v>
      </c>
      <c r="GJ46" s="93">
        <v>316.82</v>
      </c>
      <c r="GK46" s="93">
        <v>315.82</v>
      </c>
      <c r="GL46" s="93">
        <v>314.85000000000002</v>
      </c>
      <c r="GM46" s="93">
        <v>313.85000000000002</v>
      </c>
      <c r="GN46" s="93">
        <v>312.88</v>
      </c>
      <c r="GO46" s="93">
        <v>311.89999999999998</v>
      </c>
      <c r="GP46" s="93">
        <v>310.92</v>
      </c>
      <c r="GQ46" s="93">
        <v>309.94</v>
      </c>
      <c r="GR46" s="93">
        <v>308.95999999999998</v>
      </c>
      <c r="GS46" s="93">
        <v>307.98</v>
      </c>
      <c r="GT46" s="93">
        <v>307.01</v>
      </c>
      <c r="GU46" s="93">
        <v>306.02999999999997</v>
      </c>
      <c r="GV46" s="93">
        <v>305.04000000000002</v>
      </c>
      <c r="GW46" s="93">
        <v>304.07</v>
      </c>
      <c r="GX46" s="93">
        <v>303.10000000000002</v>
      </c>
      <c r="GY46" s="93">
        <v>302.13</v>
      </c>
      <c r="GZ46" s="93">
        <v>301.16000000000003</v>
      </c>
      <c r="HA46" s="93">
        <v>300.19</v>
      </c>
      <c r="HB46" s="93">
        <v>299.20999999999998</v>
      </c>
      <c r="HC46" s="93">
        <v>298.24</v>
      </c>
      <c r="HD46" s="93">
        <v>297.26</v>
      </c>
      <c r="HE46" s="93">
        <v>296.31</v>
      </c>
      <c r="HF46" s="93">
        <v>295.33999999999997</v>
      </c>
      <c r="HG46" s="93">
        <v>294.37</v>
      </c>
      <c r="HH46" s="93">
        <v>293.39999999999998</v>
      </c>
      <c r="HI46" s="93">
        <v>292.44</v>
      </c>
      <c r="HJ46" s="93">
        <v>291.47000000000003</v>
      </c>
      <c r="HK46" s="93">
        <v>290.51</v>
      </c>
      <c r="HL46" s="93">
        <v>289.54000000000002</v>
      </c>
      <c r="HM46" s="93">
        <v>288.60000000000002</v>
      </c>
      <c r="HN46" s="93">
        <v>287.64</v>
      </c>
      <c r="HO46" s="93">
        <v>286.69</v>
      </c>
      <c r="HP46" s="93">
        <v>285.73</v>
      </c>
      <c r="HQ46" s="93">
        <v>284.77999999999997</v>
      </c>
      <c r="HR46" s="93">
        <v>283.82</v>
      </c>
      <c r="HS46" s="93">
        <v>282.88</v>
      </c>
      <c r="HT46" s="93">
        <v>281.93</v>
      </c>
      <c r="HU46" s="93">
        <v>280.98</v>
      </c>
      <c r="HV46" s="93">
        <v>280.02999999999997</v>
      </c>
      <c r="HW46" s="93">
        <v>279.07</v>
      </c>
      <c r="HX46" s="93">
        <v>278.14</v>
      </c>
      <c r="HY46" s="93">
        <v>277.19</v>
      </c>
      <c r="HZ46" s="93">
        <v>276.25</v>
      </c>
      <c r="IA46" s="93">
        <v>275.29000000000002</v>
      </c>
      <c r="IB46" s="93">
        <v>274.35000000000002</v>
      </c>
      <c r="IC46" s="93">
        <v>273.42</v>
      </c>
      <c r="ID46" s="93">
        <v>272.47000000000003</v>
      </c>
      <c r="IE46" s="93">
        <v>271.52999999999997</v>
      </c>
      <c r="IF46" s="93">
        <v>270.58999999999997</v>
      </c>
      <c r="IG46" s="93">
        <v>269.64999999999998</v>
      </c>
      <c r="IH46" s="93">
        <v>268.70999999999998</v>
      </c>
      <c r="II46" s="93">
        <v>267.77999999999997</v>
      </c>
      <c r="IJ46" s="93">
        <v>266.83999999999997</v>
      </c>
      <c r="IK46" s="93">
        <v>265.91000000000003</v>
      </c>
      <c r="IL46" s="93">
        <v>264.97000000000003</v>
      </c>
      <c r="IM46" s="93">
        <v>264.04000000000002</v>
      </c>
      <c r="IN46" s="93">
        <v>263.10000000000002</v>
      </c>
      <c r="IO46" s="93">
        <v>262.17</v>
      </c>
      <c r="IP46" s="93">
        <v>261.24</v>
      </c>
      <c r="IQ46" s="93">
        <v>260.31</v>
      </c>
      <c r="IR46" s="93">
        <v>259.38</v>
      </c>
      <c r="IS46" s="93">
        <v>258.45</v>
      </c>
      <c r="IT46" s="93">
        <v>257.52999999999997</v>
      </c>
      <c r="IU46" s="93">
        <v>256.60000000000002</v>
      </c>
      <c r="IV46" s="93">
        <v>255.68</v>
      </c>
      <c r="IW46" s="93">
        <v>254.77</v>
      </c>
      <c r="IX46" s="93">
        <v>253.86</v>
      </c>
      <c r="IY46" s="93">
        <v>252.94</v>
      </c>
      <c r="IZ46" s="93">
        <v>252.03</v>
      </c>
      <c r="JA46" s="93">
        <v>251.12</v>
      </c>
      <c r="JB46" s="93">
        <v>250.21</v>
      </c>
      <c r="JC46" s="93">
        <v>249.3</v>
      </c>
      <c r="JD46" s="93">
        <v>248.39</v>
      </c>
      <c r="JE46" s="93">
        <v>247.48</v>
      </c>
      <c r="JF46" s="93">
        <v>246.57</v>
      </c>
      <c r="JG46" s="93">
        <v>245.67</v>
      </c>
      <c r="JH46" s="93">
        <v>244.76</v>
      </c>
      <c r="JI46" s="93">
        <v>243.86</v>
      </c>
      <c r="JJ46" s="93">
        <v>242.96</v>
      </c>
      <c r="JK46" s="93">
        <v>242.05</v>
      </c>
      <c r="JL46" s="93">
        <v>241.15</v>
      </c>
      <c r="JM46" s="93">
        <v>240.25</v>
      </c>
      <c r="JN46" s="93">
        <v>239.35</v>
      </c>
      <c r="JO46" s="93">
        <v>238.45</v>
      </c>
      <c r="JP46" s="93">
        <v>237.56</v>
      </c>
      <c r="JQ46" s="93">
        <v>236.66</v>
      </c>
      <c r="JR46" s="93">
        <v>235.76</v>
      </c>
      <c r="JS46" s="93">
        <v>234.87</v>
      </c>
      <c r="JT46" s="93">
        <v>233.96</v>
      </c>
      <c r="JU46" s="93">
        <v>233.06</v>
      </c>
      <c r="JV46" s="93">
        <v>232.16</v>
      </c>
      <c r="JW46" s="93">
        <v>231.26</v>
      </c>
      <c r="JX46" s="93">
        <v>230.36</v>
      </c>
      <c r="JY46" s="93">
        <v>229.47</v>
      </c>
      <c r="JZ46" s="93">
        <v>228.57</v>
      </c>
      <c r="KA46" s="93">
        <v>227.67</v>
      </c>
      <c r="KB46" s="93">
        <v>226.78</v>
      </c>
      <c r="KC46" s="93">
        <v>225.88</v>
      </c>
      <c r="KD46" s="93">
        <v>224.99</v>
      </c>
      <c r="KE46" s="93">
        <v>224.09</v>
      </c>
      <c r="KF46" s="93">
        <v>223.2</v>
      </c>
      <c r="KG46" s="93">
        <v>222.31</v>
      </c>
      <c r="KH46" s="93">
        <v>221.42</v>
      </c>
      <c r="KI46" s="93">
        <v>220.53</v>
      </c>
      <c r="KJ46" s="93">
        <v>219.64</v>
      </c>
      <c r="KK46" s="93">
        <v>218.75</v>
      </c>
      <c r="KL46" s="93">
        <v>217.86</v>
      </c>
      <c r="KM46" s="93">
        <v>216.98</v>
      </c>
      <c r="KN46" s="93">
        <v>216.09</v>
      </c>
      <c r="KO46" s="93">
        <v>215.21</v>
      </c>
      <c r="KP46" s="93">
        <v>214.33</v>
      </c>
      <c r="KQ46" s="93">
        <v>213.44</v>
      </c>
      <c r="KR46" s="98">
        <f t="shared" si="29"/>
        <v>214.52</v>
      </c>
      <c r="KS46" s="98">
        <f t="shared" si="29"/>
        <v>213.73</v>
      </c>
      <c r="KT46" s="98">
        <f t="shared" si="29"/>
        <v>212.91</v>
      </c>
      <c r="KU46" s="98">
        <f t="shared" si="29"/>
        <v>212.12</v>
      </c>
      <c r="KV46" s="98">
        <f t="shared" si="29"/>
        <v>211.34</v>
      </c>
      <c r="KW46" s="98">
        <f t="shared" si="29"/>
        <v>210.55</v>
      </c>
      <c r="KX46" s="98">
        <f t="shared" si="29"/>
        <v>209.76</v>
      </c>
      <c r="KY46" s="98">
        <f t="shared" si="29"/>
        <v>208.98</v>
      </c>
      <c r="KZ46" s="98">
        <f t="shared" si="29"/>
        <v>208.19</v>
      </c>
      <c r="LA46" s="98">
        <f t="shared" si="29"/>
        <v>207.41</v>
      </c>
      <c r="LB46" s="98">
        <f t="shared" si="29"/>
        <v>206.63</v>
      </c>
      <c r="LC46" s="98">
        <f t="shared" si="29"/>
        <v>205.85</v>
      </c>
      <c r="LD46" s="98">
        <f t="shared" si="29"/>
        <v>205.07</v>
      </c>
      <c r="LE46" s="98">
        <f t="shared" si="29"/>
        <v>204.29</v>
      </c>
      <c r="LF46" s="98">
        <f t="shared" si="29"/>
        <v>203.52</v>
      </c>
      <c r="LG46" s="98">
        <f t="shared" si="28"/>
        <v>202.75</v>
      </c>
      <c r="LH46" s="98">
        <f t="shared" si="28"/>
        <v>201.97</v>
      </c>
      <c r="LI46" s="98">
        <f t="shared" si="28"/>
        <v>201.2</v>
      </c>
      <c r="LJ46" s="98">
        <f t="shared" si="28"/>
        <v>200.43</v>
      </c>
      <c r="LK46" s="98">
        <f t="shared" si="28"/>
        <v>199.66</v>
      </c>
      <c r="LL46" s="98">
        <f t="shared" si="28"/>
        <v>198.89</v>
      </c>
      <c r="LM46" s="98">
        <f t="shared" si="28"/>
        <v>198.13</v>
      </c>
      <c r="LN46" s="98">
        <f t="shared" si="28"/>
        <v>197.36</v>
      </c>
      <c r="LO46" s="98">
        <f t="shared" si="28"/>
        <v>196.6</v>
      </c>
      <c r="LP46" s="98">
        <f t="shared" si="28"/>
        <v>195.84</v>
      </c>
      <c r="LQ46" s="98">
        <f t="shared" si="28"/>
        <v>195.08</v>
      </c>
      <c r="LR46" s="98">
        <f t="shared" si="28"/>
        <v>194.32</v>
      </c>
      <c r="LS46" s="98">
        <f t="shared" si="28"/>
        <v>193.56</v>
      </c>
      <c r="LT46" s="98">
        <f t="shared" si="28"/>
        <v>192.81</v>
      </c>
      <c r="LU46" s="98">
        <f t="shared" si="28"/>
        <v>192.06</v>
      </c>
      <c r="LV46" s="98">
        <f t="shared" si="28"/>
        <v>191.3</v>
      </c>
      <c r="LW46" s="98">
        <f t="shared" si="28"/>
        <v>190.55</v>
      </c>
      <c r="LX46" s="98">
        <f t="shared" si="30"/>
        <v>189.8</v>
      </c>
      <c r="LY46" s="98">
        <f t="shared" si="30"/>
        <v>189.05</v>
      </c>
      <c r="LZ46" s="98">
        <f t="shared" si="30"/>
        <v>188.31</v>
      </c>
      <c r="MA46" s="98">
        <f t="shared" si="30"/>
        <v>187.56</v>
      </c>
      <c r="MB46" s="98">
        <f t="shared" si="30"/>
        <v>186.82</v>
      </c>
      <c r="MC46" s="98">
        <f t="shared" si="30"/>
        <v>186.08</v>
      </c>
      <c r="MD46" s="100">
        <f t="shared" si="30"/>
        <v>185.34</v>
      </c>
      <c r="ME46" s="101">
        <f t="shared" si="30"/>
        <v>184.61</v>
      </c>
      <c r="MF46" s="101">
        <f t="shared" si="30"/>
        <v>183.87</v>
      </c>
      <c r="MG46" s="101">
        <f t="shared" si="30"/>
        <v>183.14</v>
      </c>
      <c r="MH46" s="101">
        <f t="shared" si="30"/>
        <v>182.4</v>
      </c>
      <c r="MI46" s="101">
        <f t="shared" si="30"/>
        <v>181.67</v>
      </c>
      <c r="MJ46" s="101">
        <f t="shared" si="30"/>
        <v>180.94</v>
      </c>
      <c r="MK46" s="101">
        <f t="shared" si="30"/>
        <v>180.21</v>
      </c>
      <c r="ML46" s="101">
        <f t="shared" si="30"/>
        <v>179.49</v>
      </c>
      <c r="MM46" s="101">
        <f t="shared" si="30"/>
        <v>178.76</v>
      </c>
      <c r="MN46" s="101">
        <f t="shared" ref="MN46:MY55" si="32">MN45+0.75</f>
        <v>178.04</v>
      </c>
      <c r="MO46" s="101">
        <f t="shared" si="32"/>
        <v>177.32</v>
      </c>
      <c r="MP46" s="101">
        <f t="shared" si="32"/>
        <v>176.6</v>
      </c>
      <c r="MQ46" s="101">
        <f t="shared" si="32"/>
        <v>175.89</v>
      </c>
      <c r="MR46" s="101">
        <f t="shared" si="32"/>
        <v>175.17</v>
      </c>
      <c r="MS46" s="101">
        <f t="shared" si="32"/>
        <v>174.46</v>
      </c>
      <c r="MT46" s="101">
        <f t="shared" si="32"/>
        <v>173.74</v>
      </c>
      <c r="MU46" s="101">
        <f t="shared" si="32"/>
        <v>173.03</v>
      </c>
      <c r="MV46" s="101">
        <f t="shared" si="32"/>
        <v>172.32</v>
      </c>
      <c r="MW46" s="101">
        <f t="shared" si="32"/>
        <v>171.62</v>
      </c>
      <c r="MX46" s="101">
        <f t="shared" si="32"/>
        <v>170.91</v>
      </c>
      <c r="MY46" s="101">
        <f t="shared" si="32"/>
        <v>170.21</v>
      </c>
    </row>
    <row r="47" spans="1:363" ht="15.75" x14ac:dyDescent="0.25">
      <c r="A47" s="90" t="s">
        <v>6</v>
      </c>
      <c r="B47" s="95">
        <v>2057</v>
      </c>
      <c r="C47" s="93">
        <v>511.48</v>
      </c>
      <c r="D47" s="93">
        <v>510.45</v>
      </c>
      <c r="E47" s="93">
        <v>509.41</v>
      </c>
      <c r="F47" s="93">
        <v>508.37</v>
      </c>
      <c r="G47" s="93">
        <v>507.34</v>
      </c>
      <c r="H47" s="93">
        <v>506.3</v>
      </c>
      <c r="I47" s="93">
        <v>505.27</v>
      </c>
      <c r="J47" s="93">
        <v>504.23</v>
      </c>
      <c r="K47" s="93">
        <v>503.2</v>
      </c>
      <c r="L47" s="93">
        <v>502.16</v>
      </c>
      <c r="M47" s="93">
        <v>501.13</v>
      </c>
      <c r="N47" s="93">
        <v>500.09</v>
      </c>
      <c r="O47" s="93">
        <v>499.06</v>
      </c>
      <c r="P47" s="93">
        <v>498.02</v>
      </c>
      <c r="Q47" s="93">
        <v>496.99</v>
      </c>
      <c r="R47" s="93">
        <v>495.95</v>
      </c>
      <c r="S47" s="93">
        <v>494.91</v>
      </c>
      <c r="T47" s="93">
        <v>493.88</v>
      </c>
      <c r="U47" s="93">
        <v>492.84</v>
      </c>
      <c r="V47" s="93">
        <v>491.81</v>
      </c>
      <c r="W47" s="93">
        <v>490.77</v>
      </c>
      <c r="X47" s="93">
        <v>489.73</v>
      </c>
      <c r="Y47" s="93">
        <v>488.7</v>
      </c>
      <c r="Z47" s="93">
        <v>487.66</v>
      </c>
      <c r="AA47" s="93">
        <v>486.63</v>
      </c>
      <c r="AB47" s="93">
        <v>485.59</v>
      </c>
      <c r="AC47" s="93">
        <v>484.55</v>
      </c>
      <c r="AD47" s="93">
        <v>483.52</v>
      </c>
      <c r="AE47" s="93">
        <v>482.48</v>
      </c>
      <c r="AF47" s="93">
        <v>481.45</v>
      </c>
      <c r="AG47" s="93">
        <v>480.41</v>
      </c>
      <c r="AH47" s="93">
        <v>479.37</v>
      </c>
      <c r="AI47" s="93">
        <v>478.34</v>
      </c>
      <c r="AJ47" s="93">
        <v>477.3</v>
      </c>
      <c r="AK47" s="93">
        <v>476.26</v>
      </c>
      <c r="AL47" s="93">
        <v>475.23</v>
      </c>
      <c r="AM47" s="93">
        <v>474.19</v>
      </c>
      <c r="AN47" s="93">
        <v>473.16</v>
      </c>
      <c r="AO47" s="93">
        <v>472.12</v>
      </c>
      <c r="AP47" s="93">
        <v>471.08</v>
      </c>
      <c r="AQ47" s="93">
        <v>470.04</v>
      </c>
      <c r="AR47" s="93">
        <v>469.01</v>
      </c>
      <c r="AS47" s="93">
        <v>467.97</v>
      </c>
      <c r="AT47" s="93">
        <v>466.93</v>
      </c>
      <c r="AU47" s="93">
        <v>465.9</v>
      </c>
      <c r="AV47" s="93">
        <v>464.86</v>
      </c>
      <c r="AW47" s="93">
        <v>463.82</v>
      </c>
      <c r="AX47" s="93">
        <v>462.79</v>
      </c>
      <c r="AY47" s="93">
        <v>461.75</v>
      </c>
      <c r="AZ47" s="93">
        <v>460.71</v>
      </c>
      <c r="BA47" s="93">
        <v>459.68</v>
      </c>
      <c r="BB47" s="93">
        <v>458.64</v>
      </c>
      <c r="BC47" s="93">
        <v>457.6</v>
      </c>
      <c r="BD47" s="93">
        <v>456.57</v>
      </c>
      <c r="BE47" s="93">
        <v>455.53</v>
      </c>
      <c r="BF47" s="93">
        <v>454.49</v>
      </c>
      <c r="BG47" s="93">
        <v>453.45</v>
      </c>
      <c r="BH47" s="93">
        <v>452.42</v>
      </c>
      <c r="BI47" s="93">
        <v>451.38</v>
      </c>
      <c r="BJ47" s="93">
        <v>450.34</v>
      </c>
      <c r="BK47" s="93">
        <v>449.31</v>
      </c>
      <c r="BL47" s="93">
        <v>448.27</v>
      </c>
      <c r="BM47" s="93">
        <v>447.23</v>
      </c>
      <c r="BN47" s="93">
        <v>446.19</v>
      </c>
      <c r="BO47" s="93">
        <v>445.15</v>
      </c>
      <c r="BP47" s="93">
        <v>444.12</v>
      </c>
      <c r="BQ47" s="93">
        <v>443.08</v>
      </c>
      <c r="BR47" s="93">
        <v>442.04</v>
      </c>
      <c r="BS47" s="93">
        <v>441</v>
      </c>
      <c r="BT47" s="93">
        <v>439.96</v>
      </c>
      <c r="BU47" s="93">
        <v>438.93</v>
      </c>
      <c r="BV47" s="93">
        <v>437.89</v>
      </c>
      <c r="BW47" s="93">
        <v>436.85</v>
      </c>
      <c r="BX47" s="93">
        <v>435.82</v>
      </c>
      <c r="BY47" s="93">
        <v>434.78</v>
      </c>
      <c r="BZ47" s="93">
        <v>433.74</v>
      </c>
      <c r="CA47" s="93">
        <v>432.71</v>
      </c>
      <c r="CB47" s="93">
        <v>431.67</v>
      </c>
      <c r="CC47" s="93">
        <v>430.63</v>
      </c>
      <c r="CD47" s="93">
        <v>429.6</v>
      </c>
      <c r="CE47" s="93">
        <v>428.56</v>
      </c>
      <c r="CF47" s="93">
        <v>427.53</v>
      </c>
      <c r="CG47" s="93">
        <v>426.49</v>
      </c>
      <c r="CH47" s="93">
        <v>425.46</v>
      </c>
      <c r="CI47" s="93">
        <v>424.42</v>
      </c>
      <c r="CJ47" s="93">
        <v>423.38</v>
      </c>
      <c r="CK47" s="93">
        <v>422.35</v>
      </c>
      <c r="CL47" s="93">
        <v>421.31</v>
      </c>
      <c r="CM47" s="93">
        <v>420.28</v>
      </c>
      <c r="CN47" s="93">
        <v>419.24</v>
      </c>
      <c r="CO47" s="93">
        <v>418.2</v>
      </c>
      <c r="CP47" s="93">
        <v>417.17</v>
      </c>
      <c r="CQ47" s="93">
        <v>416.13</v>
      </c>
      <c r="CR47" s="93">
        <v>415.09</v>
      </c>
      <c r="CS47" s="93">
        <v>414.06</v>
      </c>
      <c r="CT47" s="93">
        <v>413.02</v>
      </c>
      <c r="CU47" s="93">
        <v>411.99</v>
      </c>
      <c r="CV47" s="93">
        <v>410.95</v>
      </c>
      <c r="CW47" s="93">
        <v>409.92</v>
      </c>
      <c r="CX47" s="93">
        <v>408.88</v>
      </c>
      <c r="CY47" s="93">
        <v>407.85</v>
      </c>
      <c r="CZ47" s="93">
        <v>406.81</v>
      </c>
      <c r="DA47" s="93">
        <v>405.78</v>
      </c>
      <c r="DB47" s="93">
        <v>404.75</v>
      </c>
      <c r="DC47" s="93">
        <v>403.71</v>
      </c>
      <c r="DD47" s="93">
        <v>402.68</v>
      </c>
      <c r="DE47" s="93">
        <v>401.64</v>
      </c>
      <c r="DF47" s="93">
        <v>400.61</v>
      </c>
      <c r="DG47" s="93">
        <v>399.58</v>
      </c>
      <c r="DH47" s="93">
        <v>398.54</v>
      </c>
      <c r="DI47" s="93">
        <v>397.51</v>
      </c>
      <c r="DJ47" s="93">
        <v>396.48</v>
      </c>
      <c r="DK47" s="93">
        <v>395.45</v>
      </c>
      <c r="DL47" s="93">
        <v>394.41</v>
      </c>
      <c r="DM47" s="93">
        <v>393.38</v>
      </c>
      <c r="DN47" s="93">
        <v>392.35</v>
      </c>
      <c r="DO47" s="93">
        <v>391.32</v>
      </c>
      <c r="DP47" s="93">
        <v>390.29</v>
      </c>
      <c r="DQ47" s="93">
        <v>389.25</v>
      </c>
      <c r="DR47" s="93">
        <v>388.22</v>
      </c>
      <c r="DS47" s="93">
        <v>387.19</v>
      </c>
      <c r="DT47" s="93">
        <v>386.16</v>
      </c>
      <c r="DU47" s="93">
        <v>385.14</v>
      </c>
      <c r="DV47" s="93">
        <v>384.11</v>
      </c>
      <c r="DW47" s="93">
        <v>383.08</v>
      </c>
      <c r="DX47" s="93">
        <v>382.05</v>
      </c>
      <c r="DY47" s="93">
        <v>381.03</v>
      </c>
      <c r="DZ47" s="93">
        <v>380</v>
      </c>
      <c r="EA47" s="93">
        <v>378.98</v>
      </c>
      <c r="EB47" s="93">
        <v>377.95</v>
      </c>
      <c r="EC47" s="93">
        <v>376.93</v>
      </c>
      <c r="ED47" s="93">
        <v>375.9</v>
      </c>
      <c r="EE47" s="93">
        <v>374.88</v>
      </c>
      <c r="EF47" s="93">
        <v>373.86</v>
      </c>
      <c r="EG47" s="93">
        <v>372.83</v>
      </c>
      <c r="EH47" s="93">
        <v>371.82</v>
      </c>
      <c r="EI47" s="93">
        <v>370.8</v>
      </c>
      <c r="EJ47" s="93">
        <v>369.78</v>
      </c>
      <c r="EK47" s="93">
        <v>368.76</v>
      </c>
      <c r="EL47" s="93">
        <v>367.74</v>
      </c>
      <c r="EM47" s="93">
        <v>366.72</v>
      </c>
      <c r="EN47" s="93">
        <v>365.7</v>
      </c>
      <c r="EO47" s="93">
        <v>364.69</v>
      </c>
      <c r="EP47" s="93">
        <v>363.67</v>
      </c>
      <c r="EQ47" s="93">
        <v>362.65</v>
      </c>
      <c r="ER47" s="93">
        <v>361.64</v>
      </c>
      <c r="ES47" s="93">
        <v>360.63</v>
      </c>
      <c r="ET47" s="93">
        <v>359.61</v>
      </c>
      <c r="EU47" s="93">
        <v>358.6</v>
      </c>
      <c r="EV47" s="93">
        <v>357.59</v>
      </c>
      <c r="EW47" s="93">
        <v>356.58</v>
      </c>
      <c r="EX47" s="93">
        <v>355.56</v>
      </c>
      <c r="EY47" s="93">
        <v>354.55</v>
      </c>
      <c r="EZ47" s="93">
        <v>353.54</v>
      </c>
      <c r="FA47" s="93">
        <v>352.53</v>
      </c>
      <c r="FB47" s="93">
        <v>351.52</v>
      </c>
      <c r="FC47" s="93">
        <v>350.51</v>
      </c>
      <c r="FD47" s="93">
        <v>349.51</v>
      </c>
      <c r="FE47" s="93">
        <v>348.5</v>
      </c>
      <c r="FF47" s="93">
        <v>347.5</v>
      </c>
      <c r="FG47" s="93">
        <v>346.49</v>
      </c>
      <c r="FH47" s="93">
        <v>345.49</v>
      </c>
      <c r="FI47" s="93">
        <v>344.48</v>
      </c>
      <c r="FJ47" s="93">
        <v>343.48</v>
      </c>
      <c r="FK47" s="93">
        <v>342.48</v>
      </c>
      <c r="FL47" s="93">
        <v>341.48</v>
      </c>
      <c r="FM47" s="93">
        <v>340.47</v>
      </c>
      <c r="FN47" s="93">
        <v>339.47</v>
      </c>
      <c r="FO47" s="93">
        <v>338.47</v>
      </c>
      <c r="FP47" s="93">
        <v>337.47</v>
      </c>
      <c r="FQ47" s="93">
        <v>336.47</v>
      </c>
      <c r="FR47" s="93">
        <v>335.47</v>
      </c>
      <c r="FS47" s="93">
        <v>334.48</v>
      </c>
      <c r="FT47" s="93">
        <v>333.48</v>
      </c>
      <c r="FU47" s="93">
        <v>332.48</v>
      </c>
      <c r="FV47" s="93">
        <v>331.48</v>
      </c>
      <c r="FW47" s="93">
        <v>330.49</v>
      </c>
      <c r="FX47" s="93">
        <v>329.49</v>
      </c>
      <c r="FY47" s="93">
        <v>328.49</v>
      </c>
      <c r="FZ47" s="93">
        <v>327.5</v>
      </c>
      <c r="GA47" s="93">
        <v>326.5</v>
      </c>
      <c r="GB47" s="93">
        <v>325.51</v>
      </c>
      <c r="GC47" s="93">
        <v>324.51</v>
      </c>
      <c r="GD47" s="93">
        <v>323.51</v>
      </c>
      <c r="GE47" s="93">
        <v>322.52999999999997</v>
      </c>
      <c r="GF47" s="93">
        <v>321.54000000000002</v>
      </c>
      <c r="GG47" s="93">
        <v>320.54000000000002</v>
      </c>
      <c r="GH47" s="93">
        <v>319.56</v>
      </c>
      <c r="GI47" s="93">
        <v>318.57</v>
      </c>
      <c r="GJ47" s="93">
        <v>317.57</v>
      </c>
      <c r="GK47" s="93">
        <v>316.58999999999997</v>
      </c>
      <c r="GL47" s="93">
        <v>315.60000000000002</v>
      </c>
      <c r="GM47" s="93">
        <v>314.62</v>
      </c>
      <c r="GN47" s="93">
        <v>313.63</v>
      </c>
      <c r="GO47" s="93">
        <v>312.64999999999998</v>
      </c>
      <c r="GP47" s="93">
        <v>311.67</v>
      </c>
      <c r="GQ47" s="93">
        <v>310.69</v>
      </c>
      <c r="GR47" s="93">
        <v>309.70999999999998</v>
      </c>
      <c r="GS47" s="93">
        <v>308.74</v>
      </c>
      <c r="GT47" s="93">
        <v>307.76</v>
      </c>
      <c r="GU47" s="93">
        <v>306.77999999999997</v>
      </c>
      <c r="GV47" s="93">
        <v>305.79000000000002</v>
      </c>
      <c r="GW47" s="93">
        <v>304.82</v>
      </c>
      <c r="GX47" s="93">
        <v>303.85000000000002</v>
      </c>
      <c r="GY47" s="93">
        <v>302.88</v>
      </c>
      <c r="GZ47" s="93">
        <v>301.89999999999998</v>
      </c>
      <c r="HA47" s="93">
        <v>300.93</v>
      </c>
      <c r="HB47" s="93">
        <v>299.95999999999998</v>
      </c>
      <c r="HC47" s="93">
        <v>298.99</v>
      </c>
      <c r="HD47" s="93">
        <v>298.01</v>
      </c>
      <c r="HE47" s="93">
        <v>297.04000000000002</v>
      </c>
      <c r="HF47" s="93">
        <v>296.07</v>
      </c>
      <c r="HG47" s="93">
        <v>295.10000000000002</v>
      </c>
      <c r="HH47" s="93">
        <v>294.14999999999998</v>
      </c>
      <c r="HI47" s="93">
        <v>293.18</v>
      </c>
      <c r="HJ47" s="93">
        <v>292.20999999999998</v>
      </c>
      <c r="HK47" s="93">
        <v>291.25</v>
      </c>
      <c r="HL47" s="93">
        <v>290.29000000000002</v>
      </c>
      <c r="HM47" s="93">
        <v>289.32</v>
      </c>
      <c r="HN47" s="93">
        <v>288.38</v>
      </c>
      <c r="HO47" s="93">
        <v>287.42</v>
      </c>
      <c r="HP47" s="93">
        <v>286.47000000000003</v>
      </c>
      <c r="HQ47" s="93">
        <v>285.51</v>
      </c>
      <c r="HR47" s="93">
        <v>284.56</v>
      </c>
      <c r="HS47" s="93">
        <v>283.60000000000002</v>
      </c>
      <c r="HT47" s="93">
        <v>282.66000000000003</v>
      </c>
      <c r="HU47" s="93">
        <v>281.70999999999998</v>
      </c>
      <c r="HV47" s="93">
        <v>280.76</v>
      </c>
      <c r="HW47" s="93">
        <v>279.81</v>
      </c>
      <c r="HX47" s="93">
        <v>278.85000000000002</v>
      </c>
      <c r="HY47" s="93">
        <v>277.92</v>
      </c>
      <c r="HZ47" s="93">
        <v>276.97000000000003</v>
      </c>
      <c r="IA47" s="93">
        <v>276.02999999999997</v>
      </c>
      <c r="IB47" s="93">
        <v>275.07</v>
      </c>
      <c r="IC47" s="93">
        <v>274.14</v>
      </c>
      <c r="ID47" s="93">
        <v>273.2</v>
      </c>
      <c r="IE47" s="93">
        <v>272.25</v>
      </c>
      <c r="IF47" s="93">
        <v>271.31</v>
      </c>
      <c r="IG47" s="93">
        <v>270.37</v>
      </c>
      <c r="IH47" s="93">
        <v>269.43</v>
      </c>
      <c r="II47" s="93">
        <v>268.49</v>
      </c>
      <c r="IJ47" s="93">
        <v>267.56</v>
      </c>
      <c r="IK47" s="93">
        <v>266.62</v>
      </c>
      <c r="IL47" s="93">
        <v>265.68</v>
      </c>
      <c r="IM47" s="93">
        <v>264.75</v>
      </c>
      <c r="IN47" s="93">
        <v>263.82</v>
      </c>
      <c r="IO47" s="93">
        <v>262.88</v>
      </c>
      <c r="IP47" s="93">
        <v>261.95</v>
      </c>
      <c r="IQ47" s="93">
        <v>261.01</v>
      </c>
      <c r="IR47" s="93">
        <v>260.08999999999997</v>
      </c>
      <c r="IS47" s="93">
        <v>259.16000000000003</v>
      </c>
      <c r="IT47" s="93">
        <v>258.23</v>
      </c>
      <c r="IU47" s="93">
        <v>257.29000000000002</v>
      </c>
      <c r="IV47" s="93">
        <v>256.39</v>
      </c>
      <c r="IW47" s="93">
        <v>255.47</v>
      </c>
      <c r="IX47" s="93">
        <v>254.55</v>
      </c>
      <c r="IY47" s="93">
        <v>253.64</v>
      </c>
      <c r="IZ47" s="93">
        <v>252.73</v>
      </c>
      <c r="JA47" s="93">
        <v>251.81</v>
      </c>
      <c r="JB47" s="93">
        <v>250.9</v>
      </c>
      <c r="JC47" s="93">
        <v>249.99</v>
      </c>
      <c r="JD47" s="93">
        <v>249.08</v>
      </c>
      <c r="JE47" s="93">
        <v>248.17</v>
      </c>
      <c r="JF47" s="93">
        <v>247.26</v>
      </c>
      <c r="JG47" s="93">
        <v>246.35</v>
      </c>
      <c r="JH47" s="93">
        <v>245.45</v>
      </c>
      <c r="JI47" s="93">
        <v>244.54</v>
      </c>
      <c r="JJ47" s="93">
        <v>243.64</v>
      </c>
      <c r="JK47" s="93">
        <v>242.74</v>
      </c>
      <c r="JL47" s="93">
        <v>241.83</v>
      </c>
      <c r="JM47" s="93">
        <v>240.93</v>
      </c>
      <c r="JN47" s="93">
        <v>240.03</v>
      </c>
      <c r="JO47" s="93">
        <v>239.13</v>
      </c>
      <c r="JP47" s="93">
        <v>238.23</v>
      </c>
      <c r="JQ47" s="93">
        <v>237.33</v>
      </c>
      <c r="JR47" s="93">
        <v>236.44</v>
      </c>
      <c r="JS47" s="93">
        <v>235.54</v>
      </c>
      <c r="JT47" s="93">
        <v>234.64</v>
      </c>
      <c r="JU47" s="93">
        <v>233.73</v>
      </c>
      <c r="JV47" s="93">
        <v>232.83</v>
      </c>
      <c r="JW47" s="93">
        <v>231.93</v>
      </c>
      <c r="JX47" s="93">
        <v>231.03</v>
      </c>
      <c r="JY47" s="93">
        <v>230.13</v>
      </c>
      <c r="JZ47" s="93">
        <v>229.23</v>
      </c>
      <c r="KA47" s="93">
        <v>228.33</v>
      </c>
      <c r="KB47" s="93">
        <v>227.43</v>
      </c>
      <c r="KC47" s="93">
        <v>226.54</v>
      </c>
      <c r="KD47" s="93">
        <v>225.64</v>
      </c>
      <c r="KE47" s="93">
        <v>224.75</v>
      </c>
      <c r="KF47" s="93">
        <v>223.85</v>
      </c>
      <c r="KG47" s="93">
        <v>222.96</v>
      </c>
      <c r="KH47" s="93">
        <v>222.07</v>
      </c>
      <c r="KI47" s="93">
        <v>221.18</v>
      </c>
      <c r="KJ47" s="93">
        <v>220.29</v>
      </c>
      <c r="KK47" s="93">
        <v>219.4</v>
      </c>
      <c r="KL47" s="93">
        <v>218.51</v>
      </c>
      <c r="KM47" s="93">
        <v>217.62</v>
      </c>
      <c r="KN47" s="93">
        <v>216.73</v>
      </c>
      <c r="KO47" s="93">
        <v>215.85</v>
      </c>
      <c r="KP47" s="93">
        <v>214.96</v>
      </c>
      <c r="KQ47" s="93">
        <v>214.08</v>
      </c>
      <c r="KR47" s="98">
        <f t="shared" si="29"/>
        <v>215.27</v>
      </c>
      <c r="KS47" s="98">
        <f t="shared" si="29"/>
        <v>214.48</v>
      </c>
      <c r="KT47" s="98">
        <f t="shared" si="29"/>
        <v>213.66</v>
      </c>
      <c r="KU47" s="98">
        <f t="shared" si="29"/>
        <v>212.87</v>
      </c>
      <c r="KV47" s="98">
        <f t="shared" si="29"/>
        <v>212.09</v>
      </c>
      <c r="KW47" s="98">
        <f t="shared" si="29"/>
        <v>211.3</v>
      </c>
      <c r="KX47" s="98">
        <f t="shared" si="29"/>
        <v>210.51</v>
      </c>
      <c r="KY47" s="98">
        <f t="shared" si="29"/>
        <v>209.73</v>
      </c>
      <c r="KZ47" s="98">
        <f t="shared" si="29"/>
        <v>208.94</v>
      </c>
      <c r="LA47" s="98">
        <f t="shared" si="29"/>
        <v>208.16</v>
      </c>
      <c r="LB47" s="98">
        <f t="shared" si="29"/>
        <v>207.38</v>
      </c>
      <c r="LC47" s="98">
        <f t="shared" si="29"/>
        <v>206.6</v>
      </c>
      <c r="LD47" s="98">
        <f t="shared" si="29"/>
        <v>205.82</v>
      </c>
      <c r="LE47" s="98">
        <f t="shared" si="29"/>
        <v>205.04</v>
      </c>
      <c r="LF47" s="98">
        <f t="shared" si="29"/>
        <v>204.27</v>
      </c>
      <c r="LG47" s="98">
        <f t="shared" si="28"/>
        <v>203.5</v>
      </c>
      <c r="LH47" s="98">
        <f t="shared" si="28"/>
        <v>202.72</v>
      </c>
      <c r="LI47" s="98">
        <f t="shared" si="28"/>
        <v>201.95</v>
      </c>
      <c r="LJ47" s="98">
        <f t="shared" si="28"/>
        <v>201.18</v>
      </c>
      <c r="LK47" s="98">
        <f t="shared" si="28"/>
        <v>200.41</v>
      </c>
      <c r="LL47" s="98">
        <f t="shared" si="28"/>
        <v>199.64</v>
      </c>
      <c r="LM47" s="98">
        <f t="shared" si="28"/>
        <v>198.88</v>
      </c>
      <c r="LN47" s="98">
        <f t="shared" si="28"/>
        <v>198.11</v>
      </c>
      <c r="LO47" s="98">
        <f t="shared" si="28"/>
        <v>197.35</v>
      </c>
      <c r="LP47" s="98">
        <f t="shared" si="28"/>
        <v>196.59</v>
      </c>
      <c r="LQ47" s="98">
        <f t="shared" si="28"/>
        <v>195.83</v>
      </c>
      <c r="LR47" s="98">
        <f t="shared" si="28"/>
        <v>195.07</v>
      </c>
      <c r="LS47" s="98">
        <f t="shared" si="28"/>
        <v>194.31</v>
      </c>
      <c r="LT47" s="98">
        <f t="shared" si="28"/>
        <v>193.56</v>
      </c>
      <c r="LU47" s="98">
        <f t="shared" si="28"/>
        <v>192.81</v>
      </c>
      <c r="LV47" s="98">
        <f t="shared" si="28"/>
        <v>192.05</v>
      </c>
      <c r="LW47" s="98">
        <f t="shared" si="28"/>
        <v>191.3</v>
      </c>
      <c r="LX47" s="98">
        <f t="shared" si="30"/>
        <v>190.55</v>
      </c>
      <c r="LY47" s="98">
        <f t="shared" si="30"/>
        <v>189.8</v>
      </c>
      <c r="LZ47" s="98">
        <f t="shared" si="30"/>
        <v>189.06</v>
      </c>
      <c r="MA47" s="98">
        <f t="shared" si="30"/>
        <v>188.31</v>
      </c>
      <c r="MB47" s="98">
        <f t="shared" si="30"/>
        <v>187.57</v>
      </c>
      <c r="MC47" s="98">
        <f t="shared" si="30"/>
        <v>186.83</v>
      </c>
      <c r="MD47" s="100">
        <f t="shared" si="30"/>
        <v>186.09</v>
      </c>
      <c r="ME47" s="101">
        <f t="shared" si="30"/>
        <v>185.36</v>
      </c>
      <c r="MF47" s="101">
        <f t="shared" si="30"/>
        <v>184.62</v>
      </c>
      <c r="MG47" s="101">
        <f t="shared" si="30"/>
        <v>183.89</v>
      </c>
      <c r="MH47" s="101">
        <f t="shared" si="30"/>
        <v>183.15</v>
      </c>
      <c r="MI47" s="101">
        <f t="shared" si="30"/>
        <v>182.42</v>
      </c>
      <c r="MJ47" s="101">
        <f t="shared" si="30"/>
        <v>181.69</v>
      </c>
      <c r="MK47" s="101">
        <f t="shared" si="30"/>
        <v>180.96</v>
      </c>
      <c r="ML47" s="101">
        <f t="shared" si="30"/>
        <v>180.24</v>
      </c>
      <c r="MM47" s="101">
        <f t="shared" si="30"/>
        <v>179.51</v>
      </c>
      <c r="MN47" s="101">
        <f t="shared" si="32"/>
        <v>178.79</v>
      </c>
      <c r="MO47" s="101">
        <f t="shared" si="32"/>
        <v>178.07</v>
      </c>
      <c r="MP47" s="101">
        <f t="shared" si="32"/>
        <v>177.35</v>
      </c>
      <c r="MQ47" s="101">
        <f t="shared" si="32"/>
        <v>176.64</v>
      </c>
      <c r="MR47" s="101">
        <f t="shared" si="32"/>
        <v>175.92</v>
      </c>
      <c r="MS47" s="101">
        <f t="shared" si="32"/>
        <v>175.21</v>
      </c>
      <c r="MT47" s="101">
        <f t="shared" si="32"/>
        <v>174.49</v>
      </c>
      <c r="MU47" s="101">
        <f t="shared" si="32"/>
        <v>173.78</v>
      </c>
      <c r="MV47" s="101">
        <f t="shared" si="32"/>
        <v>173.07</v>
      </c>
      <c r="MW47" s="101">
        <f t="shared" si="32"/>
        <v>172.37</v>
      </c>
      <c r="MX47" s="101">
        <f t="shared" si="32"/>
        <v>171.66</v>
      </c>
      <c r="MY47" s="101">
        <f t="shared" si="32"/>
        <v>170.96</v>
      </c>
    </row>
    <row r="48" spans="1:363" ht="15.75" x14ac:dyDescent="0.25">
      <c r="A48" s="90" t="s">
        <v>6</v>
      </c>
      <c r="B48" s="95">
        <v>2058</v>
      </c>
      <c r="C48" s="93">
        <v>512.27</v>
      </c>
      <c r="D48" s="93">
        <v>511.23</v>
      </c>
      <c r="E48" s="93">
        <v>510.2</v>
      </c>
      <c r="F48" s="93">
        <v>509.16</v>
      </c>
      <c r="G48" s="93">
        <v>508.12</v>
      </c>
      <c r="H48" s="93">
        <v>507.09</v>
      </c>
      <c r="I48" s="93">
        <v>506.05</v>
      </c>
      <c r="J48" s="93">
        <v>505.02</v>
      </c>
      <c r="K48" s="93">
        <v>503.98</v>
      </c>
      <c r="L48" s="93">
        <v>502.95</v>
      </c>
      <c r="M48" s="93">
        <v>501.91</v>
      </c>
      <c r="N48" s="93">
        <v>500.88</v>
      </c>
      <c r="O48" s="93">
        <v>499.84</v>
      </c>
      <c r="P48" s="93">
        <v>498.81</v>
      </c>
      <c r="Q48" s="93">
        <v>497.77</v>
      </c>
      <c r="R48" s="93">
        <v>496.74</v>
      </c>
      <c r="S48" s="93">
        <v>495.7</v>
      </c>
      <c r="T48" s="93">
        <v>494.66</v>
      </c>
      <c r="U48" s="93">
        <v>493.63</v>
      </c>
      <c r="V48" s="93">
        <v>492.59</v>
      </c>
      <c r="W48" s="93">
        <v>491.56</v>
      </c>
      <c r="X48" s="93">
        <v>490.52</v>
      </c>
      <c r="Y48" s="93">
        <v>489.49</v>
      </c>
      <c r="Z48" s="93">
        <v>488.45</v>
      </c>
      <c r="AA48" s="93">
        <v>487.41</v>
      </c>
      <c r="AB48" s="93">
        <v>486.38</v>
      </c>
      <c r="AC48" s="93">
        <v>485.34</v>
      </c>
      <c r="AD48" s="93">
        <v>484.31</v>
      </c>
      <c r="AE48" s="93">
        <v>483.27</v>
      </c>
      <c r="AF48" s="93">
        <v>482.23</v>
      </c>
      <c r="AG48" s="93">
        <v>481.2</v>
      </c>
      <c r="AH48" s="93">
        <v>480.16</v>
      </c>
      <c r="AI48" s="93">
        <v>479.12</v>
      </c>
      <c r="AJ48" s="93">
        <v>478.09</v>
      </c>
      <c r="AK48" s="93">
        <v>477.05</v>
      </c>
      <c r="AL48" s="93">
        <v>476.02</v>
      </c>
      <c r="AM48" s="93">
        <v>474.98</v>
      </c>
      <c r="AN48" s="93">
        <v>473.94</v>
      </c>
      <c r="AO48" s="93">
        <v>472.91</v>
      </c>
      <c r="AP48" s="93">
        <v>471.87</v>
      </c>
      <c r="AQ48" s="93">
        <v>470.83</v>
      </c>
      <c r="AR48" s="93">
        <v>469.8</v>
      </c>
      <c r="AS48" s="93">
        <v>468.76</v>
      </c>
      <c r="AT48" s="93">
        <v>467.72</v>
      </c>
      <c r="AU48" s="93">
        <v>466.69</v>
      </c>
      <c r="AV48" s="93">
        <v>465.65</v>
      </c>
      <c r="AW48" s="93">
        <v>464.61</v>
      </c>
      <c r="AX48" s="93">
        <v>463.58</v>
      </c>
      <c r="AY48" s="93">
        <v>462.54</v>
      </c>
      <c r="AZ48" s="93">
        <v>461.5</v>
      </c>
      <c r="BA48" s="93">
        <v>460.47</v>
      </c>
      <c r="BB48" s="93">
        <v>459.43</v>
      </c>
      <c r="BC48" s="93">
        <v>458.39</v>
      </c>
      <c r="BD48" s="93">
        <v>457.35</v>
      </c>
      <c r="BE48" s="93">
        <v>456.32</v>
      </c>
      <c r="BF48" s="93">
        <v>455.28</v>
      </c>
      <c r="BG48" s="93">
        <v>454.24</v>
      </c>
      <c r="BH48" s="93">
        <v>453.21</v>
      </c>
      <c r="BI48" s="93">
        <v>452.17</v>
      </c>
      <c r="BJ48" s="93">
        <v>451.13</v>
      </c>
      <c r="BK48" s="93">
        <v>450.09</v>
      </c>
      <c r="BL48" s="93">
        <v>449.06</v>
      </c>
      <c r="BM48" s="93">
        <v>448.02</v>
      </c>
      <c r="BN48" s="93">
        <v>446.98</v>
      </c>
      <c r="BO48" s="93">
        <v>445.94</v>
      </c>
      <c r="BP48" s="93">
        <v>444.9</v>
      </c>
      <c r="BQ48" s="93">
        <v>443.87</v>
      </c>
      <c r="BR48" s="93">
        <v>442.83</v>
      </c>
      <c r="BS48" s="93">
        <v>441.79</v>
      </c>
      <c r="BT48" s="93">
        <v>440.75</v>
      </c>
      <c r="BU48" s="93">
        <v>439.72</v>
      </c>
      <c r="BV48" s="93">
        <v>438.68</v>
      </c>
      <c r="BW48" s="93">
        <v>437.64</v>
      </c>
      <c r="BX48" s="93">
        <v>436.61</v>
      </c>
      <c r="BY48" s="93">
        <v>435.57</v>
      </c>
      <c r="BZ48" s="93">
        <v>434.53</v>
      </c>
      <c r="CA48" s="93">
        <v>433.5</v>
      </c>
      <c r="CB48" s="93">
        <v>432.46</v>
      </c>
      <c r="CC48" s="93">
        <v>431.42</v>
      </c>
      <c r="CD48" s="93">
        <v>430.39</v>
      </c>
      <c r="CE48" s="93">
        <v>429.35</v>
      </c>
      <c r="CF48" s="93">
        <v>428.32</v>
      </c>
      <c r="CG48" s="93">
        <v>427.28</v>
      </c>
      <c r="CH48" s="93">
        <v>426.24</v>
      </c>
      <c r="CI48" s="93">
        <v>425.21</v>
      </c>
      <c r="CJ48" s="93">
        <v>424.17</v>
      </c>
      <c r="CK48" s="93">
        <v>423.14</v>
      </c>
      <c r="CL48" s="93">
        <v>422.1</v>
      </c>
      <c r="CM48" s="93">
        <v>421.06</v>
      </c>
      <c r="CN48" s="93">
        <v>420.03</v>
      </c>
      <c r="CO48" s="93">
        <v>418.99</v>
      </c>
      <c r="CP48" s="93">
        <v>417.95</v>
      </c>
      <c r="CQ48" s="93">
        <v>416.92</v>
      </c>
      <c r="CR48" s="93">
        <v>415.88</v>
      </c>
      <c r="CS48" s="93">
        <v>414.85</v>
      </c>
      <c r="CT48" s="93">
        <v>413.81</v>
      </c>
      <c r="CU48" s="93">
        <v>412.77</v>
      </c>
      <c r="CV48" s="93">
        <v>411.74</v>
      </c>
      <c r="CW48" s="93">
        <v>410.7</v>
      </c>
      <c r="CX48" s="93">
        <v>409.67</v>
      </c>
      <c r="CY48" s="93">
        <v>408.63</v>
      </c>
      <c r="CZ48" s="93">
        <v>407.6</v>
      </c>
      <c r="DA48" s="93">
        <v>406.57</v>
      </c>
      <c r="DB48" s="93">
        <v>405.53</v>
      </c>
      <c r="DC48" s="93">
        <v>404.5</v>
      </c>
      <c r="DD48" s="93">
        <v>403.46</v>
      </c>
      <c r="DE48" s="93">
        <v>402.43</v>
      </c>
      <c r="DF48" s="93">
        <v>401.4</v>
      </c>
      <c r="DG48" s="93">
        <v>400.36</v>
      </c>
      <c r="DH48" s="93">
        <v>399.33</v>
      </c>
      <c r="DI48" s="93">
        <v>398.3</v>
      </c>
      <c r="DJ48" s="93">
        <v>397.26</v>
      </c>
      <c r="DK48" s="93">
        <v>396.23</v>
      </c>
      <c r="DL48" s="93">
        <v>395.2</v>
      </c>
      <c r="DM48" s="93">
        <v>394.17</v>
      </c>
      <c r="DN48" s="93">
        <v>393.13</v>
      </c>
      <c r="DO48" s="93">
        <v>392.1</v>
      </c>
      <c r="DP48" s="93">
        <v>391.07</v>
      </c>
      <c r="DQ48" s="93">
        <v>390.04</v>
      </c>
      <c r="DR48" s="93">
        <v>389.01</v>
      </c>
      <c r="DS48" s="93">
        <v>387.98</v>
      </c>
      <c r="DT48" s="93">
        <v>386.95</v>
      </c>
      <c r="DU48" s="93">
        <v>385.92</v>
      </c>
      <c r="DV48" s="93">
        <v>384.89</v>
      </c>
      <c r="DW48" s="93">
        <v>383.86</v>
      </c>
      <c r="DX48" s="93">
        <v>382.84</v>
      </c>
      <c r="DY48" s="93">
        <v>381.81</v>
      </c>
      <c r="DZ48" s="93">
        <v>380.78</v>
      </c>
      <c r="EA48" s="93">
        <v>379.76</v>
      </c>
      <c r="EB48" s="93">
        <v>378.73</v>
      </c>
      <c r="EC48" s="93">
        <v>377.71</v>
      </c>
      <c r="ED48" s="93">
        <v>376.68</v>
      </c>
      <c r="EE48" s="93">
        <v>375.66</v>
      </c>
      <c r="EF48" s="93">
        <v>374.64</v>
      </c>
      <c r="EG48" s="93">
        <v>373.61</v>
      </c>
      <c r="EH48" s="93">
        <v>372.59</v>
      </c>
      <c r="EI48" s="93">
        <v>371.57</v>
      </c>
      <c r="EJ48" s="93">
        <v>370.56</v>
      </c>
      <c r="EK48" s="93">
        <v>369.54</v>
      </c>
      <c r="EL48" s="93">
        <v>368.52</v>
      </c>
      <c r="EM48" s="93">
        <v>367.5</v>
      </c>
      <c r="EN48" s="93">
        <v>366.48</v>
      </c>
      <c r="EO48" s="93">
        <v>365.46</v>
      </c>
      <c r="EP48" s="93">
        <v>364.44</v>
      </c>
      <c r="EQ48" s="93">
        <v>363.43</v>
      </c>
      <c r="ER48" s="93">
        <v>362.41</v>
      </c>
      <c r="ES48" s="93">
        <v>361.4</v>
      </c>
      <c r="ET48" s="93">
        <v>360.39</v>
      </c>
      <c r="EU48" s="93">
        <v>359.37</v>
      </c>
      <c r="EV48" s="93">
        <v>358.36</v>
      </c>
      <c r="EW48" s="93">
        <v>357.35</v>
      </c>
      <c r="EX48" s="93">
        <v>356.34</v>
      </c>
      <c r="EY48" s="93">
        <v>355.33</v>
      </c>
      <c r="EZ48" s="93">
        <v>354.31</v>
      </c>
      <c r="FA48" s="93">
        <v>353.3</v>
      </c>
      <c r="FB48" s="93">
        <v>352.29</v>
      </c>
      <c r="FC48" s="93">
        <v>351.28</v>
      </c>
      <c r="FD48" s="93">
        <v>350.28</v>
      </c>
      <c r="FE48" s="93">
        <v>349.27</v>
      </c>
      <c r="FF48" s="93">
        <v>348.27</v>
      </c>
      <c r="FG48" s="93">
        <v>347.26</v>
      </c>
      <c r="FH48" s="93">
        <v>346.26</v>
      </c>
      <c r="FI48" s="93">
        <v>345.25</v>
      </c>
      <c r="FJ48" s="93">
        <v>344.25</v>
      </c>
      <c r="FK48" s="93">
        <v>343.25</v>
      </c>
      <c r="FL48" s="93">
        <v>342.24</v>
      </c>
      <c r="FM48" s="93">
        <v>341.24</v>
      </c>
      <c r="FN48" s="93">
        <v>340.24</v>
      </c>
      <c r="FO48" s="93">
        <v>339.24</v>
      </c>
      <c r="FP48" s="93">
        <v>338.24</v>
      </c>
      <c r="FQ48" s="93">
        <v>337.24</v>
      </c>
      <c r="FR48" s="93">
        <v>336.24</v>
      </c>
      <c r="FS48" s="93">
        <v>335.24</v>
      </c>
      <c r="FT48" s="93">
        <v>334.24</v>
      </c>
      <c r="FU48" s="93">
        <v>333.24</v>
      </c>
      <c r="FV48" s="93">
        <v>332.24</v>
      </c>
      <c r="FW48" s="93">
        <v>331.25</v>
      </c>
      <c r="FX48" s="93">
        <v>330.25</v>
      </c>
      <c r="FY48" s="93">
        <v>329.25</v>
      </c>
      <c r="FZ48" s="93">
        <v>328.26</v>
      </c>
      <c r="GA48" s="93">
        <v>327.26</v>
      </c>
      <c r="GB48" s="93">
        <v>326.26</v>
      </c>
      <c r="GC48" s="93">
        <v>325.27999999999997</v>
      </c>
      <c r="GD48" s="93">
        <v>324.27999999999997</v>
      </c>
      <c r="GE48" s="93">
        <v>323.29000000000002</v>
      </c>
      <c r="GF48" s="93">
        <v>322.29000000000002</v>
      </c>
      <c r="GG48" s="93">
        <v>321.31</v>
      </c>
      <c r="GH48" s="93">
        <v>320.32</v>
      </c>
      <c r="GI48" s="93">
        <v>319.32</v>
      </c>
      <c r="GJ48" s="93">
        <v>318.33999999999997</v>
      </c>
      <c r="GK48" s="93">
        <v>317.35000000000002</v>
      </c>
      <c r="GL48" s="93">
        <v>316.35000000000002</v>
      </c>
      <c r="GM48" s="93">
        <v>315.37</v>
      </c>
      <c r="GN48" s="93">
        <v>314.39</v>
      </c>
      <c r="GO48" s="93">
        <v>313.39999999999998</v>
      </c>
      <c r="GP48" s="93">
        <v>312.42</v>
      </c>
      <c r="GQ48" s="93">
        <v>311.44</v>
      </c>
      <c r="GR48" s="93">
        <v>310.45999999999998</v>
      </c>
      <c r="GS48" s="93">
        <v>309.48</v>
      </c>
      <c r="GT48" s="93">
        <v>308.51</v>
      </c>
      <c r="GU48" s="93">
        <v>307.52999999999997</v>
      </c>
      <c r="GV48" s="93">
        <v>306.54000000000002</v>
      </c>
      <c r="GW48" s="93">
        <v>305.57</v>
      </c>
      <c r="GX48" s="93">
        <v>304.60000000000002</v>
      </c>
      <c r="GY48" s="93">
        <v>303.62</v>
      </c>
      <c r="GZ48" s="93">
        <v>302.64999999999998</v>
      </c>
      <c r="HA48" s="93">
        <v>301.67</v>
      </c>
      <c r="HB48" s="93">
        <v>300.7</v>
      </c>
      <c r="HC48" s="93">
        <v>299.73</v>
      </c>
      <c r="HD48" s="93">
        <v>298.76</v>
      </c>
      <c r="HE48" s="93">
        <v>297.79000000000002</v>
      </c>
      <c r="HF48" s="93">
        <v>296.82</v>
      </c>
      <c r="HG48" s="93">
        <v>295.85000000000002</v>
      </c>
      <c r="HH48" s="93">
        <v>294.88</v>
      </c>
      <c r="HI48" s="93">
        <v>293.91000000000003</v>
      </c>
      <c r="HJ48" s="93">
        <v>292.95</v>
      </c>
      <c r="HK48" s="93">
        <v>291.98</v>
      </c>
      <c r="HL48" s="93">
        <v>291.01</v>
      </c>
      <c r="HM48" s="93">
        <v>290.07</v>
      </c>
      <c r="HN48" s="93">
        <v>289.10000000000002</v>
      </c>
      <c r="HO48" s="93">
        <v>288.14999999999998</v>
      </c>
      <c r="HP48" s="93">
        <v>287.2</v>
      </c>
      <c r="HQ48" s="93">
        <v>286.25</v>
      </c>
      <c r="HR48" s="93">
        <v>285.29000000000002</v>
      </c>
      <c r="HS48" s="93">
        <v>284.33999999999997</v>
      </c>
      <c r="HT48" s="93">
        <v>283.39</v>
      </c>
      <c r="HU48" s="93">
        <v>282.44</v>
      </c>
      <c r="HV48" s="93">
        <v>281.48</v>
      </c>
      <c r="HW48" s="93">
        <v>280.52999999999997</v>
      </c>
      <c r="HX48" s="93">
        <v>279.58999999999997</v>
      </c>
      <c r="HY48" s="93">
        <v>278.64</v>
      </c>
      <c r="HZ48" s="93">
        <v>277.69</v>
      </c>
      <c r="IA48" s="93">
        <v>276.75</v>
      </c>
      <c r="IB48" s="93">
        <v>275.79000000000002</v>
      </c>
      <c r="IC48" s="93">
        <v>274.85000000000002</v>
      </c>
      <c r="ID48" s="93">
        <v>273.91000000000003</v>
      </c>
      <c r="IE48" s="93">
        <v>272.97000000000003</v>
      </c>
      <c r="IF48" s="93">
        <v>272.02999999999997</v>
      </c>
      <c r="IG48" s="93">
        <v>271.08999999999997</v>
      </c>
      <c r="IH48" s="93">
        <v>270.14</v>
      </c>
      <c r="II48" s="93">
        <v>269.2</v>
      </c>
      <c r="IJ48" s="93">
        <v>268.26</v>
      </c>
      <c r="IK48" s="93">
        <v>267.32</v>
      </c>
      <c r="IL48" s="93">
        <v>266.39</v>
      </c>
      <c r="IM48" s="93">
        <v>265.45999999999998</v>
      </c>
      <c r="IN48" s="93">
        <v>264.51</v>
      </c>
      <c r="IO48" s="93">
        <v>263.58999999999997</v>
      </c>
      <c r="IP48" s="93">
        <v>262.64999999999998</v>
      </c>
      <c r="IQ48" s="93">
        <v>261.72000000000003</v>
      </c>
      <c r="IR48" s="93">
        <v>260.79000000000002</v>
      </c>
      <c r="IS48" s="93">
        <v>259.85000000000002</v>
      </c>
      <c r="IT48" s="93">
        <v>258.93</v>
      </c>
      <c r="IU48" s="93">
        <v>258</v>
      </c>
      <c r="IV48" s="93">
        <v>257.07</v>
      </c>
      <c r="IW48" s="93">
        <v>256.17</v>
      </c>
      <c r="IX48" s="93">
        <v>255.25</v>
      </c>
      <c r="IY48" s="93">
        <v>254.33</v>
      </c>
      <c r="IZ48" s="93">
        <v>253.42</v>
      </c>
      <c r="JA48" s="93">
        <v>252.5</v>
      </c>
      <c r="JB48" s="93">
        <v>251.59</v>
      </c>
      <c r="JC48" s="93">
        <v>250.68</v>
      </c>
      <c r="JD48" s="93">
        <v>249.77</v>
      </c>
      <c r="JE48" s="93">
        <v>248.86</v>
      </c>
      <c r="JF48" s="93">
        <v>247.95</v>
      </c>
      <c r="JG48" s="93">
        <v>247.04</v>
      </c>
      <c r="JH48" s="93">
        <v>246.13</v>
      </c>
      <c r="JI48" s="93">
        <v>245.23</v>
      </c>
      <c r="JJ48" s="93">
        <v>244.32</v>
      </c>
      <c r="JK48" s="93">
        <v>243.42</v>
      </c>
      <c r="JL48" s="93">
        <v>242.51</v>
      </c>
      <c r="JM48" s="93">
        <v>241.61</v>
      </c>
      <c r="JN48" s="93">
        <v>240.71</v>
      </c>
      <c r="JO48" s="93">
        <v>239.8</v>
      </c>
      <c r="JP48" s="93">
        <v>238.9</v>
      </c>
      <c r="JQ48" s="93">
        <v>238</v>
      </c>
      <c r="JR48" s="93">
        <v>237.11</v>
      </c>
      <c r="JS48" s="93">
        <v>236.21</v>
      </c>
      <c r="JT48" s="93">
        <v>235.3</v>
      </c>
      <c r="JU48" s="93">
        <v>234.4</v>
      </c>
      <c r="JV48" s="93">
        <v>233.49</v>
      </c>
      <c r="JW48" s="93">
        <v>232.59</v>
      </c>
      <c r="JX48" s="93">
        <v>231.69</v>
      </c>
      <c r="JY48" s="93">
        <v>230.79</v>
      </c>
      <c r="JZ48" s="93">
        <v>229.89</v>
      </c>
      <c r="KA48" s="93">
        <v>228.99</v>
      </c>
      <c r="KB48" s="93">
        <v>228.09</v>
      </c>
      <c r="KC48" s="93">
        <v>227.19</v>
      </c>
      <c r="KD48" s="93">
        <v>226.29</v>
      </c>
      <c r="KE48" s="93">
        <v>225.4</v>
      </c>
      <c r="KF48" s="93">
        <v>224.5</v>
      </c>
      <c r="KG48" s="93">
        <v>223.61</v>
      </c>
      <c r="KH48" s="93">
        <v>222.71</v>
      </c>
      <c r="KI48" s="93">
        <v>221.82</v>
      </c>
      <c r="KJ48" s="93">
        <v>220.93</v>
      </c>
      <c r="KK48" s="93">
        <v>220.04</v>
      </c>
      <c r="KL48" s="93">
        <v>219.15</v>
      </c>
      <c r="KM48" s="93">
        <v>218.26</v>
      </c>
      <c r="KN48" s="93">
        <v>217.37</v>
      </c>
      <c r="KO48" s="93">
        <v>216.48</v>
      </c>
      <c r="KP48" s="93">
        <v>215.6</v>
      </c>
      <c r="KQ48" s="93">
        <v>214.71</v>
      </c>
      <c r="KR48" s="98">
        <f t="shared" si="29"/>
        <v>216.02</v>
      </c>
      <c r="KS48" s="98">
        <f t="shared" si="29"/>
        <v>215.23</v>
      </c>
      <c r="KT48" s="98">
        <f t="shared" si="29"/>
        <v>214.41</v>
      </c>
      <c r="KU48" s="98">
        <f t="shared" si="29"/>
        <v>213.62</v>
      </c>
      <c r="KV48" s="98">
        <f t="shared" si="29"/>
        <v>212.84</v>
      </c>
      <c r="KW48" s="98">
        <f t="shared" si="29"/>
        <v>212.05</v>
      </c>
      <c r="KX48" s="98">
        <f t="shared" si="29"/>
        <v>211.26</v>
      </c>
      <c r="KY48" s="98">
        <f t="shared" si="29"/>
        <v>210.48</v>
      </c>
      <c r="KZ48" s="98">
        <f t="shared" si="29"/>
        <v>209.69</v>
      </c>
      <c r="LA48" s="98">
        <f t="shared" si="29"/>
        <v>208.91</v>
      </c>
      <c r="LB48" s="98">
        <f t="shared" si="29"/>
        <v>208.13</v>
      </c>
      <c r="LC48" s="98">
        <f t="shared" si="29"/>
        <v>207.35</v>
      </c>
      <c r="LD48" s="98">
        <f t="shared" si="29"/>
        <v>206.57</v>
      </c>
      <c r="LE48" s="98">
        <f t="shared" si="29"/>
        <v>205.79</v>
      </c>
      <c r="LF48" s="98">
        <f t="shared" si="29"/>
        <v>205.02</v>
      </c>
      <c r="LG48" s="98">
        <f t="shared" si="28"/>
        <v>204.25</v>
      </c>
      <c r="LH48" s="98">
        <f t="shared" si="28"/>
        <v>203.47</v>
      </c>
      <c r="LI48" s="98">
        <f t="shared" si="28"/>
        <v>202.7</v>
      </c>
      <c r="LJ48" s="98">
        <f t="shared" si="28"/>
        <v>201.93</v>
      </c>
      <c r="LK48" s="98">
        <f t="shared" si="28"/>
        <v>201.16</v>
      </c>
      <c r="LL48" s="98">
        <f t="shared" si="28"/>
        <v>200.39</v>
      </c>
      <c r="LM48" s="98">
        <f t="shared" si="28"/>
        <v>199.63</v>
      </c>
      <c r="LN48" s="98">
        <f t="shared" si="28"/>
        <v>198.86</v>
      </c>
      <c r="LO48" s="98">
        <f t="shared" si="28"/>
        <v>198.1</v>
      </c>
      <c r="LP48" s="98">
        <f t="shared" si="28"/>
        <v>197.34</v>
      </c>
      <c r="LQ48" s="98">
        <f t="shared" si="28"/>
        <v>196.58</v>
      </c>
      <c r="LR48" s="98">
        <f t="shared" si="28"/>
        <v>195.82</v>
      </c>
      <c r="LS48" s="98">
        <f t="shared" si="28"/>
        <v>195.06</v>
      </c>
      <c r="LT48" s="98">
        <f t="shared" si="28"/>
        <v>194.31</v>
      </c>
      <c r="LU48" s="98">
        <f t="shared" si="28"/>
        <v>193.56</v>
      </c>
      <c r="LV48" s="98">
        <f t="shared" si="28"/>
        <v>192.8</v>
      </c>
      <c r="LW48" s="98">
        <f t="shared" si="28"/>
        <v>192.05</v>
      </c>
      <c r="LX48" s="98">
        <f t="shared" si="30"/>
        <v>191.3</v>
      </c>
      <c r="LY48" s="98">
        <f t="shared" si="30"/>
        <v>190.55</v>
      </c>
      <c r="LZ48" s="98">
        <f t="shared" si="30"/>
        <v>189.81</v>
      </c>
      <c r="MA48" s="98">
        <f t="shared" si="30"/>
        <v>189.06</v>
      </c>
      <c r="MB48" s="98">
        <f t="shared" si="30"/>
        <v>188.32</v>
      </c>
      <c r="MC48" s="98">
        <f t="shared" si="30"/>
        <v>187.58</v>
      </c>
      <c r="MD48" s="100">
        <f t="shared" si="30"/>
        <v>186.84</v>
      </c>
      <c r="ME48" s="101">
        <f t="shared" si="30"/>
        <v>186.11</v>
      </c>
      <c r="MF48" s="101">
        <f t="shared" si="30"/>
        <v>185.37</v>
      </c>
      <c r="MG48" s="101">
        <f t="shared" si="30"/>
        <v>184.64</v>
      </c>
      <c r="MH48" s="101">
        <f t="shared" si="30"/>
        <v>183.9</v>
      </c>
      <c r="MI48" s="101">
        <f t="shared" si="30"/>
        <v>183.17</v>
      </c>
      <c r="MJ48" s="101">
        <f t="shared" si="30"/>
        <v>182.44</v>
      </c>
      <c r="MK48" s="101">
        <f t="shared" si="30"/>
        <v>181.71</v>
      </c>
      <c r="ML48" s="101">
        <f t="shared" si="30"/>
        <v>180.99</v>
      </c>
      <c r="MM48" s="101">
        <f t="shared" si="30"/>
        <v>180.26</v>
      </c>
      <c r="MN48" s="101">
        <f t="shared" si="32"/>
        <v>179.54</v>
      </c>
      <c r="MO48" s="101">
        <f t="shared" si="32"/>
        <v>178.82</v>
      </c>
      <c r="MP48" s="101">
        <f t="shared" si="32"/>
        <v>178.1</v>
      </c>
      <c r="MQ48" s="101">
        <f t="shared" si="32"/>
        <v>177.39</v>
      </c>
      <c r="MR48" s="101">
        <f t="shared" si="32"/>
        <v>176.67</v>
      </c>
      <c r="MS48" s="101">
        <f t="shared" si="32"/>
        <v>175.96</v>
      </c>
      <c r="MT48" s="101">
        <f t="shared" si="32"/>
        <v>175.24</v>
      </c>
      <c r="MU48" s="101">
        <f t="shared" si="32"/>
        <v>174.53</v>
      </c>
      <c r="MV48" s="101">
        <f t="shared" si="32"/>
        <v>173.82</v>
      </c>
      <c r="MW48" s="101">
        <f t="shared" si="32"/>
        <v>173.12</v>
      </c>
      <c r="MX48" s="101">
        <f t="shared" si="32"/>
        <v>172.41</v>
      </c>
      <c r="MY48" s="101">
        <f t="shared" si="32"/>
        <v>171.71</v>
      </c>
    </row>
    <row r="49" spans="1:363" ht="15.75" x14ac:dyDescent="0.25">
      <c r="A49" s="90" t="s">
        <v>6</v>
      </c>
      <c r="B49" s="95">
        <v>2059</v>
      </c>
      <c r="C49" s="93">
        <v>513.04999999999995</v>
      </c>
      <c r="D49" s="93">
        <v>512.01</v>
      </c>
      <c r="E49" s="93">
        <v>510.97</v>
      </c>
      <c r="F49" s="93">
        <v>509.94</v>
      </c>
      <c r="G49" s="93">
        <v>508.9</v>
      </c>
      <c r="H49" s="93">
        <v>507.87</v>
      </c>
      <c r="I49" s="93">
        <v>506.83</v>
      </c>
      <c r="J49" s="93">
        <v>505.8</v>
      </c>
      <c r="K49" s="93">
        <v>504.76</v>
      </c>
      <c r="L49" s="93">
        <v>503.73</v>
      </c>
      <c r="M49" s="93">
        <v>502.69</v>
      </c>
      <c r="N49" s="93">
        <v>501.66</v>
      </c>
      <c r="O49" s="93">
        <v>500.62</v>
      </c>
      <c r="P49" s="93">
        <v>499.59</v>
      </c>
      <c r="Q49" s="93">
        <v>498.55</v>
      </c>
      <c r="R49" s="93">
        <v>497.52</v>
      </c>
      <c r="S49" s="93">
        <v>496.48</v>
      </c>
      <c r="T49" s="93">
        <v>495.45</v>
      </c>
      <c r="U49" s="93">
        <v>494.41</v>
      </c>
      <c r="V49" s="93">
        <v>493.37</v>
      </c>
      <c r="W49" s="93">
        <v>492.34</v>
      </c>
      <c r="X49" s="93">
        <v>491.3</v>
      </c>
      <c r="Y49" s="93">
        <v>490.27</v>
      </c>
      <c r="Z49" s="93">
        <v>489.23</v>
      </c>
      <c r="AA49" s="93">
        <v>488.2</v>
      </c>
      <c r="AB49" s="93">
        <v>487.16</v>
      </c>
      <c r="AC49" s="93">
        <v>486.12</v>
      </c>
      <c r="AD49" s="93">
        <v>485.09</v>
      </c>
      <c r="AE49" s="93">
        <v>484.05</v>
      </c>
      <c r="AF49" s="93">
        <v>483.01</v>
      </c>
      <c r="AG49" s="93">
        <v>481.98</v>
      </c>
      <c r="AH49" s="93">
        <v>480.94</v>
      </c>
      <c r="AI49" s="93">
        <v>479.91</v>
      </c>
      <c r="AJ49" s="93">
        <v>478.87</v>
      </c>
      <c r="AK49" s="93">
        <v>477.83</v>
      </c>
      <c r="AL49" s="93">
        <v>476.8</v>
      </c>
      <c r="AM49" s="93">
        <v>475.76</v>
      </c>
      <c r="AN49" s="93">
        <v>474.73</v>
      </c>
      <c r="AO49" s="93">
        <v>473.69</v>
      </c>
      <c r="AP49" s="93">
        <v>472.65</v>
      </c>
      <c r="AQ49" s="93">
        <v>471.62</v>
      </c>
      <c r="AR49" s="93">
        <v>470.58</v>
      </c>
      <c r="AS49" s="93">
        <v>469.54</v>
      </c>
      <c r="AT49" s="93">
        <v>468.51</v>
      </c>
      <c r="AU49" s="93">
        <v>467.47</v>
      </c>
      <c r="AV49" s="93">
        <v>466.43</v>
      </c>
      <c r="AW49" s="93">
        <v>465.4</v>
      </c>
      <c r="AX49" s="93">
        <v>464.36</v>
      </c>
      <c r="AY49" s="93">
        <v>463.32</v>
      </c>
      <c r="AZ49" s="93">
        <v>462.29</v>
      </c>
      <c r="BA49" s="93">
        <v>461.25</v>
      </c>
      <c r="BB49" s="93">
        <v>460.21</v>
      </c>
      <c r="BC49" s="93">
        <v>459.17</v>
      </c>
      <c r="BD49" s="93">
        <v>458.14</v>
      </c>
      <c r="BE49" s="93">
        <v>457.1</v>
      </c>
      <c r="BF49" s="93">
        <v>456.06</v>
      </c>
      <c r="BG49" s="93">
        <v>455.03</v>
      </c>
      <c r="BH49" s="93">
        <v>453.99</v>
      </c>
      <c r="BI49" s="93">
        <v>452.95</v>
      </c>
      <c r="BJ49" s="93">
        <v>451.91</v>
      </c>
      <c r="BK49" s="93">
        <v>450.88</v>
      </c>
      <c r="BL49" s="93">
        <v>449.84</v>
      </c>
      <c r="BM49" s="93">
        <v>448.8</v>
      </c>
      <c r="BN49" s="93">
        <v>447.76</v>
      </c>
      <c r="BO49" s="93">
        <v>446.73</v>
      </c>
      <c r="BP49" s="93">
        <v>445.69</v>
      </c>
      <c r="BQ49" s="93">
        <v>444.65</v>
      </c>
      <c r="BR49" s="93">
        <v>443.61</v>
      </c>
      <c r="BS49" s="93">
        <v>442.57</v>
      </c>
      <c r="BT49" s="93">
        <v>441.54</v>
      </c>
      <c r="BU49" s="93">
        <v>440.5</v>
      </c>
      <c r="BV49" s="93">
        <v>439.46</v>
      </c>
      <c r="BW49" s="93">
        <v>438.43</v>
      </c>
      <c r="BX49" s="93">
        <v>437.39</v>
      </c>
      <c r="BY49" s="93">
        <v>436.35</v>
      </c>
      <c r="BZ49" s="93">
        <v>435.31</v>
      </c>
      <c r="CA49" s="93">
        <v>434.28</v>
      </c>
      <c r="CB49" s="93">
        <v>433.24</v>
      </c>
      <c r="CC49" s="93">
        <v>432.21</v>
      </c>
      <c r="CD49" s="93">
        <v>431.17</v>
      </c>
      <c r="CE49" s="93">
        <v>430.13</v>
      </c>
      <c r="CF49" s="93">
        <v>429.1</v>
      </c>
      <c r="CG49" s="93">
        <v>428.06</v>
      </c>
      <c r="CH49" s="93">
        <v>427.03</v>
      </c>
      <c r="CI49" s="93">
        <v>425.99</v>
      </c>
      <c r="CJ49" s="93">
        <v>424.95</v>
      </c>
      <c r="CK49" s="93">
        <v>423.92</v>
      </c>
      <c r="CL49" s="93">
        <v>422.88</v>
      </c>
      <c r="CM49" s="93">
        <v>421.84</v>
      </c>
      <c r="CN49" s="93">
        <v>420.81</v>
      </c>
      <c r="CO49" s="93">
        <v>419.77</v>
      </c>
      <c r="CP49" s="93">
        <v>418.74</v>
      </c>
      <c r="CQ49" s="93">
        <v>417.7</v>
      </c>
      <c r="CR49" s="93">
        <v>416.66</v>
      </c>
      <c r="CS49" s="93">
        <v>415.63</v>
      </c>
      <c r="CT49" s="93">
        <v>414.59</v>
      </c>
      <c r="CU49" s="93">
        <v>413.55</v>
      </c>
      <c r="CV49" s="93">
        <v>412.52</v>
      </c>
      <c r="CW49" s="93">
        <v>411.49</v>
      </c>
      <c r="CX49" s="93">
        <v>410.45</v>
      </c>
      <c r="CY49" s="93">
        <v>409.42</v>
      </c>
      <c r="CZ49" s="93">
        <v>408.38</v>
      </c>
      <c r="DA49" s="93">
        <v>407.35</v>
      </c>
      <c r="DB49" s="93">
        <v>406.31</v>
      </c>
      <c r="DC49" s="93">
        <v>405.28</v>
      </c>
      <c r="DD49" s="93">
        <v>404.24</v>
      </c>
      <c r="DE49" s="93">
        <v>403.21</v>
      </c>
      <c r="DF49" s="93">
        <v>402.18</v>
      </c>
      <c r="DG49" s="93">
        <v>401.14</v>
      </c>
      <c r="DH49" s="93">
        <v>400.11</v>
      </c>
      <c r="DI49" s="93">
        <v>399.08</v>
      </c>
      <c r="DJ49" s="93">
        <v>398.04</v>
      </c>
      <c r="DK49" s="93">
        <v>397.01</v>
      </c>
      <c r="DL49" s="93">
        <v>395.98</v>
      </c>
      <c r="DM49" s="93">
        <v>394.94</v>
      </c>
      <c r="DN49" s="93">
        <v>393.91</v>
      </c>
      <c r="DO49" s="93">
        <v>392.88</v>
      </c>
      <c r="DP49" s="93">
        <v>391.85</v>
      </c>
      <c r="DQ49" s="93">
        <v>390.82</v>
      </c>
      <c r="DR49" s="93">
        <v>389.78</v>
      </c>
      <c r="DS49" s="93">
        <v>388.75</v>
      </c>
      <c r="DT49" s="93">
        <v>387.72</v>
      </c>
      <c r="DU49" s="93">
        <v>386.7</v>
      </c>
      <c r="DV49" s="93">
        <v>385.67</v>
      </c>
      <c r="DW49" s="93">
        <v>384.64</v>
      </c>
      <c r="DX49" s="93">
        <v>383.61</v>
      </c>
      <c r="DY49" s="93">
        <v>382.59</v>
      </c>
      <c r="DZ49" s="93">
        <v>381.56</v>
      </c>
      <c r="EA49" s="93">
        <v>380.53</v>
      </c>
      <c r="EB49" s="93">
        <v>379.51</v>
      </c>
      <c r="EC49" s="93">
        <v>378.48</v>
      </c>
      <c r="ED49" s="93">
        <v>377.46</v>
      </c>
      <c r="EE49" s="93">
        <v>376.43</v>
      </c>
      <c r="EF49" s="93">
        <v>375.41</v>
      </c>
      <c r="EG49" s="93">
        <v>374.39</v>
      </c>
      <c r="EH49" s="93">
        <v>373.37</v>
      </c>
      <c r="EI49" s="93">
        <v>372.35</v>
      </c>
      <c r="EJ49" s="93">
        <v>371.33</v>
      </c>
      <c r="EK49" s="93">
        <v>370.31</v>
      </c>
      <c r="EL49" s="93">
        <v>369.29</v>
      </c>
      <c r="EM49" s="93">
        <v>368.27</v>
      </c>
      <c r="EN49" s="93">
        <v>367.25</v>
      </c>
      <c r="EO49" s="93">
        <v>366.23</v>
      </c>
      <c r="EP49" s="93">
        <v>365.22</v>
      </c>
      <c r="EQ49" s="93">
        <v>364.2</v>
      </c>
      <c r="ER49" s="93">
        <v>363.18</v>
      </c>
      <c r="ES49" s="93">
        <v>362.17</v>
      </c>
      <c r="ET49" s="93">
        <v>361.16</v>
      </c>
      <c r="EU49" s="93">
        <v>360.14</v>
      </c>
      <c r="EV49" s="93">
        <v>359.13</v>
      </c>
      <c r="EW49" s="93">
        <v>358.12</v>
      </c>
      <c r="EX49" s="93">
        <v>357.11</v>
      </c>
      <c r="EY49" s="93">
        <v>356.09</v>
      </c>
      <c r="EZ49" s="93">
        <v>355.08</v>
      </c>
      <c r="FA49" s="93">
        <v>354.07</v>
      </c>
      <c r="FB49" s="93">
        <v>353.06</v>
      </c>
      <c r="FC49" s="93">
        <v>352.05</v>
      </c>
      <c r="FD49" s="93">
        <v>351.04</v>
      </c>
      <c r="FE49" s="93">
        <v>350.04</v>
      </c>
      <c r="FF49" s="93">
        <v>349.03</v>
      </c>
      <c r="FG49" s="93">
        <v>348.03</v>
      </c>
      <c r="FH49" s="93">
        <v>347.02</v>
      </c>
      <c r="FI49" s="93">
        <v>346.02</v>
      </c>
      <c r="FJ49" s="93">
        <v>345.01</v>
      </c>
      <c r="FK49" s="93">
        <v>344.01</v>
      </c>
      <c r="FL49" s="93">
        <v>343.01</v>
      </c>
      <c r="FM49" s="93">
        <v>342</v>
      </c>
      <c r="FN49" s="93">
        <v>341</v>
      </c>
      <c r="FO49" s="93">
        <v>340</v>
      </c>
      <c r="FP49" s="93">
        <v>339</v>
      </c>
      <c r="FQ49" s="93">
        <v>338</v>
      </c>
      <c r="FR49" s="93">
        <v>337</v>
      </c>
      <c r="FS49" s="93">
        <v>336</v>
      </c>
      <c r="FT49" s="93">
        <v>335</v>
      </c>
      <c r="FU49" s="93">
        <v>334</v>
      </c>
      <c r="FV49" s="93">
        <v>333</v>
      </c>
      <c r="FW49" s="93">
        <v>332</v>
      </c>
      <c r="FX49" s="93">
        <v>331.01</v>
      </c>
      <c r="FY49" s="93">
        <v>330.01</v>
      </c>
      <c r="FZ49" s="93">
        <v>329.01</v>
      </c>
      <c r="GA49" s="93">
        <v>328.02</v>
      </c>
      <c r="GB49" s="93">
        <v>327.01</v>
      </c>
      <c r="GC49" s="93">
        <v>326.02999999999997</v>
      </c>
      <c r="GD49" s="93">
        <v>325.04000000000002</v>
      </c>
      <c r="GE49" s="93">
        <v>324.04000000000002</v>
      </c>
      <c r="GF49" s="93">
        <v>323.04000000000002</v>
      </c>
      <c r="GG49" s="93">
        <v>322.06</v>
      </c>
      <c r="GH49" s="93">
        <v>321.07</v>
      </c>
      <c r="GI49" s="93">
        <v>320.07</v>
      </c>
      <c r="GJ49" s="93">
        <v>319.08999999999997</v>
      </c>
      <c r="GK49" s="93">
        <v>318.10000000000002</v>
      </c>
      <c r="GL49" s="93">
        <v>317.10000000000002</v>
      </c>
      <c r="GM49" s="93">
        <v>316.12</v>
      </c>
      <c r="GN49" s="93">
        <v>315.13</v>
      </c>
      <c r="GO49" s="93">
        <v>314.14999999999998</v>
      </c>
      <c r="GP49" s="93">
        <v>313.17</v>
      </c>
      <c r="GQ49" s="93">
        <v>312.19</v>
      </c>
      <c r="GR49" s="93">
        <v>311.20999999999998</v>
      </c>
      <c r="GS49" s="93">
        <v>310.23</v>
      </c>
      <c r="GT49" s="93">
        <v>309.25</v>
      </c>
      <c r="GU49" s="93">
        <v>308.26</v>
      </c>
      <c r="GV49" s="93">
        <v>307.29000000000002</v>
      </c>
      <c r="GW49" s="93">
        <v>306.31</v>
      </c>
      <c r="GX49" s="93">
        <v>305.33999999999997</v>
      </c>
      <c r="GY49" s="93">
        <v>304.35000000000002</v>
      </c>
      <c r="GZ49" s="93">
        <v>303.39</v>
      </c>
      <c r="HA49" s="93">
        <v>302.41000000000003</v>
      </c>
      <c r="HB49" s="93">
        <v>301.44</v>
      </c>
      <c r="HC49" s="93">
        <v>300.47000000000003</v>
      </c>
      <c r="HD49" s="93">
        <v>299.5</v>
      </c>
      <c r="HE49" s="93">
        <v>298.51</v>
      </c>
      <c r="HF49" s="93">
        <v>297.54000000000002</v>
      </c>
      <c r="HG49" s="93">
        <v>296.57</v>
      </c>
      <c r="HH49" s="93">
        <v>295.62</v>
      </c>
      <c r="HI49" s="93">
        <v>294.64999999999998</v>
      </c>
      <c r="HJ49" s="93">
        <v>293.68</v>
      </c>
      <c r="HK49" s="93">
        <v>292.70999999999998</v>
      </c>
      <c r="HL49" s="93">
        <v>291.75</v>
      </c>
      <c r="HM49" s="93">
        <v>290.79000000000002</v>
      </c>
      <c r="HN49" s="93">
        <v>289.83999999999997</v>
      </c>
      <c r="HO49" s="93">
        <v>288.88</v>
      </c>
      <c r="HP49" s="93">
        <v>287.93</v>
      </c>
      <c r="HQ49" s="93">
        <v>286.97000000000003</v>
      </c>
      <c r="HR49" s="93">
        <v>286.01</v>
      </c>
      <c r="HS49" s="93">
        <v>285.06</v>
      </c>
      <c r="HT49" s="93">
        <v>284.10000000000002</v>
      </c>
      <c r="HU49" s="93">
        <v>283.16000000000003</v>
      </c>
      <c r="HV49" s="93">
        <v>282.20999999999998</v>
      </c>
      <c r="HW49" s="93">
        <v>281.25</v>
      </c>
      <c r="HX49" s="93">
        <v>280.31</v>
      </c>
      <c r="HY49" s="93">
        <v>279.35000000000002</v>
      </c>
      <c r="HZ49" s="93">
        <v>278.41000000000003</v>
      </c>
      <c r="IA49" s="93">
        <v>277.45999999999998</v>
      </c>
      <c r="IB49" s="93">
        <v>276.51</v>
      </c>
      <c r="IC49" s="93">
        <v>275.57</v>
      </c>
      <c r="ID49" s="93">
        <v>274.63</v>
      </c>
      <c r="IE49" s="93">
        <v>273.68</v>
      </c>
      <c r="IF49" s="93">
        <v>272.74</v>
      </c>
      <c r="IG49" s="93">
        <v>271.79000000000002</v>
      </c>
      <c r="IH49" s="93">
        <v>270.85000000000002</v>
      </c>
      <c r="II49" s="93">
        <v>269.91000000000003</v>
      </c>
      <c r="IJ49" s="93">
        <v>268.97000000000003</v>
      </c>
      <c r="IK49" s="93">
        <v>268.02999999999997</v>
      </c>
      <c r="IL49" s="93">
        <v>267.10000000000002</v>
      </c>
      <c r="IM49" s="93">
        <v>266.16000000000003</v>
      </c>
      <c r="IN49" s="93">
        <v>265.22000000000003</v>
      </c>
      <c r="IO49" s="93">
        <v>264.29000000000002</v>
      </c>
      <c r="IP49" s="93">
        <v>263.35000000000002</v>
      </c>
      <c r="IQ49" s="93">
        <v>262.42</v>
      </c>
      <c r="IR49" s="93">
        <v>261.49</v>
      </c>
      <c r="IS49" s="93">
        <v>260.56</v>
      </c>
      <c r="IT49" s="93">
        <v>259.63</v>
      </c>
      <c r="IU49" s="93">
        <v>258.7</v>
      </c>
      <c r="IV49" s="93">
        <v>257.77999999999997</v>
      </c>
      <c r="IW49" s="93">
        <v>256.85000000000002</v>
      </c>
      <c r="IX49" s="93">
        <v>255.94</v>
      </c>
      <c r="IY49" s="93">
        <v>255.02</v>
      </c>
      <c r="IZ49" s="93">
        <v>254.11</v>
      </c>
      <c r="JA49" s="93">
        <v>253.19</v>
      </c>
      <c r="JB49" s="93">
        <v>252.28</v>
      </c>
      <c r="JC49" s="93">
        <v>251.36</v>
      </c>
      <c r="JD49" s="93">
        <v>250.45</v>
      </c>
      <c r="JE49" s="93">
        <v>249.54</v>
      </c>
      <c r="JF49" s="93">
        <v>248.63</v>
      </c>
      <c r="JG49" s="93">
        <v>247.72</v>
      </c>
      <c r="JH49" s="93">
        <v>246.81</v>
      </c>
      <c r="JI49" s="93">
        <v>245.9</v>
      </c>
      <c r="JJ49" s="93">
        <v>245</v>
      </c>
      <c r="JK49" s="93">
        <v>244.09</v>
      </c>
      <c r="JL49" s="93">
        <v>243.19</v>
      </c>
      <c r="JM49" s="93">
        <v>242.28</v>
      </c>
      <c r="JN49" s="93">
        <v>241.38</v>
      </c>
      <c r="JO49" s="93">
        <v>240.47</v>
      </c>
      <c r="JP49" s="93">
        <v>239.57</v>
      </c>
      <c r="JQ49" s="93">
        <v>238.67</v>
      </c>
      <c r="JR49" s="93">
        <v>237.77</v>
      </c>
      <c r="JS49" s="93">
        <v>236.87</v>
      </c>
      <c r="JT49" s="93">
        <v>235.97</v>
      </c>
      <c r="JU49" s="93">
        <v>235.06</v>
      </c>
      <c r="JV49" s="93">
        <v>234.16</v>
      </c>
      <c r="JW49" s="93">
        <v>233.25</v>
      </c>
      <c r="JX49" s="93">
        <v>232.35</v>
      </c>
      <c r="JY49" s="93">
        <v>231.45</v>
      </c>
      <c r="JZ49" s="93">
        <v>230.54</v>
      </c>
      <c r="KA49" s="93">
        <v>229.64</v>
      </c>
      <c r="KB49" s="93">
        <v>228.74</v>
      </c>
      <c r="KC49" s="93">
        <v>227.84</v>
      </c>
      <c r="KD49" s="93">
        <v>226.94</v>
      </c>
      <c r="KE49" s="93">
        <v>226.05</v>
      </c>
      <c r="KF49" s="93">
        <v>225.15</v>
      </c>
      <c r="KG49" s="93">
        <v>224.25</v>
      </c>
      <c r="KH49" s="93">
        <v>223.36</v>
      </c>
      <c r="KI49" s="93">
        <v>222.46</v>
      </c>
      <c r="KJ49" s="93">
        <v>221.57</v>
      </c>
      <c r="KK49" s="93">
        <v>220.68</v>
      </c>
      <c r="KL49" s="93">
        <v>219.79</v>
      </c>
      <c r="KM49" s="93">
        <v>218.9</v>
      </c>
      <c r="KN49" s="93">
        <v>218.01</v>
      </c>
      <c r="KO49" s="93">
        <v>217.12</v>
      </c>
      <c r="KP49" s="93">
        <v>216.23</v>
      </c>
      <c r="KQ49" s="93">
        <v>215.34</v>
      </c>
      <c r="KR49" s="98">
        <f t="shared" si="29"/>
        <v>216.77</v>
      </c>
      <c r="KS49" s="98">
        <f t="shared" si="29"/>
        <v>215.98</v>
      </c>
      <c r="KT49" s="98">
        <f t="shared" si="29"/>
        <v>215.16</v>
      </c>
      <c r="KU49" s="98">
        <f t="shared" si="29"/>
        <v>214.37</v>
      </c>
      <c r="KV49" s="98">
        <f t="shared" si="29"/>
        <v>213.59</v>
      </c>
      <c r="KW49" s="98">
        <f t="shared" si="29"/>
        <v>212.8</v>
      </c>
      <c r="KX49" s="98">
        <f t="shared" si="29"/>
        <v>212.01</v>
      </c>
      <c r="KY49" s="98">
        <f t="shared" si="29"/>
        <v>211.23</v>
      </c>
      <c r="KZ49" s="98">
        <f t="shared" si="29"/>
        <v>210.44</v>
      </c>
      <c r="LA49" s="98">
        <f t="shared" si="29"/>
        <v>209.66</v>
      </c>
      <c r="LB49" s="98">
        <f t="shared" si="29"/>
        <v>208.88</v>
      </c>
      <c r="LC49" s="98">
        <f t="shared" si="29"/>
        <v>208.1</v>
      </c>
      <c r="LD49" s="98">
        <f t="shared" si="29"/>
        <v>207.32</v>
      </c>
      <c r="LE49" s="98">
        <f t="shared" si="29"/>
        <v>206.54</v>
      </c>
      <c r="LF49" s="98">
        <f t="shared" si="29"/>
        <v>205.77</v>
      </c>
      <c r="LG49" s="98">
        <f t="shared" si="28"/>
        <v>205</v>
      </c>
      <c r="LH49" s="98">
        <f t="shared" si="28"/>
        <v>204.22</v>
      </c>
      <c r="LI49" s="98">
        <f t="shared" si="28"/>
        <v>203.45</v>
      </c>
      <c r="LJ49" s="98">
        <f t="shared" si="28"/>
        <v>202.68</v>
      </c>
      <c r="LK49" s="98">
        <f t="shared" si="28"/>
        <v>201.91</v>
      </c>
      <c r="LL49" s="98">
        <f t="shared" si="28"/>
        <v>201.14</v>
      </c>
      <c r="LM49" s="98">
        <f t="shared" si="28"/>
        <v>200.38</v>
      </c>
      <c r="LN49" s="98">
        <f t="shared" si="28"/>
        <v>199.61</v>
      </c>
      <c r="LO49" s="98">
        <f t="shared" si="28"/>
        <v>198.85</v>
      </c>
      <c r="LP49" s="98">
        <f t="shared" si="28"/>
        <v>198.09</v>
      </c>
      <c r="LQ49" s="98">
        <f t="shared" si="28"/>
        <v>197.33</v>
      </c>
      <c r="LR49" s="98">
        <f t="shared" si="28"/>
        <v>196.57</v>
      </c>
      <c r="LS49" s="98">
        <f t="shared" si="28"/>
        <v>195.81</v>
      </c>
      <c r="LT49" s="98">
        <f t="shared" si="28"/>
        <v>195.06</v>
      </c>
      <c r="LU49" s="98">
        <f t="shared" si="28"/>
        <v>194.31</v>
      </c>
      <c r="LV49" s="98">
        <f t="shared" si="28"/>
        <v>193.55</v>
      </c>
      <c r="LW49" s="98">
        <f t="shared" si="28"/>
        <v>192.8</v>
      </c>
      <c r="LX49" s="98">
        <f t="shared" si="30"/>
        <v>192.05</v>
      </c>
      <c r="LY49" s="98">
        <f t="shared" si="30"/>
        <v>191.3</v>
      </c>
      <c r="LZ49" s="98">
        <f t="shared" si="30"/>
        <v>190.56</v>
      </c>
      <c r="MA49" s="98">
        <f t="shared" si="30"/>
        <v>189.81</v>
      </c>
      <c r="MB49" s="98">
        <f t="shared" si="30"/>
        <v>189.07</v>
      </c>
      <c r="MC49" s="98">
        <f t="shared" si="30"/>
        <v>188.33</v>
      </c>
      <c r="MD49" s="100">
        <f t="shared" si="30"/>
        <v>187.59</v>
      </c>
      <c r="ME49" s="101">
        <f t="shared" si="30"/>
        <v>186.86</v>
      </c>
      <c r="MF49" s="101">
        <f t="shared" si="30"/>
        <v>186.12</v>
      </c>
      <c r="MG49" s="101">
        <f t="shared" si="30"/>
        <v>185.39</v>
      </c>
      <c r="MH49" s="101">
        <f t="shared" si="30"/>
        <v>184.65</v>
      </c>
      <c r="MI49" s="101">
        <f t="shared" si="30"/>
        <v>183.92</v>
      </c>
      <c r="MJ49" s="101">
        <f t="shared" si="30"/>
        <v>183.19</v>
      </c>
      <c r="MK49" s="101">
        <f t="shared" si="30"/>
        <v>182.46</v>
      </c>
      <c r="ML49" s="101">
        <f t="shared" si="30"/>
        <v>181.74</v>
      </c>
      <c r="MM49" s="101">
        <f t="shared" si="30"/>
        <v>181.01</v>
      </c>
      <c r="MN49" s="101">
        <f t="shared" si="32"/>
        <v>180.29</v>
      </c>
      <c r="MO49" s="101">
        <f t="shared" si="32"/>
        <v>179.57</v>
      </c>
      <c r="MP49" s="101">
        <f t="shared" si="32"/>
        <v>178.85</v>
      </c>
      <c r="MQ49" s="101">
        <f t="shared" si="32"/>
        <v>178.14</v>
      </c>
      <c r="MR49" s="101">
        <f t="shared" si="32"/>
        <v>177.42</v>
      </c>
      <c r="MS49" s="101">
        <f t="shared" si="32"/>
        <v>176.71</v>
      </c>
      <c r="MT49" s="101">
        <f t="shared" si="32"/>
        <v>175.99</v>
      </c>
      <c r="MU49" s="101">
        <f t="shared" si="32"/>
        <v>175.28</v>
      </c>
      <c r="MV49" s="101">
        <f t="shared" si="32"/>
        <v>174.57</v>
      </c>
      <c r="MW49" s="101">
        <f t="shared" si="32"/>
        <v>173.87</v>
      </c>
      <c r="MX49" s="101">
        <f t="shared" si="32"/>
        <v>173.16</v>
      </c>
      <c r="MY49" s="101">
        <f t="shared" si="32"/>
        <v>172.46</v>
      </c>
    </row>
    <row r="50" spans="1:363" ht="15.75" x14ac:dyDescent="0.25">
      <c r="A50" s="90" t="s">
        <v>6</v>
      </c>
      <c r="B50" s="95">
        <v>2060</v>
      </c>
      <c r="C50" s="93">
        <v>513.82000000000005</v>
      </c>
      <c r="D50" s="93">
        <v>512.78</v>
      </c>
      <c r="E50" s="93">
        <v>511.75</v>
      </c>
      <c r="F50" s="93">
        <v>510.71</v>
      </c>
      <c r="G50" s="93">
        <v>509.68</v>
      </c>
      <c r="H50" s="93">
        <v>508.64</v>
      </c>
      <c r="I50" s="93">
        <v>507.61</v>
      </c>
      <c r="J50" s="93">
        <v>506.57</v>
      </c>
      <c r="K50" s="93">
        <v>505.54</v>
      </c>
      <c r="L50" s="93">
        <v>504.5</v>
      </c>
      <c r="M50" s="93">
        <v>503.47</v>
      </c>
      <c r="N50" s="93">
        <v>502.43</v>
      </c>
      <c r="O50" s="93">
        <v>501.4</v>
      </c>
      <c r="P50" s="93">
        <v>500.36</v>
      </c>
      <c r="Q50" s="93">
        <v>499.33</v>
      </c>
      <c r="R50" s="93">
        <v>498.29</v>
      </c>
      <c r="S50" s="93">
        <v>497.26</v>
      </c>
      <c r="T50" s="93">
        <v>496.22</v>
      </c>
      <c r="U50" s="93">
        <v>495.18</v>
      </c>
      <c r="V50" s="93">
        <v>494.15</v>
      </c>
      <c r="W50" s="93">
        <v>493.11</v>
      </c>
      <c r="X50" s="93">
        <v>492.08</v>
      </c>
      <c r="Y50" s="93">
        <v>491.04</v>
      </c>
      <c r="Z50" s="93">
        <v>490.01</v>
      </c>
      <c r="AA50" s="93">
        <v>488.97</v>
      </c>
      <c r="AB50" s="93">
        <v>487.94</v>
      </c>
      <c r="AC50" s="93">
        <v>486.9</v>
      </c>
      <c r="AD50" s="93">
        <v>485.86</v>
      </c>
      <c r="AE50" s="93">
        <v>484.83</v>
      </c>
      <c r="AF50" s="93">
        <v>483.79</v>
      </c>
      <c r="AG50" s="93">
        <v>482.76</v>
      </c>
      <c r="AH50" s="93">
        <v>481.72</v>
      </c>
      <c r="AI50" s="93">
        <v>480.68</v>
      </c>
      <c r="AJ50" s="93">
        <v>479.65</v>
      </c>
      <c r="AK50" s="93">
        <v>478.61</v>
      </c>
      <c r="AL50" s="93">
        <v>477.58</v>
      </c>
      <c r="AM50" s="93">
        <v>476.54</v>
      </c>
      <c r="AN50" s="93">
        <v>475.5</v>
      </c>
      <c r="AO50" s="93">
        <v>474.47</v>
      </c>
      <c r="AP50" s="93">
        <v>473.43</v>
      </c>
      <c r="AQ50" s="93">
        <v>472.39</v>
      </c>
      <c r="AR50" s="93">
        <v>471.36</v>
      </c>
      <c r="AS50" s="93">
        <v>470.32</v>
      </c>
      <c r="AT50" s="93">
        <v>469.28</v>
      </c>
      <c r="AU50" s="93">
        <v>468.25</v>
      </c>
      <c r="AV50" s="93">
        <v>467.21</v>
      </c>
      <c r="AW50" s="93">
        <v>466.17</v>
      </c>
      <c r="AX50" s="93">
        <v>465.14</v>
      </c>
      <c r="AY50" s="93">
        <v>464.1</v>
      </c>
      <c r="AZ50" s="93">
        <v>463.06</v>
      </c>
      <c r="BA50" s="93">
        <v>462.03</v>
      </c>
      <c r="BB50" s="93">
        <v>460.99</v>
      </c>
      <c r="BC50" s="93">
        <v>459.95</v>
      </c>
      <c r="BD50" s="93">
        <v>458.91</v>
      </c>
      <c r="BE50" s="93">
        <v>457.88</v>
      </c>
      <c r="BF50" s="93">
        <v>456.84</v>
      </c>
      <c r="BG50" s="93">
        <v>455.8</v>
      </c>
      <c r="BH50" s="93">
        <v>454.77</v>
      </c>
      <c r="BI50" s="93">
        <v>453.73</v>
      </c>
      <c r="BJ50" s="93">
        <v>452.69</v>
      </c>
      <c r="BK50" s="93">
        <v>451.66</v>
      </c>
      <c r="BL50" s="93">
        <v>450.62</v>
      </c>
      <c r="BM50" s="93">
        <v>449.58</v>
      </c>
      <c r="BN50" s="93">
        <v>448.54</v>
      </c>
      <c r="BO50" s="93">
        <v>447.5</v>
      </c>
      <c r="BP50" s="93">
        <v>446.46</v>
      </c>
      <c r="BQ50" s="93">
        <v>445.43</v>
      </c>
      <c r="BR50" s="93">
        <v>444.39</v>
      </c>
      <c r="BS50" s="93">
        <v>443.35</v>
      </c>
      <c r="BT50" s="93">
        <v>442.31</v>
      </c>
      <c r="BU50" s="93">
        <v>441.28</v>
      </c>
      <c r="BV50" s="93">
        <v>440.24</v>
      </c>
      <c r="BW50" s="93">
        <v>439.2</v>
      </c>
      <c r="BX50" s="93">
        <v>438.17</v>
      </c>
      <c r="BY50" s="93">
        <v>437.13</v>
      </c>
      <c r="BZ50" s="93">
        <v>436.09</v>
      </c>
      <c r="CA50" s="93">
        <v>435.06</v>
      </c>
      <c r="CB50" s="93">
        <v>434.02</v>
      </c>
      <c r="CC50" s="93">
        <v>432.98</v>
      </c>
      <c r="CD50" s="93">
        <v>431.95</v>
      </c>
      <c r="CE50" s="93">
        <v>430.91</v>
      </c>
      <c r="CF50" s="93">
        <v>429.87</v>
      </c>
      <c r="CG50" s="93">
        <v>428.84</v>
      </c>
      <c r="CH50" s="93">
        <v>427.8</v>
      </c>
      <c r="CI50" s="93">
        <v>426.77</v>
      </c>
      <c r="CJ50" s="93">
        <v>425.73</v>
      </c>
      <c r="CK50" s="93">
        <v>424.69</v>
      </c>
      <c r="CL50" s="93">
        <v>423.66</v>
      </c>
      <c r="CM50" s="93">
        <v>422.62</v>
      </c>
      <c r="CN50" s="93">
        <v>421.58</v>
      </c>
      <c r="CO50" s="93">
        <v>420.55</v>
      </c>
      <c r="CP50" s="93">
        <v>419.51</v>
      </c>
      <c r="CQ50" s="93">
        <v>418.48</v>
      </c>
      <c r="CR50" s="93">
        <v>417.44</v>
      </c>
      <c r="CS50" s="93">
        <v>416.4</v>
      </c>
      <c r="CT50" s="93">
        <v>415.37</v>
      </c>
      <c r="CU50" s="93">
        <v>414.33</v>
      </c>
      <c r="CV50" s="93">
        <v>413.3</v>
      </c>
      <c r="CW50" s="93">
        <v>412.26</v>
      </c>
      <c r="CX50" s="93">
        <v>411.23</v>
      </c>
      <c r="CY50" s="93">
        <v>410.19</v>
      </c>
      <c r="CZ50" s="93">
        <v>409.16</v>
      </c>
      <c r="DA50" s="93">
        <v>408.12</v>
      </c>
      <c r="DB50" s="93">
        <v>407.09</v>
      </c>
      <c r="DC50" s="93">
        <v>406.05</v>
      </c>
      <c r="DD50" s="93">
        <v>405.02</v>
      </c>
      <c r="DE50" s="93">
        <v>403.98</v>
      </c>
      <c r="DF50" s="93">
        <v>402.95</v>
      </c>
      <c r="DG50" s="93">
        <v>401.92</v>
      </c>
      <c r="DH50" s="93">
        <v>400.88</v>
      </c>
      <c r="DI50" s="93">
        <v>399.85</v>
      </c>
      <c r="DJ50" s="93">
        <v>398.82</v>
      </c>
      <c r="DK50" s="93">
        <v>397.78</v>
      </c>
      <c r="DL50" s="93">
        <v>396.75</v>
      </c>
      <c r="DM50" s="93">
        <v>395.72</v>
      </c>
      <c r="DN50" s="93">
        <v>394.69</v>
      </c>
      <c r="DO50" s="93">
        <v>393.65</v>
      </c>
      <c r="DP50" s="93">
        <v>392.62</v>
      </c>
      <c r="DQ50" s="93">
        <v>391.59</v>
      </c>
      <c r="DR50" s="93">
        <v>390.56</v>
      </c>
      <c r="DS50" s="93">
        <v>389.53</v>
      </c>
      <c r="DT50" s="93">
        <v>388.5</v>
      </c>
      <c r="DU50" s="93">
        <v>387.47</v>
      </c>
      <c r="DV50" s="93">
        <v>386.44</v>
      </c>
      <c r="DW50" s="93">
        <v>385.41</v>
      </c>
      <c r="DX50" s="93">
        <v>384.39</v>
      </c>
      <c r="DY50" s="93">
        <v>383.36</v>
      </c>
      <c r="DZ50" s="93">
        <v>382.33</v>
      </c>
      <c r="EA50" s="93">
        <v>381.3</v>
      </c>
      <c r="EB50" s="93">
        <v>380.28</v>
      </c>
      <c r="EC50" s="93">
        <v>379.25</v>
      </c>
      <c r="ED50" s="93">
        <v>378.23</v>
      </c>
      <c r="EE50" s="93">
        <v>377.2</v>
      </c>
      <c r="EF50" s="93">
        <v>376.18</v>
      </c>
      <c r="EG50" s="93">
        <v>375.16</v>
      </c>
      <c r="EH50" s="93">
        <v>374.14</v>
      </c>
      <c r="EI50" s="93">
        <v>373.12</v>
      </c>
      <c r="EJ50" s="93">
        <v>372.1</v>
      </c>
      <c r="EK50" s="93">
        <v>371.08</v>
      </c>
      <c r="EL50" s="93">
        <v>370.06</v>
      </c>
      <c r="EM50" s="93">
        <v>369.04</v>
      </c>
      <c r="EN50" s="93">
        <v>368.02</v>
      </c>
      <c r="EO50" s="93">
        <v>367</v>
      </c>
      <c r="EP50" s="93">
        <v>365.98</v>
      </c>
      <c r="EQ50" s="93">
        <v>364.97</v>
      </c>
      <c r="ER50" s="93">
        <v>363.95</v>
      </c>
      <c r="ES50" s="93">
        <v>362.94</v>
      </c>
      <c r="ET50" s="93">
        <v>361.92</v>
      </c>
      <c r="EU50" s="93">
        <v>360.91</v>
      </c>
      <c r="EV50" s="93">
        <v>359.9</v>
      </c>
      <c r="EW50" s="93">
        <v>358.88</v>
      </c>
      <c r="EX50" s="93">
        <v>357.87</v>
      </c>
      <c r="EY50" s="93">
        <v>356.86</v>
      </c>
      <c r="EZ50" s="93">
        <v>355.85</v>
      </c>
      <c r="FA50" s="93">
        <v>354.83</v>
      </c>
      <c r="FB50" s="93">
        <v>353.82</v>
      </c>
      <c r="FC50" s="93">
        <v>352.81</v>
      </c>
      <c r="FD50" s="93">
        <v>351.8</v>
      </c>
      <c r="FE50" s="93">
        <v>350.8</v>
      </c>
      <c r="FF50" s="93">
        <v>349.79</v>
      </c>
      <c r="FG50" s="93">
        <v>348.79</v>
      </c>
      <c r="FH50" s="93">
        <v>347.78</v>
      </c>
      <c r="FI50" s="93">
        <v>346.78</v>
      </c>
      <c r="FJ50" s="93">
        <v>345.77</v>
      </c>
      <c r="FK50" s="93">
        <v>344.77</v>
      </c>
      <c r="FL50" s="93">
        <v>343.77</v>
      </c>
      <c r="FM50" s="93">
        <v>342.76</v>
      </c>
      <c r="FN50" s="93">
        <v>341.76</v>
      </c>
      <c r="FO50" s="93">
        <v>340.76</v>
      </c>
      <c r="FP50" s="93">
        <v>339.76</v>
      </c>
      <c r="FQ50" s="93">
        <v>338.75</v>
      </c>
      <c r="FR50" s="93">
        <v>337.75</v>
      </c>
      <c r="FS50" s="93">
        <v>336.75</v>
      </c>
      <c r="FT50" s="93">
        <v>335.75</v>
      </c>
      <c r="FU50" s="93">
        <v>334.76</v>
      </c>
      <c r="FV50" s="93">
        <v>333.76</v>
      </c>
      <c r="FW50" s="93">
        <v>332.76</v>
      </c>
      <c r="FX50" s="93">
        <v>331.76</v>
      </c>
      <c r="FY50" s="93">
        <v>330.76</v>
      </c>
      <c r="FZ50" s="93">
        <v>329.77</v>
      </c>
      <c r="GA50" s="93">
        <v>328.77</v>
      </c>
      <c r="GB50" s="93">
        <v>327.77</v>
      </c>
      <c r="GC50" s="93">
        <v>326.77999999999997</v>
      </c>
      <c r="GD50" s="93">
        <v>325.79000000000002</v>
      </c>
      <c r="GE50" s="93">
        <v>324.79000000000002</v>
      </c>
      <c r="GF50" s="93">
        <v>323.79000000000002</v>
      </c>
      <c r="GG50" s="93">
        <v>322.81</v>
      </c>
      <c r="GH50" s="93">
        <v>321.81</v>
      </c>
      <c r="GI50" s="93">
        <v>320.82</v>
      </c>
      <c r="GJ50" s="93">
        <v>319.82</v>
      </c>
      <c r="GK50" s="93">
        <v>318.83999999999997</v>
      </c>
      <c r="GL50" s="93">
        <v>317.85000000000002</v>
      </c>
      <c r="GM50" s="93">
        <v>316.85000000000002</v>
      </c>
      <c r="GN50" s="93">
        <v>315.88</v>
      </c>
      <c r="GO50" s="93">
        <v>314.89</v>
      </c>
      <c r="GP50" s="93">
        <v>313.91000000000003</v>
      </c>
      <c r="GQ50" s="93">
        <v>312.93</v>
      </c>
      <c r="GR50" s="93">
        <v>311.95</v>
      </c>
      <c r="GS50" s="93">
        <v>310.97000000000003</v>
      </c>
      <c r="GT50" s="93">
        <v>309.99</v>
      </c>
      <c r="GU50" s="93">
        <v>309.01</v>
      </c>
      <c r="GV50" s="93">
        <v>308.02999999999997</v>
      </c>
      <c r="GW50" s="93">
        <v>307.04000000000002</v>
      </c>
      <c r="GX50" s="93">
        <v>306.07</v>
      </c>
      <c r="GY50" s="93">
        <v>305.10000000000002</v>
      </c>
      <c r="GZ50" s="93">
        <v>304.12</v>
      </c>
      <c r="HA50" s="93">
        <v>303.14999999999998</v>
      </c>
      <c r="HB50" s="93">
        <v>302.17</v>
      </c>
      <c r="HC50" s="93">
        <v>301.2</v>
      </c>
      <c r="HD50" s="93">
        <v>300.23</v>
      </c>
      <c r="HE50" s="93">
        <v>299.26</v>
      </c>
      <c r="HF50" s="93">
        <v>298.27999999999997</v>
      </c>
      <c r="HG50" s="93">
        <v>297.31</v>
      </c>
      <c r="HH50" s="93">
        <v>296.33999999999997</v>
      </c>
      <c r="HI50" s="93">
        <v>295.37</v>
      </c>
      <c r="HJ50" s="93">
        <v>294.41000000000003</v>
      </c>
      <c r="HK50" s="93">
        <v>293.44</v>
      </c>
      <c r="HL50" s="93">
        <v>292.48</v>
      </c>
      <c r="HM50" s="93">
        <v>291.51</v>
      </c>
      <c r="HN50" s="93">
        <v>290.56</v>
      </c>
      <c r="HO50" s="93">
        <v>289.60000000000002</v>
      </c>
      <c r="HP50" s="93">
        <v>288.64999999999998</v>
      </c>
      <c r="HQ50" s="93">
        <v>287.69</v>
      </c>
      <c r="HR50" s="93">
        <v>286.74</v>
      </c>
      <c r="HS50" s="93">
        <v>285.77999999999997</v>
      </c>
      <c r="HT50" s="93">
        <v>284.82</v>
      </c>
      <c r="HU50" s="93">
        <v>283.87</v>
      </c>
      <c r="HV50" s="93">
        <v>282.92</v>
      </c>
      <c r="HW50" s="93">
        <v>281.97000000000003</v>
      </c>
      <c r="HX50" s="93">
        <v>281.01</v>
      </c>
      <c r="HY50" s="93">
        <v>280.07</v>
      </c>
      <c r="HZ50" s="93">
        <v>279.12</v>
      </c>
      <c r="IA50" s="93">
        <v>278.17</v>
      </c>
      <c r="IB50" s="93">
        <v>277.23</v>
      </c>
      <c r="IC50" s="93">
        <v>276.27999999999997</v>
      </c>
      <c r="ID50" s="93">
        <v>275.32</v>
      </c>
      <c r="IE50" s="93">
        <v>274.39</v>
      </c>
      <c r="IF50" s="93">
        <v>273.44</v>
      </c>
      <c r="IG50" s="93">
        <v>272.5</v>
      </c>
      <c r="IH50" s="93">
        <v>271.56</v>
      </c>
      <c r="II50" s="93">
        <v>270.62</v>
      </c>
      <c r="IJ50" s="93">
        <v>269.68</v>
      </c>
      <c r="IK50" s="93">
        <v>268.74</v>
      </c>
      <c r="IL50" s="93">
        <v>267.79000000000002</v>
      </c>
      <c r="IM50" s="93">
        <v>266.85000000000002</v>
      </c>
      <c r="IN50" s="93">
        <v>265.92</v>
      </c>
      <c r="IO50" s="93">
        <v>264.99</v>
      </c>
      <c r="IP50" s="93">
        <v>264.04000000000002</v>
      </c>
      <c r="IQ50" s="93">
        <v>263.12</v>
      </c>
      <c r="IR50" s="93">
        <v>262.18</v>
      </c>
      <c r="IS50" s="93">
        <v>261.25</v>
      </c>
      <c r="IT50" s="93">
        <v>260.32</v>
      </c>
      <c r="IU50" s="93">
        <v>259.39</v>
      </c>
      <c r="IV50" s="93">
        <v>258.47000000000003</v>
      </c>
      <c r="IW50" s="93">
        <v>257.54000000000002</v>
      </c>
      <c r="IX50" s="93">
        <v>256.63</v>
      </c>
      <c r="IY50" s="93">
        <v>255.71</v>
      </c>
      <c r="IZ50" s="93">
        <v>254.79</v>
      </c>
      <c r="JA50" s="93">
        <v>253.88</v>
      </c>
      <c r="JB50" s="93">
        <v>252.96</v>
      </c>
      <c r="JC50" s="93">
        <v>252.05</v>
      </c>
      <c r="JD50" s="93">
        <v>251.13</v>
      </c>
      <c r="JE50" s="93">
        <v>250.22</v>
      </c>
      <c r="JF50" s="93">
        <v>249.31</v>
      </c>
      <c r="JG50" s="93">
        <v>248.4</v>
      </c>
      <c r="JH50" s="93">
        <v>247.49</v>
      </c>
      <c r="JI50" s="93">
        <v>246.58</v>
      </c>
      <c r="JJ50" s="93">
        <v>245.67</v>
      </c>
      <c r="JK50" s="93">
        <v>244.76</v>
      </c>
      <c r="JL50" s="93">
        <v>243.86</v>
      </c>
      <c r="JM50" s="93">
        <v>242.95</v>
      </c>
      <c r="JN50" s="93">
        <v>242.05</v>
      </c>
      <c r="JO50" s="93">
        <v>241.14</v>
      </c>
      <c r="JP50" s="93">
        <v>240.24</v>
      </c>
      <c r="JQ50" s="93">
        <v>239.34</v>
      </c>
      <c r="JR50" s="93">
        <v>238.43</v>
      </c>
      <c r="JS50" s="93">
        <v>237.53</v>
      </c>
      <c r="JT50" s="93">
        <v>236.63</v>
      </c>
      <c r="JU50" s="93">
        <v>235.72</v>
      </c>
      <c r="JV50" s="93">
        <v>234.81</v>
      </c>
      <c r="JW50" s="93">
        <v>233.91</v>
      </c>
      <c r="JX50" s="93">
        <v>233</v>
      </c>
      <c r="JY50" s="93">
        <v>232.1</v>
      </c>
      <c r="JZ50" s="93">
        <v>231.2</v>
      </c>
      <c r="KA50" s="93">
        <v>230.29</v>
      </c>
      <c r="KB50" s="93">
        <v>229.39</v>
      </c>
      <c r="KC50" s="93">
        <v>228.49</v>
      </c>
      <c r="KD50" s="93">
        <v>227.59</v>
      </c>
      <c r="KE50" s="93">
        <v>226.69</v>
      </c>
      <c r="KF50" s="93">
        <v>225.79</v>
      </c>
      <c r="KG50" s="93">
        <v>224.89</v>
      </c>
      <c r="KH50" s="93">
        <v>224</v>
      </c>
      <c r="KI50" s="93">
        <v>223.1</v>
      </c>
      <c r="KJ50" s="93">
        <v>222.21</v>
      </c>
      <c r="KK50" s="93">
        <v>221.31</v>
      </c>
      <c r="KL50" s="93">
        <v>220.42</v>
      </c>
      <c r="KM50" s="93">
        <v>219.53</v>
      </c>
      <c r="KN50" s="93">
        <v>218.64</v>
      </c>
      <c r="KO50" s="93">
        <v>217.75</v>
      </c>
      <c r="KP50" s="93">
        <v>216.86</v>
      </c>
      <c r="KQ50" s="93">
        <v>215.97</v>
      </c>
      <c r="KR50" s="98">
        <f t="shared" si="29"/>
        <v>217.52</v>
      </c>
      <c r="KS50" s="98">
        <f t="shared" si="29"/>
        <v>216.73</v>
      </c>
      <c r="KT50" s="98">
        <f t="shared" si="29"/>
        <v>215.91</v>
      </c>
      <c r="KU50" s="98">
        <f t="shared" si="29"/>
        <v>215.12</v>
      </c>
      <c r="KV50" s="98">
        <f t="shared" si="29"/>
        <v>214.34</v>
      </c>
      <c r="KW50" s="98">
        <f t="shared" si="29"/>
        <v>213.55</v>
      </c>
      <c r="KX50" s="98">
        <f t="shared" si="29"/>
        <v>212.76</v>
      </c>
      <c r="KY50" s="98">
        <f t="shared" si="29"/>
        <v>211.98</v>
      </c>
      <c r="KZ50" s="98">
        <f t="shared" si="29"/>
        <v>211.19</v>
      </c>
      <c r="LA50" s="98">
        <f t="shared" si="29"/>
        <v>210.41</v>
      </c>
      <c r="LB50" s="98">
        <f t="shared" si="29"/>
        <v>209.63</v>
      </c>
      <c r="LC50" s="98">
        <f t="shared" si="29"/>
        <v>208.85</v>
      </c>
      <c r="LD50" s="98">
        <f t="shared" si="29"/>
        <v>208.07</v>
      </c>
      <c r="LE50" s="98">
        <f t="shared" si="29"/>
        <v>207.29</v>
      </c>
      <c r="LF50" s="98">
        <f t="shared" si="29"/>
        <v>206.52</v>
      </c>
      <c r="LG50" s="98">
        <f t="shared" si="28"/>
        <v>205.75</v>
      </c>
      <c r="LH50" s="98">
        <f t="shared" si="28"/>
        <v>204.97</v>
      </c>
      <c r="LI50" s="98">
        <f t="shared" si="28"/>
        <v>204.2</v>
      </c>
      <c r="LJ50" s="98">
        <f t="shared" si="28"/>
        <v>203.43</v>
      </c>
      <c r="LK50" s="98">
        <f t="shared" si="28"/>
        <v>202.66</v>
      </c>
      <c r="LL50" s="98">
        <f t="shared" si="28"/>
        <v>201.89</v>
      </c>
      <c r="LM50" s="98">
        <f t="shared" si="28"/>
        <v>201.13</v>
      </c>
      <c r="LN50" s="98">
        <f t="shared" si="28"/>
        <v>200.36</v>
      </c>
      <c r="LO50" s="98">
        <f t="shared" si="28"/>
        <v>199.6</v>
      </c>
      <c r="LP50" s="98">
        <f t="shared" si="28"/>
        <v>198.84</v>
      </c>
      <c r="LQ50" s="98">
        <f t="shared" si="28"/>
        <v>198.08</v>
      </c>
      <c r="LR50" s="98">
        <f t="shared" si="28"/>
        <v>197.32</v>
      </c>
      <c r="LS50" s="98">
        <f t="shared" si="28"/>
        <v>196.56</v>
      </c>
      <c r="LT50" s="98">
        <f t="shared" si="28"/>
        <v>195.81</v>
      </c>
      <c r="LU50" s="98">
        <f t="shared" si="28"/>
        <v>195.06</v>
      </c>
      <c r="LV50" s="98">
        <f t="shared" si="28"/>
        <v>194.3</v>
      </c>
      <c r="LW50" s="98">
        <f t="shared" si="28"/>
        <v>193.55</v>
      </c>
      <c r="LX50" s="98">
        <f t="shared" si="30"/>
        <v>192.8</v>
      </c>
      <c r="LY50" s="98">
        <f t="shared" si="30"/>
        <v>192.05</v>
      </c>
      <c r="LZ50" s="98">
        <f t="shared" si="30"/>
        <v>191.31</v>
      </c>
      <c r="MA50" s="98">
        <f t="shared" si="30"/>
        <v>190.56</v>
      </c>
      <c r="MB50" s="98">
        <f t="shared" si="30"/>
        <v>189.82</v>
      </c>
      <c r="MC50" s="98">
        <f t="shared" si="30"/>
        <v>189.08</v>
      </c>
      <c r="MD50" s="100">
        <f t="shared" si="30"/>
        <v>188.34</v>
      </c>
      <c r="ME50" s="101">
        <f t="shared" si="30"/>
        <v>187.61</v>
      </c>
      <c r="MF50" s="101">
        <f t="shared" si="30"/>
        <v>186.87</v>
      </c>
      <c r="MG50" s="101">
        <f t="shared" si="30"/>
        <v>186.14</v>
      </c>
      <c r="MH50" s="101">
        <f t="shared" si="30"/>
        <v>185.4</v>
      </c>
      <c r="MI50" s="101">
        <f t="shared" si="30"/>
        <v>184.67</v>
      </c>
      <c r="MJ50" s="101">
        <f t="shared" si="30"/>
        <v>183.94</v>
      </c>
      <c r="MK50" s="101">
        <f t="shared" si="30"/>
        <v>183.21</v>
      </c>
      <c r="ML50" s="101">
        <f t="shared" si="30"/>
        <v>182.49</v>
      </c>
      <c r="MM50" s="101">
        <f t="shared" si="30"/>
        <v>181.76</v>
      </c>
      <c r="MN50" s="101">
        <f t="shared" si="32"/>
        <v>181.04</v>
      </c>
      <c r="MO50" s="101">
        <f t="shared" si="32"/>
        <v>180.32</v>
      </c>
      <c r="MP50" s="101">
        <f t="shared" si="32"/>
        <v>179.6</v>
      </c>
      <c r="MQ50" s="101">
        <f t="shared" si="32"/>
        <v>178.89</v>
      </c>
      <c r="MR50" s="101">
        <f t="shared" si="32"/>
        <v>178.17</v>
      </c>
      <c r="MS50" s="101">
        <f t="shared" si="32"/>
        <v>177.46</v>
      </c>
      <c r="MT50" s="101">
        <f t="shared" si="32"/>
        <v>176.74</v>
      </c>
      <c r="MU50" s="101">
        <f t="shared" si="32"/>
        <v>176.03</v>
      </c>
      <c r="MV50" s="101">
        <f t="shared" si="32"/>
        <v>175.32</v>
      </c>
      <c r="MW50" s="101">
        <f t="shared" si="32"/>
        <v>174.62</v>
      </c>
      <c r="MX50" s="101">
        <f t="shared" si="32"/>
        <v>173.91</v>
      </c>
      <c r="MY50" s="101">
        <f t="shared" si="32"/>
        <v>173.21</v>
      </c>
    </row>
    <row r="51" spans="1:363" ht="15.75" x14ac:dyDescent="0.25">
      <c r="A51" s="90" t="s">
        <v>6</v>
      </c>
      <c r="B51" s="95">
        <v>2061</v>
      </c>
      <c r="C51" s="93">
        <v>514.59</v>
      </c>
      <c r="D51" s="93">
        <v>513.54999999999995</v>
      </c>
      <c r="E51" s="93">
        <v>512.52</v>
      </c>
      <c r="F51" s="93">
        <v>511.48</v>
      </c>
      <c r="G51" s="93">
        <v>510.45</v>
      </c>
      <c r="H51" s="93">
        <v>509.41</v>
      </c>
      <c r="I51" s="93">
        <v>508.38</v>
      </c>
      <c r="J51" s="93">
        <v>507.34</v>
      </c>
      <c r="K51" s="93">
        <v>506.31</v>
      </c>
      <c r="L51" s="93">
        <v>505.27</v>
      </c>
      <c r="M51" s="93">
        <v>504.24</v>
      </c>
      <c r="N51" s="93">
        <v>503.2</v>
      </c>
      <c r="O51" s="93">
        <v>502.17</v>
      </c>
      <c r="P51" s="93">
        <v>501.13</v>
      </c>
      <c r="Q51" s="93">
        <v>500.1</v>
      </c>
      <c r="R51" s="93">
        <v>499.06</v>
      </c>
      <c r="S51" s="93">
        <v>498.03</v>
      </c>
      <c r="T51" s="93">
        <v>496.99</v>
      </c>
      <c r="U51" s="93">
        <v>495.95</v>
      </c>
      <c r="V51" s="93">
        <v>494.92</v>
      </c>
      <c r="W51" s="93">
        <v>493.88</v>
      </c>
      <c r="X51" s="93">
        <v>492.85</v>
      </c>
      <c r="Y51" s="93">
        <v>491.81</v>
      </c>
      <c r="Z51" s="93">
        <v>490.78</v>
      </c>
      <c r="AA51" s="93">
        <v>489.74</v>
      </c>
      <c r="AB51" s="93">
        <v>488.71</v>
      </c>
      <c r="AC51" s="93">
        <v>487.67</v>
      </c>
      <c r="AD51" s="93">
        <v>486.63</v>
      </c>
      <c r="AE51" s="93">
        <v>485.6</v>
      </c>
      <c r="AF51" s="93">
        <v>484.56</v>
      </c>
      <c r="AG51" s="93">
        <v>483.53</v>
      </c>
      <c r="AH51" s="93">
        <v>482.49</v>
      </c>
      <c r="AI51" s="93">
        <v>481.45</v>
      </c>
      <c r="AJ51" s="93">
        <v>480.42</v>
      </c>
      <c r="AK51" s="93">
        <v>479.38</v>
      </c>
      <c r="AL51" s="93">
        <v>478.35</v>
      </c>
      <c r="AM51" s="93">
        <v>477.31</v>
      </c>
      <c r="AN51" s="93">
        <v>476.27</v>
      </c>
      <c r="AO51" s="93">
        <v>475.24</v>
      </c>
      <c r="AP51" s="93">
        <v>474.2</v>
      </c>
      <c r="AQ51" s="93">
        <v>473.16</v>
      </c>
      <c r="AR51" s="93">
        <v>472.13</v>
      </c>
      <c r="AS51" s="93">
        <v>471.09</v>
      </c>
      <c r="AT51" s="93">
        <v>470.05</v>
      </c>
      <c r="AU51" s="93">
        <v>469.02</v>
      </c>
      <c r="AV51" s="93">
        <v>467.98</v>
      </c>
      <c r="AW51" s="93">
        <v>466.94</v>
      </c>
      <c r="AX51" s="93">
        <v>465.91</v>
      </c>
      <c r="AY51" s="93">
        <v>464.87</v>
      </c>
      <c r="AZ51" s="93">
        <v>463.84</v>
      </c>
      <c r="BA51" s="93">
        <v>462.8</v>
      </c>
      <c r="BB51" s="93">
        <v>461.76</v>
      </c>
      <c r="BC51" s="93">
        <v>460.72</v>
      </c>
      <c r="BD51" s="93">
        <v>459.69</v>
      </c>
      <c r="BE51" s="93">
        <v>458.65</v>
      </c>
      <c r="BF51" s="93">
        <v>457.61</v>
      </c>
      <c r="BG51" s="93">
        <v>456.58</v>
      </c>
      <c r="BH51" s="93">
        <v>455.54</v>
      </c>
      <c r="BI51" s="93">
        <v>454.5</v>
      </c>
      <c r="BJ51" s="93">
        <v>453.46</v>
      </c>
      <c r="BK51" s="93">
        <v>452.43</v>
      </c>
      <c r="BL51" s="93">
        <v>451.39</v>
      </c>
      <c r="BM51" s="93">
        <v>450.35</v>
      </c>
      <c r="BN51" s="93">
        <v>449.31</v>
      </c>
      <c r="BO51" s="93">
        <v>448.28</v>
      </c>
      <c r="BP51" s="93">
        <v>447.24</v>
      </c>
      <c r="BQ51" s="93">
        <v>446.2</v>
      </c>
      <c r="BR51" s="93">
        <v>445.16</v>
      </c>
      <c r="BS51" s="93">
        <v>444.12</v>
      </c>
      <c r="BT51" s="93">
        <v>443.09</v>
      </c>
      <c r="BU51" s="93">
        <v>442.05</v>
      </c>
      <c r="BV51" s="93">
        <v>441.01</v>
      </c>
      <c r="BW51" s="93">
        <v>439.98</v>
      </c>
      <c r="BX51" s="93">
        <v>438.94</v>
      </c>
      <c r="BY51" s="93">
        <v>437.9</v>
      </c>
      <c r="BZ51" s="93">
        <v>436.86</v>
      </c>
      <c r="CA51" s="93">
        <v>435.83</v>
      </c>
      <c r="CB51" s="93">
        <v>434.79</v>
      </c>
      <c r="CC51" s="93">
        <v>433.76</v>
      </c>
      <c r="CD51" s="93">
        <v>432.72</v>
      </c>
      <c r="CE51" s="93">
        <v>431.68</v>
      </c>
      <c r="CF51" s="93">
        <v>430.65</v>
      </c>
      <c r="CG51" s="93">
        <v>429.61</v>
      </c>
      <c r="CH51" s="93">
        <v>428.58</v>
      </c>
      <c r="CI51" s="93">
        <v>427.54</v>
      </c>
      <c r="CJ51" s="93">
        <v>426.5</v>
      </c>
      <c r="CK51" s="93">
        <v>425.47</v>
      </c>
      <c r="CL51" s="93">
        <v>424.43</v>
      </c>
      <c r="CM51" s="93">
        <v>423.39</v>
      </c>
      <c r="CN51" s="93">
        <v>422.36</v>
      </c>
      <c r="CO51" s="93">
        <v>421.32</v>
      </c>
      <c r="CP51" s="93">
        <v>420.28</v>
      </c>
      <c r="CQ51" s="93">
        <v>419.25</v>
      </c>
      <c r="CR51" s="93">
        <v>418.21</v>
      </c>
      <c r="CS51" s="93">
        <v>417.17</v>
      </c>
      <c r="CT51" s="93">
        <v>416.14</v>
      </c>
      <c r="CU51" s="93">
        <v>415.1</v>
      </c>
      <c r="CV51" s="93">
        <v>414.07</v>
      </c>
      <c r="CW51" s="93">
        <v>413.03</v>
      </c>
      <c r="CX51" s="93">
        <v>412</v>
      </c>
      <c r="CY51" s="93">
        <v>410.96</v>
      </c>
      <c r="CZ51" s="93">
        <v>409.93</v>
      </c>
      <c r="DA51" s="93">
        <v>408.89</v>
      </c>
      <c r="DB51" s="93">
        <v>407.86</v>
      </c>
      <c r="DC51" s="93">
        <v>406.82</v>
      </c>
      <c r="DD51" s="93">
        <v>405.79</v>
      </c>
      <c r="DE51" s="93">
        <v>404.75</v>
      </c>
      <c r="DF51" s="93">
        <v>403.72</v>
      </c>
      <c r="DG51" s="93">
        <v>402.69</v>
      </c>
      <c r="DH51" s="93">
        <v>401.65</v>
      </c>
      <c r="DI51" s="93">
        <v>400.62</v>
      </c>
      <c r="DJ51" s="93">
        <v>399.59</v>
      </c>
      <c r="DK51" s="93">
        <v>398.55</v>
      </c>
      <c r="DL51" s="93">
        <v>397.52</v>
      </c>
      <c r="DM51" s="93">
        <v>396.49</v>
      </c>
      <c r="DN51" s="93">
        <v>395.45</v>
      </c>
      <c r="DO51" s="93">
        <v>394.42</v>
      </c>
      <c r="DP51" s="93">
        <v>393.39</v>
      </c>
      <c r="DQ51" s="93">
        <v>392.36</v>
      </c>
      <c r="DR51" s="93">
        <v>391.33</v>
      </c>
      <c r="DS51" s="93">
        <v>390.29</v>
      </c>
      <c r="DT51" s="93">
        <v>389.26</v>
      </c>
      <c r="DU51" s="93">
        <v>388.24</v>
      </c>
      <c r="DV51" s="93">
        <v>387.21</v>
      </c>
      <c r="DW51" s="93">
        <v>386.18</v>
      </c>
      <c r="DX51" s="93">
        <v>385.15</v>
      </c>
      <c r="DY51" s="93">
        <v>384.12</v>
      </c>
      <c r="DZ51" s="93">
        <v>383.1</v>
      </c>
      <c r="EA51" s="93">
        <v>382.07</v>
      </c>
      <c r="EB51" s="93">
        <v>381.04</v>
      </c>
      <c r="EC51" s="93">
        <v>380.02</v>
      </c>
      <c r="ED51" s="93">
        <v>378.99</v>
      </c>
      <c r="EE51" s="93">
        <v>377.97</v>
      </c>
      <c r="EF51" s="93">
        <v>376.94</v>
      </c>
      <c r="EG51" s="93">
        <v>375.92</v>
      </c>
      <c r="EH51" s="93">
        <v>374.9</v>
      </c>
      <c r="EI51" s="93">
        <v>373.88</v>
      </c>
      <c r="EJ51" s="93">
        <v>372.86</v>
      </c>
      <c r="EK51" s="93">
        <v>371.84</v>
      </c>
      <c r="EL51" s="93">
        <v>370.82</v>
      </c>
      <c r="EM51" s="93">
        <v>369.8</v>
      </c>
      <c r="EN51" s="93">
        <v>368.78</v>
      </c>
      <c r="EO51" s="93">
        <v>367.76</v>
      </c>
      <c r="EP51" s="93">
        <v>366.75</v>
      </c>
      <c r="EQ51" s="93">
        <v>365.73</v>
      </c>
      <c r="ER51" s="93">
        <v>364.71</v>
      </c>
      <c r="ES51" s="93">
        <v>363.7</v>
      </c>
      <c r="ET51" s="93">
        <v>362.68</v>
      </c>
      <c r="EU51" s="93">
        <v>361.67</v>
      </c>
      <c r="EV51" s="93">
        <v>360.66</v>
      </c>
      <c r="EW51" s="93">
        <v>359.64</v>
      </c>
      <c r="EX51" s="93">
        <v>358.63</v>
      </c>
      <c r="EY51" s="93">
        <v>357.62</v>
      </c>
      <c r="EZ51" s="93">
        <v>356.6</v>
      </c>
      <c r="FA51" s="93">
        <v>355.59</v>
      </c>
      <c r="FB51" s="93">
        <v>354.58</v>
      </c>
      <c r="FC51" s="93">
        <v>353.57</v>
      </c>
      <c r="FD51" s="93">
        <v>352.56</v>
      </c>
      <c r="FE51" s="93">
        <v>351.56</v>
      </c>
      <c r="FF51" s="93">
        <v>350.55</v>
      </c>
      <c r="FG51" s="93">
        <v>349.54</v>
      </c>
      <c r="FH51" s="93">
        <v>348.54</v>
      </c>
      <c r="FI51" s="93">
        <v>347.53</v>
      </c>
      <c r="FJ51" s="93">
        <v>346.53</v>
      </c>
      <c r="FK51" s="93">
        <v>345.52</v>
      </c>
      <c r="FL51" s="93">
        <v>344.52</v>
      </c>
      <c r="FM51" s="93">
        <v>343.51</v>
      </c>
      <c r="FN51" s="93">
        <v>342.51</v>
      </c>
      <c r="FO51" s="93">
        <v>341.51</v>
      </c>
      <c r="FP51" s="93">
        <v>340.51</v>
      </c>
      <c r="FQ51" s="93">
        <v>339.51</v>
      </c>
      <c r="FR51" s="93">
        <v>338.5</v>
      </c>
      <c r="FS51" s="93">
        <v>337.5</v>
      </c>
      <c r="FT51" s="93">
        <v>336.5</v>
      </c>
      <c r="FU51" s="93">
        <v>335.5</v>
      </c>
      <c r="FV51" s="93">
        <v>334.51</v>
      </c>
      <c r="FW51" s="93">
        <v>333.51</v>
      </c>
      <c r="FX51" s="93">
        <v>332.51</v>
      </c>
      <c r="FY51" s="93">
        <v>331.51</v>
      </c>
      <c r="FZ51" s="93">
        <v>330.51</v>
      </c>
      <c r="GA51" s="93">
        <v>329.52</v>
      </c>
      <c r="GB51" s="93">
        <v>328.52</v>
      </c>
      <c r="GC51" s="93">
        <v>327.51</v>
      </c>
      <c r="GD51" s="93">
        <v>326.52999999999997</v>
      </c>
      <c r="GE51" s="93">
        <v>325.54000000000002</v>
      </c>
      <c r="GF51" s="93">
        <v>324.54000000000002</v>
      </c>
      <c r="GG51" s="93">
        <v>323.54000000000002</v>
      </c>
      <c r="GH51" s="93">
        <v>322.56</v>
      </c>
      <c r="GI51" s="93">
        <v>321.56</v>
      </c>
      <c r="GJ51" s="93">
        <v>320.57</v>
      </c>
      <c r="GK51" s="93">
        <v>319.57</v>
      </c>
      <c r="GL51" s="93">
        <v>318.58999999999997</v>
      </c>
      <c r="GM51" s="93">
        <v>317.60000000000002</v>
      </c>
      <c r="GN51" s="93">
        <v>316.62</v>
      </c>
      <c r="GO51" s="93">
        <v>315.63</v>
      </c>
      <c r="GP51" s="93">
        <v>314.64999999999998</v>
      </c>
      <c r="GQ51" s="93">
        <v>313.67</v>
      </c>
      <c r="GR51" s="93">
        <v>312.68</v>
      </c>
      <c r="GS51" s="93">
        <v>311.7</v>
      </c>
      <c r="GT51" s="93">
        <v>310.72000000000003</v>
      </c>
      <c r="GU51" s="93">
        <v>309.74</v>
      </c>
      <c r="GV51" s="93">
        <v>308.76</v>
      </c>
      <c r="GW51" s="93">
        <v>307.77999999999997</v>
      </c>
      <c r="GX51" s="93">
        <v>306.81</v>
      </c>
      <c r="GY51" s="93">
        <v>305.82</v>
      </c>
      <c r="GZ51" s="93">
        <v>304.85000000000002</v>
      </c>
      <c r="HA51" s="93">
        <v>303.88</v>
      </c>
      <c r="HB51" s="93">
        <v>302.89999999999998</v>
      </c>
      <c r="HC51" s="93">
        <v>301.93</v>
      </c>
      <c r="HD51" s="93">
        <v>300.95999999999998</v>
      </c>
      <c r="HE51" s="93">
        <v>299.98</v>
      </c>
      <c r="HF51" s="93">
        <v>299.01</v>
      </c>
      <c r="HG51" s="93">
        <v>298.04000000000002</v>
      </c>
      <c r="HH51" s="93">
        <v>297.07</v>
      </c>
      <c r="HI51" s="93">
        <v>296.10000000000002</v>
      </c>
      <c r="HJ51" s="93">
        <v>295.13</v>
      </c>
      <c r="HK51" s="93">
        <v>294.16000000000003</v>
      </c>
      <c r="HL51" s="93">
        <v>293.2</v>
      </c>
      <c r="HM51" s="93">
        <v>292.24</v>
      </c>
      <c r="HN51" s="93">
        <v>291.27999999999997</v>
      </c>
      <c r="HO51" s="93">
        <v>290.32</v>
      </c>
      <c r="HP51" s="93">
        <v>289.37</v>
      </c>
      <c r="HQ51" s="93">
        <v>288.41000000000003</v>
      </c>
      <c r="HR51" s="93">
        <v>287.45</v>
      </c>
      <c r="HS51" s="93">
        <v>286.5</v>
      </c>
      <c r="HT51" s="93">
        <v>285.54000000000002</v>
      </c>
      <c r="HU51" s="93">
        <v>284.58999999999997</v>
      </c>
      <c r="HV51" s="93">
        <v>283.63</v>
      </c>
      <c r="HW51" s="93">
        <v>282.68</v>
      </c>
      <c r="HX51" s="93">
        <v>281.73</v>
      </c>
      <c r="HY51" s="93">
        <v>280.77999999999997</v>
      </c>
      <c r="HZ51" s="93">
        <v>279.82</v>
      </c>
      <c r="IA51" s="93">
        <v>278.88</v>
      </c>
      <c r="IB51" s="93">
        <v>277.93</v>
      </c>
      <c r="IC51" s="93">
        <v>276.99</v>
      </c>
      <c r="ID51" s="93">
        <v>276.04000000000002</v>
      </c>
      <c r="IE51" s="93">
        <v>275.08999999999997</v>
      </c>
      <c r="IF51" s="93">
        <v>274.14999999999998</v>
      </c>
      <c r="IG51" s="93">
        <v>273.2</v>
      </c>
      <c r="IH51" s="93">
        <v>272.26</v>
      </c>
      <c r="II51" s="93">
        <v>271.32</v>
      </c>
      <c r="IJ51" s="93">
        <v>270.37</v>
      </c>
      <c r="IK51" s="93">
        <v>269.43</v>
      </c>
      <c r="IL51" s="93">
        <v>268.49</v>
      </c>
      <c r="IM51" s="93">
        <v>267.56</v>
      </c>
      <c r="IN51" s="93">
        <v>266.62</v>
      </c>
      <c r="IO51" s="93">
        <v>265.68</v>
      </c>
      <c r="IP51" s="93">
        <v>264.74</v>
      </c>
      <c r="IQ51" s="93">
        <v>263.81</v>
      </c>
      <c r="IR51" s="93">
        <v>262.87</v>
      </c>
      <c r="IS51" s="93">
        <v>261.94</v>
      </c>
      <c r="IT51" s="93">
        <v>261.01</v>
      </c>
      <c r="IU51" s="93">
        <v>260.07</v>
      </c>
      <c r="IV51" s="93">
        <v>259.14999999999998</v>
      </c>
      <c r="IW51" s="93">
        <v>258.23</v>
      </c>
      <c r="IX51" s="93">
        <v>257.31</v>
      </c>
      <c r="IY51" s="93">
        <v>256.39</v>
      </c>
      <c r="IZ51" s="93">
        <v>255.47</v>
      </c>
      <c r="JA51" s="93">
        <v>254.56</v>
      </c>
      <c r="JB51" s="93">
        <v>253.64</v>
      </c>
      <c r="JC51" s="93">
        <v>252.72</v>
      </c>
      <c r="JD51" s="93">
        <v>251.81</v>
      </c>
      <c r="JE51" s="93">
        <v>250.89</v>
      </c>
      <c r="JF51" s="93">
        <v>249.98</v>
      </c>
      <c r="JG51" s="93">
        <v>249.07</v>
      </c>
      <c r="JH51" s="93">
        <v>248.16</v>
      </c>
      <c r="JI51" s="93">
        <v>247.25</v>
      </c>
      <c r="JJ51" s="93">
        <v>246.34</v>
      </c>
      <c r="JK51" s="93">
        <v>245.43</v>
      </c>
      <c r="JL51" s="93">
        <v>244.52</v>
      </c>
      <c r="JM51" s="93">
        <v>243.62</v>
      </c>
      <c r="JN51" s="93">
        <v>242.71</v>
      </c>
      <c r="JO51" s="93">
        <v>241.81</v>
      </c>
      <c r="JP51" s="93">
        <v>240.9</v>
      </c>
      <c r="JQ51" s="93">
        <v>240</v>
      </c>
      <c r="JR51" s="93">
        <v>239.09</v>
      </c>
      <c r="JS51" s="93">
        <v>238.19</v>
      </c>
      <c r="JT51" s="93">
        <v>237.28</v>
      </c>
      <c r="JU51" s="93">
        <v>236.38</v>
      </c>
      <c r="JV51" s="93">
        <v>235.47</v>
      </c>
      <c r="JW51" s="93">
        <v>234.56</v>
      </c>
      <c r="JX51" s="93">
        <v>233.65</v>
      </c>
      <c r="JY51" s="93">
        <v>232.75</v>
      </c>
      <c r="JZ51" s="93">
        <v>231.84</v>
      </c>
      <c r="KA51" s="93">
        <v>230.94</v>
      </c>
      <c r="KB51" s="93">
        <v>230.04</v>
      </c>
      <c r="KC51" s="93">
        <v>229.13</v>
      </c>
      <c r="KD51" s="93">
        <v>228.23</v>
      </c>
      <c r="KE51" s="93">
        <v>227.33</v>
      </c>
      <c r="KF51" s="93">
        <v>226.43</v>
      </c>
      <c r="KG51" s="93">
        <v>225.53</v>
      </c>
      <c r="KH51" s="93">
        <v>224.64</v>
      </c>
      <c r="KI51" s="93">
        <v>223.74</v>
      </c>
      <c r="KJ51" s="93">
        <v>222.84</v>
      </c>
      <c r="KK51" s="93">
        <v>221.95</v>
      </c>
      <c r="KL51" s="93">
        <v>221.05</v>
      </c>
      <c r="KM51" s="93">
        <v>220.16</v>
      </c>
      <c r="KN51" s="93">
        <v>219.26</v>
      </c>
      <c r="KO51" s="93">
        <v>218.37</v>
      </c>
      <c r="KP51" s="93">
        <v>217.48</v>
      </c>
      <c r="KQ51" s="93">
        <v>216.59</v>
      </c>
      <c r="KR51" s="98">
        <f t="shared" si="29"/>
        <v>218.27</v>
      </c>
      <c r="KS51" s="98">
        <f t="shared" si="29"/>
        <v>217.48</v>
      </c>
      <c r="KT51" s="98">
        <f t="shared" si="29"/>
        <v>216.66</v>
      </c>
      <c r="KU51" s="98">
        <f t="shared" si="29"/>
        <v>215.87</v>
      </c>
      <c r="KV51" s="98">
        <f t="shared" si="29"/>
        <v>215.09</v>
      </c>
      <c r="KW51" s="98">
        <f t="shared" si="29"/>
        <v>214.3</v>
      </c>
      <c r="KX51" s="98">
        <f t="shared" si="29"/>
        <v>213.51</v>
      </c>
      <c r="KY51" s="98">
        <f t="shared" si="29"/>
        <v>212.73</v>
      </c>
      <c r="KZ51" s="98">
        <f t="shared" si="29"/>
        <v>211.94</v>
      </c>
      <c r="LA51" s="98">
        <f t="shared" si="29"/>
        <v>211.16</v>
      </c>
      <c r="LB51" s="98">
        <f t="shared" si="29"/>
        <v>210.38</v>
      </c>
      <c r="LC51" s="98">
        <f t="shared" si="29"/>
        <v>209.6</v>
      </c>
      <c r="LD51" s="98">
        <f t="shared" si="29"/>
        <v>208.82</v>
      </c>
      <c r="LE51" s="98">
        <f t="shared" si="29"/>
        <v>208.04</v>
      </c>
      <c r="LF51" s="98">
        <f t="shared" si="29"/>
        <v>207.27</v>
      </c>
      <c r="LG51" s="98">
        <f t="shared" si="28"/>
        <v>206.5</v>
      </c>
      <c r="LH51" s="98">
        <f t="shared" si="28"/>
        <v>205.72</v>
      </c>
      <c r="LI51" s="98">
        <f t="shared" si="28"/>
        <v>204.95</v>
      </c>
      <c r="LJ51" s="98">
        <f t="shared" si="28"/>
        <v>204.18</v>
      </c>
      <c r="LK51" s="98">
        <f t="shared" si="28"/>
        <v>203.41</v>
      </c>
      <c r="LL51" s="98">
        <f t="shared" si="28"/>
        <v>202.64</v>
      </c>
      <c r="LM51" s="98">
        <f t="shared" si="28"/>
        <v>201.88</v>
      </c>
      <c r="LN51" s="98">
        <f t="shared" si="28"/>
        <v>201.11</v>
      </c>
      <c r="LO51" s="98">
        <f t="shared" si="28"/>
        <v>200.35</v>
      </c>
      <c r="LP51" s="98">
        <f t="shared" si="28"/>
        <v>199.59</v>
      </c>
      <c r="LQ51" s="98">
        <f t="shared" si="28"/>
        <v>198.83</v>
      </c>
      <c r="LR51" s="98">
        <f t="shared" si="28"/>
        <v>198.07</v>
      </c>
      <c r="LS51" s="98">
        <f t="shared" si="28"/>
        <v>197.31</v>
      </c>
      <c r="LT51" s="98">
        <f t="shared" si="28"/>
        <v>196.56</v>
      </c>
      <c r="LU51" s="98">
        <f t="shared" si="28"/>
        <v>195.81</v>
      </c>
      <c r="LV51" s="98">
        <f t="shared" si="28"/>
        <v>195.05</v>
      </c>
      <c r="LW51" s="98">
        <f t="shared" si="28"/>
        <v>194.3</v>
      </c>
      <c r="LX51" s="98">
        <f t="shared" si="30"/>
        <v>193.55</v>
      </c>
      <c r="LY51" s="98">
        <f t="shared" si="30"/>
        <v>192.8</v>
      </c>
      <c r="LZ51" s="98">
        <f t="shared" si="30"/>
        <v>192.06</v>
      </c>
      <c r="MA51" s="98">
        <f t="shared" si="30"/>
        <v>191.31</v>
      </c>
      <c r="MB51" s="98">
        <f t="shared" si="30"/>
        <v>190.57</v>
      </c>
      <c r="MC51" s="98">
        <f t="shared" si="30"/>
        <v>189.83</v>
      </c>
      <c r="MD51" s="100">
        <f t="shared" si="30"/>
        <v>189.09</v>
      </c>
      <c r="ME51" s="101">
        <f t="shared" si="30"/>
        <v>188.36</v>
      </c>
      <c r="MF51" s="101">
        <f t="shared" si="30"/>
        <v>187.62</v>
      </c>
      <c r="MG51" s="101">
        <f t="shared" si="30"/>
        <v>186.89</v>
      </c>
      <c r="MH51" s="101">
        <f t="shared" si="30"/>
        <v>186.15</v>
      </c>
      <c r="MI51" s="101">
        <f t="shared" si="30"/>
        <v>185.42</v>
      </c>
      <c r="MJ51" s="101">
        <f t="shared" si="30"/>
        <v>184.69</v>
      </c>
      <c r="MK51" s="101">
        <f t="shared" si="30"/>
        <v>183.96</v>
      </c>
      <c r="ML51" s="101">
        <f t="shared" si="30"/>
        <v>183.24</v>
      </c>
      <c r="MM51" s="101">
        <f t="shared" si="30"/>
        <v>182.51</v>
      </c>
      <c r="MN51" s="101">
        <f t="shared" si="32"/>
        <v>181.79</v>
      </c>
      <c r="MO51" s="101">
        <f t="shared" si="32"/>
        <v>181.07</v>
      </c>
      <c r="MP51" s="101">
        <f t="shared" si="32"/>
        <v>180.35</v>
      </c>
      <c r="MQ51" s="101">
        <f t="shared" si="32"/>
        <v>179.64</v>
      </c>
      <c r="MR51" s="101">
        <f t="shared" si="32"/>
        <v>178.92</v>
      </c>
      <c r="MS51" s="101">
        <f t="shared" si="32"/>
        <v>178.21</v>
      </c>
      <c r="MT51" s="101">
        <f t="shared" si="32"/>
        <v>177.49</v>
      </c>
      <c r="MU51" s="101">
        <f t="shared" si="32"/>
        <v>176.78</v>
      </c>
      <c r="MV51" s="101">
        <f t="shared" si="32"/>
        <v>176.07</v>
      </c>
      <c r="MW51" s="101">
        <f t="shared" si="32"/>
        <v>175.37</v>
      </c>
      <c r="MX51" s="101">
        <f t="shared" si="32"/>
        <v>174.66</v>
      </c>
      <c r="MY51" s="101">
        <f t="shared" si="32"/>
        <v>173.96</v>
      </c>
    </row>
    <row r="52" spans="1:363" ht="15.75" x14ac:dyDescent="0.25">
      <c r="A52" s="90" t="s">
        <v>6</v>
      </c>
      <c r="B52" s="95">
        <v>2062</v>
      </c>
      <c r="C52" s="93">
        <v>515.34</v>
      </c>
      <c r="D52" s="93">
        <v>514.30999999999995</v>
      </c>
      <c r="E52" s="93">
        <v>513.28</v>
      </c>
      <c r="F52" s="93">
        <v>512.24</v>
      </c>
      <c r="G52" s="93">
        <v>511.21</v>
      </c>
      <c r="H52" s="93">
        <v>510.17</v>
      </c>
      <c r="I52" s="93">
        <v>509.14</v>
      </c>
      <c r="J52" s="93">
        <v>508.1</v>
      </c>
      <c r="K52" s="93">
        <v>507.07</v>
      </c>
      <c r="L52" s="93">
        <v>506.04</v>
      </c>
      <c r="M52" s="93">
        <v>505</v>
      </c>
      <c r="N52" s="93">
        <v>503.97</v>
      </c>
      <c r="O52" s="93">
        <v>502.93</v>
      </c>
      <c r="P52" s="93">
        <v>501.9</v>
      </c>
      <c r="Q52" s="93">
        <v>500.86</v>
      </c>
      <c r="R52" s="93">
        <v>499.83</v>
      </c>
      <c r="S52" s="93">
        <v>498.79</v>
      </c>
      <c r="T52" s="93">
        <v>497.75</v>
      </c>
      <c r="U52" s="93">
        <v>496.72</v>
      </c>
      <c r="V52" s="93">
        <v>495.68</v>
      </c>
      <c r="W52" s="93">
        <v>494.65</v>
      </c>
      <c r="X52" s="93">
        <v>493.61</v>
      </c>
      <c r="Y52" s="93">
        <v>492.58</v>
      </c>
      <c r="Z52" s="93">
        <v>491.54</v>
      </c>
      <c r="AA52" s="93">
        <v>490.51</v>
      </c>
      <c r="AB52" s="93">
        <v>489.47</v>
      </c>
      <c r="AC52" s="93">
        <v>488.44</v>
      </c>
      <c r="AD52" s="93">
        <v>487.4</v>
      </c>
      <c r="AE52" s="93">
        <v>486.36</v>
      </c>
      <c r="AF52" s="93">
        <v>485.33</v>
      </c>
      <c r="AG52" s="93">
        <v>484.29</v>
      </c>
      <c r="AH52" s="93">
        <v>483.26</v>
      </c>
      <c r="AI52" s="93">
        <v>482.22</v>
      </c>
      <c r="AJ52" s="93">
        <v>481.18</v>
      </c>
      <c r="AK52" s="93">
        <v>480.15</v>
      </c>
      <c r="AL52" s="93">
        <v>479.11</v>
      </c>
      <c r="AM52" s="93">
        <v>478.08</v>
      </c>
      <c r="AN52" s="93">
        <v>477.04</v>
      </c>
      <c r="AO52" s="93">
        <v>476</v>
      </c>
      <c r="AP52" s="93">
        <v>474.97</v>
      </c>
      <c r="AQ52" s="93">
        <v>473.93</v>
      </c>
      <c r="AR52" s="93">
        <v>472.89</v>
      </c>
      <c r="AS52" s="93">
        <v>471.86</v>
      </c>
      <c r="AT52" s="93">
        <v>470.82</v>
      </c>
      <c r="AU52" s="93">
        <v>469.78</v>
      </c>
      <c r="AV52" s="93">
        <v>468.75</v>
      </c>
      <c r="AW52" s="93">
        <v>467.71</v>
      </c>
      <c r="AX52" s="93">
        <v>466.67</v>
      </c>
      <c r="AY52" s="93">
        <v>465.64</v>
      </c>
      <c r="AZ52" s="93">
        <v>464.6</v>
      </c>
      <c r="BA52" s="93">
        <v>463.56</v>
      </c>
      <c r="BB52" s="93">
        <v>462.53</v>
      </c>
      <c r="BC52" s="93">
        <v>461.49</v>
      </c>
      <c r="BD52" s="93">
        <v>460.45</v>
      </c>
      <c r="BE52" s="93">
        <v>459.42</v>
      </c>
      <c r="BF52" s="93">
        <v>458.38</v>
      </c>
      <c r="BG52" s="93">
        <v>457.34</v>
      </c>
      <c r="BH52" s="93">
        <v>456.31</v>
      </c>
      <c r="BI52" s="93">
        <v>455.27</v>
      </c>
      <c r="BJ52" s="93">
        <v>454.23</v>
      </c>
      <c r="BK52" s="93">
        <v>453.19</v>
      </c>
      <c r="BL52" s="93">
        <v>452.16</v>
      </c>
      <c r="BM52" s="93">
        <v>451.12</v>
      </c>
      <c r="BN52" s="93">
        <v>450.08</v>
      </c>
      <c r="BO52" s="93">
        <v>449.04</v>
      </c>
      <c r="BP52" s="93">
        <v>448</v>
      </c>
      <c r="BQ52" s="93">
        <v>446.97</v>
      </c>
      <c r="BR52" s="93">
        <v>445.93</v>
      </c>
      <c r="BS52" s="93">
        <v>444.89</v>
      </c>
      <c r="BT52" s="93">
        <v>443.85</v>
      </c>
      <c r="BU52" s="93">
        <v>442.82</v>
      </c>
      <c r="BV52" s="93">
        <v>441.78</v>
      </c>
      <c r="BW52" s="93">
        <v>440.74</v>
      </c>
      <c r="BX52" s="93">
        <v>439.71</v>
      </c>
      <c r="BY52" s="93">
        <v>438.67</v>
      </c>
      <c r="BZ52" s="93">
        <v>437.63</v>
      </c>
      <c r="CA52" s="93">
        <v>436.59</v>
      </c>
      <c r="CB52" s="93">
        <v>435.56</v>
      </c>
      <c r="CC52" s="93">
        <v>434.52</v>
      </c>
      <c r="CD52" s="93">
        <v>433.49</v>
      </c>
      <c r="CE52" s="93">
        <v>432.45</v>
      </c>
      <c r="CF52" s="93">
        <v>431.41</v>
      </c>
      <c r="CG52" s="93">
        <v>430.38</v>
      </c>
      <c r="CH52" s="93">
        <v>429.34</v>
      </c>
      <c r="CI52" s="93">
        <v>428.31</v>
      </c>
      <c r="CJ52" s="93">
        <v>427.27</v>
      </c>
      <c r="CK52" s="93">
        <v>426.23</v>
      </c>
      <c r="CL52" s="93">
        <v>425.2</v>
      </c>
      <c r="CM52" s="93">
        <v>424.16</v>
      </c>
      <c r="CN52" s="93">
        <v>423.12</v>
      </c>
      <c r="CO52" s="93">
        <v>422.09</v>
      </c>
      <c r="CP52" s="93">
        <v>421.05</v>
      </c>
      <c r="CQ52" s="93">
        <v>420.01</v>
      </c>
      <c r="CR52" s="93">
        <v>418.98</v>
      </c>
      <c r="CS52" s="93">
        <v>417.94</v>
      </c>
      <c r="CT52" s="93">
        <v>416.9</v>
      </c>
      <c r="CU52" s="93">
        <v>415.87</v>
      </c>
      <c r="CV52" s="93">
        <v>414.83</v>
      </c>
      <c r="CW52" s="93">
        <v>413.8</v>
      </c>
      <c r="CX52" s="93">
        <v>412.76</v>
      </c>
      <c r="CY52" s="93">
        <v>411.73</v>
      </c>
      <c r="CZ52" s="93">
        <v>410.69</v>
      </c>
      <c r="DA52" s="93">
        <v>409.66</v>
      </c>
      <c r="DB52" s="93">
        <v>408.62</v>
      </c>
      <c r="DC52" s="93">
        <v>407.59</v>
      </c>
      <c r="DD52" s="93">
        <v>406.55</v>
      </c>
      <c r="DE52" s="93">
        <v>405.52</v>
      </c>
      <c r="DF52" s="93">
        <v>404.48</v>
      </c>
      <c r="DG52" s="93">
        <v>403.45</v>
      </c>
      <c r="DH52" s="93">
        <v>402.42</v>
      </c>
      <c r="DI52" s="93">
        <v>401.38</v>
      </c>
      <c r="DJ52" s="93">
        <v>400.35</v>
      </c>
      <c r="DK52" s="93">
        <v>399.32</v>
      </c>
      <c r="DL52" s="93">
        <v>398.28</v>
      </c>
      <c r="DM52" s="93">
        <v>397.25</v>
      </c>
      <c r="DN52" s="93">
        <v>396.22</v>
      </c>
      <c r="DO52" s="93">
        <v>395.19</v>
      </c>
      <c r="DP52" s="93">
        <v>394.15</v>
      </c>
      <c r="DQ52" s="93">
        <v>393.12</v>
      </c>
      <c r="DR52" s="93">
        <v>392.09</v>
      </c>
      <c r="DS52" s="93">
        <v>391.06</v>
      </c>
      <c r="DT52" s="93">
        <v>390.03</v>
      </c>
      <c r="DU52" s="93">
        <v>389</v>
      </c>
      <c r="DV52" s="93">
        <v>387.97</v>
      </c>
      <c r="DW52" s="93">
        <v>386.94</v>
      </c>
      <c r="DX52" s="93">
        <v>385.91</v>
      </c>
      <c r="DY52" s="93">
        <v>384.89</v>
      </c>
      <c r="DZ52" s="93">
        <v>383.86</v>
      </c>
      <c r="EA52" s="93">
        <v>382.83</v>
      </c>
      <c r="EB52" s="93">
        <v>381.8</v>
      </c>
      <c r="EC52" s="93">
        <v>380.78</v>
      </c>
      <c r="ED52" s="93">
        <v>379.75</v>
      </c>
      <c r="EE52" s="93">
        <v>378.73</v>
      </c>
      <c r="EF52" s="93">
        <v>377.7</v>
      </c>
      <c r="EG52" s="93">
        <v>376.68</v>
      </c>
      <c r="EH52" s="93">
        <v>375.66</v>
      </c>
      <c r="EI52" s="93">
        <v>374.64</v>
      </c>
      <c r="EJ52" s="93">
        <v>373.62</v>
      </c>
      <c r="EK52" s="93">
        <v>372.6</v>
      </c>
      <c r="EL52" s="93">
        <v>371.58</v>
      </c>
      <c r="EM52" s="93">
        <v>370.56</v>
      </c>
      <c r="EN52" s="93">
        <v>369.54</v>
      </c>
      <c r="EO52" s="93">
        <v>368.52</v>
      </c>
      <c r="EP52" s="93">
        <v>367.5</v>
      </c>
      <c r="EQ52" s="93">
        <v>366.48</v>
      </c>
      <c r="ER52" s="93">
        <v>365.47</v>
      </c>
      <c r="ES52" s="93">
        <v>364.45</v>
      </c>
      <c r="ET52" s="93">
        <v>363.44</v>
      </c>
      <c r="EU52" s="93">
        <v>362.43</v>
      </c>
      <c r="EV52" s="93">
        <v>361.41</v>
      </c>
      <c r="EW52" s="93">
        <v>360.4</v>
      </c>
      <c r="EX52" s="93">
        <v>359.38</v>
      </c>
      <c r="EY52" s="93">
        <v>358.37</v>
      </c>
      <c r="EZ52" s="93">
        <v>357.36</v>
      </c>
      <c r="FA52" s="93">
        <v>356.35</v>
      </c>
      <c r="FB52" s="93">
        <v>355.33</v>
      </c>
      <c r="FC52" s="93">
        <v>354.32</v>
      </c>
      <c r="FD52" s="93">
        <v>353.31</v>
      </c>
      <c r="FE52" s="93">
        <v>352.31</v>
      </c>
      <c r="FF52" s="93">
        <v>351.3</v>
      </c>
      <c r="FG52" s="93">
        <v>350.29</v>
      </c>
      <c r="FH52" s="93">
        <v>349.29</v>
      </c>
      <c r="FI52" s="93">
        <v>348.28</v>
      </c>
      <c r="FJ52" s="93">
        <v>347.28</v>
      </c>
      <c r="FK52" s="93">
        <v>346.27</v>
      </c>
      <c r="FL52" s="93">
        <v>345.27</v>
      </c>
      <c r="FM52" s="93">
        <v>344.26</v>
      </c>
      <c r="FN52" s="93">
        <v>343.26</v>
      </c>
      <c r="FO52" s="93">
        <v>342.26</v>
      </c>
      <c r="FP52" s="93">
        <v>341.25</v>
      </c>
      <c r="FQ52" s="93">
        <v>340.25</v>
      </c>
      <c r="FR52" s="93">
        <v>339.25</v>
      </c>
      <c r="FS52" s="93">
        <v>338.25</v>
      </c>
      <c r="FT52" s="93">
        <v>337.25</v>
      </c>
      <c r="FU52" s="93">
        <v>336.25</v>
      </c>
      <c r="FV52" s="93">
        <v>335.25</v>
      </c>
      <c r="FW52" s="93">
        <v>334.25</v>
      </c>
      <c r="FX52" s="93">
        <v>333.25</v>
      </c>
      <c r="FY52" s="93">
        <v>332.25</v>
      </c>
      <c r="FZ52" s="93">
        <v>331.25</v>
      </c>
      <c r="GA52" s="93">
        <v>330.26</v>
      </c>
      <c r="GB52" s="93">
        <v>329.26</v>
      </c>
      <c r="GC52" s="93">
        <v>328.27</v>
      </c>
      <c r="GD52" s="93">
        <v>327.26</v>
      </c>
      <c r="GE52" s="93">
        <v>326.27999999999997</v>
      </c>
      <c r="GF52" s="93">
        <v>325.27999999999997</v>
      </c>
      <c r="GG52" s="93">
        <v>324.29000000000002</v>
      </c>
      <c r="GH52" s="93">
        <v>323.29000000000002</v>
      </c>
      <c r="GI52" s="93">
        <v>322.29000000000002</v>
      </c>
      <c r="GJ52" s="93">
        <v>321.31</v>
      </c>
      <c r="GK52" s="93">
        <v>320.32</v>
      </c>
      <c r="GL52" s="93">
        <v>319.32</v>
      </c>
      <c r="GM52" s="93">
        <v>318.32</v>
      </c>
      <c r="GN52" s="93">
        <v>317.35000000000002</v>
      </c>
      <c r="GO52" s="93">
        <v>316.37</v>
      </c>
      <c r="GP52" s="93">
        <v>315.38</v>
      </c>
      <c r="GQ52" s="93">
        <v>314.39999999999998</v>
      </c>
      <c r="GR52" s="93">
        <v>313.42</v>
      </c>
      <c r="GS52" s="93">
        <v>312.43</v>
      </c>
      <c r="GT52" s="93">
        <v>311.45</v>
      </c>
      <c r="GU52" s="93">
        <v>310.47000000000003</v>
      </c>
      <c r="GV52" s="93">
        <v>309.49</v>
      </c>
      <c r="GW52" s="93">
        <v>308.51</v>
      </c>
      <c r="GX52" s="93">
        <v>307.52999999999997</v>
      </c>
      <c r="GY52" s="93">
        <v>306.56</v>
      </c>
      <c r="GZ52" s="93">
        <v>305.57</v>
      </c>
      <c r="HA52" s="93">
        <v>304.60000000000002</v>
      </c>
      <c r="HB52" s="93">
        <v>303.63</v>
      </c>
      <c r="HC52" s="93">
        <v>302.64999999999998</v>
      </c>
      <c r="HD52" s="93">
        <v>301.68</v>
      </c>
      <c r="HE52" s="93">
        <v>300.7</v>
      </c>
      <c r="HF52" s="93">
        <v>299.73</v>
      </c>
      <c r="HG52" s="93">
        <v>298.76</v>
      </c>
      <c r="HH52" s="93">
        <v>297.79000000000002</v>
      </c>
      <c r="HI52" s="93">
        <v>296.82</v>
      </c>
      <c r="HJ52" s="93">
        <v>295.85000000000002</v>
      </c>
      <c r="HK52" s="93">
        <v>294.88</v>
      </c>
      <c r="HL52" s="93">
        <v>293.92</v>
      </c>
      <c r="HM52" s="93">
        <v>292.95999999999998</v>
      </c>
      <c r="HN52" s="93">
        <v>292</v>
      </c>
      <c r="HO52" s="93">
        <v>291.04000000000002</v>
      </c>
      <c r="HP52" s="93">
        <v>290.07</v>
      </c>
      <c r="HQ52" s="93">
        <v>289.12</v>
      </c>
      <c r="HR52" s="93">
        <v>288.16000000000003</v>
      </c>
      <c r="HS52" s="93">
        <v>287.20999999999998</v>
      </c>
      <c r="HT52" s="93">
        <v>286.25</v>
      </c>
      <c r="HU52" s="93">
        <v>285.29000000000002</v>
      </c>
      <c r="HV52" s="93">
        <v>284.33999999999997</v>
      </c>
      <c r="HW52" s="93">
        <v>283.39</v>
      </c>
      <c r="HX52" s="93">
        <v>282.44</v>
      </c>
      <c r="HY52" s="93">
        <v>281.49</v>
      </c>
      <c r="HZ52" s="93">
        <v>280.54000000000002</v>
      </c>
      <c r="IA52" s="93">
        <v>279.58999999999997</v>
      </c>
      <c r="IB52" s="93">
        <v>278.64</v>
      </c>
      <c r="IC52" s="93">
        <v>277.69</v>
      </c>
      <c r="ID52" s="93">
        <v>276.74</v>
      </c>
      <c r="IE52" s="93">
        <v>275.79000000000002</v>
      </c>
      <c r="IF52" s="93">
        <v>274.85000000000002</v>
      </c>
      <c r="IG52" s="93">
        <v>273.89999999999998</v>
      </c>
      <c r="IH52" s="93">
        <v>272.95999999999998</v>
      </c>
      <c r="II52" s="93">
        <v>272.01</v>
      </c>
      <c r="IJ52" s="93">
        <v>271.07</v>
      </c>
      <c r="IK52" s="93">
        <v>270.13</v>
      </c>
      <c r="IL52" s="93">
        <v>269.19</v>
      </c>
      <c r="IM52" s="93">
        <v>268.25</v>
      </c>
      <c r="IN52" s="93">
        <v>267.31</v>
      </c>
      <c r="IO52" s="93">
        <v>266.37</v>
      </c>
      <c r="IP52" s="93">
        <v>265.43</v>
      </c>
      <c r="IQ52" s="93">
        <v>264.5</v>
      </c>
      <c r="IR52" s="93">
        <v>263.56</v>
      </c>
      <c r="IS52" s="93">
        <v>262.63</v>
      </c>
      <c r="IT52" s="93">
        <v>261.69</v>
      </c>
      <c r="IU52" s="93">
        <v>260.76</v>
      </c>
      <c r="IV52" s="93">
        <v>259.82</v>
      </c>
      <c r="IW52" s="93">
        <v>258.91000000000003</v>
      </c>
      <c r="IX52" s="93">
        <v>257.99</v>
      </c>
      <c r="IY52" s="93">
        <v>257.07</v>
      </c>
      <c r="IZ52" s="93">
        <v>256.14999999999998</v>
      </c>
      <c r="JA52" s="93">
        <v>255.23</v>
      </c>
      <c r="JB52" s="93">
        <v>254.32</v>
      </c>
      <c r="JC52" s="93">
        <v>253.4</v>
      </c>
      <c r="JD52" s="93">
        <v>252.48</v>
      </c>
      <c r="JE52" s="93">
        <v>251.57</v>
      </c>
      <c r="JF52" s="93">
        <v>250.65</v>
      </c>
      <c r="JG52" s="93">
        <v>249.74</v>
      </c>
      <c r="JH52" s="93">
        <v>248.83</v>
      </c>
      <c r="JI52" s="93">
        <v>247.92</v>
      </c>
      <c r="JJ52" s="93">
        <v>247.01</v>
      </c>
      <c r="JK52" s="93">
        <v>246.1</v>
      </c>
      <c r="JL52" s="93">
        <v>245.19</v>
      </c>
      <c r="JM52" s="93">
        <v>244.28</v>
      </c>
      <c r="JN52" s="93">
        <v>243.37</v>
      </c>
      <c r="JO52" s="93">
        <v>242.47</v>
      </c>
      <c r="JP52" s="93">
        <v>241.56</v>
      </c>
      <c r="JQ52" s="93">
        <v>240.65</v>
      </c>
      <c r="JR52" s="93">
        <v>239.75</v>
      </c>
      <c r="JS52" s="93">
        <v>238.85</v>
      </c>
      <c r="JT52" s="93">
        <v>237.94</v>
      </c>
      <c r="JU52" s="93">
        <v>237.03</v>
      </c>
      <c r="JV52" s="93">
        <v>236.12</v>
      </c>
      <c r="JW52" s="93">
        <v>235.21</v>
      </c>
      <c r="JX52" s="93">
        <v>234.3</v>
      </c>
      <c r="JY52" s="93">
        <v>233.4</v>
      </c>
      <c r="JZ52" s="93">
        <v>232.49</v>
      </c>
      <c r="KA52" s="93">
        <v>231.58</v>
      </c>
      <c r="KB52" s="93">
        <v>230.68</v>
      </c>
      <c r="KC52" s="93">
        <v>229.78</v>
      </c>
      <c r="KD52" s="93">
        <v>228.87</v>
      </c>
      <c r="KE52" s="93">
        <v>227.97</v>
      </c>
      <c r="KF52" s="93">
        <v>227.07</v>
      </c>
      <c r="KG52" s="93">
        <v>226.17</v>
      </c>
      <c r="KH52" s="93">
        <v>225.27</v>
      </c>
      <c r="KI52" s="93">
        <v>224.37</v>
      </c>
      <c r="KJ52" s="93">
        <v>223.47</v>
      </c>
      <c r="KK52" s="93">
        <v>222.58</v>
      </c>
      <c r="KL52" s="93">
        <v>221.68</v>
      </c>
      <c r="KM52" s="93">
        <v>220.78</v>
      </c>
      <c r="KN52" s="93">
        <v>219.89</v>
      </c>
      <c r="KO52" s="93">
        <v>219</v>
      </c>
      <c r="KP52" s="93">
        <v>218.1</v>
      </c>
      <c r="KQ52" s="93">
        <v>217.21</v>
      </c>
      <c r="KR52" s="98">
        <f t="shared" si="29"/>
        <v>219.02</v>
      </c>
      <c r="KS52" s="98">
        <f t="shared" si="29"/>
        <v>218.23</v>
      </c>
      <c r="KT52" s="98">
        <f t="shared" si="29"/>
        <v>217.41</v>
      </c>
      <c r="KU52" s="98">
        <f t="shared" si="29"/>
        <v>216.62</v>
      </c>
      <c r="KV52" s="98">
        <f t="shared" si="29"/>
        <v>215.84</v>
      </c>
      <c r="KW52" s="98">
        <f t="shared" si="29"/>
        <v>215.05</v>
      </c>
      <c r="KX52" s="98">
        <f t="shared" si="29"/>
        <v>214.26</v>
      </c>
      <c r="KY52" s="98">
        <f t="shared" si="29"/>
        <v>213.48</v>
      </c>
      <c r="KZ52" s="98">
        <f t="shared" si="29"/>
        <v>212.69</v>
      </c>
      <c r="LA52" s="98">
        <f t="shared" si="29"/>
        <v>211.91</v>
      </c>
      <c r="LB52" s="98">
        <f t="shared" si="29"/>
        <v>211.13</v>
      </c>
      <c r="LC52" s="98">
        <f t="shared" si="29"/>
        <v>210.35</v>
      </c>
      <c r="LD52" s="98">
        <f t="shared" si="29"/>
        <v>209.57</v>
      </c>
      <c r="LE52" s="98">
        <f t="shared" si="29"/>
        <v>208.79</v>
      </c>
      <c r="LF52" s="98">
        <f t="shared" si="29"/>
        <v>208.02</v>
      </c>
      <c r="LG52" s="98">
        <f t="shared" si="29"/>
        <v>207.25</v>
      </c>
      <c r="LH52" s="98">
        <f t="shared" ref="LH52:LW56" si="33">LH51+0.75</f>
        <v>206.47</v>
      </c>
      <c r="LI52" s="98">
        <f t="shared" si="33"/>
        <v>205.7</v>
      </c>
      <c r="LJ52" s="98">
        <f t="shared" si="33"/>
        <v>204.93</v>
      </c>
      <c r="LK52" s="98">
        <f t="shared" si="33"/>
        <v>204.16</v>
      </c>
      <c r="LL52" s="98">
        <f t="shared" si="33"/>
        <v>203.39</v>
      </c>
      <c r="LM52" s="98">
        <f t="shared" si="33"/>
        <v>202.63</v>
      </c>
      <c r="LN52" s="98">
        <f t="shared" si="33"/>
        <v>201.86</v>
      </c>
      <c r="LO52" s="98">
        <f t="shared" si="33"/>
        <v>201.1</v>
      </c>
      <c r="LP52" s="98">
        <f t="shared" si="33"/>
        <v>200.34</v>
      </c>
      <c r="LQ52" s="98">
        <f t="shared" si="33"/>
        <v>199.58</v>
      </c>
      <c r="LR52" s="98">
        <f t="shared" si="33"/>
        <v>198.82</v>
      </c>
      <c r="LS52" s="98">
        <f t="shared" si="33"/>
        <v>198.06</v>
      </c>
      <c r="LT52" s="98">
        <f t="shared" si="33"/>
        <v>197.31</v>
      </c>
      <c r="LU52" s="98">
        <f t="shared" si="33"/>
        <v>196.56</v>
      </c>
      <c r="LV52" s="98">
        <f t="shared" si="33"/>
        <v>195.8</v>
      </c>
      <c r="LW52" s="98">
        <f t="shared" si="33"/>
        <v>195.05</v>
      </c>
      <c r="LX52" s="98">
        <f t="shared" si="30"/>
        <v>194.3</v>
      </c>
      <c r="LY52" s="98">
        <f t="shared" si="30"/>
        <v>193.55</v>
      </c>
      <c r="LZ52" s="98">
        <f t="shared" si="30"/>
        <v>192.81</v>
      </c>
      <c r="MA52" s="98">
        <f t="shared" si="30"/>
        <v>192.06</v>
      </c>
      <c r="MB52" s="98">
        <f t="shared" si="30"/>
        <v>191.32</v>
      </c>
      <c r="MC52" s="98">
        <f t="shared" si="30"/>
        <v>190.58</v>
      </c>
      <c r="MD52" s="100">
        <f t="shared" si="30"/>
        <v>189.84</v>
      </c>
      <c r="ME52" s="101">
        <f t="shared" si="30"/>
        <v>189.11</v>
      </c>
      <c r="MF52" s="101">
        <f t="shared" si="30"/>
        <v>188.37</v>
      </c>
      <c r="MG52" s="101">
        <f t="shared" si="30"/>
        <v>187.64</v>
      </c>
      <c r="MH52" s="101">
        <f t="shared" si="30"/>
        <v>186.9</v>
      </c>
      <c r="MI52" s="101">
        <f t="shared" si="30"/>
        <v>186.17</v>
      </c>
      <c r="MJ52" s="101">
        <f t="shared" si="30"/>
        <v>185.44</v>
      </c>
      <c r="MK52" s="101">
        <f t="shared" si="30"/>
        <v>184.71</v>
      </c>
      <c r="ML52" s="101">
        <f t="shared" si="30"/>
        <v>183.99</v>
      </c>
      <c r="MM52" s="101">
        <f t="shared" si="30"/>
        <v>183.26</v>
      </c>
      <c r="MN52" s="101">
        <f t="shared" si="32"/>
        <v>182.54</v>
      </c>
      <c r="MO52" s="101">
        <f t="shared" si="32"/>
        <v>181.82</v>
      </c>
      <c r="MP52" s="101">
        <f t="shared" si="32"/>
        <v>181.1</v>
      </c>
      <c r="MQ52" s="101">
        <f t="shared" si="32"/>
        <v>180.39</v>
      </c>
      <c r="MR52" s="101">
        <f t="shared" si="32"/>
        <v>179.67</v>
      </c>
      <c r="MS52" s="101">
        <f t="shared" si="32"/>
        <v>178.96</v>
      </c>
      <c r="MT52" s="101">
        <f t="shared" si="32"/>
        <v>178.24</v>
      </c>
      <c r="MU52" s="101">
        <f t="shared" si="32"/>
        <v>177.53</v>
      </c>
      <c r="MV52" s="101">
        <f t="shared" si="32"/>
        <v>176.82</v>
      </c>
      <c r="MW52" s="101">
        <f t="shared" si="32"/>
        <v>176.12</v>
      </c>
      <c r="MX52" s="101">
        <f t="shared" si="32"/>
        <v>175.41</v>
      </c>
      <c r="MY52" s="101">
        <f t="shared" si="32"/>
        <v>174.71</v>
      </c>
    </row>
    <row r="53" spans="1:363" ht="15.75" x14ac:dyDescent="0.25">
      <c r="A53" s="90" t="s">
        <v>6</v>
      </c>
      <c r="B53" s="95">
        <v>2063</v>
      </c>
      <c r="C53" s="93">
        <v>516.11</v>
      </c>
      <c r="D53" s="93">
        <v>515.07000000000005</v>
      </c>
      <c r="E53" s="93">
        <v>514.03</v>
      </c>
      <c r="F53" s="93">
        <v>513</v>
      </c>
      <c r="G53" s="93">
        <v>511.97</v>
      </c>
      <c r="H53" s="93">
        <v>510.93</v>
      </c>
      <c r="I53" s="93">
        <v>509.9</v>
      </c>
      <c r="J53" s="93">
        <v>508.86</v>
      </c>
      <c r="K53" s="93">
        <v>507.83</v>
      </c>
      <c r="L53" s="93">
        <v>506.79</v>
      </c>
      <c r="M53" s="93">
        <v>505.76</v>
      </c>
      <c r="N53" s="93">
        <v>504.72</v>
      </c>
      <c r="O53" s="93">
        <v>503.69</v>
      </c>
      <c r="P53" s="93">
        <v>502.65</v>
      </c>
      <c r="Q53" s="93">
        <v>501.62</v>
      </c>
      <c r="R53" s="93">
        <v>500.58</v>
      </c>
      <c r="S53" s="93">
        <v>499.55</v>
      </c>
      <c r="T53" s="93">
        <v>498.51</v>
      </c>
      <c r="U53" s="93">
        <v>497.48</v>
      </c>
      <c r="V53" s="93">
        <v>496.44</v>
      </c>
      <c r="W53" s="93">
        <v>495.41</v>
      </c>
      <c r="X53" s="93">
        <v>494.37</v>
      </c>
      <c r="Y53" s="93">
        <v>493.34</v>
      </c>
      <c r="Z53" s="93">
        <v>492.3</v>
      </c>
      <c r="AA53" s="93">
        <v>491.27</v>
      </c>
      <c r="AB53" s="93">
        <v>490.23</v>
      </c>
      <c r="AC53" s="93">
        <v>489.2</v>
      </c>
      <c r="AD53" s="93">
        <v>488.16</v>
      </c>
      <c r="AE53" s="93">
        <v>487.12</v>
      </c>
      <c r="AF53" s="93">
        <v>486.09</v>
      </c>
      <c r="AG53" s="93">
        <v>485.05</v>
      </c>
      <c r="AH53" s="93">
        <v>484.02</v>
      </c>
      <c r="AI53" s="93">
        <v>482.98</v>
      </c>
      <c r="AJ53" s="93">
        <v>481.94</v>
      </c>
      <c r="AK53" s="93">
        <v>480.91</v>
      </c>
      <c r="AL53" s="93">
        <v>479.87</v>
      </c>
      <c r="AM53" s="93">
        <v>478.84</v>
      </c>
      <c r="AN53" s="93">
        <v>477.8</v>
      </c>
      <c r="AO53" s="93">
        <v>476.76</v>
      </c>
      <c r="AP53" s="93">
        <v>475.73</v>
      </c>
      <c r="AQ53" s="93">
        <v>474.69</v>
      </c>
      <c r="AR53" s="93">
        <v>473.65</v>
      </c>
      <c r="AS53" s="93">
        <v>472.62</v>
      </c>
      <c r="AT53" s="93">
        <v>471.58</v>
      </c>
      <c r="AU53" s="93">
        <v>470.54</v>
      </c>
      <c r="AV53" s="93">
        <v>469.51</v>
      </c>
      <c r="AW53" s="93">
        <v>468.47</v>
      </c>
      <c r="AX53" s="93">
        <v>467.44</v>
      </c>
      <c r="AY53" s="93">
        <v>466.4</v>
      </c>
      <c r="AZ53" s="93">
        <v>465.36</v>
      </c>
      <c r="BA53" s="93">
        <v>464.33</v>
      </c>
      <c r="BB53" s="93">
        <v>463.29</v>
      </c>
      <c r="BC53" s="93">
        <v>462.25</v>
      </c>
      <c r="BD53" s="93">
        <v>461.21</v>
      </c>
      <c r="BE53" s="93">
        <v>460.18</v>
      </c>
      <c r="BF53" s="93">
        <v>459.14</v>
      </c>
      <c r="BG53" s="93">
        <v>458.1</v>
      </c>
      <c r="BH53" s="93">
        <v>457.07</v>
      </c>
      <c r="BI53" s="93">
        <v>456.03</v>
      </c>
      <c r="BJ53" s="93">
        <v>454.99</v>
      </c>
      <c r="BK53" s="93">
        <v>453.96</v>
      </c>
      <c r="BL53" s="93">
        <v>452.92</v>
      </c>
      <c r="BM53" s="93">
        <v>451.88</v>
      </c>
      <c r="BN53" s="93">
        <v>450.84</v>
      </c>
      <c r="BO53" s="93">
        <v>449.8</v>
      </c>
      <c r="BP53" s="93">
        <v>448.77</v>
      </c>
      <c r="BQ53" s="93">
        <v>447.73</v>
      </c>
      <c r="BR53" s="93">
        <v>446.69</v>
      </c>
      <c r="BS53" s="93">
        <v>445.65</v>
      </c>
      <c r="BT53" s="93">
        <v>444.62</v>
      </c>
      <c r="BU53" s="93">
        <v>443.58</v>
      </c>
      <c r="BV53" s="93">
        <v>442.54</v>
      </c>
      <c r="BW53" s="93">
        <v>441.5</v>
      </c>
      <c r="BX53" s="93">
        <v>440.47</v>
      </c>
      <c r="BY53" s="93">
        <v>439.43</v>
      </c>
      <c r="BZ53" s="93">
        <v>438.39</v>
      </c>
      <c r="CA53" s="93">
        <v>437.36</v>
      </c>
      <c r="CB53" s="93">
        <v>436.32</v>
      </c>
      <c r="CC53" s="93">
        <v>435.28</v>
      </c>
      <c r="CD53" s="93">
        <v>434.25</v>
      </c>
      <c r="CE53" s="93">
        <v>433.21</v>
      </c>
      <c r="CF53" s="93">
        <v>432.18</v>
      </c>
      <c r="CG53" s="93">
        <v>431.14</v>
      </c>
      <c r="CH53" s="93">
        <v>430.1</v>
      </c>
      <c r="CI53" s="93">
        <v>429.07</v>
      </c>
      <c r="CJ53" s="93">
        <v>428.03</v>
      </c>
      <c r="CK53" s="93">
        <v>426.99</v>
      </c>
      <c r="CL53" s="93">
        <v>425.96</v>
      </c>
      <c r="CM53" s="93">
        <v>424.92</v>
      </c>
      <c r="CN53" s="93">
        <v>423.88</v>
      </c>
      <c r="CO53" s="93">
        <v>422.85</v>
      </c>
      <c r="CP53" s="93">
        <v>421.81</v>
      </c>
      <c r="CQ53" s="93">
        <v>420.77</v>
      </c>
      <c r="CR53" s="93">
        <v>419.74</v>
      </c>
      <c r="CS53" s="93">
        <v>418.7</v>
      </c>
      <c r="CT53" s="93">
        <v>417.66</v>
      </c>
      <c r="CU53" s="93">
        <v>416.63</v>
      </c>
      <c r="CV53" s="93">
        <v>415.59</v>
      </c>
      <c r="CW53" s="93">
        <v>414.56</v>
      </c>
      <c r="CX53" s="93">
        <v>413.52</v>
      </c>
      <c r="CY53" s="93">
        <v>412.49</v>
      </c>
      <c r="CZ53" s="93">
        <v>411.45</v>
      </c>
      <c r="DA53" s="93">
        <v>410.42</v>
      </c>
      <c r="DB53" s="93">
        <v>409.38</v>
      </c>
      <c r="DC53" s="93">
        <v>408.35</v>
      </c>
      <c r="DD53" s="93">
        <v>407.31</v>
      </c>
      <c r="DE53" s="93">
        <v>406.28</v>
      </c>
      <c r="DF53" s="93">
        <v>405.24</v>
      </c>
      <c r="DG53" s="93">
        <v>404.21</v>
      </c>
      <c r="DH53" s="93">
        <v>403.18</v>
      </c>
      <c r="DI53" s="93">
        <v>402.14</v>
      </c>
      <c r="DJ53" s="93">
        <v>401.11</v>
      </c>
      <c r="DK53" s="93">
        <v>400.08</v>
      </c>
      <c r="DL53" s="93">
        <v>399.04</v>
      </c>
      <c r="DM53" s="93">
        <v>398.01</v>
      </c>
      <c r="DN53" s="93">
        <v>396.98</v>
      </c>
      <c r="DO53" s="93">
        <v>395.94</v>
      </c>
      <c r="DP53" s="93">
        <v>394.91</v>
      </c>
      <c r="DQ53" s="93">
        <v>393.88</v>
      </c>
      <c r="DR53" s="93">
        <v>392.85</v>
      </c>
      <c r="DS53" s="93">
        <v>391.81</v>
      </c>
      <c r="DT53" s="93">
        <v>390.78</v>
      </c>
      <c r="DU53" s="93">
        <v>389.76</v>
      </c>
      <c r="DV53" s="93">
        <v>388.73</v>
      </c>
      <c r="DW53" s="93">
        <v>387.7</v>
      </c>
      <c r="DX53" s="93">
        <v>386.67</v>
      </c>
      <c r="DY53" s="93">
        <v>385.64</v>
      </c>
      <c r="DZ53" s="93">
        <v>384.62</v>
      </c>
      <c r="EA53" s="93">
        <v>383.59</v>
      </c>
      <c r="EB53" s="93">
        <v>382.56</v>
      </c>
      <c r="EC53" s="93">
        <v>381.53</v>
      </c>
      <c r="ED53" s="93">
        <v>380.51</v>
      </c>
      <c r="EE53" s="93">
        <v>379.48</v>
      </c>
      <c r="EF53" s="93">
        <v>378.46</v>
      </c>
      <c r="EG53" s="93">
        <v>377.44</v>
      </c>
      <c r="EH53" s="93">
        <v>376.42</v>
      </c>
      <c r="EI53" s="93">
        <v>375.4</v>
      </c>
      <c r="EJ53" s="93">
        <v>374.37</v>
      </c>
      <c r="EK53" s="93">
        <v>373.35</v>
      </c>
      <c r="EL53" s="93">
        <v>372.33</v>
      </c>
      <c r="EM53" s="93">
        <v>371.31</v>
      </c>
      <c r="EN53" s="93">
        <v>370.29</v>
      </c>
      <c r="EO53" s="93">
        <v>369.27</v>
      </c>
      <c r="EP53" s="93">
        <v>368.25</v>
      </c>
      <c r="EQ53" s="93">
        <v>367.24</v>
      </c>
      <c r="ER53" s="93">
        <v>366.22</v>
      </c>
      <c r="ES53" s="93">
        <v>365.21</v>
      </c>
      <c r="ET53" s="93">
        <v>364.19</v>
      </c>
      <c r="EU53" s="93">
        <v>363.18</v>
      </c>
      <c r="EV53" s="93">
        <v>362.16</v>
      </c>
      <c r="EW53" s="93">
        <v>361.15</v>
      </c>
      <c r="EX53" s="93">
        <v>360.13</v>
      </c>
      <c r="EY53" s="93">
        <v>359.12</v>
      </c>
      <c r="EZ53" s="93">
        <v>358.11</v>
      </c>
      <c r="FA53" s="93">
        <v>357.09</v>
      </c>
      <c r="FB53" s="93">
        <v>356.08</v>
      </c>
      <c r="FC53" s="93">
        <v>355.07</v>
      </c>
      <c r="FD53" s="93">
        <v>354.06</v>
      </c>
      <c r="FE53" s="93">
        <v>353.05</v>
      </c>
      <c r="FF53" s="93">
        <v>352.05</v>
      </c>
      <c r="FG53" s="93">
        <v>351.04</v>
      </c>
      <c r="FH53" s="93">
        <v>350.03</v>
      </c>
      <c r="FI53" s="93">
        <v>349.03</v>
      </c>
      <c r="FJ53" s="93">
        <v>348.02</v>
      </c>
      <c r="FK53" s="93">
        <v>347.02</v>
      </c>
      <c r="FL53" s="93">
        <v>346.01</v>
      </c>
      <c r="FM53" s="93">
        <v>345.01</v>
      </c>
      <c r="FN53" s="93">
        <v>344</v>
      </c>
      <c r="FO53" s="93">
        <v>343</v>
      </c>
      <c r="FP53" s="93">
        <v>342</v>
      </c>
      <c r="FQ53" s="93">
        <v>340.99</v>
      </c>
      <c r="FR53" s="93">
        <v>339.99</v>
      </c>
      <c r="FS53" s="93">
        <v>338.99</v>
      </c>
      <c r="FT53" s="93">
        <v>337.99</v>
      </c>
      <c r="FU53" s="93">
        <v>336.99</v>
      </c>
      <c r="FV53" s="93">
        <v>335.99</v>
      </c>
      <c r="FW53" s="93">
        <v>334.99</v>
      </c>
      <c r="FX53" s="93">
        <v>333.99</v>
      </c>
      <c r="FY53" s="93">
        <v>332.99</v>
      </c>
      <c r="FZ53" s="93">
        <v>331.99</v>
      </c>
      <c r="GA53" s="93">
        <v>330.99</v>
      </c>
      <c r="GB53" s="93">
        <v>330</v>
      </c>
      <c r="GC53" s="93">
        <v>329</v>
      </c>
      <c r="GD53" s="93">
        <v>328.01</v>
      </c>
      <c r="GE53" s="93">
        <v>327.01</v>
      </c>
      <c r="GF53" s="93">
        <v>326.01</v>
      </c>
      <c r="GG53" s="93">
        <v>325.01</v>
      </c>
      <c r="GH53" s="93">
        <v>324.02999999999997</v>
      </c>
      <c r="GI53" s="93">
        <v>323.02999999999997</v>
      </c>
      <c r="GJ53" s="93">
        <v>322.04000000000002</v>
      </c>
      <c r="GK53" s="93">
        <v>321.04000000000002</v>
      </c>
      <c r="GL53" s="93">
        <v>320.06</v>
      </c>
      <c r="GM53" s="93">
        <v>319.07</v>
      </c>
      <c r="GN53" s="93">
        <v>318.07</v>
      </c>
      <c r="GO53" s="93">
        <v>317.08999999999997</v>
      </c>
      <c r="GP53" s="93">
        <v>316.10000000000002</v>
      </c>
      <c r="GQ53" s="93">
        <v>315.13</v>
      </c>
      <c r="GR53" s="93">
        <v>314.14</v>
      </c>
      <c r="GS53" s="93">
        <v>313.16000000000003</v>
      </c>
      <c r="GT53" s="93">
        <v>312.18</v>
      </c>
      <c r="GU53" s="93">
        <v>311.2</v>
      </c>
      <c r="GV53" s="93">
        <v>310.22000000000003</v>
      </c>
      <c r="GW53" s="93">
        <v>309.24</v>
      </c>
      <c r="GX53" s="93">
        <v>308.26</v>
      </c>
      <c r="GY53" s="93">
        <v>307.27999999999997</v>
      </c>
      <c r="GZ53" s="93">
        <v>306.29000000000002</v>
      </c>
      <c r="HA53" s="93">
        <v>305.32</v>
      </c>
      <c r="HB53" s="93">
        <v>304.35000000000002</v>
      </c>
      <c r="HC53" s="93">
        <v>303.37</v>
      </c>
      <c r="HD53" s="93">
        <v>302.39999999999998</v>
      </c>
      <c r="HE53" s="93">
        <v>301.42</v>
      </c>
      <c r="HF53" s="93">
        <v>300.45</v>
      </c>
      <c r="HG53" s="93">
        <v>299.48</v>
      </c>
      <c r="HH53" s="93">
        <v>298.5</v>
      </c>
      <c r="HI53" s="93">
        <v>297.52999999999997</v>
      </c>
      <c r="HJ53" s="93">
        <v>296.56</v>
      </c>
      <c r="HK53" s="93">
        <v>295.58999999999997</v>
      </c>
      <c r="HL53" s="93">
        <v>294.63</v>
      </c>
      <c r="HM53" s="93">
        <v>293.67</v>
      </c>
      <c r="HN53" s="93">
        <v>292.70999999999998</v>
      </c>
      <c r="HO53" s="93">
        <v>291.75</v>
      </c>
      <c r="HP53" s="93">
        <v>290.79000000000002</v>
      </c>
      <c r="HQ53" s="93">
        <v>289.82</v>
      </c>
      <c r="HR53" s="93">
        <v>288.87</v>
      </c>
      <c r="HS53" s="93">
        <v>287.91000000000003</v>
      </c>
      <c r="HT53" s="93">
        <v>286.95999999999998</v>
      </c>
      <c r="HU53" s="93">
        <v>286</v>
      </c>
      <c r="HV53" s="93">
        <v>285.04000000000002</v>
      </c>
      <c r="HW53" s="93">
        <v>284.08999999999997</v>
      </c>
      <c r="HX53" s="93">
        <v>283.14</v>
      </c>
      <c r="HY53" s="93">
        <v>282.19</v>
      </c>
      <c r="HZ53" s="93">
        <v>281.24</v>
      </c>
      <c r="IA53" s="93">
        <v>280.29000000000002</v>
      </c>
      <c r="IB53" s="93">
        <v>279.33999999999997</v>
      </c>
      <c r="IC53" s="93">
        <v>278.39</v>
      </c>
      <c r="ID53" s="93">
        <v>277.44</v>
      </c>
      <c r="IE53" s="93">
        <v>276.49</v>
      </c>
      <c r="IF53" s="93">
        <v>275.54000000000002</v>
      </c>
      <c r="IG53" s="93">
        <v>274.60000000000002</v>
      </c>
      <c r="IH53" s="93">
        <v>273.64999999999998</v>
      </c>
      <c r="II53" s="93">
        <v>272.7</v>
      </c>
      <c r="IJ53" s="93">
        <v>271.76</v>
      </c>
      <c r="IK53" s="93">
        <v>270.82</v>
      </c>
      <c r="IL53" s="93">
        <v>269.88</v>
      </c>
      <c r="IM53" s="93">
        <v>268.94</v>
      </c>
      <c r="IN53" s="93">
        <v>268</v>
      </c>
      <c r="IO53" s="93">
        <v>267.06</v>
      </c>
      <c r="IP53" s="93">
        <v>266.12</v>
      </c>
      <c r="IQ53" s="93">
        <v>265.18</v>
      </c>
      <c r="IR53" s="93">
        <v>264.24</v>
      </c>
      <c r="IS53" s="93">
        <v>263.31</v>
      </c>
      <c r="IT53" s="93">
        <v>262.37</v>
      </c>
      <c r="IU53" s="93">
        <v>261.44</v>
      </c>
      <c r="IV53" s="93">
        <v>260.51</v>
      </c>
      <c r="IW53" s="93">
        <v>259.58999999999997</v>
      </c>
      <c r="IX53" s="93">
        <v>258.67</v>
      </c>
      <c r="IY53" s="93">
        <v>257.75</v>
      </c>
      <c r="IZ53" s="93">
        <v>256.82</v>
      </c>
      <c r="JA53" s="93">
        <v>255.91</v>
      </c>
      <c r="JB53" s="93">
        <v>254.99</v>
      </c>
      <c r="JC53" s="93">
        <v>254.07</v>
      </c>
      <c r="JD53" s="93">
        <v>253.15</v>
      </c>
      <c r="JE53" s="93">
        <v>252.24</v>
      </c>
      <c r="JF53" s="93">
        <v>251.32</v>
      </c>
      <c r="JG53" s="93">
        <v>250.4</v>
      </c>
      <c r="JH53" s="93">
        <v>249.49</v>
      </c>
      <c r="JI53" s="93">
        <v>248.58</v>
      </c>
      <c r="JJ53" s="93">
        <v>247.67</v>
      </c>
      <c r="JK53" s="93">
        <v>246.76</v>
      </c>
      <c r="JL53" s="93">
        <v>245.85</v>
      </c>
      <c r="JM53" s="93">
        <v>244.94</v>
      </c>
      <c r="JN53" s="93">
        <v>244.03</v>
      </c>
      <c r="JO53" s="93">
        <v>243.12</v>
      </c>
      <c r="JP53" s="93">
        <v>242.21</v>
      </c>
      <c r="JQ53" s="93">
        <v>241.31</v>
      </c>
      <c r="JR53" s="93">
        <v>240.4</v>
      </c>
      <c r="JS53" s="93">
        <v>239.5</v>
      </c>
      <c r="JT53" s="93">
        <v>238.59</v>
      </c>
      <c r="JU53" s="93">
        <v>237.68</v>
      </c>
      <c r="JV53" s="93">
        <v>236.77</v>
      </c>
      <c r="JW53" s="93">
        <v>235.86</v>
      </c>
      <c r="JX53" s="93">
        <v>234.95</v>
      </c>
      <c r="JY53" s="93">
        <v>234.04</v>
      </c>
      <c r="JZ53" s="93">
        <v>233.13</v>
      </c>
      <c r="KA53" s="93">
        <v>232.22</v>
      </c>
      <c r="KB53" s="93">
        <v>231.32</v>
      </c>
      <c r="KC53" s="93">
        <v>230.41</v>
      </c>
      <c r="KD53" s="93">
        <v>229.51</v>
      </c>
      <c r="KE53" s="93">
        <v>228.6</v>
      </c>
      <c r="KF53" s="93">
        <v>227.7</v>
      </c>
      <c r="KG53" s="93">
        <v>226.8</v>
      </c>
      <c r="KH53" s="93">
        <v>225.9</v>
      </c>
      <c r="KI53" s="93">
        <v>225</v>
      </c>
      <c r="KJ53" s="93">
        <v>224.1</v>
      </c>
      <c r="KK53" s="93">
        <v>223.2</v>
      </c>
      <c r="KL53" s="93">
        <v>222.3</v>
      </c>
      <c r="KM53" s="93">
        <v>221.41</v>
      </c>
      <c r="KN53" s="93">
        <v>220.51</v>
      </c>
      <c r="KO53" s="93">
        <v>219.62</v>
      </c>
      <c r="KP53" s="93">
        <v>218.72</v>
      </c>
      <c r="KQ53" s="93">
        <v>217.83</v>
      </c>
      <c r="KR53" s="98">
        <f t="shared" si="29"/>
        <v>219.77</v>
      </c>
      <c r="KS53" s="98">
        <f t="shared" si="29"/>
        <v>218.98</v>
      </c>
      <c r="KT53" s="98">
        <f t="shared" si="29"/>
        <v>218.16</v>
      </c>
      <c r="KU53" s="98">
        <f t="shared" si="29"/>
        <v>217.37</v>
      </c>
      <c r="KV53" s="98">
        <f t="shared" si="29"/>
        <v>216.59</v>
      </c>
      <c r="KW53" s="98">
        <f t="shared" si="29"/>
        <v>215.8</v>
      </c>
      <c r="KX53" s="98">
        <f t="shared" si="29"/>
        <v>215.01</v>
      </c>
      <c r="KY53" s="98">
        <f t="shared" si="29"/>
        <v>214.23</v>
      </c>
      <c r="KZ53" s="98">
        <f t="shared" si="29"/>
        <v>213.44</v>
      </c>
      <c r="LA53" s="98">
        <f t="shared" si="29"/>
        <v>212.66</v>
      </c>
      <c r="LB53" s="98">
        <f t="shared" si="29"/>
        <v>211.88</v>
      </c>
      <c r="LC53" s="98">
        <f t="shared" si="29"/>
        <v>211.1</v>
      </c>
      <c r="LD53" s="98">
        <f t="shared" si="29"/>
        <v>210.32</v>
      </c>
      <c r="LE53" s="98">
        <f t="shared" si="29"/>
        <v>209.54</v>
      </c>
      <c r="LF53" s="98">
        <f t="shared" si="29"/>
        <v>208.77</v>
      </c>
      <c r="LG53" s="98">
        <f t="shared" si="29"/>
        <v>208</v>
      </c>
      <c r="LH53" s="98">
        <f t="shared" si="33"/>
        <v>207.22</v>
      </c>
      <c r="LI53" s="98">
        <f t="shared" si="33"/>
        <v>206.45</v>
      </c>
      <c r="LJ53" s="98">
        <f t="shared" si="33"/>
        <v>205.68</v>
      </c>
      <c r="LK53" s="98">
        <f t="shared" si="33"/>
        <v>204.91</v>
      </c>
      <c r="LL53" s="98">
        <f t="shared" si="33"/>
        <v>204.14</v>
      </c>
      <c r="LM53" s="98">
        <f t="shared" si="33"/>
        <v>203.38</v>
      </c>
      <c r="LN53" s="98">
        <f t="shared" si="33"/>
        <v>202.61</v>
      </c>
      <c r="LO53" s="98">
        <f t="shared" si="33"/>
        <v>201.85</v>
      </c>
      <c r="LP53" s="98">
        <f t="shared" si="33"/>
        <v>201.09</v>
      </c>
      <c r="LQ53" s="98">
        <f t="shared" si="33"/>
        <v>200.33</v>
      </c>
      <c r="LR53" s="98">
        <f t="shared" si="33"/>
        <v>199.57</v>
      </c>
      <c r="LS53" s="98">
        <f t="shared" si="33"/>
        <v>198.81</v>
      </c>
      <c r="LT53" s="98">
        <f t="shared" si="33"/>
        <v>198.06</v>
      </c>
      <c r="LU53" s="98">
        <f t="shared" si="33"/>
        <v>197.31</v>
      </c>
      <c r="LV53" s="98">
        <f t="shared" si="33"/>
        <v>196.55</v>
      </c>
      <c r="LW53" s="98">
        <f t="shared" si="33"/>
        <v>195.8</v>
      </c>
      <c r="LX53" s="98">
        <f t="shared" si="30"/>
        <v>195.05</v>
      </c>
      <c r="LY53" s="98">
        <f t="shared" si="30"/>
        <v>194.3</v>
      </c>
      <c r="LZ53" s="98">
        <f t="shared" si="30"/>
        <v>193.56</v>
      </c>
      <c r="MA53" s="98">
        <f t="shared" si="30"/>
        <v>192.81</v>
      </c>
      <c r="MB53" s="98">
        <f t="shared" si="30"/>
        <v>192.07</v>
      </c>
      <c r="MC53" s="98">
        <f t="shared" si="30"/>
        <v>191.33</v>
      </c>
      <c r="MD53" s="100">
        <f t="shared" si="30"/>
        <v>190.59</v>
      </c>
      <c r="ME53" s="101">
        <f t="shared" si="30"/>
        <v>189.86</v>
      </c>
      <c r="MF53" s="101">
        <f t="shared" si="30"/>
        <v>189.12</v>
      </c>
      <c r="MG53" s="101">
        <f t="shared" si="30"/>
        <v>188.39</v>
      </c>
      <c r="MH53" s="101">
        <f t="shared" si="30"/>
        <v>187.65</v>
      </c>
      <c r="MI53" s="101">
        <f t="shared" si="30"/>
        <v>186.92</v>
      </c>
      <c r="MJ53" s="101">
        <f t="shared" si="30"/>
        <v>186.19</v>
      </c>
      <c r="MK53" s="101">
        <f t="shared" si="30"/>
        <v>185.46</v>
      </c>
      <c r="ML53" s="101">
        <f t="shared" si="30"/>
        <v>184.74</v>
      </c>
      <c r="MM53" s="101">
        <f t="shared" si="30"/>
        <v>184.01</v>
      </c>
      <c r="MN53" s="101">
        <f t="shared" si="32"/>
        <v>183.29</v>
      </c>
      <c r="MO53" s="101">
        <f t="shared" si="32"/>
        <v>182.57</v>
      </c>
      <c r="MP53" s="101">
        <f t="shared" si="32"/>
        <v>181.85</v>
      </c>
      <c r="MQ53" s="101">
        <f t="shared" si="32"/>
        <v>181.14</v>
      </c>
      <c r="MR53" s="101">
        <f t="shared" si="32"/>
        <v>180.42</v>
      </c>
      <c r="MS53" s="101">
        <f t="shared" si="32"/>
        <v>179.71</v>
      </c>
      <c r="MT53" s="101">
        <f t="shared" si="32"/>
        <v>178.99</v>
      </c>
      <c r="MU53" s="101">
        <f t="shared" si="32"/>
        <v>178.28</v>
      </c>
      <c r="MV53" s="101">
        <f t="shared" si="32"/>
        <v>177.57</v>
      </c>
      <c r="MW53" s="101">
        <f t="shared" si="32"/>
        <v>176.87</v>
      </c>
      <c r="MX53" s="101">
        <f t="shared" si="32"/>
        <v>176.16</v>
      </c>
      <c r="MY53" s="101">
        <f t="shared" si="32"/>
        <v>175.46</v>
      </c>
    </row>
    <row r="54" spans="1:363" ht="15.75" x14ac:dyDescent="0.25">
      <c r="A54" s="90" t="s">
        <v>6</v>
      </c>
      <c r="B54" s="95">
        <v>2064</v>
      </c>
      <c r="C54" s="93">
        <v>516.86</v>
      </c>
      <c r="D54" s="93">
        <v>515.82000000000005</v>
      </c>
      <c r="E54" s="93">
        <v>514.79</v>
      </c>
      <c r="F54" s="93">
        <v>513.75</v>
      </c>
      <c r="G54" s="93">
        <v>512.72</v>
      </c>
      <c r="H54" s="93">
        <v>511.68</v>
      </c>
      <c r="I54" s="93">
        <v>510.65</v>
      </c>
      <c r="J54" s="93">
        <v>509.61</v>
      </c>
      <c r="K54" s="93">
        <v>508.58</v>
      </c>
      <c r="L54" s="93">
        <v>507.54</v>
      </c>
      <c r="M54" s="93">
        <v>506.51</v>
      </c>
      <c r="N54" s="93">
        <v>505.47</v>
      </c>
      <c r="O54" s="93">
        <v>504.44</v>
      </c>
      <c r="P54" s="93">
        <v>503.4</v>
      </c>
      <c r="Q54" s="93">
        <v>502.37</v>
      </c>
      <c r="R54" s="93">
        <v>501.33</v>
      </c>
      <c r="S54" s="93">
        <v>500.3</v>
      </c>
      <c r="T54" s="93">
        <v>499.26</v>
      </c>
      <c r="U54" s="93">
        <v>498.23</v>
      </c>
      <c r="V54" s="93">
        <v>497.19</v>
      </c>
      <c r="W54" s="93">
        <v>496.16</v>
      </c>
      <c r="X54" s="93">
        <v>495.12</v>
      </c>
      <c r="Y54" s="93">
        <v>494.09</v>
      </c>
      <c r="Z54" s="93">
        <v>493.05</v>
      </c>
      <c r="AA54" s="93">
        <v>492.02</v>
      </c>
      <c r="AB54" s="93">
        <v>490.98</v>
      </c>
      <c r="AC54" s="93">
        <v>489.95</v>
      </c>
      <c r="AD54" s="93">
        <v>488.91</v>
      </c>
      <c r="AE54" s="93">
        <v>487.87</v>
      </c>
      <c r="AF54" s="93">
        <v>486.84</v>
      </c>
      <c r="AG54" s="93">
        <v>485.8</v>
      </c>
      <c r="AH54" s="93">
        <v>484.77</v>
      </c>
      <c r="AI54" s="93">
        <v>483.73</v>
      </c>
      <c r="AJ54" s="93">
        <v>482.69</v>
      </c>
      <c r="AK54" s="93">
        <v>481.66</v>
      </c>
      <c r="AL54" s="93">
        <v>480.62</v>
      </c>
      <c r="AM54" s="93">
        <v>479.59</v>
      </c>
      <c r="AN54" s="93">
        <v>478.55</v>
      </c>
      <c r="AO54" s="93">
        <v>477.51</v>
      </c>
      <c r="AP54" s="93">
        <v>476.48</v>
      </c>
      <c r="AQ54" s="93">
        <v>475.44</v>
      </c>
      <c r="AR54" s="93">
        <v>474.4</v>
      </c>
      <c r="AS54" s="93">
        <v>473.37</v>
      </c>
      <c r="AT54" s="93">
        <v>472.33</v>
      </c>
      <c r="AU54" s="93">
        <v>471.29</v>
      </c>
      <c r="AV54" s="93">
        <v>470.26</v>
      </c>
      <c r="AW54" s="93">
        <v>469.22</v>
      </c>
      <c r="AX54" s="93">
        <v>468.19</v>
      </c>
      <c r="AY54" s="93">
        <v>467.15</v>
      </c>
      <c r="AZ54" s="93">
        <v>466.11</v>
      </c>
      <c r="BA54" s="93">
        <v>465.08</v>
      </c>
      <c r="BB54" s="93">
        <v>464.04</v>
      </c>
      <c r="BC54" s="93">
        <v>463</v>
      </c>
      <c r="BD54" s="93">
        <v>461.96</v>
      </c>
      <c r="BE54" s="93">
        <v>460.93</v>
      </c>
      <c r="BF54" s="93">
        <v>459.89</v>
      </c>
      <c r="BG54" s="93">
        <v>458.85</v>
      </c>
      <c r="BH54" s="93">
        <v>457.82</v>
      </c>
      <c r="BI54" s="93">
        <v>456.78</v>
      </c>
      <c r="BJ54" s="93">
        <v>455.74</v>
      </c>
      <c r="BK54" s="93">
        <v>454.71</v>
      </c>
      <c r="BL54" s="93">
        <v>453.67</v>
      </c>
      <c r="BM54" s="93">
        <v>452.63</v>
      </c>
      <c r="BN54" s="93">
        <v>451.59</v>
      </c>
      <c r="BO54" s="93">
        <v>450.55</v>
      </c>
      <c r="BP54" s="93">
        <v>449.52</v>
      </c>
      <c r="BQ54" s="93">
        <v>448.48</v>
      </c>
      <c r="BR54" s="93">
        <v>447.44</v>
      </c>
      <c r="BS54" s="93">
        <v>446.4</v>
      </c>
      <c r="BT54" s="93">
        <v>445.37</v>
      </c>
      <c r="BU54" s="93">
        <v>444.33</v>
      </c>
      <c r="BV54" s="93">
        <v>443.29</v>
      </c>
      <c r="BW54" s="93">
        <v>442.25</v>
      </c>
      <c r="BX54" s="93">
        <v>441.22</v>
      </c>
      <c r="BY54" s="93">
        <v>440.18</v>
      </c>
      <c r="BZ54" s="93">
        <v>439.14</v>
      </c>
      <c r="CA54" s="93">
        <v>438.11</v>
      </c>
      <c r="CB54" s="93">
        <v>437.07</v>
      </c>
      <c r="CC54" s="93">
        <v>436.03</v>
      </c>
      <c r="CD54" s="93">
        <v>435</v>
      </c>
      <c r="CE54" s="93">
        <v>433.96</v>
      </c>
      <c r="CF54" s="93">
        <v>432.93</v>
      </c>
      <c r="CG54" s="93">
        <v>431.89</v>
      </c>
      <c r="CH54" s="93">
        <v>430.85</v>
      </c>
      <c r="CI54" s="93">
        <v>429.82</v>
      </c>
      <c r="CJ54" s="93">
        <v>428.78</v>
      </c>
      <c r="CK54" s="93">
        <v>427.74</v>
      </c>
      <c r="CL54" s="93">
        <v>426.71</v>
      </c>
      <c r="CM54" s="93">
        <v>425.67</v>
      </c>
      <c r="CN54" s="93">
        <v>424.63</v>
      </c>
      <c r="CO54" s="93">
        <v>423.6</v>
      </c>
      <c r="CP54" s="93">
        <v>422.56</v>
      </c>
      <c r="CQ54" s="93">
        <v>421.52</v>
      </c>
      <c r="CR54" s="93">
        <v>420.49</v>
      </c>
      <c r="CS54" s="93">
        <v>419.45</v>
      </c>
      <c r="CT54" s="93">
        <v>418.41</v>
      </c>
      <c r="CU54" s="93">
        <v>417.38</v>
      </c>
      <c r="CV54" s="93">
        <v>416.34</v>
      </c>
      <c r="CW54" s="93">
        <v>415.31</v>
      </c>
      <c r="CX54" s="93">
        <v>414.27</v>
      </c>
      <c r="CY54" s="93">
        <v>413.24</v>
      </c>
      <c r="CZ54" s="93">
        <v>412.2</v>
      </c>
      <c r="DA54" s="93">
        <v>411.17</v>
      </c>
      <c r="DB54" s="93">
        <v>410.13</v>
      </c>
      <c r="DC54" s="93">
        <v>409.1</v>
      </c>
      <c r="DD54" s="93">
        <v>408.06</v>
      </c>
      <c r="DE54" s="93">
        <v>407.03</v>
      </c>
      <c r="DF54" s="93">
        <v>405.99</v>
      </c>
      <c r="DG54" s="93">
        <v>404.96</v>
      </c>
      <c r="DH54" s="93">
        <v>403.93</v>
      </c>
      <c r="DI54" s="93">
        <v>402.89</v>
      </c>
      <c r="DJ54" s="93">
        <v>401.86</v>
      </c>
      <c r="DK54" s="93">
        <v>400.83</v>
      </c>
      <c r="DL54" s="93">
        <v>399.79</v>
      </c>
      <c r="DM54" s="93">
        <v>398.76</v>
      </c>
      <c r="DN54" s="93">
        <v>397.73</v>
      </c>
      <c r="DO54" s="93">
        <v>396.69</v>
      </c>
      <c r="DP54" s="93">
        <v>395.66</v>
      </c>
      <c r="DQ54" s="93">
        <v>394.63</v>
      </c>
      <c r="DR54" s="93">
        <v>393.6</v>
      </c>
      <c r="DS54" s="93">
        <v>392.56</v>
      </c>
      <c r="DT54" s="93">
        <v>391.53</v>
      </c>
      <c r="DU54" s="93">
        <v>390.51</v>
      </c>
      <c r="DV54" s="93">
        <v>389.48</v>
      </c>
      <c r="DW54" s="93">
        <v>388.45</v>
      </c>
      <c r="DX54" s="93">
        <v>387.42</v>
      </c>
      <c r="DY54" s="93">
        <v>386.39</v>
      </c>
      <c r="DZ54" s="93">
        <v>385.37</v>
      </c>
      <c r="EA54" s="93">
        <v>384.34</v>
      </c>
      <c r="EB54" s="93">
        <v>383.31</v>
      </c>
      <c r="EC54" s="93">
        <v>382.28</v>
      </c>
      <c r="ED54" s="93">
        <v>381.26</v>
      </c>
      <c r="EE54" s="93">
        <v>380.23</v>
      </c>
      <c r="EF54" s="93">
        <v>379.21</v>
      </c>
      <c r="EG54" s="93">
        <v>378.19</v>
      </c>
      <c r="EH54" s="93">
        <v>377.17</v>
      </c>
      <c r="EI54" s="93">
        <v>376.15</v>
      </c>
      <c r="EJ54" s="93">
        <v>375.12</v>
      </c>
      <c r="EK54" s="93">
        <v>374.1</v>
      </c>
      <c r="EL54" s="93">
        <v>373.08</v>
      </c>
      <c r="EM54" s="93">
        <v>372.06</v>
      </c>
      <c r="EN54" s="93">
        <v>371.04</v>
      </c>
      <c r="EO54" s="93">
        <v>370.02</v>
      </c>
      <c r="EP54" s="93">
        <v>369</v>
      </c>
      <c r="EQ54" s="93">
        <v>367.99</v>
      </c>
      <c r="ER54" s="93">
        <v>366.97</v>
      </c>
      <c r="ES54" s="93">
        <v>365.96</v>
      </c>
      <c r="ET54" s="93">
        <v>364.94</v>
      </c>
      <c r="EU54" s="93">
        <v>363.93</v>
      </c>
      <c r="EV54" s="93">
        <v>362.91</v>
      </c>
      <c r="EW54" s="93">
        <v>361.9</v>
      </c>
      <c r="EX54" s="93">
        <v>360.88</v>
      </c>
      <c r="EY54" s="93">
        <v>359.87</v>
      </c>
      <c r="EZ54" s="93">
        <v>358.86</v>
      </c>
      <c r="FA54" s="93">
        <v>357.84</v>
      </c>
      <c r="FB54" s="93">
        <v>356.83</v>
      </c>
      <c r="FC54" s="93">
        <v>355.82</v>
      </c>
      <c r="FD54" s="93">
        <v>354.81</v>
      </c>
      <c r="FE54" s="93">
        <v>353.8</v>
      </c>
      <c r="FF54" s="93">
        <v>352.8</v>
      </c>
      <c r="FG54" s="93">
        <v>351.79</v>
      </c>
      <c r="FH54" s="93">
        <v>350.78</v>
      </c>
      <c r="FI54" s="93">
        <v>349.78</v>
      </c>
      <c r="FJ54" s="93">
        <v>348.77</v>
      </c>
      <c r="FK54" s="93">
        <v>347.77</v>
      </c>
      <c r="FL54" s="93">
        <v>346.76</v>
      </c>
      <c r="FM54" s="93">
        <v>345.76</v>
      </c>
      <c r="FN54" s="93">
        <v>344.75</v>
      </c>
      <c r="FO54" s="93">
        <v>343.75</v>
      </c>
      <c r="FP54" s="93">
        <v>342.75</v>
      </c>
      <c r="FQ54" s="93">
        <v>341.74</v>
      </c>
      <c r="FR54" s="93">
        <v>340.74</v>
      </c>
      <c r="FS54" s="93">
        <v>339.74</v>
      </c>
      <c r="FT54" s="93">
        <v>338.74</v>
      </c>
      <c r="FU54" s="93">
        <v>337.74</v>
      </c>
      <c r="FV54" s="93">
        <v>336.74</v>
      </c>
      <c r="FW54" s="93">
        <v>335.74</v>
      </c>
      <c r="FX54" s="93">
        <v>334.74</v>
      </c>
      <c r="FY54" s="93">
        <v>333.74</v>
      </c>
      <c r="FZ54" s="93">
        <v>332.74</v>
      </c>
      <c r="GA54" s="93">
        <v>331.74</v>
      </c>
      <c r="GB54" s="93">
        <v>330.75</v>
      </c>
      <c r="GC54" s="93">
        <v>329.75</v>
      </c>
      <c r="GD54" s="93">
        <v>328.76</v>
      </c>
      <c r="GE54" s="93">
        <v>327.76</v>
      </c>
      <c r="GF54" s="93">
        <v>326.76</v>
      </c>
      <c r="GG54" s="93">
        <v>325.76</v>
      </c>
      <c r="GH54" s="93">
        <v>324.77999999999997</v>
      </c>
      <c r="GI54" s="93">
        <v>323.77999999999997</v>
      </c>
      <c r="GJ54" s="93">
        <v>322.79000000000002</v>
      </c>
      <c r="GK54" s="93">
        <v>321.79000000000002</v>
      </c>
      <c r="GL54" s="93">
        <v>320.81</v>
      </c>
      <c r="GM54" s="93">
        <v>319.82</v>
      </c>
      <c r="GN54" s="93">
        <v>318.82</v>
      </c>
      <c r="GO54" s="93">
        <v>317.83999999999997</v>
      </c>
      <c r="GP54" s="93">
        <v>316.85000000000002</v>
      </c>
      <c r="GQ54" s="93">
        <v>315.88</v>
      </c>
      <c r="GR54" s="93">
        <v>314.89</v>
      </c>
      <c r="GS54" s="93">
        <v>313.91000000000003</v>
      </c>
      <c r="GT54" s="93">
        <v>312.93</v>
      </c>
      <c r="GU54" s="93">
        <v>311.95</v>
      </c>
      <c r="GV54" s="93">
        <v>310.97000000000003</v>
      </c>
      <c r="GW54" s="93">
        <v>309.99</v>
      </c>
      <c r="GX54" s="93">
        <v>309.01</v>
      </c>
      <c r="GY54" s="93">
        <v>308.02999999999997</v>
      </c>
      <c r="GZ54" s="93">
        <v>307.04000000000002</v>
      </c>
      <c r="HA54" s="93">
        <v>306.07</v>
      </c>
      <c r="HB54" s="93">
        <v>305.10000000000002</v>
      </c>
      <c r="HC54" s="93">
        <v>304.12</v>
      </c>
      <c r="HD54" s="93">
        <v>303.14999999999998</v>
      </c>
      <c r="HE54" s="93">
        <v>302.17</v>
      </c>
      <c r="HF54" s="93">
        <v>301.2</v>
      </c>
      <c r="HG54" s="93">
        <v>300.23</v>
      </c>
      <c r="HH54" s="93">
        <v>299.25</v>
      </c>
      <c r="HI54" s="93">
        <v>298.27999999999997</v>
      </c>
      <c r="HJ54" s="93">
        <v>297.31</v>
      </c>
      <c r="HK54" s="93">
        <v>296.33999999999997</v>
      </c>
      <c r="HL54" s="93">
        <v>295.38</v>
      </c>
      <c r="HM54" s="93">
        <v>294.42</v>
      </c>
      <c r="HN54" s="93">
        <v>293.45999999999998</v>
      </c>
      <c r="HO54" s="93">
        <v>292.5</v>
      </c>
      <c r="HP54" s="93">
        <v>291.54000000000002</v>
      </c>
      <c r="HQ54" s="93">
        <v>290.57</v>
      </c>
      <c r="HR54" s="93">
        <v>289.62</v>
      </c>
      <c r="HS54" s="93">
        <v>288.66000000000003</v>
      </c>
      <c r="HT54" s="93">
        <v>287.70999999999998</v>
      </c>
      <c r="HU54" s="93">
        <v>286.75</v>
      </c>
      <c r="HV54" s="93">
        <v>285.79000000000002</v>
      </c>
      <c r="HW54" s="93">
        <v>284.83999999999997</v>
      </c>
      <c r="HX54" s="93">
        <v>283.89</v>
      </c>
      <c r="HY54" s="93">
        <v>282.94</v>
      </c>
      <c r="HZ54" s="93">
        <v>281.99</v>
      </c>
      <c r="IA54" s="93">
        <v>281.04000000000002</v>
      </c>
      <c r="IB54" s="93">
        <v>280.08999999999997</v>
      </c>
      <c r="IC54" s="93">
        <v>279.14</v>
      </c>
      <c r="ID54" s="93">
        <v>278.19</v>
      </c>
      <c r="IE54" s="93">
        <v>277.24</v>
      </c>
      <c r="IF54" s="93">
        <v>276.29000000000002</v>
      </c>
      <c r="IG54" s="93">
        <v>275.35000000000002</v>
      </c>
      <c r="IH54" s="93">
        <v>274.39999999999998</v>
      </c>
      <c r="II54" s="93">
        <v>273.45</v>
      </c>
      <c r="IJ54" s="93">
        <v>272.51</v>
      </c>
      <c r="IK54" s="93">
        <v>271.57</v>
      </c>
      <c r="IL54" s="93">
        <v>270.63</v>
      </c>
      <c r="IM54" s="93">
        <v>269.69</v>
      </c>
      <c r="IN54" s="93">
        <v>268.75</v>
      </c>
      <c r="IO54" s="93">
        <v>267.81</v>
      </c>
      <c r="IP54" s="93">
        <v>266.87</v>
      </c>
      <c r="IQ54" s="93">
        <v>265.93</v>
      </c>
      <c r="IR54" s="93">
        <v>264.99</v>
      </c>
      <c r="IS54" s="93">
        <v>264.06</v>
      </c>
      <c r="IT54" s="93">
        <v>263.12</v>
      </c>
      <c r="IU54" s="93">
        <v>262.19</v>
      </c>
      <c r="IV54" s="93">
        <v>261.26</v>
      </c>
      <c r="IW54" s="93">
        <v>260.33999999999997</v>
      </c>
      <c r="IX54" s="93">
        <v>259.42</v>
      </c>
      <c r="IY54" s="93">
        <v>258.5</v>
      </c>
      <c r="IZ54" s="93">
        <v>257.57</v>
      </c>
      <c r="JA54" s="93">
        <v>256.65999999999997</v>
      </c>
      <c r="JB54" s="93">
        <v>255.74</v>
      </c>
      <c r="JC54" s="93">
        <v>254.82</v>
      </c>
      <c r="JD54" s="93">
        <v>253.9</v>
      </c>
      <c r="JE54" s="93">
        <v>252.99</v>
      </c>
      <c r="JF54" s="93">
        <v>252.07</v>
      </c>
      <c r="JG54" s="93">
        <v>251.15</v>
      </c>
      <c r="JH54" s="93">
        <v>250.24</v>
      </c>
      <c r="JI54" s="93">
        <v>249.33</v>
      </c>
      <c r="JJ54" s="93">
        <v>248.42</v>
      </c>
      <c r="JK54" s="93">
        <v>247.51</v>
      </c>
      <c r="JL54" s="93">
        <v>246.6</v>
      </c>
      <c r="JM54" s="93">
        <v>245.69</v>
      </c>
      <c r="JN54" s="93">
        <v>244.78</v>
      </c>
      <c r="JO54" s="93">
        <v>243.87</v>
      </c>
      <c r="JP54" s="93">
        <v>242.96</v>
      </c>
      <c r="JQ54" s="93">
        <v>242.06</v>
      </c>
      <c r="JR54" s="93">
        <v>241.15</v>
      </c>
      <c r="JS54" s="93">
        <v>240.25</v>
      </c>
      <c r="JT54" s="93">
        <v>239.34</v>
      </c>
      <c r="JU54" s="93">
        <v>238.43</v>
      </c>
      <c r="JV54" s="93">
        <v>237.52</v>
      </c>
      <c r="JW54" s="93">
        <v>236.61</v>
      </c>
      <c r="JX54" s="93">
        <v>235.7</v>
      </c>
      <c r="JY54" s="93">
        <v>234.79</v>
      </c>
      <c r="JZ54" s="93">
        <v>233.88</v>
      </c>
      <c r="KA54" s="93">
        <v>232.97</v>
      </c>
      <c r="KB54" s="93">
        <v>232.07</v>
      </c>
      <c r="KC54" s="93">
        <v>231.16</v>
      </c>
      <c r="KD54" s="93">
        <v>230.26</v>
      </c>
      <c r="KE54" s="93">
        <v>229.35</v>
      </c>
      <c r="KF54" s="93">
        <v>228.45</v>
      </c>
      <c r="KG54" s="93">
        <v>227.55</v>
      </c>
      <c r="KH54" s="93">
        <v>226.65</v>
      </c>
      <c r="KI54" s="93">
        <v>225.75</v>
      </c>
      <c r="KJ54" s="93">
        <v>224.85</v>
      </c>
      <c r="KK54" s="93">
        <v>223.95</v>
      </c>
      <c r="KL54" s="93">
        <v>223.05</v>
      </c>
      <c r="KM54" s="93">
        <v>222.16</v>
      </c>
      <c r="KN54" s="93">
        <v>221.26</v>
      </c>
      <c r="KO54" s="93">
        <v>220.37</v>
      </c>
      <c r="KP54" s="93">
        <v>219.47</v>
      </c>
      <c r="KQ54" s="93">
        <v>218.58</v>
      </c>
      <c r="KR54" s="98">
        <f t="shared" ref="KR54:LA56" si="34">KR53+0.75</f>
        <v>220.52</v>
      </c>
      <c r="KS54" s="98">
        <f t="shared" si="34"/>
        <v>219.73</v>
      </c>
      <c r="KT54" s="98">
        <f t="shared" si="34"/>
        <v>218.91</v>
      </c>
      <c r="KU54" s="98">
        <f t="shared" si="34"/>
        <v>218.12</v>
      </c>
      <c r="KV54" s="98">
        <f t="shared" si="34"/>
        <v>217.34</v>
      </c>
      <c r="KW54" s="98">
        <f t="shared" si="34"/>
        <v>216.55</v>
      </c>
      <c r="KX54" s="98">
        <f t="shared" si="34"/>
        <v>215.76</v>
      </c>
      <c r="KY54" s="98">
        <f t="shared" si="34"/>
        <v>214.98</v>
      </c>
      <c r="KZ54" s="98">
        <f t="shared" si="34"/>
        <v>214.19</v>
      </c>
      <c r="LA54" s="98">
        <f t="shared" si="34"/>
        <v>213.41</v>
      </c>
      <c r="LB54" s="98">
        <f t="shared" ref="LB54:LK56" si="35">LB53+0.75</f>
        <v>212.63</v>
      </c>
      <c r="LC54" s="98">
        <f t="shared" si="35"/>
        <v>211.85</v>
      </c>
      <c r="LD54" s="98">
        <f t="shared" si="35"/>
        <v>211.07</v>
      </c>
      <c r="LE54" s="98">
        <f t="shared" si="35"/>
        <v>210.29</v>
      </c>
      <c r="LF54" s="98">
        <f t="shared" si="35"/>
        <v>209.52</v>
      </c>
      <c r="LG54" s="98">
        <f t="shared" si="35"/>
        <v>208.75</v>
      </c>
      <c r="LH54" s="98">
        <f t="shared" si="35"/>
        <v>207.97</v>
      </c>
      <c r="LI54" s="98">
        <f t="shared" si="35"/>
        <v>207.2</v>
      </c>
      <c r="LJ54" s="98">
        <f t="shared" si="35"/>
        <v>206.43</v>
      </c>
      <c r="LK54" s="98">
        <f t="shared" si="35"/>
        <v>205.66</v>
      </c>
      <c r="LL54" s="98">
        <f t="shared" si="33"/>
        <v>204.89</v>
      </c>
      <c r="LM54" s="98">
        <f t="shared" si="33"/>
        <v>204.13</v>
      </c>
      <c r="LN54" s="98">
        <f t="shared" si="33"/>
        <v>203.36</v>
      </c>
      <c r="LO54" s="98">
        <f t="shared" si="33"/>
        <v>202.6</v>
      </c>
      <c r="LP54" s="98">
        <f t="shared" si="33"/>
        <v>201.84</v>
      </c>
      <c r="LQ54" s="98">
        <f t="shared" si="33"/>
        <v>201.08</v>
      </c>
      <c r="LR54" s="98">
        <f t="shared" si="33"/>
        <v>200.32</v>
      </c>
      <c r="LS54" s="98">
        <f t="shared" si="33"/>
        <v>199.56</v>
      </c>
      <c r="LT54" s="98">
        <f t="shared" si="33"/>
        <v>198.81</v>
      </c>
      <c r="LU54" s="98">
        <f t="shared" si="33"/>
        <v>198.06</v>
      </c>
      <c r="LV54" s="98">
        <f t="shared" si="33"/>
        <v>197.3</v>
      </c>
      <c r="LW54" s="98">
        <f t="shared" si="33"/>
        <v>196.55</v>
      </c>
      <c r="LX54" s="98">
        <f t="shared" si="30"/>
        <v>195.8</v>
      </c>
      <c r="LY54" s="98">
        <f t="shared" si="30"/>
        <v>195.05</v>
      </c>
      <c r="LZ54" s="98">
        <f t="shared" si="30"/>
        <v>194.31</v>
      </c>
      <c r="MA54" s="98">
        <f t="shared" si="30"/>
        <v>193.56</v>
      </c>
      <c r="MB54" s="98">
        <f t="shared" si="30"/>
        <v>192.82</v>
      </c>
      <c r="MC54" s="98">
        <f t="shared" si="30"/>
        <v>192.08</v>
      </c>
      <c r="MD54" s="100">
        <f t="shared" si="30"/>
        <v>191.34</v>
      </c>
      <c r="ME54" s="101">
        <f t="shared" si="30"/>
        <v>190.61</v>
      </c>
      <c r="MF54" s="101">
        <f t="shared" si="30"/>
        <v>189.87</v>
      </c>
      <c r="MG54" s="101">
        <f t="shared" si="30"/>
        <v>189.14</v>
      </c>
      <c r="MH54" s="101">
        <f t="shared" si="30"/>
        <v>188.4</v>
      </c>
      <c r="MI54" s="101">
        <f t="shared" si="30"/>
        <v>187.67</v>
      </c>
      <c r="MJ54" s="101">
        <f t="shared" si="30"/>
        <v>186.94</v>
      </c>
      <c r="MK54" s="101">
        <f t="shared" si="30"/>
        <v>186.21</v>
      </c>
      <c r="ML54" s="101">
        <f t="shared" si="30"/>
        <v>185.49</v>
      </c>
      <c r="MM54" s="101">
        <f t="shared" si="30"/>
        <v>184.76</v>
      </c>
      <c r="MN54" s="101">
        <f t="shared" si="32"/>
        <v>184.04</v>
      </c>
      <c r="MO54" s="101">
        <f t="shared" si="32"/>
        <v>183.32</v>
      </c>
      <c r="MP54" s="101">
        <f t="shared" si="32"/>
        <v>182.6</v>
      </c>
      <c r="MQ54" s="101">
        <f t="shared" si="32"/>
        <v>181.89</v>
      </c>
      <c r="MR54" s="101">
        <f t="shared" si="32"/>
        <v>181.17</v>
      </c>
      <c r="MS54" s="101">
        <f t="shared" si="32"/>
        <v>180.46</v>
      </c>
      <c r="MT54" s="101">
        <f t="shared" si="32"/>
        <v>179.74</v>
      </c>
      <c r="MU54" s="101">
        <f t="shared" si="32"/>
        <v>179.03</v>
      </c>
      <c r="MV54" s="101">
        <f t="shared" si="32"/>
        <v>178.32</v>
      </c>
      <c r="MW54" s="101">
        <f t="shared" si="32"/>
        <v>177.62</v>
      </c>
      <c r="MX54" s="101">
        <f t="shared" si="32"/>
        <v>176.91</v>
      </c>
      <c r="MY54" s="101">
        <f t="shared" si="32"/>
        <v>176.21</v>
      </c>
    </row>
    <row r="55" spans="1:363" ht="15.75" x14ac:dyDescent="0.25">
      <c r="A55" s="90" t="s">
        <v>6</v>
      </c>
      <c r="B55" s="95">
        <v>2065</v>
      </c>
      <c r="C55" s="93">
        <v>517.6</v>
      </c>
      <c r="D55" s="93">
        <v>516.57000000000005</v>
      </c>
      <c r="E55" s="93">
        <v>515.54</v>
      </c>
      <c r="F55" s="93">
        <v>514.5</v>
      </c>
      <c r="G55" s="93">
        <v>513.47</v>
      </c>
      <c r="H55" s="93">
        <v>512.43000000000006</v>
      </c>
      <c r="I55" s="93">
        <v>511.4</v>
      </c>
      <c r="J55" s="93">
        <v>510.36</v>
      </c>
      <c r="K55" s="93">
        <v>509.33</v>
      </c>
      <c r="L55" s="93">
        <v>508.29</v>
      </c>
      <c r="M55" s="93">
        <v>507.26</v>
      </c>
      <c r="N55" s="93">
        <v>506.22</v>
      </c>
      <c r="O55" s="93">
        <v>505.19</v>
      </c>
      <c r="P55" s="93">
        <v>504.15</v>
      </c>
      <c r="Q55" s="93">
        <v>503.12</v>
      </c>
      <c r="R55" s="93">
        <v>502.08</v>
      </c>
      <c r="S55" s="93">
        <v>501.05</v>
      </c>
      <c r="T55" s="93">
        <v>500.01</v>
      </c>
      <c r="U55" s="93">
        <v>498.98</v>
      </c>
      <c r="V55" s="93">
        <v>497.94</v>
      </c>
      <c r="W55" s="93">
        <v>496.91</v>
      </c>
      <c r="X55" s="93">
        <v>495.87</v>
      </c>
      <c r="Y55" s="93">
        <v>494.84</v>
      </c>
      <c r="Z55" s="93">
        <v>493.8</v>
      </c>
      <c r="AA55" s="93">
        <v>492.77</v>
      </c>
      <c r="AB55" s="93">
        <v>491.73</v>
      </c>
      <c r="AC55" s="93">
        <v>490.7</v>
      </c>
      <c r="AD55" s="93">
        <v>489.66</v>
      </c>
      <c r="AE55" s="93">
        <v>488.62</v>
      </c>
      <c r="AF55" s="93">
        <v>487.59</v>
      </c>
      <c r="AG55" s="93">
        <v>486.55</v>
      </c>
      <c r="AH55" s="93">
        <v>485.52</v>
      </c>
      <c r="AI55" s="93">
        <v>484.48</v>
      </c>
      <c r="AJ55" s="93">
        <v>483.44</v>
      </c>
      <c r="AK55" s="93">
        <v>482.41</v>
      </c>
      <c r="AL55" s="93">
        <v>481.37</v>
      </c>
      <c r="AM55" s="93">
        <v>480.34</v>
      </c>
      <c r="AN55" s="93">
        <v>479.3</v>
      </c>
      <c r="AO55" s="93">
        <v>478.26</v>
      </c>
      <c r="AP55" s="93">
        <v>477.23</v>
      </c>
      <c r="AQ55" s="93">
        <v>476.19</v>
      </c>
      <c r="AR55" s="93">
        <v>475.15</v>
      </c>
      <c r="AS55" s="93">
        <v>474.12</v>
      </c>
      <c r="AT55" s="93">
        <v>473.08</v>
      </c>
      <c r="AU55" s="93">
        <v>472.04</v>
      </c>
      <c r="AV55" s="93">
        <v>471.01</v>
      </c>
      <c r="AW55" s="93">
        <v>469.97</v>
      </c>
      <c r="AX55" s="93">
        <v>468.94</v>
      </c>
      <c r="AY55" s="93">
        <v>467.9</v>
      </c>
      <c r="AZ55" s="93">
        <v>466.86</v>
      </c>
      <c r="BA55" s="93">
        <v>465.83</v>
      </c>
      <c r="BB55" s="93">
        <v>464.79</v>
      </c>
      <c r="BC55" s="93">
        <v>463.75</v>
      </c>
      <c r="BD55" s="93">
        <v>462.71</v>
      </c>
      <c r="BE55" s="93">
        <v>461.68</v>
      </c>
      <c r="BF55" s="93">
        <v>460.64</v>
      </c>
      <c r="BG55" s="93">
        <v>459.6</v>
      </c>
      <c r="BH55" s="93">
        <v>458.57</v>
      </c>
      <c r="BI55" s="93">
        <v>457.53</v>
      </c>
      <c r="BJ55" s="93">
        <v>456.49</v>
      </c>
      <c r="BK55" s="93">
        <v>455.46</v>
      </c>
      <c r="BL55" s="93">
        <v>454.42</v>
      </c>
      <c r="BM55" s="93">
        <v>453.38</v>
      </c>
      <c r="BN55" s="93">
        <v>452.34</v>
      </c>
      <c r="BO55" s="93">
        <v>451.3</v>
      </c>
      <c r="BP55" s="93">
        <v>450.27</v>
      </c>
      <c r="BQ55" s="93">
        <v>449.23</v>
      </c>
      <c r="BR55" s="93">
        <v>448.19</v>
      </c>
      <c r="BS55" s="93">
        <v>447.15</v>
      </c>
      <c r="BT55" s="93">
        <v>446.12</v>
      </c>
      <c r="BU55" s="93">
        <v>445.08</v>
      </c>
      <c r="BV55" s="93">
        <v>444.04</v>
      </c>
      <c r="BW55" s="93">
        <v>443</v>
      </c>
      <c r="BX55" s="93">
        <v>441.97</v>
      </c>
      <c r="BY55" s="93">
        <v>440.93</v>
      </c>
      <c r="BZ55" s="93">
        <v>439.89</v>
      </c>
      <c r="CA55" s="93">
        <v>438.86</v>
      </c>
      <c r="CB55" s="93">
        <v>437.82</v>
      </c>
      <c r="CC55" s="93">
        <v>436.78</v>
      </c>
      <c r="CD55" s="93">
        <v>435.75</v>
      </c>
      <c r="CE55" s="93">
        <v>434.71</v>
      </c>
      <c r="CF55" s="93">
        <v>433.68</v>
      </c>
      <c r="CG55" s="93">
        <v>432.64</v>
      </c>
      <c r="CH55" s="93">
        <v>431.6</v>
      </c>
      <c r="CI55" s="93">
        <v>430.57</v>
      </c>
      <c r="CJ55" s="93">
        <v>429.53</v>
      </c>
      <c r="CK55" s="93">
        <v>428.49</v>
      </c>
      <c r="CL55" s="93">
        <v>427.46</v>
      </c>
      <c r="CM55" s="93">
        <v>426.42</v>
      </c>
      <c r="CN55" s="93">
        <v>425.38</v>
      </c>
      <c r="CO55" s="93">
        <v>424.35</v>
      </c>
      <c r="CP55" s="93">
        <v>423.31</v>
      </c>
      <c r="CQ55" s="93">
        <v>422.27</v>
      </c>
      <c r="CR55" s="93">
        <v>421.24</v>
      </c>
      <c r="CS55" s="93">
        <v>420.2</v>
      </c>
      <c r="CT55" s="93">
        <v>419.16</v>
      </c>
      <c r="CU55" s="93">
        <v>418.13</v>
      </c>
      <c r="CV55" s="93">
        <v>417.09</v>
      </c>
      <c r="CW55" s="93">
        <v>416.06</v>
      </c>
      <c r="CX55" s="93">
        <v>415.02</v>
      </c>
      <c r="CY55" s="93">
        <v>413.99</v>
      </c>
      <c r="CZ55" s="93">
        <v>412.95</v>
      </c>
      <c r="DA55" s="93">
        <v>411.92</v>
      </c>
      <c r="DB55" s="93">
        <v>410.88</v>
      </c>
      <c r="DC55" s="93">
        <v>409.85</v>
      </c>
      <c r="DD55" s="93">
        <v>408.81</v>
      </c>
      <c r="DE55" s="93">
        <v>407.78</v>
      </c>
      <c r="DF55" s="93">
        <v>406.74</v>
      </c>
      <c r="DG55" s="93">
        <v>405.71</v>
      </c>
      <c r="DH55" s="93">
        <v>404.68</v>
      </c>
      <c r="DI55" s="93">
        <v>403.64</v>
      </c>
      <c r="DJ55" s="93">
        <v>402.61</v>
      </c>
      <c r="DK55" s="93">
        <v>401.58</v>
      </c>
      <c r="DL55" s="93">
        <v>400.54</v>
      </c>
      <c r="DM55" s="93">
        <v>399.51</v>
      </c>
      <c r="DN55" s="93">
        <v>398.48</v>
      </c>
      <c r="DO55" s="93">
        <v>397.44</v>
      </c>
      <c r="DP55" s="93">
        <v>396.41</v>
      </c>
      <c r="DQ55" s="93">
        <v>395.38</v>
      </c>
      <c r="DR55" s="93">
        <v>394.35</v>
      </c>
      <c r="DS55" s="93">
        <v>393.31</v>
      </c>
      <c r="DT55" s="93">
        <v>392.28</v>
      </c>
      <c r="DU55" s="93">
        <v>391.26</v>
      </c>
      <c r="DV55" s="93">
        <v>390.23</v>
      </c>
      <c r="DW55" s="93">
        <v>389.2</v>
      </c>
      <c r="DX55" s="93">
        <v>388.17</v>
      </c>
      <c r="DY55" s="93">
        <v>387.14</v>
      </c>
      <c r="DZ55" s="93">
        <v>386.12</v>
      </c>
      <c r="EA55" s="93">
        <v>385.09</v>
      </c>
      <c r="EB55" s="93">
        <v>384.06</v>
      </c>
      <c r="EC55" s="93">
        <v>383.03</v>
      </c>
      <c r="ED55" s="93">
        <v>382.01</v>
      </c>
      <c r="EE55" s="93">
        <v>380.98</v>
      </c>
      <c r="EF55" s="93">
        <v>379.96</v>
      </c>
      <c r="EG55" s="93">
        <v>378.94</v>
      </c>
      <c r="EH55" s="93">
        <v>377.92</v>
      </c>
      <c r="EI55" s="93">
        <v>376.9</v>
      </c>
      <c r="EJ55" s="93">
        <v>375.87</v>
      </c>
      <c r="EK55" s="93">
        <v>374.85</v>
      </c>
      <c r="EL55" s="93">
        <v>373.83</v>
      </c>
      <c r="EM55" s="93">
        <v>372.81</v>
      </c>
      <c r="EN55" s="93">
        <v>371.79</v>
      </c>
      <c r="EO55" s="93">
        <v>370.77</v>
      </c>
      <c r="EP55" s="93">
        <v>369.75</v>
      </c>
      <c r="EQ55" s="93">
        <v>368.74</v>
      </c>
      <c r="ER55" s="93">
        <v>367.72</v>
      </c>
      <c r="ES55" s="93">
        <v>366.71</v>
      </c>
      <c r="ET55" s="93">
        <v>365.69</v>
      </c>
      <c r="EU55" s="93">
        <v>364.68</v>
      </c>
      <c r="EV55" s="93">
        <v>363.66</v>
      </c>
      <c r="EW55" s="93">
        <v>362.65</v>
      </c>
      <c r="EX55" s="93">
        <v>361.63</v>
      </c>
      <c r="EY55" s="93">
        <v>360.62</v>
      </c>
      <c r="EZ55" s="93">
        <v>359.61</v>
      </c>
      <c r="FA55" s="93">
        <v>358.59</v>
      </c>
      <c r="FB55" s="93">
        <v>357.58</v>
      </c>
      <c r="FC55" s="93">
        <v>356.57</v>
      </c>
      <c r="FD55" s="93">
        <v>355.56</v>
      </c>
      <c r="FE55" s="93">
        <v>354.55</v>
      </c>
      <c r="FF55" s="93">
        <v>353.55</v>
      </c>
      <c r="FG55" s="93">
        <v>352.54</v>
      </c>
      <c r="FH55" s="93">
        <v>351.53</v>
      </c>
      <c r="FI55" s="93">
        <v>350.53</v>
      </c>
      <c r="FJ55" s="93">
        <v>349.52</v>
      </c>
      <c r="FK55" s="93">
        <v>348.52</v>
      </c>
      <c r="FL55" s="93">
        <v>347.51</v>
      </c>
      <c r="FM55" s="93">
        <v>346.51</v>
      </c>
      <c r="FN55" s="93">
        <v>345.5</v>
      </c>
      <c r="FO55" s="93">
        <v>344.5</v>
      </c>
      <c r="FP55" s="93">
        <v>343.5</v>
      </c>
      <c r="FQ55" s="93">
        <v>342.49</v>
      </c>
      <c r="FR55" s="93">
        <v>341.49</v>
      </c>
      <c r="FS55" s="93">
        <v>340.49</v>
      </c>
      <c r="FT55" s="93">
        <v>339.49</v>
      </c>
      <c r="FU55" s="93">
        <v>338.49</v>
      </c>
      <c r="FV55" s="93">
        <v>337.49</v>
      </c>
      <c r="FW55" s="93">
        <v>336.49</v>
      </c>
      <c r="FX55" s="93">
        <v>335.49</v>
      </c>
      <c r="FY55" s="93">
        <v>334.49</v>
      </c>
      <c r="FZ55" s="93">
        <v>333.49</v>
      </c>
      <c r="GA55" s="93">
        <v>332.49</v>
      </c>
      <c r="GB55" s="93">
        <v>331.5</v>
      </c>
      <c r="GC55" s="93">
        <v>330.5</v>
      </c>
      <c r="GD55" s="93">
        <v>329.51</v>
      </c>
      <c r="GE55" s="93">
        <v>328.51</v>
      </c>
      <c r="GF55" s="93">
        <v>327.51</v>
      </c>
      <c r="GG55" s="93">
        <v>326.51</v>
      </c>
      <c r="GH55" s="93">
        <v>325.52999999999997</v>
      </c>
      <c r="GI55" s="93">
        <v>324.52999999999997</v>
      </c>
      <c r="GJ55" s="93">
        <v>323.54000000000002</v>
      </c>
      <c r="GK55" s="93">
        <v>322.54000000000002</v>
      </c>
      <c r="GL55" s="93">
        <v>321.56</v>
      </c>
      <c r="GM55" s="93">
        <v>320.57</v>
      </c>
      <c r="GN55" s="93">
        <v>319.57</v>
      </c>
      <c r="GO55" s="93">
        <v>318.58999999999997</v>
      </c>
      <c r="GP55" s="93">
        <v>317.60000000000002</v>
      </c>
      <c r="GQ55" s="93">
        <v>316.63</v>
      </c>
      <c r="GR55" s="93">
        <v>315.64</v>
      </c>
      <c r="GS55" s="93">
        <v>314.66000000000003</v>
      </c>
      <c r="GT55" s="93">
        <v>313.68</v>
      </c>
      <c r="GU55" s="93">
        <v>312.7</v>
      </c>
      <c r="GV55" s="93">
        <v>311.72000000000003</v>
      </c>
      <c r="GW55" s="93">
        <v>310.74</v>
      </c>
      <c r="GX55" s="93">
        <v>309.76</v>
      </c>
      <c r="GY55" s="93">
        <v>308.77999999999997</v>
      </c>
      <c r="GZ55" s="93">
        <v>307.79000000000002</v>
      </c>
      <c r="HA55" s="93">
        <v>306.82</v>
      </c>
      <c r="HB55" s="93">
        <v>305.85000000000002</v>
      </c>
      <c r="HC55" s="93">
        <v>304.87</v>
      </c>
      <c r="HD55" s="93">
        <v>303.89999999999998</v>
      </c>
      <c r="HE55" s="93">
        <v>302.92</v>
      </c>
      <c r="HF55" s="93">
        <v>301.95</v>
      </c>
      <c r="HG55" s="93">
        <v>300.98</v>
      </c>
      <c r="HH55" s="93">
        <v>300</v>
      </c>
      <c r="HI55" s="93">
        <v>299.02999999999997</v>
      </c>
      <c r="HJ55" s="93">
        <v>298.06</v>
      </c>
      <c r="HK55" s="93">
        <v>297.08999999999997</v>
      </c>
      <c r="HL55" s="93">
        <v>296.13</v>
      </c>
      <c r="HM55" s="93">
        <v>295.17</v>
      </c>
      <c r="HN55" s="93">
        <v>294.20999999999998</v>
      </c>
      <c r="HO55" s="93">
        <v>293.25</v>
      </c>
      <c r="HP55" s="93">
        <v>292.29000000000002</v>
      </c>
      <c r="HQ55" s="93">
        <v>291.32</v>
      </c>
      <c r="HR55" s="93">
        <v>290.37</v>
      </c>
      <c r="HS55" s="93">
        <v>289.41000000000003</v>
      </c>
      <c r="HT55" s="93">
        <v>288.45999999999998</v>
      </c>
      <c r="HU55" s="93">
        <v>287.5</v>
      </c>
      <c r="HV55" s="93">
        <v>286.54000000000002</v>
      </c>
      <c r="HW55" s="93">
        <v>285.58999999999997</v>
      </c>
      <c r="HX55" s="93">
        <v>284.64</v>
      </c>
      <c r="HY55" s="93">
        <v>283.69</v>
      </c>
      <c r="HZ55" s="93">
        <v>282.74</v>
      </c>
      <c r="IA55" s="93">
        <v>281.79000000000002</v>
      </c>
      <c r="IB55" s="93">
        <v>280.83999999999997</v>
      </c>
      <c r="IC55" s="93">
        <v>279.89</v>
      </c>
      <c r="ID55" s="93">
        <v>278.94</v>
      </c>
      <c r="IE55" s="93">
        <v>277.99</v>
      </c>
      <c r="IF55" s="93">
        <v>277.04000000000002</v>
      </c>
      <c r="IG55" s="93">
        <v>276.10000000000002</v>
      </c>
      <c r="IH55" s="93">
        <v>275.14999999999998</v>
      </c>
      <c r="II55" s="93">
        <v>274.2</v>
      </c>
      <c r="IJ55" s="93">
        <v>273.26</v>
      </c>
      <c r="IK55" s="93">
        <v>272.32</v>
      </c>
      <c r="IL55" s="93">
        <v>271.38</v>
      </c>
      <c r="IM55" s="93">
        <v>270.44</v>
      </c>
      <c r="IN55" s="93">
        <v>269.5</v>
      </c>
      <c r="IO55" s="93">
        <v>268.56</v>
      </c>
      <c r="IP55" s="93">
        <v>267.62</v>
      </c>
      <c r="IQ55" s="93">
        <v>266.68</v>
      </c>
      <c r="IR55" s="93">
        <v>265.74</v>
      </c>
      <c r="IS55" s="93">
        <v>264.81</v>
      </c>
      <c r="IT55" s="93">
        <v>263.87</v>
      </c>
      <c r="IU55" s="93">
        <v>262.94</v>
      </c>
      <c r="IV55" s="93">
        <v>262.01</v>
      </c>
      <c r="IW55" s="93">
        <v>261.08999999999997</v>
      </c>
      <c r="IX55" s="93">
        <v>260.17</v>
      </c>
      <c r="IY55" s="93">
        <v>259.25</v>
      </c>
      <c r="IZ55" s="93">
        <v>258.32</v>
      </c>
      <c r="JA55" s="93">
        <v>257.40999999999997</v>
      </c>
      <c r="JB55" s="93">
        <v>256.49</v>
      </c>
      <c r="JC55" s="93">
        <v>255.57</v>
      </c>
      <c r="JD55" s="93">
        <v>254.65</v>
      </c>
      <c r="JE55" s="93">
        <v>253.74</v>
      </c>
      <c r="JF55" s="93">
        <v>252.82</v>
      </c>
      <c r="JG55" s="93">
        <v>251.9</v>
      </c>
      <c r="JH55" s="93">
        <v>250.99</v>
      </c>
      <c r="JI55" s="93">
        <v>250.08</v>
      </c>
      <c r="JJ55" s="93">
        <v>249.17</v>
      </c>
      <c r="JK55" s="93">
        <v>248.26</v>
      </c>
      <c r="JL55" s="93">
        <v>247.35</v>
      </c>
      <c r="JM55" s="93">
        <v>246.44</v>
      </c>
      <c r="JN55" s="93">
        <v>245.53</v>
      </c>
      <c r="JO55" s="93">
        <v>244.62</v>
      </c>
      <c r="JP55" s="93">
        <v>243.71</v>
      </c>
      <c r="JQ55" s="93">
        <v>242.81</v>
      </c>
      <c r="JR55" s="93">
        <v>241.9</v>
      </c>
      <c r="JS55" s="93">
        <v>241</v>
      </c>
      <c r="JT55" s="93">
        <v>240.09</v>
      </c>
      <c r="JU55" s="93">
        <v>239.18</v>
      </c>
      <c r="JV55" s="93">
        <v>238.27</v>
      </c>
      <c r="JW55" s="93">
        <v>237.36</v>
      </c>
      <c r="JX55" s="93">
        <v>236.45</v>
      </c>
      <c r="JY55" s="93">
        <v>235.54</v>
      </c>
      <c r="JZ55" s="93">
        <v>234.63</v>
      </c>
      <c r="KA55" s="93">
        <v>233.72</v>
      </c>
      <c r="KB55" s="93">
        <v>232.82</v>
      </c>
      <c r="KC55" s="93">
        <v>231.91</v>
      </c>
      <c r="KD55" s="93">
        <v>231.01</v>
      </c>
      <c r="KE55" s="93">
        <v>230.1</v>
      </c>
      <c r="KF55" s="93">
        <v>229.2</v>
      </c>
      <c r="KG55" s="93">
        <v>228.3</v>
      </c>
      <c r="KH55" s="93">
        <v>227.4</v>
      </c>
      <c r="KI55" s="93">
        <v>226.5</v>
      </c>
      <c r="KJ55" s="93">
        <v>225.6</v>
      </c>
      <c r="KK55" s="93">
        <v>224.7</v>
      </c>
      <c r="KL55" s="93">
        <v>223.8</v>
      </c>
      <c r="KM55" s="93">
        <v>222.91</v>
      </c>
      <c r="KN55" s="93">
        <v>222.01</v>
      </c>
      <c r="KO55" s="93">
        <v>221.12</v>
      </c>
      <c r="KP55" s="93">
        <v>220.22</v>
      </c>
      <c r="KQ55" s="93">
        <v>219.33</v>
      </c>
      <c r="KR55" s="98">
        <f t="shared" si="34"/>
        <v>221.27</v>
      </c>
      <c r="KS55" s="98">
        <f t="shared" si="34"/>
        <v>220.48</v>
      </c>
      <c r="KT55" s="98">
        <f t="shared" si="34"/>
        <v>219.66</v>
      </c>
      <c r="KU55" s="98">
        <f t="shared" si="34"/>
        <v>218.87</v>
      </c>
      <c r="KV55" s="98">
        <f t="shared" si="34"/>
        <v>218.09</v>
      </c>
      <c r="KW55" s="98">
        <f t="shared" si="34"/>
        <v>217.3</v>
      </c>
      <c r="KX55" s="98">
        <f t="shared" si="34"/>
        <v>216.51</v>
      </c>
      <c r="KY55" s="98">
        <f t="shared" si="34"/>
        <v>215.73</v>
      </c>
      <c r="KZ55" s="98">
        <f t="shared" si="34"/>
        <v>214.94</v>
      </c>
      <c r="LA55" s="98">
        <f t="shared" si="34"/>
        <v>214.16</v>
      </c>
      <c r="LB55" s="98">
        <f t="shared" si="35"/>
        <v>213.38</v>
      </c>
      <c r="LC55" s="98">
        <f t="shared" si="35"/>
        <v>212.6</v>
      </c>
      <c r="LD55" s="98">
        <f t="shared" si="35"/>
        <v>211.82</v>
      </c>
      <c r="LE55" s="98">
        <f t="shared" si="35"/>
        <v>211.04</v>
      </c>
      <c r="LF55" s="98">
        <f t="shared" si="35"/>
        <v>210.27</v>
      </c>
      <c r="LG55" s="98">
        <f t="shared" si="35"/>
        <v>209.5</v>
      </c>
      <c r="LH55" s="98">
        <f t="shared" si="35"/>
        <v>208.72</v>
      </c>
      <c r="LI55" s="98">
        <f t="shared" si="35"/>
        <v>207.95</v>
      </c>
      <c r="LJ55" s="98">
        <f t="shared" si="35"/>
        <v>207.18</v>
      </c>
      <c r="LK55" s="98">
        <f t="shared" si="35"/>
        <v>206.41</v>
      </c>
      <c r="LL55" s="98">
        <f t="shared" si="33"/>
        <v>205.64</v>
      </c>
      <c r="LM55" s="98">
        <f t="shared" si="33"/>
        <v>204.88</v>
      </c>
      <c r="LN55" s="98">
        <f t="shared" si="33"/>
        <v>204.11</v>
      </c>
      <c r="LO55" s="98">
        <f t="shared" si="33"/>
        <v>203.35</v>
      </c>
      <c r="LP55" s="98">
        <f t="shared" si="33"/>
        <v>202.59</v>
      </c>
      <c r="LQ55" s="98">
        <f t="shared" si="33"/>
        <v>201.83</v>
      </c>
      <c r="LR55" s="98">
        <f t="shared" si="33"/>
        <v>201.07</v>
      </c>
      <c r="LS55" s="98">
        <f t="shared" si="33"/>
        <v>200.31</v>
      </c>
      <c r="LT55" s="98">
        <f t="shared" si="33"/>
        <v>199.56</v>
      </c>
      <c r="LU55" s="98">
        <f t="shared" si="33"/>
        <v>198.81</v>
      </c>
      <c r="LV55" s="98">
        <f t="shared" si="33"/>
        <v>198.05</v>
      </c>
      <c r="LW55" s="98">
        <f t="shared" si="33"/>
        <v>197.3</v>
      </c>
      <c r="LX55" s="98">
        <f t="shared" si="30"/>
        <v>196.55</v>
      </c>
      <c r="LY55" s="98">
        <f t="shared" si="30"/>
        <v>195.8</v>
      </c>
      <c r="LZ55" s="98">
        <f t="shared" si="30"/>
        <v>195.06</v>
      </c>
      <c r="MA55" s="98">
        <f t="shared" si="30"/>
        <v>194.31</v>
      </c>
      <c r="MB55" s="98">
        <f t="shared" si="30"/>
        <v>193.57</v>
      </c>
      <c r="MC55" s="98">
        <f t="shared" si="30"/>
        <v>192.83</v>
      </c>
      <c r="MD55" s="100">
        <f t="shared" si="30"/>
        <v>192.09</v>
      </c>
      <c r="ME55" s="101">
        <f t="shared" si="30"/>
        <v>191.36</v>
      </c>
      <c r="MF55" s="101">
        <f t="shared" si="30"/>
        <v>190.62</v>
      </c>
      <c r="MG55" s="101">
        <f t="shared" si="30"/>
        <v>189.89</v>
      </c>
      <c r="MH55" s="101">
        <f t="shared" si="30"/>
        <v>189.15</v>
      </c>
      <c r="MI55" s="101">
        <f t="shared" si="30"/>
        <v>188.42</v>
      </c>
      <c r="MJ55" s="101">
        <f t="shared" si="30"/>
        <v>187.69</v>
      </c>
      <c r="MK55" s="101">
        <f t="shared" si="30"/>
        <v>186.96</v>
      </c>
      <c r="ML55" s="101">
        <f t="shared" si="30"/>
        <v>186.24</v>
      </c>
      <c r="MM55" s="101">
        <f t="shared" si="30"/>
        <v>185.51</v>
      </c>
      <c r="MN55" s="101">
        <f t="shared" si="32"/>
        <v>184.79</v>
      </c>
      <c r="MO55" s="101">
        <f t="shared" si="32"/>
        <v>184.07</v>
      </c>
      <c r="MP55" s="101">
        <f t="shared" si="32"/>
        <v>183.35</v>
      </c>
      <c r="MQ55" s="101">
        <f t="shared" si="32"/>
        <v>182.64</v>
      </c>
      <c r="MR55" s="101">
        <f t="shared" si="32"/>
        <v>181.92</v>
      </c>
      <c r="MS55" s="101">
        <f t="shared" si="32"/>
        <v>181.21</v>
      </c>
      <c r="MT55" s="101">
        <f t="shared" si="32"/>
        <v>180.49</v>
      </c>
      <c r="MU55" s="101">
        <f t="shared" si="32"/>
        <v>179.78</v>
      </c>
      <c r="MV55" s="101">
        <f t="shared" si="32"/>
        <v>179.07</v>
      </c>
      <c r="MW55" s="101">
        <f t="shared" si="32"/>
        <v>178.37</v>
      </c>
      <c r="MX55" s="101">
        <f t="shared" si="32"/>
        <v>177.66</v>
      </c>
      <c r="MY55" s="101">
        <f>MY54+0.75</f>
        <v>176.96</v>
      </c>
    </row>
    <row r="56" spans="1:363" ht="15.75" x14ac:dyDescent="0.25">
      <c r="A56" s="90" t="s">
        <v>6</v>
      </c>
      <c r="B56" s="95">
        <v>2066</v>
      </c>
      <c r="C56" s="93">
        <v>518.35</v>
      </c>
      <c r="D56" s="93">
        <v>517.32000000000005</v>
      </c>
      <c r="E56" s="93">
        <v>516.29</v>
      </c>
      <c r="F56" s="93">
        <v>515.25</v>
      </c>
      <c r="G56" s="93">
        <v>514.22</v>
      </c>
      <c r="H56" s="93">
        <v>513.18000000000006</v>
      </c>
      <c r="I56" s="93">
        <v>512.15</v>
      </c>
      <c r="J56" s="93">
        <v>511.11</v>
      </c>
      <c r="K56" s="93">
        <v>510.08</v>
      </c>
      <c r="L56" s="93">
        <v>509.04</v>
      </c>
      <c r="M56" s="93">
        <v>508.01</v>
      </c>
      <c r="N56" s="93">
        <v>506.97</v>
      </c>
      <c r="O56" s="93">
        <v>505.94</v>
      </c>
      <c r="P56" s="93">
        <v>504.9</v>
      </c>
      <c r="Q56" s="93">
        <v>503.87</v>
      </c>
      <c r="R56" s="93">
        <v>502.83</v>
      </c>
      <c r="S56" s="93">
        <v>501.8</v>
      </c>
      <c r="T56" s="93">
        <v>500.76</v>
      </c>
      <c r="U56" s="93">
        <v>499.73</v>
      </c>
      <c r="V56" s="93">
        <v>498.69</v>
      </c>
      <c r="W56" s="93">
        <v>497.66</v>
      </c>
      <c r="X56" s="93">
        <v>496.62</v>
      </c>
      <c r="Y56" s="93">
        <v>495.59</v>
      </c>
      <c r="Z56" s="93">
        <v>494.55</v>
      </c>
      <c r="AA56" s="93">
        <v>493.52</v>
      </c>
      <c r="AB56" s="93">
        <v>492.48</v>
      </c>
      <c r="AC56" s="93">
        <v>491.45</v>
      </c>
      <c r="AD56" s="93">
        <v>490.41</v>
      </c>
      <c r="AE56" s="93">
        <v>489.37</v>
      </c>
      <c r="AF56" s="93">
        <v>488.34</v>
      </c>
      <c r="AG56" s="93">
        <v>487.3</v>
      </c>
      <c r="AH56" s="93">
        <v>486.27</v>
      </c>
      <c r="AI56" s="93">
        <v>485.23</v>
      </c>
      <c r="AJ56" s="93">
        <v>484.19</v>
      </c>
      <c r="AK56" s="93">
        <v>483.16</v>
      </c>
      <c r="AL56" s="93">
        <v>482.12</v>
      </c>
      <c r="AM56" s="93">
        <v>481.09</v>
      </c>
      <c r="AN56" s="93">
        <v>480.05</v>
      </c>
      <c r="AO56" s="93">
        <v>479.01</v>
      </c>
      <c r="AP56" s="93">
        <v>477.98</v>
      </c>
      <c r="AQ56" s="93">
        <v>476.94</v>
      </c>
      <c r="AR56" s="93">
        <v>475.9</v>
      </c>
      <c r="AS56" s="93">
        <v>474.87</v>
      </c>
      <c r="AT56" s="93">
        <v>473.83</v>
      </c>
      <c r="AU56" s="93">
        <v>472.79</v>
      </c>
      <c r="AV56" s="93">
        <v>471.76</v>
      </c>
      <c r="AW56" s="93">
        <v>470.72</v>
      </c>
      <c r="AX56" s="93">
        <v>469.69</v>
      </c>
      <c r="AY56" s="93">
        <v>468.65</v>
      </c>
      <c r="AZ56" s="93">
        <v>467.61</v>
      </c>
      <c r="BA56" s="93">
        <v>466.58</v>
      </c>
      <c r="BB56" s="93">
        <v>465.54</v>
      </c>
      <c r="BC56" s="93">
        <v>464.5</v>
      </c>
      <c r="BD56" s="93">
        <v>463.46</v>
      </c>
      <c r="BE56" s="93">
        <v>462.43</v>
      </c>
      <c r="BF56" s="93">
        <v>461.39</v>
      </c>
      <c r="BG56" s="93">
        <v>460.35</v>
      </c>
      <c r="BH56" s="93">
        <v>459.32</v>
      </c>
      <c r="BI56" s="93">
        <v>458.28</v>
      </c>
      <c r="BJ56" s="93">
        <v>457.24</v>
      </c>
      <c r="BK56" s="93">
        <v>456.21</v>
      </c>
      <c r="BL56" s="93">
        <v>455.17</v>
      </c>
      <c r="BM56" s="93">
        <v>454.13</v>
      </c>
      <c r="BN56" s="93">
        <v>453.09</v>
      </c>
      <c r="BO56" s="93">
        <v>452.05</v>
      </c>
      <c r="BP56" s="93">
        <v>451.02</v>
      </c>
      <c r="BQ56" s="93">
        <v>449.98</v>
      </c>
      <c r="BR56" s="93">
        <v>448.94</v>
      </c>
      <c r="BS56" s="93">
        <v>447.9</v>
      </c>
      <c r="BT56" s="93">
        <v>446.87</v>
      </c>
      <c r="BU56" s="93">
        <v>445.83</v>
      </c>
      <c r="BV56" s="93">
        <v>444.79</v>
      </c>
      <c r="BW56" s="93">
        <v>443.75</v>
      </c>
      <c r="BX56" s="93">
        <v>442.72</v>
      </c>
      <c r="BY56" s="93">
        <v>441.68</v>
      </c>
      <c r="BZ56" s="93">
        <v>440.64</v>
      </c>
      <c r="CA56" s="93">
        <v>439.61</v>
      </c>
      <c r="CB56" s="93">
        <v>438.57</v>
      </c>
      <c r="CC56" s="93">
        <v>437.53</v>
      </c>
      <c r="CD56" s="93">
        <v>436.5</v>
      </c>
      <c r="CE56" s="93">
        <v>435.46</v>
      </c>
      <c r="CF56" s="93">
        <v>434.43</v>
      </c>
      <c r="CG56" s="93">
        <v>433.39</v>
      </c>
      <c r="CH56" s="93">
        <v>432.35</v>
      </c>
      <c r="CI56" s="93">
        <v>431.32</v>
      </c>
      <c r="CJ56" s="93">
        <v>430.28</v>
      </c>
      <c r="CK56" s="93">
        <v>429.24</v>
      </c>
      <c r="CL56" s="93">
        <v>428.21</v>
      </c>
      <c r="CM56" s="93">
        <v>427.17</v>
      </c>
      <c r="CN56" s="93">
        <v>426.13</v>
      </c>
      <c r="CO56" s="93">
        <v>425.1</v>
      </c>
      <c r="CP56" s="93">
        <v>424.06</v>
      </c>
      <c r="CQ56" s="93">
        <v>423.02</v>
      </c>
      <c r="CR56" s="93">
        <v>421.99</v>
      </c>
      <c r="CS56" s="93">
        <v>420.95</v>
      </c>
      <c r="CT56" s="93">
        <v>419.91</v>
      </c>
      <c r="CU56" s="93">
        <v>418.88</v>
      </c>
      <c r="CV56" s="93">
        <v>417.84</v>
      </c>
      <c r="CW56" s="93">
        <v>416.81</v>
      </c>
      <c r="CX56" s="93">
        <v>415.77</v>
      </c>
      <c r="CY56" s="93">
        <v>414.74</v>
      </c>
      <c r="CZ56" s="93">
        <v>413.7</v>
      </c>
      <c r="DA56" s="93">
        <v>412.67</v>
      </c>
      <c r="DB56" s="93">
        <v>411.63</v>
      </c>
      <c r="DC56" s="93">
        <v>410.6</v>
      </c>
      <c r="DD56" s="93">
        <v>409.56</v>
      </c>
      <c r="DE56" s="93">
        <v>408.53</v>
      </c>
      <c r="DF56" s="93">
        <v>407.49</v>
      </c>
      <c r="DG56" s="93">
        <v>406.46</v>
      </c>
      <c r="DH56" s="93">
        <v>405.43</v>
      </c>
      <c r="DI56" s="93">
        <v>404.39</v>
      </c>
      <c r="DJ56" s="93">
        <v>403.36</v>
      </c>
      <c r="DK56" s="93">
        <v>402.33</v>
      </c>
      <c r="DL56" s="93">
        <v>401.29</v>
      </c>
      <c r="DM56" s="93">
        <v>400.26</v>
      </c>
      <c r="DN56" s="93">
        <v>399.23</v>
      </c>
      <c r="DO56" s="93">
        <v>398.19</v>
      </c>
      <c r="DP56" s="93">
        <v>397.16</v>
      </c>
      <c r="DQ56" s="93">
        <v>396.13</v>
      </c>
      <c r="DR56" s="93">
        <v>395.1</v>
      </c>
      <c r="DS56" s="93">
        <v>394.06</v>
      </c>
      <c r="DT56" s="93">
        <v>393.03</v>
      </c>
      <c r="DU56" s="93">
        <v>392.01</v>
      </c>
      <c r="DV56" s="93">
        <v>390.98</v>
      </c>
      <c r="DW56" s="93">
        <v>389.95</v>
      </c>
      <c r="DX56" s="93">
        <v>388.92</v>
      </c>
      <c r="DY56" s="93">
        <v>387.89</v>
      </c>
      <c r="DZ56" s="93">
        <v>386.87</v>
      </c>
      <c r="EA56" s="93">
        <v>385.84</v>
      </c>
      <c r="EB56" s="93">
        <v>384.81</v>
      </c>
      <c r="EC56" s="93">
        <v>383.78</v>
      </c>
      <c r="ED56" s="93">
        <v>382.76</v>
      </c>
      <c r="EE56" s="93">
        <v>381.73</v>
      </c>
      <c r="EF56" s="93">
        <v>380.71</v>
      </c>
      <c r="EG56" s="93">
        <v>379.69</v>
      </c>
      <c r="EH56" s="93">
        <v>378.67</v>
      </c>
      <c r="EI56" s="93">
        <v>377.65</v>
      </c>
      <c r="EJ56" s="93">
        <v>376.62</v>
      </c>
      <c r="EK56" s="93">
        <v>375.6</v>
      </c>
      <c r="EL56" s="93">
        <v>374.58</v>
      </c>
      <c r="EM56" s="93">
        <v>373.56</v>
      </c>
      <c r="EN56" s="93">
        <v>372.54</v>
      </c>
      <c r="EO56" s="93">
        <v>371.52</v>
      </c>
      <c r="EP56" s="93">
        <v>370.5</v>
      </c>
      <c r="EQ56" s="93">
        <v>369.49</v>
      </c>
      <c r="ER56" s="93">
        <v>368.47</v>
      </c>
      <c r="ES56" s="93">
        <v>367.46</v>
      </c>
      <c r="ET56" s="93">
        <v>366.44</v>
      </c>
      <c r="EU56" s="93">
        <v>365.43</v>
      </c>
      <c r="EV56" s="93">
        <v>364.41</v>
      </c>
      <c r="EW56" s="93">
        <v>363.4</v>
      </c>
      <c r="EX56" s="93">
        <v>362.38</v>
      </c>
      <c r="EY56" s="93">
        <v>361.37</v>
      </c>
      <c r="EZ56" s="93">
        <v>360.36</v>
      </c>
      <c r="FA56" s="93">
        <v>359.34</v>
      </c>
      <c r="FB56" s="93">
        <v>358.33</v>
      </c>
      <c r="FC56" s="93">
        <v>357.32</v>
      </c>
      <c r="FD56" s="93">
        <v>356.31</v>
      </c>
      <c r="FE56" s="93">
        <v>355.3</v>
      </c>
      <c r="FF56" s="93">
        <v>354.3</v>
      </c>
      <c r="FG56" s="93">
        <v>353.29</v>
      </c>
      <c r="FH56" s="93">
        <v>352.28</v>
      </c>
      <c r="FI56" s="93">
        <v>351.28</v>
      </c>
      <c r="FJ56" s="93">
        <v>350.27</v>
      </c>
      <c r="FK56" s="93">
        <v>349.27</v>
      </c>
      <c r="FL56" s="93">
        <v>348.26</v>
      </c>
      <c r="FM56" s="93">
        <v>347.26</v>
      </c>
      <c r="FN56" s="93">
        <v>346.25</v>
      </c>
      <c r="FO56" s="93">
        <v>345.25</v>
      </c>
      <c r="FP56" s="93">
        <v>344.25</v>
      </c>
      <c r="FQ56" s="93">
        <v>343.24</v>
      </c>
      <c r="FR56" s="93">
        <v>342.24</v>
      </c>
      <c r="FS56" s="93">
        <v>341.24</v>
      </c>
      <c r="FT56" s="93">
        <v>340.24</v>
      </c>
      <c r="FU56" s="93">
        <v>339.24</v>
      </c>
      <c r="FV56" s="93">
        <v>338.24</v>
      </c>
      <c r="FW56" s="93">
        <v>337.24</v>
      </c>
      <c r="FX56" s="93">
        <v>336.24</v>
      </c>
      <c r="FY56" s="93">
        <v>335.24</v>
      </c>
      <c r="FZ56" s="93">
        <v>334.24</v>
      </c>
      <c r="GA56" s="93">
        <v>333.24</v>
      </c>
      <c r="GB56" s="93">
        <v>332.25</v>
      </c>
      <c r="GC56" s="93">
        <v>331.25</v>
      </c>
      <c r="GD56" s="93">
        <v>330.26</v>
      </c>
      <c r="GE56" s="93">
        <v>329.26</v>
      </c>
      <c r="GF56" s="93">
        <v>328.26</v>
      </c>
      <c r="GG56" s="93">
        <v>327.26</v>
      </c>
      <c r="GH56" s="93">
        <v>326.27999999999997</v>
      </c>
      <c r="GI56" s="93">
        <v>325.27999999999997</v>
      </c>
      <c r="GJ56" s="93">
        <v>324.29000000000002</v>
      </c>
      <c r="GK56" s="93">
        <v>323.29000000000002</v>
      </c>
      <c r="GL56" s="93">
        <v>322.31</v>
      </c>
      <c r="GM56" s="93">
        <v>321.32</v>
      </c>
      <c r="GN56" s="93">
        <v>320.32</v>
      </c>
      <c r="GO56" s="93">
        <v>319.33999999999997</v>
      </c>
      <c r="GP56" s="93">
        <v>318.35000000000002</v>
      </c>
      <c r="GQ56" s="93">
        <v>317.38</v>
      </c>
      <c r="GR56" s="93">
        <v>316.39</v>
      </c>
      <c r="GS56" s="93">
        <v>315.41000000000003</v>
      </c>
      <c r="GT56" s="93">
        <v>314.43</v>
      </c>
      <c r="GU56" s="93">
        <v>313.45</v>
      </c>
      <c r="GV56" s="93">
        <v>312.47000000000003</v>
      </c>
      <c r="GW56" s="93">
        <v>311.49</v>
      </c>
      <c r="GX56" s="93">
        <v>310.51</v>
      </c>
      <c r="GY56" s="93">
        <v>309.52999999999997</v>
      </c>
      <c r="GZ56" s="93">
        <v>308.54000000000002</v>
      </c>
      <c r="HA56" s="93">
        <v>307.57</v>
      </c>
      <c r="HB56" s="93">
        <v>306.60000000000002</v>
      </c>
      <c r="HC56" s="93">
        <v>305.62</v>
      </c>
      <c r="HD56" s="93">
        <v>304.64999999999998</v>
      </c>
      <c r="HE56" s="93">
        <v>303.67</v>
      </c>
      <c r="HF56" s="93">
        <v>302.7</v>
      </c>
      <c r="HG56" s="93">
        <v>301.73</v>
      </c>
      <c r="HH56" s="93">
        <v>300.75</v>
      </c>
      <c r="HI56" s="93">
        <v>299.77999999999997</v>
      </c>
      <c r="HJ56" s="93">
        <v>298.81</v>
      </c>
      <c r="HK56" s="93">
        <v>297.83999999999997</v>
      </c>
      <c r="HL56" s="93">
        <v>296.88</v>
      </c>
      <c r="HM56" s="93">
        <v>295.92</v>
      </c>
      <c r="HN56" s="93">
        <v>294.95999999999998</v>
      </c>
      <c r="HO56" s="93">
        <v>294</v>
      </c>
      <c r="HP56" s="93">
        <v>293.04000000000002</v>
      </c>
      <c r="HQ56" s="93">
        <v>292.07</v>
      </c>
      <c r="HR56" s="93">
        <v>291.12</v>
      </c>
      <c r="HS56" s="93">
        <v>290.16000000000003</v>
      </c>
      <c r="HT56" s="93">
        <v>289.20999999999998</v>
      </c>
      <c r="HU56" s="93">
        <v>288.25</v>
      </c>
      <c r="HV56" s="93">
        <v>287.29000000000002</v>
      </c>
      <c r="HW56" s="93">
        <v>286.33999999999997</v>
      </c>
      <c r="HX56" s="93">
        <v>285.39</v>
      </c>
      <c r="HY56" s="93">
        <v>284.44</v>
      </c>
      <c r="HZ56" s="93">
        <v>283.49</v>
      </c>
      <c r="IA56" s="93">
        <v>282.54000000000002</v>
      </c>
      <c r="IB56" s="93">
        <v>281.58999999999997</v>
      </c>
      <c r="IC56" s="93">
        <v>280.64</v>
      </c>
      <c r="ID56" s="93">
        <v>279.69</v>
      </c>
      <c r="IE56" s="93">
        <v>278.74</v>
      </c>
      <c r="IF56" s="93">
        <v>277.79000000000002</v>
      </c>
      <c r="IG56" s="93">
        <v>276.85000000000002</v>
      </c>
      <c r="IH56" s="93">
        <v>275.89999999999998</v>
      </c>
      <c r="II56" s="93">
        <v>274.95</v>
      </c>
      <c r="IJ56" s="93">
        <v>274.01</v>
      </c>
      <c r="IK56" s="93">
        <v>273.07</v>
      </c>
      <c r="IL56" s="93">
        <v>272.13</v>
      </c>
      <c r="IM56" s="93">
        <v>271.19</v>
      </c>
      <c r="IN56" s="93">
        <v>270.25</v>
      </c>
      <c r="IO56" s="93">
        <v>269.31</v>
      </c>
      <c r="IP56" s="93">
        <v>268.37</v>
      </c>
      <c r="IQ56" s="93">
        <v>267.43</v>
      </c>
      <c r="IR56" s="93">
        <v>266.49</v>
      </c>
      <c r="IS56" s="93">
        <v>265.56</v>
      </c>
      <c r="IT56" s="93">
        <v>264.62</v>
      </c>
      <c r="IU56" s="93">
        <v>263.69</v>
      </c>
      <c r="IV56" s="93">
        <v>262.76</v>
      </c>
      <c r="IW56" s="93">
        <v>261.83999999999997</v>
      </c>
      <c r="IX56" s="93">
        <v>260.92</v>
      </c>
      <c r="IY56" s="93">
        <v>260</v>
      </c>
      <c r="IZ56" s="93">
        <v>259.07</v>
      </c>
      <c r="JA56" s="93">
        <v>258.15999999999997</v>
      </c>
      <c r="JB56" s="93">
        <v>257.24</v>
      </c>
      <c r="JC56" s="93">
        <v>256.32</v>
      </c>
      <c r="JD56" s="93">
        <v>255.4</v>
      </c>
      <c r="JE56" s="93">
        <v>254.49</v>
      </c>
      <c r="JF56" s="93">
        <v>253.57</v>
      </c>
      <c r="JG56" s="93">
        <v>252.65</v>
      </c>
      <c r="JH56" s="93">
        <v>251.74</v>
      </c>
      <c r="JI56" s="93">
        <v>250.83</v>
      </c>
      <c r="JJ56" s="93">
        <v>249.92</v>
      </c>
      <c r="JK56" s="93">
        <v>249.01</v>
      </c>
      <c r="JL56" s="93">
        <v>248.1</v>
      </c>
      <c r="JM56" s="93">
        <v>247.19</v>
      </c>
      <c r="JN56" s="93">
        <v>246.28</v>
      </c>
      <c r="JO56" s="93">
        <v>245.37</v>
      </c>
      <c r="JP56" s="93">
        <v>244.46</v>
      </c>
      <c r="JQ56" s="93">
        <v>243.56</v>
      </c>
      <c r="JR56" s="93">
        <v>242.65</v>
      </c>
      <c r="JS56" s="93">
        <v>241.75</v>
      </c>
      <c r="JT56" s="93">
        <v>240.84</v>
      </c>
      <c r="JU56" s="93">
        <v>239.93</v>
      </c>
      <c r="JV56" s="93">
        <v>239.02</v>
      </c>
      <c r="JW56" s="93">
        <v>238.11</v>
      </c>
      <c r="JX56" s="93">
        <v>237.2</v>
      </c>
      <c r="JY56" s="93">
        <v>236.29</v>
      </c>
      <c r="JZ56" s="93">
        <v>235.38</v>
      </c>
      <c r="KA56" s="93">
        <v>234.47</v>
      </c>
      <c r="KB56" s="93">
        <v>233.57</v>
      </c>
      <c r="KC56" s="93">
        <v>232.66</v>
      </c>
      <c r="KD56" s="93">
        <v>231.76</v>
      </c>
      <c r="KE56" s="93">
        <v>230.85</v>
      </c>
      <c r="KF56" s="93">
        <v>229.95</v>
      </c>
      <c r="KG56" s="93">
        <v>229.05</v>
      </c>
      <c r="KH56" s="93">
        <v>228.15</v>
      </c>
      <c r="KI56" s="93">
        <v>227.25</v>
      </c>
      <c r="KJ56" s="93">
        <v>226.35</v>
      </c>
      <c r="KK56" s="93">
        <v>225.45</v>
      </c>
      <c r="KL56" s="93">
        <v>224.55</v>
      </c>
      <c r="KM56" s="93">
        <v>223.66</v>
      </c>
      <c r="KN56" s="93">
        <v>222.76</v>
      </c>
      <c r="KO56" s="93">
        <v>221.87</v>
      </c>
      <c r="KP56" s="93">
        <v>220.97</v>
      </c>
      <c r="KQ56" s="93">
        <v>220.08</v>
      </c>
      <c r="KR56" s="98">
        <f t="shared" si="34"/>
        <v>222.02</v>
      </c>
      <c r="KS56" s="98">
        <f t="shared" si="34"/>
        <v>221.23</v>
      </c>
      <c r="KT56" s="98">
        <f t="shared" si="34"/>
        <v>220.41</v>
      </c>
      <c r="KU56" s="98">
        <f t="shared" si="34"/>
        <v>219.62</v>
      </c>
      <c r="KV56" s="98">
        <f t="shared" si="34"/>
        <v>218.84</v>
      </c>
      <c r="KW56" s="98">
        <f t="shared" si="34"/>
        <v>218.05</v>
      </c>
      <c r="KX56" s="98">
        <f t="shared" si="34"/>
        <v>217.26</v>
      </c>
      <c r="KY56" s="98">
        <f t="shared" si="34"/>
        <v>216.48</v>
      </c>
      <c r="KZ56" s="98">
        <f t="shared" si="34"/>
        <v>215.69</v>
      </c>
      <c r="LA56" s="98">
        <f t="shared" si="34"/>
        <v>214.91</v>
      </c>
      <c r="LB56" s="98">
        <f t="shared" si="35"/>
        <v>214.13</v>
      </c>
      <c r="LC56" s="98">
        <f t="shared" si="35"/>
        <v>213.35</v>
      </c>
      <c r="LD56" s="98">
        <f t="shared" si="35"/>
        <v>212.57</v>
      </c>
      <c r="LE56" s="98">
        <f t="shared" si="35"/>
        <v>211.79</v>
      </c>
      <c r="LF56" s="98">
        <f t="shared" si="35"/>
        <v>211.02</v>
      </c>
      <c r="LG56" s="98">
        <f t="shared" si="35"/>
        <v>210.25</v>
      </c>
      <c r="LH56" s="98">
        <f t="shared" si="35"/>
        <v>209.47</v>
      </c>
      <c r="LI56" s="98">
        <f t="shared" si="35"/>
        <v>208.7</v>
      </c>
      <c r="LJ56" s="98">
        <f t="shared" si="35"/>
        <v>207.93</v>
      </c>
      <c r="LK56" s="98">
        <f t="shared" si="35"/>
        <v>207.16</v>
      </c>
      <c r="LL56" s="98">
        <f t="shared" si="33"/>
        <v>206.39</v>
      </c>
      <c r="LM56" s="98">
        <f t="shared" si="33"/>
        <v>205.63</v>
      </c>
      <c r="LN56" s="98">
        <f t="shared" si="33"/>
        <v>204.86</v>
      </c>
      <c r="LO56" s="98">
        <f t="shared" si="33"/>
        <v>204.1</v>
      </c>
      <c r="LP56" s="98">
        <f t="shared" si="33"/>
        <v>203.34</v>
      </c>
      <c r="LQ56" s="98">
        <f t="shared" si="33"/>
        <v>202.58</v>
      </c>
      <c r="LR56" s="98">
        <f t="shared" si="33"/>
        <v>201.82</v>
      </c>
      <c r="LS56" s="98">
        <f t="shared" si="33"/>
        <v>201.06</v>
      </c>
      <c r="LT56" s="98">
        <f t="shared" si="33"/>
        <v>200.31</v>
      </c>
      <c r="LU56" s="98">
        <f t="shared" si="33"/>
        <v>199.56</v>
      </c>
      <c r="LV56" s="98">
        <f t="shared" si="33"/>
        <v>198.8</v>
      </c>
      <c r="LW56" s="98">
        <f t="shared" si="33"/>
        <v>198.05</v>
      </c>
      <c r="LX56" s="98">
        <f t="shared" si="30"/>
        <v>197.3</v>
      </c>
      <c r="LY56" s="98">
        <f t="shared" si="30"/>
        <v>196.55</v>
      </c>
      <c r="LZ56" s="98">
        <f t="shared" si="30"/>
        <v>195.81</v>
      </c>
      <c r="MA56" s="98">
        <f t="shared" si="30"/>
        <v>195.06</v>
      </c>
      <c r="MB56" s="98">
        <f t="shared" si="30"/>
        <v>194.32</v>
      </c>
      <c r="MC56" s="98">
        <f t="shared" si="30"/>
        <v>193.58</v>
      </c>
      <c r="MD56" s="100">
        <f t="shared" si="30"/>
        <v>192.84</v>
      </c>
      <c r="ME56" s="101">
        <f t="shared" si="30"/>
        <v>192.11</v>
      </c>
      <c r="MF56" s="101">
        <f t="shared" si="30"/>
        <v>191.37</v>
      </c>
      <c r="MG56" s="101">
        <f t="shared" si="30"/>
        <v>190.64</v>
      </c>
      <c r="MH56" s="101">
        <f t="shared" si="30"/>
        <v>189.9</v>
      </c>
      <c r="MI56" s="101">
        <f t="shared" si="30"/>
        <v>189.17</v>
      </c>
      <c r="MJ56" s="101">
        <f t="shared" si="30"/>
        <v>188.44</v>
      </c>
      <c r="MK56" s="101">
        <f t="shared" si="30"/>
        <v>187.71</v>
      </c>
      <c r="ML56" s="101">
        <f t="shared" si="30"/>
        <v>186.99</v>
      </c>
      <c r="MM56" s="101">
        <f t="shared" ref="LN56:MY63" si="36">MM55+0.75</f>
        <v>186.26</v>
      </c>
      <c r="MN56" s="101">
        <f t="shared" si="36"/>
        <v>185.54</v>
      </c>
      <c r="MO56" s="101">
        <f t="shared" si="36"/>
        <v>184.82</v>
      </c>
      <c r="MP56" s="101">
        <f t="shared" si="36"/>
        <v>184.1</v>
      </c>
      <c r="MQ56" s="101">
        <f t="shared" si="36"/>
        <v>183.39</v>
      </c>
      <c r="MR56" s="101">
        <f t="shared" si="36"/>
        <v>182.67</v>
      </c>
      <c r="MS56" s="101">
        <f t="shared" si="36"/>
        <v>181.96</v>
      </c>
      <c r="MT56" s="101">
        <f t="shared" si="36"/>
        <v>181.24</v>
      </c>
      <c r="MU56" s="101">
        <f t="shared" si="36"/>
        <v>180.53</v>
      </c>
      <c r="MV56" s="101">
        <f t="shared" si="36"/>
        <v>179.82</v>
      </c>
      <c r="MW56" s="101">
        <f t="shared" si="36"/>
        <v>179.12</v>
      </c>
      <c r="MX56" s="101">
        <f t="shared" si="36"/>
        <v>178.41</v>
      </c>
      <c r="MY56" s="101">
        <f t="shared" si="36"/>
        <v>177.71</v>
      </c>
    </row>
    <row r="57" spans="1:363" ht="15.75" x14ac:dyDescent="0.25">
      <c r="A57" s="90" t="s">
        <v>6</v>
      </c>
      <c r="B57" s="95">
        <v>2067</v>
      </c>
      <c r="C57" s="93">
        <v>519.08000000000004</v>
      </c>
      <c r="D57" s="93">
        <v>518.07000000000005</v>
      </c>
      <c r="E57" s="93">
        <v>517.04</v>
      </c>
      <c r="F57" s="93">
        <v>516</v>
      </c>
      <c r="G57" s="93">
        <v>514.97</v>
      </c>
      <c r="H57" s="93">
        <v>513.93000000000006</v>
      </c>
      <c r="I57" s="93">
        <v>512.9</v>
      </c>
      <c r="J57" s="93">
        <v>511.86</v>
      </c>
      <c r="K57" s="93">
        <v>510.83</v>
      </c>
      <c r="L57" s="93">
        <v>509.79</v>
      </c>
      <c r="M57" s="93">
        <v>508.76</v>
      </c>
      <c r="N57" s="93">
        <v>507.72</v>
      </c>
      <c r="O57" s="93">
        <v>506.69</v>
      </c>
      <c r="P57" s="93">
        <v>505.65</v>
      </c>
      <c r="Q57" s="93">
        <v>504.62</v>
      </c>
      <c r="R57" s="93">
        <v>503.58</v>
      </c>
      <c r="S57" s="93">
        <v>502.55</v>
      </c>
      <c r="T57" s="93">
        <v>501.51</v>
      </c>
      <c r="U57" s="93">
        <v>500.48</v>
      </c>
      <c r="V57" s="93">
        <v>499.44</v>
      </c>
      <c r="W57" s="93">
        <v>498.41</v>
      </c>
      <c r="X57" s="93">
        <v>497.37</v>
      </c>
      <c r="Y57" s="93">
        <v>496.34</v>
      </c>
      <c r="Z57" s="93">
        <v>495.3</v>
      </c>
      <c r="AA57" s="93">
        <v>494.27</v>
      </c>
      <c r="AB57" s="93">
        <v>493.23</v>
      </c>
      <c r="AC57" s="93">
        <v>492.2</v>
      </c>
      <c r="AD57" s="93">
        <v>491.16</v>
      </c>
      <c r="AE57" s="93">
        <v>490.12</v>
      </c>
      <c r="AF57" s="93">
        <v>489.09</v>
      </c>
      <c r="AG57" s="93">
        <v>488.05</v>
      </c>
      <c r="AH57" s="93">
        <v>487.02</v>
      </c>
      <c r="AI57" s="93">
        <v>485.98</v>
      </c>
      <c r="AJ57" s="93">
        <v>484.94</v>
      </c>
      <c r="AK57" s="93">
        <v>483.91</v>
      </c>
      <c r="AL57" s="93">
        <v>482.87</v>
      </c>
      <c r="AM57" s="93">
        <v>481.84</v>
      </c>
      <c r="AN57" s="93">
        <v>480.8</v>
      </c>
      <c r="AO57" s="93">
        <v>479.76</v>
      </c>
      <c r="AP57" s="93">
        <v>478.73</v>
      </c>
      <c r="AQ57" s="93">
        <v>477.69</v>
      </c>
      <c r="AR57" s="93">
        <v>476.65</v>
      </c>
      <c r="AS57" s="93">
        <v>475.62</v>
      </c>
      <c r="AT57" s="93">
        <v>474.58</v>
      </c>
      <c r="AU57" s="93">
        <v>473.54</v>
      </c>
      <c r="AV57" s="93">
        <v>472.51</v>
      </c>
      <c r="AW57" s="93">
        <v>471.47</v>
      </c>
      <c r="AX57" s="93">
        <v>470.44</v>
      </c>
      <c r="AY57" s="93">
        <v>469.4</v>
      </c>
      <c r="AZ57" s="93">
        <v>468.36</v>
      </c>
      <c r="BA57" s="93">
        <v>467.33</v>
      </c>
      <c r="BB57" s="93">
        <v>466.29</v>
      </c>
      <c r="BC57" s="93">
        <v>465.25</v>
      </c>
      <c r="BD57" s="93">
        <v>464.21</v>
      </c>
      <c r="BE57" s="93">
        <v>463.18</v>
      </c>
      <c r="BF57" s="93">
        <v>462.14</v>
      </c>
      <c r="BG57" s="93">
        <v>461.1</v>
      </c>
      <c r="BH57" s="93">
        <v>460.07</v>
      </c>
      <c r="BI57" s="93">
        <v>459.03</v>
      </c>
      <c r="BJ57" s="93">
        <v>457.99</v>
      </c>
      <c r="BK57" s="93">
        <v>456.96</v>
      </c>
      <c r="BL57" s="93">
        <v>455.92</v>
      </c>
      <c r="BM57" s="93">
        <v>454.88</v>
      </c>
      <c r="BN57" s="93">
        <v>453.84</v>
      </c>
      <c r="BO57" s="93">
        <v>452.8</v>
      </c>
      <c r="BP57" s="93">
        <v>451.77</v>
      </c>
      <c r="BQ57" s="93">
        <v>450.73</v>
      </c>
      <c r="BR57" s="93">
        <v>449.69</v>
      </c>
      <c r="BS57" s="93">
        <v>448.65</v>
      </c>
      <c r="BT57" s="93">
        <v>447.62</v>
      </c>
      <c r="BU57" s="93">
        <v>446.58</v>
      </c>
      <c r="BV57" s="93">
        <v>445.54</v>
      </c>
      <c r="BW57" s="93">
        <v>444.5</v>
      </c>
      <c r="BX57" s="93">
        <v>443.47</v>
      </c>
      <c r="BY57" s="93">
        <v>442.43</v>
      </c>
      <c r="BZ57" s="93">
        <v>441.39</v>
      </c>
      <c r="CA57" s="93">
        <v>440.36</v>
      </c>
      <c r="CB57" s="93">
        <v>439.32</v>
      </c>
      <c r="CC57" s="93">
        <v>438.28</v>
      </c>
      <c r="CD57" s="93">
        <v>437.25</v>
      </c>
      <c r="CE57" s="93">
        <v>436.21</v>
      </c>
      <c r="CF57" s="93">
        <v>435.18</v>
      </c>
      <c r="CG57" s="93">
        <v>434.14</v>
      </c>
      <c r="CH57" s="93">
        <v>433.1</v>
      </c>
      <c r="CI57" s="93">
        <v>432.07</v>
      </c>
      <c r="CJ57" s="93">
        <v>431.03</v>
      </c>
      <c r="CK57" s="93">
        <v>429.99</v>
      </c>
      <c r="CL57" s="93">
        <v>428.96</v>
      </c>
      <c r="CM57" s="93">
        <v>427.92</v>
      </c>
      <c r="CN57" s="93">
        <v>426.88</v>
      </c>
      <c r="CO57" s="93">
        <v>425.85</v>
      </c>
      <c r="CP57" s="93">
        <v>424.81</v>
      </c>
      <c r="CQ57" s="93">
        <v>423.77</v>
      </c>
      <c r="CR57" s="93">
        <v>422.74</v>
      </c>
      <c r="CS57" s="93">
        <v>421.7</v>
      </c>
      <c r="CT57" s="93">
        <v>420.66</v>
      </c>
      <c r="CU57" s="93">
        <v>419.63</v>
      </c>
      <c r="CV57" s="93">
        <v>418.59</v>
      </c>
      <c r="CW57" s="93">
        <v>417.56</v>
      </c>
      <c r="CX57" s="93">
        <v>416.52</v>
      </c>
      <c r="CY57" s="93">
        <v>415.49</v>
      </c>
      <c r="CZ57" s="93">
        <v>414.45</v>
      </c>
      <c r="DA57" s="93">
        <v>413.42</v>
      </c>
      <c r="DB57" s="93">
        <v>412.38</v>
      </c>
      <c r="DC57" s="93">
        <v>411.35</v>
      </c>
      <c r="DD57" s="93">
        <v>410.31</v>
      </c>
      <c r="DE57" s="93">
        <v>409.28</v>
      </c>
      <c r="DF57" s="93">
        <v>408.24</v>
      </c>
      <c r="DG57" s="93">
        <v>407.21</v>
      </c>
      <c r="DH57" s="93">
        <v>406.18</v>
      </c>
      <c r="DI57" s="93">
        <v>405.14</v>
      </c>
      <c r="DJ57" s="93">
        <v>404.11</v>
      </c>
      <c r="DK57" s="93">
        <v>403.08</v>
      </c>
      <c r="DL57" s="93">
        <v>402.04</v>
      </c>
      <c r="DM57" s="93">
        <v>401.01</v>
      </c>
      <c r="DN57" s="93">
        <v>399.98</v>
      </c>
      <c r="DO57" s="93">
        <v>398.94</v>
      </c>
      <c r="DP57" s="93">
        <v>397.91</v>
      </c>
      <c r="DQ57" s="93">
        <v>396.88</v>
      </c>
      <c r="DR57" s="93">
        <v>395.85</v>
      </c>
      <c r="DS57" s="93">
        <v>394.81</v>
      </c>
      <c r="DT57" s="93">
        <v>393.78</v>
      </c>
      <c r="DU57" s="93">
        <v>392.76</v>
      </c>
      <c r="DV57" s="93">
        <v>391.73</v>
      </c>
      <c r="DW57" s="93">
        <v>390.7</v>
      </c>
      <c r="DX57" s="93">
        <v>389.67</v>
      </c>
      <c r="DY57" s="93">
        <v>388.64</v>
      </c>
      <c r="DZ57" s="93">
        <v>387.62</v>
      </c>
      <c r="EA57" s="93">
        <v>386.59</v>
      </c>
      <c r="EB57" s="93">
        <v>385.56</v>
      </c>
      <c r="EC57" s="93">
        <v>384.53</v>
      </c>
      <c r="ED57" s="93">
        <v>383.51</v>
      </c>
      <c r="EE57" s="93">
        <v>382.48</v>
      </c>
      <c r="EF57" s="93">
        <v>381.46</v>
      </c>
      <c r="EG57" s="93">
        <v>380.44</v>
      </c>
      <c r="EH57" s="93">
        <v>379.42</v>
      </c>
      <c r="EI57" s="93">
        <v>378.4</v>
      </c>
      <c r="EJ57" s="93">
        <v>377.37</v>
      </c>
      <c r="EK57" s="93">
        <v>376.35</v>
      </c>
      <c r="EL57" s="93">
        <v>375.33</v>
      </c>
      <c r="EM57" s="93">
        <v>374.31</v>
      </c>
      <c r="EN57" s="93">
        <v>373.29</v>
      </c>
      <c r="EO57" s="93">
        <v>372.27</v>
      </c>
      <c r="EP57" s="93">
        <v>371.25</v>
      </c>
      <c r="EQ57" s="93">
        <v>370.24</v>
      </c>
      <c r="ER57" s="93">
        <v>369.22</v>
      </c>
      <c r="ES57" s="93">
        <v>368.21</v>
      </c>
      <c r="ET57" s="93">
        <v>367.19</v>
      </c>
      <c r="EU57" s="93">
        <v>366.18</v>
      </c>
      <c r="EV57" s="93">
        <v>365.16</v>
      </c>
      <c r="EW57" s="93">
        <v>364.15</v>
      </c>
      <c r="EX57" s="93">
        <v>363.13</v>
      </c>
      <c r="EY57" s="93">
        <v>362.12</v>
      </c>
      <c r="EZ57" s="93">
        <v>361.11</v>
      </c>
      <c r="FA57" s="93">
        <v>360.09</v>
      </c>
      <c r="FB57" s="93">
        <v>359.08</v>
      </c>
      <c r="FC57" s="93">
        <v>358.07</v>
      </c>
      <c r="FD57" s="93">
        <v>357.06</v>
      </c>
      <c r="FE57" s="93">
        <v>356.05</v>
      </c>
      <c r="FF57" s="93">
        <v>355.05</v>
      </c>
      <c r="FG57" s="93">
        <v>354.04</v>
      </c>
      <c r="FH57" s="93">
        <v>353.03</v>
      </c>
      <c r="FI57" s="93">
        <v>352.03</v>
      </c>
      <c r="FJ57" s="93">
        <v>351.02</v>
      </c>
      <c r="FK57" s="93">
        <v>350.02</v>
      </c>
      <c r="FL57" s="93">
        <v>349.01</v>
      </c>
      <c r="FM57" s="93">
        <v>348.01</v>
      </c>
      <c r="FN57" s="93">
        <v>347</v>
      </c>
      <c r="FO57" s="93">
        <v>346</v>
      </c>
      <c r="FP57" s="93">
        <v>345</v>
      </c>
      <c r="FQ57" s="93">
        <v>343.99</v>
      </c>
      <c r="FR57" s="93">
        <v>342.99</v>
      </c>
      <c r="FS57" s="93">
        <v>341.99</v>
      </c>
      <c r="FT57" s="93">
        <v>340.99</v>
      </c>
      <c r="FU57" s="93">
        <v>339.99</v>
      </c>
      <c r="FV57" s="93">
        <v>338.99</v>
      </c>
      <c r="FW57" s="93">
        <v>337.99</v>
      </c>
      <c r="FX57" s="93">
        <v>336.99</v>
      </c>
      <c r="FY57" s="93">
        <v>335.99</v>
      </c>
      <c r="FZ57" s="93">
        <v>334.99</v>
      </c>
      <c r="GA57" s="93">
        <v>333.99</v>
      </c>
      <c r="GB57" s="93">
        <v>333</v>
      </c>
      <c r="GC57" s="93">
        <v>332</v>
      </c>
      <c r="GD57" s="93">
        <v>331.01</v>
      </c>
      <c r="GE57" s="93">
        <v>330.01</v>
      </c>
      <c r="GF57" s="93">
        <v>329.01</v>
      </c>
      <c r="GG57" s="93">
        <v>328.01</v>
      </c>
      <c r="GH57" s="93">
        <v>327.02999999999997</v>
      </c>
      <c r="GI57" s="93">
        <v>326.02999999999997</v>
      </c>
      <c r="GJ57" s="93">
        <v>325.04000000000002</v>
      </c>
      <c r="GK57" s="93">
        <v>324.04000000000002</v>
      </c>
      <c r="GL57" s="93">
        <v>323.06</v>
      </c>
      <c r="GM57" s="93">
        <v>322.07</v>
      </c>
      <c r="GN57" s="93">
        <v>321.07</v>
      </c>
      <c r="GO57" s="93">
        <v>320.08999999999997</v>
      </c>
      <c r="GP57" s="93">
        <v>319.10000000000002</v>
      </c>
      <c r="GQ57" s="93">
        <v>318.13</v>
      </c>
      <c r="GR57" s="93">
        <v>317.14</v>
      </c>
      <c r="GS57" s="93">
        <v>316.16000000000003</v>
      </c>
      <c r="GT57" s="93">
        <v>315.18</v>
      </c>
      <c r="GU57" s="93">
        <v>314.2</v>
      </c>
      <c r="GV57" s="93">
        <v>313.22000000000003</v>
      </c>
      <c r="GW57" s="93">
        <v>312.24</v>
      </c>
      <c r="GX57" s="93">
        <v>311.26</v>
      </c>
      <c r="GY57" s="93">
        <v>310.27999999999997</v>
      </c>
      <c r="GZ57" s="93">
        <v>309.29000000000002</v>
      </c>
      <c r="HA57" s="93">
        <v>308.32</v>
      </c>
      <c r="HB57" s="93">
        <v>307.35000000000002</v>
      </c>
      <c r="HC57" s="93">
        <v>306.37</v>
      </c>
      <c r="HD57" s="93">
        <v>305.39999999999998</v>
      </c>
      <c r="HE57" s="93">
        <v>304.42</v>
      </c>
      <c r="HF57" s="93">
        <v>303.45</v>
      </c>
      <c r="HG57" s="93">
        <v>302.48</v>
      </c>
      <c r="HH57" s="93">
        <v>301.5</v>
      </c>
      <c r="HI57" s="93">
        <v>300.52999999999997</v>
      </c>
      <c r="HJ57" s="93">
        <v>299.56</v>
      </c>
      <c r="HK57" s="93">
        <v>298.58999999999997</v>
      </c>
      <c r="HL57" s="93">
        <v>297.63</v>
      </c>
      <c r="HM57" s="93">
        <v>296.67</v>
      </c>
      <c r="HN57" s="93">
        <v>295.70999999999998</v>
      </c>
      <c r="HO57" s="93">
        <v>294.75</v>
      </c>
      <c r="HP57" s="93">
        <v>293.79000000000002</v>
      </c>
      <c r="HQ57" s="93">
        <v>292.82</v>
      </c>
      <c r="HR57" s="93">
        <v>291.87</v>
      </c>
      <c r="HS57" s="93">
        <v>290.91000000000003</v>
      </c>
      <c r="HT57" s="93">
        <v>289.95999999999998</v>
      </c>
      <c r="HU57" s="93">
        <v>289</v>
      </c>
      <c r="HV57" s="93">
        <v>288.04000000000002</v>
      </c>
      <c r="HW57" s="93">
        <v>287.08999999999997</v>
      </c>
      <c r="HX57" s="93">
        <v>286.14</v>
      </c>
      <c r="HY57" s="93">
        <v>285.19</v>
      </c>
      <c r="HZ57" s="93">
        <v>284.24</v>
      </c>
      <c r="IA57" s="93">
        <v>283.29000000000002</v>
      </c>
      <c r="IB57" s="93">
        <v>282.33999999999997</v>
      </c>
      <c r="IC57" s="93">
        <v>281.39</v>
      </c>
      <c r="ID57" s="93">
        <v>280.44</v>
      </c>
      <c r="IE57" s="93">
        <v>279.49</v>
      </c>
      <c r="IF57" s="93">
        <v>278.54000000000002</v>
      </c>
      <c r="IG57" s="93">
        <v>277.60000000000002</v>
      </c>
      <c r="IH57" s="93">
        <v>276.64999999999998</v>
      </c>
      <c r="II57" s="93">
        <v>275.7</v>
      </c>
      <c r="IJ57" s="93">
        <v>274.76</v>
      </c>
      <c r="IK57" s="93">
        <v>273.82</v>
      </c>
      <c r="IL57" s="93">
        <v>272.88</v>
      </c>
      <c r="IM57" s="93">
        <v>271.94</v>
      </c>
      <c r="IN57" s="93">
        <v>271</v>
      </c>
      <c r="IO57" s="93">
        <v>270.06</v>
      </c>
      <c r="IP57" s="93">
        <v>269.12</v>
      </c>
      <c r="IQ57" s="93">
        <v>268.18</v>
      </c>
      <c r="IR57" s="93">
        <v>267.24</v>
      </c>
      <c r="IS57" s="93">
        <v>266.31</v>
      </c>
      <c r="IT57" s="93">
        <v>265.37</v>
      </c>
      <c r="IU57" s="93">
        <v>264.44</v>
      </c>
      <c r="IV57" s="93">
        <v>263.51</v>
      </c>
      <c r="IW57" s="93">
        <v>262.58999999999997</v>
      </c>
      <c r="IX57" s="93">
        <v>261.67</v>
      </c>
      <c r="IY57" s="93">
        <v>260.75</v>
      </c>
      <c r="IZ57" s="93">
        <v>259.82</v>
      </c>
      <c r="JA57" s="93">
        <v>258.90999999999997</v>
      </c>
      <c r="JB57" s="93">
        <v>257.99</v>
      </c>
      <c r="JC57" s="93">
        <v>257.07</v>
      </c>
      <c r="JD57" s="93">
        <v>256.14999999999998</v>
      </c>
      <c r="JE57" s="93">
        <v>255.24</v>
      </c>
      <c r="JF57" s="93">
        <v>254.32</v>
      </c>
      <c r="JG57" s="93">
        <v>253.4</v>
      </c>
      <c r="JH57" s="93">
        <v>252.49</v>
      </c>
      <c r="JI57" s="93">
        <v>251.58</v>
      </c>
      <c r="JJ57" s="93">
        <v>250.67</v>
      </c>
      <c r="JK57" s="93">
        <v>249.76</v>
      </c>
      <c r="JL57" s="93">
        <v>248.85</v>
      </c>
      <c r="JM57" s="93">
        <v>247.94</v>
      </c>
      <c r="JN57" s="93">
        <v>247.03</v>
      </c>
      <c r="JO57" s="93">
        <v>246.12</v>
      </c>
      <c r="JP57" s="93">
        <v>245.21</v>
      </c>
      <c r="JQ57" s="93">
        <v>244.31</v>
      </c>
      <c r="JR57" s="93">
        <v>243.4</v>
      </c>
      <c r="JS57" s="93">
        <v>242.5</v>
      </c>
      <c r="JT57" s="93">
        <v>241.59</v>
      </c>
      <c r="JU57" s="93">
        <v>240.68</v>
      </c>
      <c r="JV57" s="93">
        <v>239.77</v>
      </c>
      <c r="JW57" s="93">
        <v>238.86</v>
      </c>
      <c r="JX57" s="93">
        <v>237.95</v>
      </c>
      <c r="JY57" s="93">
        <v>237.04</v>
      </c>
      <c r="JZ57" s="93">
        <v>236.13</v>
      </c>
      <c r="KA57" s="93">
        <v>235.22</v>
      </c>
      <c r="KB57" s="93">
        <v>234.32</v>
      </c>
      <c r="KC57" s="93">
        <v>233.41</v>
      </c>
      <c r="KD57" s="93">
        <v>232.51</v>
      </c>
      <c r="KE57" s="93">
        <v>231.6</v>
      </c>
      <c r="KF57" s="93">
        <v>230.7</v>
      </c>
      <c r="KG57" s="93">
        <v>229.8</v>
      </c>
      <c r="KH57" s="93">
        <v>228.9</v>
      </c>
      <c r="KI57" s="93">
        <v>228</v>
      </c>
      <c r="KJ57" s="93">
        <v>227.1</v>
      </c>
      <c r="KK57" s="93">
        <v>226.2</v>
      </c>
      <c r="KL57" s="93">
        <v>225.3</v>
      </c>
      <c r="KM57" s="93">
        <v>224.41</v>
      </c>
      <c r="KN57" s="93">
        <v>223.51</v>
      </c>
      <c r="KO57" s="93">
        <v>222.62</v>
      </c>
      <c r="KP57" s="93">
        <v>221.72</v>
      </c>
      <c r="KQ57" s="93">
        <v>220.83</v>
      </c>
      <c r="KR57" s="98">
        <f t="shared" ref="KR57:LM63" si="37">KR56+0.75</f>
        <v>222.77</v>
      </c>
      <c r="KS57" s="98">
        <f t="shared" ref="KS57:KS63" si="38">KS56+0.75</f>
        <v>221.98</v>
      </c>
      <c r="KT57" s="98">
        <f t="shared" si="37"/>
        <v>221.16</v>
      </c>
      <c r="KU57" s="98">
        <f t="shared" si="37"/>
        <v>220.37</v>
      </c>
      <c r="KV57" s="98">
        <f t="shared" si="37"/>
        <v>219.59</v>
      </c>
      <c r="KW57" s="98">
        <f t="shared" si="37"/>
        <v>218.8</v>
      </c>
      <c r="KX57" s="98">
        <f t="shared" si="37"/>
        <v>218.01</v>
      </c>
      <c r="KY57" s="98">
        <f t="shared" si="37"/>
        <v>217.23</v>
      </c>
      <c r="KZ57" s="98">
        <f t="shared" si="37"/>
        <v>216.44</v>
      </c>
      <c r="LA57" s="98">
        <f t="shared" si="37"/>
        <v>215.66</v>
      </c>
      <c r="LB57" s="98">
        <f t="shared" si="37"/>
        <v>214.88</v>
      </c>
      <c r="LC57" s="98">
        <f t="shared" si="37"/>
        <v>214.1</v>
      </c>
      <c r="LD57" s="98">
        <f t="shared" si="37"/>
        <v>213.32</v>
      </c>
      <c r="LE57" s="98">
        <f t="shared" si="37"/>
        <v>212.54</v>
      </c>
      <c r="LF57" s="98">
        <f t="shared" si="37"/>
        <v>211.77</v>
      </c>
      <c r="LG57" s="98">
        <f t="shared" si="37"/>
        <v>211</v>
      </c>
      <c r="LH57" s="98">
        <f t="shared" si="37"/>
        <v>210.22</v>
      </c>
      <c r="LI57" s="98">
        <f t="shared" si="37"/>
        <v>209.45</v>
      </c>
      <c r="LJ57" s="98">
        <f t="shared" si="37"/>
        <v>208.68</v>
      </c>
      <c r="LK57" s="98">
        <f t="shared" si="37"/>
        <v>207.91</v>
      </c>
      <c r="LL57" s="98">
        <f t="shared" si="37"/>
        <v>207.14</v>
      </c>
      <c r="LM57" s="98">
        <f t="shared" si="37"/>
        <v>206.38</v>
      </c>
      <c r="LN57" s="98">
        <f t="shared" si="36"/>
        <v>205.61</v>
      </c>
      <c r="LO57" s="98">
        <f t="shared" si="36"/>
        <v>204.85</v>
      </c>
      <c r="LP57" s="98">
        <f t="shared" si="36"/>
        <v>204.09</v>
      </c>
      <c r="LQ57" s="98">
        <f t="shared" si="36"/>
        <v>203.33</v>
      </c>
      <c r="LR57" s="98">
        <f t="shared" si="36"/>
        <v>202.57</v>
      </c>
      <c r="LS57" s="98">
        <f t="shared" si="36"/>
        <v>201.81</v>
      </c>
      <c r="LT57" s="98">
        <f t="shared" si="36"/>
        <v>201.06</v>
      </c>
      <c r="LU57" s="98">
        <f t="shared" si="36"/>
        <v>200.31</v>
      </c>
      <c r="LV57" s="98">
        <f t="shared" si="36"/>
        <v>199.55</v>
      </c>
      <c r="LW57" s="98">
        <f t="shared" si="36"/>
        <v>198.8</v>
      </c>
      <c r="LX57" s="98">
        <f t="shared" si="36"/>
        <v>198.05</v>
      </c>
      <c r="LY57" s="98">
        <f t="shared" si="36"/>
        <v>197.3</v>
      </c>
      <c r="LZ57" s="98">
        <f t="shared" si="36"/>
        <v>196.56</v>
      </c>
      <c r="MA57" s="98">
        <f t="shared" si="36"/>
        <v>195.81</v>
      </c>
      <c r="MB57" s="98">
        <f t="shared" si="36"/>
        <v>195.07</v>
      </c>
      <c r="MC57" s="98">
        <f t="shared" si="36"/>
        <v>194.33</v>
      </c>
      <c r="MD57" s="100">
        <f t="shared" si="36"/>
        <v>193.59</v>
      </c>
      <c r="ME57" s="101">
        <f t="shared" si="36"/>
        <v>192.86</v>
      </c>
      <c r="MF57" s="101">
        <f t="shared" si="36"/>
        <v>192.12</v>
      </c>
      <c r="MG57" s="101">
        <f t="shared" si="36"/>
        <v>191.39</v>
      </c>
      <c r="MH57" s="101">
        <f t="shared" si="36"/>
        <v>190.65</v>
      </c>
      <c r="MI57" s="101">
        <f t="shared" si="36"/>
        <v>189.92</v>
      </c>
      <c r="MJ57" s="101">
        <f t="shared" si="36"/>
        <v>189.19</v>
      </c>
      <c r="MK57" s="101">
        <f t="shared" si="36"/>
        <v>188.46</v>
      </c>
      <c r="ML57" s="101">
        <f t="shared" si="36"/>
        <v>187.74</v>
      </c>
      <c r="MM57" s="101">
        <f t="shared" si="36"/>
        <v>187.01</v>
      </c>
      <c r="MN57" s="101">
        <f t="shared" si="36"/>
        <v>186.29</v>
      </c>
      <c r="MO57" s="101">
        <f t="shared" si="36"/>
        <v>185.57</v>
      </c>
      <c r="MP57" s="101">
        <f t="shared" si="36"/>
        <v>184.85</v>
      </c>
      <c r="MQ57" s="101">
        <f t="shared" si="36"/>
        <v>184.14</v>
      </c>
      <c r="MR57" s="101">
        <f t="shared" si="36"/>
        <v>183.42</v>
      </c>
      <c r="MS57" s="101">
        <f t="shared" si="36"/>
        <v>182.71</v>
      </c>
      <c r="MT57" s="101">
        <f t="shared" si="36"/>
        <v>181.99</v>
      </c>
      <c r="MU57" s="101">
        <f t="shared" si="36"/>
        <v>181.28</v>
      </c>
      <c r="MV57" s="101">
        <f t="shared" si="36"/>
        <v>180.57</v>
      </c>
      <c r="MW57" s="101">
        <f t="shared" si="36"/>
        <v>179.87</v>
      </c>
      <c r="MX57" s="101">
        <f t="shared" si="36"/>
        <v>179.16</v>
      </c>
      <c r="MY57" s="101">
        <f t="shared" si="36"/>
        <v>178.46</v>
      </c>
    </row>
    <row r="58" spans="1:363" ht="15.75" x14ac:dyDescent="0.25">
      <c r="A58" s="90" t="s">
        <v>6</v>
      </c>
      <c r="B58" s="95">
        <v>2068</v>
      </c>
      <c r="C58" s="93">
        <v>519.80999999999995</v>
      </c>
      <c r="D58" s="93">
        <v>518.82000000000005</v>
      </c>
      <c r="E58" s="93">
        <v>517.79</v>
      </c>
      <c r="F58" s="93">
        <v>516.75</v>
      </c>
      <c r="G58" s="93">
        <v>515.72</v>
      </c>
      <c r="H58" s="93">
        <v>514.68000000000006</v>
      </c>
      <c r="I58" s="93">
        <v>513.65</v>
      </c>
      <c r="J58" s="93">
        <v>512.61</v>
      </c>
      <c r="K58" s="93">
        <v>511.58</v>
      </c>
      <c r="L58" s="93">
        <v>510.54</v>
      </c>
      <c r="M58" s="93">
        <v>509.51</v>
      </c>
      <c r="N58" s="93">
        <v>508.47</v>
      </c>
      <c r="O58" s="93">
        <v>507.44</v>
      </c>
      <c r="P58" s="93">
        <v>506.4</v>
      </c>
      <c r="Q58" s="93">
        <v>505.37</v>
      </c>
      <c r="R58" s="93">
        <v>504.33</v>
      </c>
      <c r="S58" s="93">
        <v>503.3</v>
      </c>
      <c r="T58" s="93">
        <v>502.26</v>
      </c>
      <c r="U58" s="93">
        <v>501.23</v>
      </c>
      <c r="V58" s="93">
        <v>500.19</v>
      </c>
      <c r="W58" s="93">
        <v>499.16</v>
      </c>
      <c r="X58" s="93">
        <v>498.12</v>
      </c>
      <c r="Y58" s="93">
        <v>497.09</v>
      </c>
      <c r="Z58" s="93">
        <v>496.05</v>
      </c>
      <c r="AA58" s="93">
        <v>495.02</v>
      </c>
      <c r="AB58" s="93">
        <v>493.98</v>
      </c>
      <c r="AC58" s="93">
        <v>492.95</v>
      </c>
      <c r="AD58" s="93">
        <v>491.91</v>
      </c>
      <c r="AE58" s="93">
        <v>490.87</v>
      </c>
      <c r="AF58" s="93">
        <v>489.84</v>
      </c>
      <c r="AG58" s="93">
        <v>488.8</v>
      </c>
      <c r="AH58" s="93">
        <v>487.77</v>
      </c>
      <c r="AI58" s="93">
        <v>486.73</v>
      </c>
      <c r="AJ58" s="93">
        <v>485.69</v>
      </c>
      <c r="AK58" s="93">
        <v>484.66</v>
      </c>
      <c r="AL58" s="93">
        <v>483.62</v>
      </c>
      <c r="AM58" s="93">
        <v>482.59</v>
      </c>
      <c r="AN58" s="93">
        <v>481.55</v>
      </c>
      <c r="AO58" s="93">
        <v>480.51</v>
      </c>
      <c r="AP58" s="93">
        <v>479.48</v>
      </c>
      <c r="AQ58" s="93">
        <v>478.44</v>
      </c>
      <c r="AR58" s="93">
        <v>477.4</v>
      </c>
      <c r="AS58" s="93">
        <v>476.37</v>
      </c>
      <c r="AT58" s="93">
        <v>475.33</v>
      </c>
      <c r="AU58" s="93">
        <v>474.29</v>
      </c>
      <c r="AV58" s="93">
        <v>473.26</v>
      </c>
      <c r="AW58" s="93">
        <v>472.22</v>
      </c>
      <c r="AX58" s="93">
        <v>471.19</v>
      </c>
      <c r="AY58" s="93">
        <v>470.15</v>
      </c>
      <c r="AZ58" s="93">
        <v>469.11</v>
      </c>
      <c r="BA58" s="93">
        <v>468.08</v>
      </c>
      <c r="BB58" s="93">
        <v>467.04</v>
      </c>
      <c r="BC58" s="93">
        <v>466</v>
      </c>
      <c r="BD58" s="93">
        <v>464.96</v>
      </c>
      <c r="BE58" s="93">
        <v>463.93</v>
      </c>
      <c r="BF58" s="93">
        <v>462.89</v>
      </c>
      <c r="BG58" s="93">
        <v>461.85</v>
      </c>
      <c r="BH58" s="93">
        <v>460.82</v>
      </c>
      <c r="BI58" s="93">
        <v>459.78</v>
      </c>
      <c r="BJ58" s="93">
        <v>458.74</v>
      </c>
      <c r="BK58" s="93">
        <v>457.71</v>
      </c>
      <c r="BL58" s="93">
        <v>456.67</v>
      </c>
      <c r="BM58" s="93">
        <v>455.63</v>
      </c>
      <c r="BN58" s="93">
        <v>454.59</v>
      </c>
      <c r="BO58" s="93">
        <v>453.55</v>
      </c>
      <c r="BP58" s="93">
        <v>452.52</v>
      </c>
      <c r="BQ58" s="93">
        <v>451.48</v>
      </c>
      <c r="BR58" s="93">
        <v>450.44</v>
      </c>
      <c r="BS58" s="93">
        <v>449.4</v>
      </c>
      <c r="BT58" s="93">
        <v>448.37</v>
      </c>
      <c r="BU58" s="93">
        <v>447.33</v>
      </c>
      <c r="BV58" s="93">
        <v>446.29</v>
      </c>
      <c r="BW58" s="93">
        <v>445.25</v>
      </c>
      <c r="BX58" s="93">
        <v>444.22</v>
      </c>
      <c r="BY58" s="93">
        <v>443.18</v>
      </c>
      <c r="BZ58" s="93">
        <v>442.14</v>
      </c>
      <c r="CA58" s="93">
        <v>441.11</v>
      </c>
      <c r="CB58" s="93">
        <v>440.07</v>
      </c>
      <c r="CC58" s="93">
        <v>439.03</v>
      </c>
      <c r="CD58" s="93">
        <v>438</v>
      </c>
      <c r="CE58" s="93">
        <v>436.96</v>
      </c>
      <c r="CF58" s="93">
        <v>435.93</v>
      </c>
      <c r="CG58" s="93">
        <v>434.89</v>
      </c>
      <c r="CH58" s="93">
        <v>433.85</v>
      </c>
      <c r="CI58" s="93">
        <v>432.82</v>
      </c>
      <c r="CJ58" s="93">
        <v>431.78</v>
      </c>
      <c r="CK58" s="93">
        <v>430.74</v>
      </c>
      <c r="CL58" s="93">
        <v>429.71</v>
      </c>
      <c r="CM58" s="93">
        <v>428.67</v>
      </c>
      <c r="CN58" s="93">
        <v>427.63</v>
      </c>
      <c r="CO58" s="93">
        <v>426.6</v>
      </c>
      <c r="CP58" s="93">
        <v>425.56</v>
      </c>
      <c r="CQ58" s="93">
        <v>424.52</v>
      </c>
      <c r="CR58" s="93">
        <v>423.49</v>
      </c>
      <c r="CS58" s="93">
        <v>422.45</v>
      </c>
      <c r="CT58" s="93">
        <v>421.41</v>
      </c>
      <c r="CU58" s="93">
        <v>420.38</v>
      </c>
      <c r="CV58" s="93">
        <v>419.34</v>
      </c>
      <c r="CW58" s="93">
        <v>418.31</v>
      </c>
      <c r="CX58" s="93">
        <v>417.27</v>
      </c>
      <c r="CY58" s="93">
        <v>416.24</v>
      </c>
      <c r="CZ58" s="93">
        <v>415.2</v>
      </c>
      <c r="DA58" s="93">
        <v>414.17</v>
      </c>
      <c r="DB58" s="93">
        <v>413.13</v>
      </c>
      <c r="DC58" s="93">
        <v>412.1</v>
      </c>
      <c r="DD58" s="93">
        <v>411.06</v>
      </c>
      <c r="DE58" s="93">
        <v>410.03</v>
      </c>
      <c r="DF58" s="93">
        <v>408.99</v>
      </c>
      <c r="DG58" s="93">
        <v>407.96</v>
      </c>
      <c r="DH58" s="93">
        <v>406.93</v>
      </c>
      <c r="DI58" s="93">
        <v>405.89</v>
      </c>
      <c r="DJ58" s="93">
        <v>404.86</v>
      </c>
      <c r="DK58" s="93">
        <v>403.83</v>
      </c>
      <c r="DL58" s="93">
        <v>402.79</v>
      </c>
      <c r="DM58" s="93">
        <v>401.76</v>
      </c>
      <c r="DN58" s="93">
        <v>400.73</v>
      </c>
      <c r="DO58" s="93">
        <v>399.69</v>
      </c>
      <c r="DP58" s="93">
        <v>398.66</v>
      </c>
      <c r="DQ58" s="93">
        <v>397.63</v>
      </c>
      <c r="DR58" s="93">
        <v>396.6</v>
      </c>
      <c r="DS58" s="93">
        <v>395.56</v>
      </c>
      <c r="DT58" s="93">
        <v>394.53</v>
      </c>
      <c r="DU58" s="93">
        <v>393.51</v>
      </c>
      <c r="DV58" s="93">
        <v>392.48</v>
      </c>
      <c r="DW58" s="93">
        <v>391.45</v>
      </c>
      <c r="DX58" s="93">
        <v>390.42</v>
      </c>
      <c r="DY58" s="93">
        <v>389.39</v>
      </c>
      <c r="DZ58" s="93">
        <v>388.37</v>
      </c>
      <c r="EA58" s="93">
        <v>387.34</v>
      </c>
      <c r="EB58" s="93">
        <v>386.31</v>
      </c>
      <c r="EC58" s="93">
        <v>385.28</v>
      </c>
      <c r="ED58" s="93">
        <v>384.26</v>
      </c>
      <c r="EE58" s="93">
        <v>383.23</v>
      </c>
      <c r="EF58" s="93">
        <v>382.21</v>
      </c>
      <c r="EG58" s="93">
        <v>381.19</v>
      </c>
      <c r="EH58" s="93">
        <v>380.17</v>
      </c>
      <c r="EI58" s="93">
        <v>379.15</v>
      </c>
      <c r="EJ58" s="93">
        <v>378.12</v>
      </c>
      <c r="EK58" s="93">
        <v>377.1</v>
      </c>
      <c r="EL58" s="93">
        <v>376.08</v>
      </c>
      <c r="EM58" s="93">
        <v>375.06</v>
      </c>
      <c r="EN58" s="93">
        <v>374.04</v>
      </c>
      <c r="EO58" s="93">
        <v>373.02</v>
      </c>
      <c r="EP58" s="93">
        <v>372</v>
      </c>
      <c r="EQ58" s="93">
        <v>370.99</v>
      </c>
      <c r="ER58" s="93">
        <v>369.97</v>
      </c>
      <c r="ES58" s="93">
        <v>368.96</v>
      </c>
      <c r="ET58" s="93">
        <v>367.94</v>
      </c>
      <c r="EU58" s="93">
        <v>366.93</v>
      </c>
      <c r="EV58" s="93">
        <v>365.91</v>
      </c>
      <c r="EW58" s="93">
        <v>364.9</v>
      </c>
      <c r="EX58" s="93">
        <v>363.88</v>
      </c>
      <c r="EY58" s="93">
        <v>362.87</v>
      </c>
      <c r="EZ58" s="93">
        <v>361.86</v>
      </c>
      <c r="FA58" s="93">
        <v>360.84</v>
      </c>
      <c r="FB58" s="93">
        <v>359.83</v>
      </c>
      <c r="FC58" s="93">
        <v>358.82</v>
      </c>
      <c r="FD58" s="93">
        <v>357.81</v>
      </c>
      <c r="FE58" s="93">
        <v>356.8</v>
      </c>
      <c r="FF58" s="93">
        <v>355.8</v>
      </c>
      <c r="FG58" s="93">
        <v>354.79</v>
      </c>
      <c r="FH58" s="93">
        <v>353.78</v>
      </c>
      <c r="FI58" s="93">
        <v>352.78</v>
      </c>
      <c r="FJ58" s="93">
        <v>351.77</v>
      </c>
      <c r="FK58" s="93">
        <v>350.77</v>
      </c>
      <c r="FL58" s="93">
        <v>349.76</v>
      </c>
      <c r="FM58" s="93">
        <v>348.76</v>
      </c>
      <c r="FN58" s="93">
        <v>347.75</v>
      </c>
      <c r="FO58" s="93">
        <v>346.75</v>
      </c>
      <c r="FP58" s="93">
        <v>345.75</v>
      </c>
      <c r="FQ58" s="93">
        <v>344.74</v>
      </c>
      <c r="FR58" s="93">
        <v>343.74</v>
      </c>
      <c r="FS58" s="93">
        <v>342.74</v>
      </c>
      <c r="FT58" s="93">
        <v>341.74</v>
      </c>
      <c r="FU58" s="93">
        <v>340.74</v>
      </c>
      <c r="FV58" s="93">
        <v>339.74</v>
      </c>
      <c r="FW58" s="93">
        <v>338.74</v>
      </c>
      <c r="FX58" s="93">
        <v>337.74</v>
      </c>
      <c r="FY58" s="93">
        <v>336.74</v>
      </c>
      <c r="FZ58" s="93">
        <v>335.74</v>
      </c>
      <c r="GA58" s="93">
        <v>334.74</v>
      </c>
      <c r="GB58" s="93">
        <v>333.75</v>
      </c>
      <c r="GC58" s="93">
        <v>332.75</v>
      </c>
      <c r="GD58" s="93">
        <v>331.76</v>
      </c>
      <c r="GE58" s="93">
        <v>330.76</v>
      </c>
      <c r="GF58" s="93">
        <v>329.76</v>
      </c>
      <c r="GG58" s="93">
        <v>328.76</v>
      </c>
      <c r="GH58" s="93">
        <v>327.78</v>
      </c>
      <c r="GI58" s="93">
        <v>326.77999999999997</v>
      </c>
      <c r="GJ58" s="93">
        <v>325.79000000000002</v>
      </c>
      <c r="GK58" s="93">
        <v>324.79000000000002</v>
      </c>
      <c r="GL58" s="93">
        <v>323.81</v>
      </c>
      <c r="GM58" s="93">
        <v>322.82</v>
      </c>
      <c r="GN58" s="93">
        <v>321.82</v>
      </c>
      <c r="GO58" s="93">
        <v>320.83999999999997</v>
      </c>
      <c r="GP58" s="93">
        <v>319.85000000000002</v>
      </c>
      <c r="GQ58" s="93">
        <v>318.88</v>
      </c>
      <c r="GR58" s="93">
        <v>317.89</v>
      </c>
      <c r="GS58" s="93">
        <v>316.91000000000003</v>
      </c>
      <c r="GT58" s="93">
        <v>315.93</v>
      </c>
      <c r="GU58" s="93">
        <v>314.95</v>
      </c>
      <c r="GV58" s="93">
        <v>313.97000000000003</v>
      </c>
      <c r="GW58" s="93">
        <v>312.99</v>
      </c>
      <c r="GX58" s="93">
        <v>312.01</v>
      </c>
      <c r="GY58" s="93">
        <v>311.02999999999997</v>
      </c>
      <c r="GZ58" s="93">
        <v>310.04000000000002</v>
      </c>
      <c r="HA58" s="93">
        <v>309.07</v>
      </c>
      <c r="HB58" s="93">
        <v>308.10000000000002</v>
      </c>
      <c r="HC58" s="93">
        <v>307.12</v>
      </c>
      <c r="HD58" s="93">
        <v>306.14999999999998</v>
      </c>
      <c r="HE58" s="93">
        <v>305.17</v>
      </c>
      <c r="HF58" s="93">
        <v>304.2</v>
      </c>
      <c r="HG58" s="93">
        <v>303.23</v>
      </c>
      <c r="HH58" s="93">
        <v>302.25</v>
      </c>
      <c r="HI58" s="93">
        <v>301.27999999999997</v>
      </c>
      <c r="HJ58" s="93">
        <v>300.31</v>
      </c>
      <c r="HK58" s="93">
        <v>299.33999999999997</v>
      </c>
      <c r="HL58" s="93">
        <v>298.38</v>
      </c>
      <c r="HM58" s="93">
        <v>297.42</v>
      </c>
      <c r="HN58" s="93">
        <v>296.45999999999998</v>
      </c>
      <c r="HO58" s="93">
        <v>295.5</v>
      </c>
      <c r="HP58" s="93">
        <v>294.54000000000002</v>
      </c>
      <c r="HQ58" s="93">
        <v>293.57</v>
      </c>
      <c r="HR58" s="93">
        <v>292.62</v>
      </c>
      <c r="HS58" s="93">
        <v>291.66000000000003</v>
      </c>
      <c r="HT58" s="93">
        <v>290.70999999999998</v>
      </c>
      <c r="HU58" s="93">
        <v>289.75</v>
      </c>
      <c r="HV58" s="93">
        <v>288.79000000000002</v>
      </c>
      <c r="HW58" s="93">
        <v>287.83999999999997</v>
      </c>
      <c r="HX58" s="93">
        <v>286.89</v>
      </c>
      <c r="HY58" s="93">
        <v>285.94</v>
      </c>
      <c r="HZ58" s="93">
        <v>284.99</v>
      </c>
      <c r="IA58" s="93">
        <v>284.04000000000002</v>
      </c>
      <c r="IB58" s="93">
        <v>283.08999999999997</v>
      </c>
      <c r="IC58" s="93">
        <v>282.14</v>
      </c>
      <c r="ID58" s="93">
        <v>281.19</v>
      </c>
      <c r="IE58" s="93">
        <v>280.24</v>
      </c>
      <c r="IF58" s="93">
        <v>279.29000000000002</v>
      </c>
      <c r="IG58" s="93">
        <v>278.35000000000002</v>
      </c>
      <c r="IH58" s="93">
        <v>277.39999999999998</v>
      </c>
      <c r="II58" s="93">
        <v>276.45</v>
      </c>
      <c r="IJ58" s="93">
        <v>275.51</v>
      </c>
      <c r="IK58" s="93">
        <v>274.57</v>
      </c>
      <c r="IL58" s="93">
        <v>273.63</v>
      </c>
      <c r="IM58" s="93">
        <v>272.69</v>
      </c>
      <c r="IN58" s="93">
        <v>271.75</v>
      </c>
      <c r="IO58" s="93">
        <v>270.81</v>
      </c>
      <c r="IP58" s="93">
        <v>269.87</v>
      </c>
      <c r="IQ58" s="93">
        <v>268.93</v>
      </c>
      <c r="IR58" s="93">
        <v>267.99</v>
      </c>
      <c r="IS58" s="93">
        <v>267.06</v>
      </c>
      <c r="IT58" s="93">
        <v>266.12</v>
      </c>
      <c r="IU58" s="93">
        <v>265.19</v>
      </c>
      <c r="IV58" s="93">
        <v>264.26</v>
      </c>
      <c r="IW58" s="93">
        <v>263.33999999999997</v>
      </c>
      <c r="IX58" s="93">
        <v>262.42</v>
      </c>
      <c r="IY58" s="93">
        <v>261.5</v>
      </c>
      <c r="IZ58" s="93">
        <v>260.57</v>
      </c>
      <c r="JA58" s="93">
        <v>259.65999999999997</v>
      </c>
      <c r="JB58" s="93">
        <v>258.74</v>
      </c>
      <c r="JC58" s="93">
        <v>257.82</v>
      </c>
      <c r="JD58" s="93">
        <v>256.89999999999998</v>
      </c>
      <c r="JE58" s="93">
        <v>255.99</v>
      </c>
      <c r="JF58" s="93">
        <v>255.07</v>
      </c>
      <c r="JG58" s="93">
        <v>254.15</v>
      </c>
      <c r="JH58" s="93">
        <v>253.24</v>
      </c>
      <c r="JI58" s="93">
        <v>252.33</v>
      </c>
      <c r="JJ58" s="93">
        <v>251.42</v>
      </c>
      <c r="JK58" s="93">
        <v>250.51</v>
      </c>
      <c r="JL58" s="93">
        <v>249.6</v>
      </c>
      <c r="JM58" s="93">
        <v>248.69</v>
      </c>
      <c r="JN58" s="93">
        <v>247.78</v>
      </c>
      <c r="JO58" s="93">
        <v>246.87</v>
      </c>
      <c r="JP58" s="93">
        <v>245.96</v>
      </c>
      <c r="JQ58" s="93">
        <v>245.06</v>
      </c>
      <c r="JR58" s="93">
        <v>244.15</v>
      </c>
      <c r="JS58" s="93">
        <v>243.25</v>
      </c>
      <c r="JT58" s="93">
        <v>242.34</v>
      </c>
      <c r="JU58" s="93">
        <v>241.43</v>
      </c>
      <c r="JV58" s="93">
        <v>240.52</v>
      </c>
      <c r="JW58" s="93">
        <v>239.61</v>
      </c>
      <c r="JX58" s="93">
        <v>238.7</v>
      </c>
      <c r="JY58" s="93">
        <v>237.79</v>
      </c>
      <c r="JZ58" s="93">
        <v>236.88</v>
      </c>
      <c r="KA58" s="93">
        <v>235.97</v>
      </c>
      <c r="KB58" s="93">
        <v>235.07</v>
      </c>
      <c r="KC58" s="93">
        <v>234.16</v>
      </c>
      <c r="KD58" s="93">
        <v>233.26</v>
      </c>
      <c r="KE58" s="93">
        <v>232.35</v>
      </c>
      <c r="KF58" s="93">
        <v>231.45</v>
      </c>
      <c r="KG58" s="93">
        <v>230.55</v>
      </c>
      <c r="KH58" s="93">
        <v>229.65</v>
      </c>
      <c r="KI58" s="93">
        <v>228.75</v>
      </c>
      <c r="KJ58" s="93">
        <v>227.85</v>
      </c>
      <c r="KK58" s="93">
        <v>226.95</v>
      </c>
      <c r="KL58" s="93">
        <v>226.05</v>
      </c>
      <c r="KM58" s="93">
        <v>225.16</v>
      </c>
      <c r="KN58" s="93">
        <v>224.26</v>
      </c>
      <c r="KO58" s="93">
        <v>223.37</v>
      </c>
      <c r="KP58" s="93">
        <v>222.47</v>
      </c>
      <c r="KQ58" s="93">
        <v>221.58</v>
      </c>
      <c r="KR58" s="98">
        <f t="shared" si="37"/>
        <v>223.52</v>
      </c>
      <c r="KS58" s="98">
        <f t="shared" si="38"/>
        <v>222.73</v>
      </c>
      <c r="KT58" s="98">
        <f t="shared" si="37"/>
        <v>221.91</v>
      </c>
      <c r="KU58" s="98">
        <f t="shared" si="37"/>
        <v>221.12</v>
      </c>
      <c r="KV58" s="98">
        <f t="shared" si="37"/>
        <v>220.34</v>
      </c>
      <c r="KW58" s="98">
        <f t="shared" si="37"/>
        <v>219.55</v>
      </c>
      <c r="KX58" s="98">
        <f t="shared" si="37"/>
        <v>218.76</v>
      </c>
      <c r="KY58" s="98">
        <f t="shared" si="37"/>
        <v>217.98</v>
      </c>
      <c r="KZ58" s="98">
        <f t="shared" si="37"/>
        <v>217.19</v>
      </c>
      <c r="LA58" s="98">
        <f t="shared" si="37"/>
        <v>216.41</v>
      </c>
      <c r="LB58" s="98">
        <f t="shared" si="37"/>
        <v>215.63</v>
      </c>
      <c r="LC58" s="98">
        <f t="shared" si="37"/>
        <v>214.85</v>
      </c>
      <c r="LD58" s="98">
        <f t="shared" si="37"/>
        <v>214.07</v>
      </c>
      <c r="LE58" s="98">
        <f t="shared" si="37"/>
        <v>213.29</v>
      </c>
      <c r="LF58" s="98">
        <f t="shared" si="37"/>
        <v>212.52</v>
      </c>
      <c r="LG58" s="98">
        <f t="shared" si="37"/>
        <v>211.75</v>
      </c>
      <c r="LH58" s="98">
        <f t="shared" si="37"/>
        <v>210.97</v>
      </c>
      <c r="LI58" s="98">
        <f t="shared" si="37"/>
        <v>210.2</v>
      </c>
      <c r="LJ58" s="98">
        <f t="shared" si="37"/>
        <v>209.43</v>
      </c>
      <c r="LK58" s="98">
        <f t="shared" si="37"/>
        <v>208.66</v>
      </c>
      <c r="LL58" s="98">
        <f t="shared" si="37"/>
        <v>207.89</v>
      </c>
      <c r="LM58" s="98">
        <f t="shared" si="37"/>
        <v>207.13</v>
      </c>
      <c r="LN58" s="98">
        <f t="shared" si="36"/>
        <v>206.36</v>
      </c>
      <c r="LO58" s="98">
        <f t="shared" si="36"/>
        <v>205.6</v>
      </c>
      <c r="LP58" s="98">
        <f t="shared" si="36"/>
        <v>204.84</v>
      </c>
      <c r="LQ58" s="98">
        <f t="shared" si="36"/>
        <v>204.08</v>
      </c>
      <c r="LR58" s="98">
        <f t="shared" si="36"/>
        <v>203.32</v>
      </c>
      <c r="LS58" s="98">
        <f t="shared" si="36"/>
        <v>202.56</v>
      </c>
      <c r="LT58" s="98">
        <f t="shared" si="36"/>
        <v>201.81</v>
      </c>
      <c r="LU58" s="98">
        <f t="shared" si="36"/>
        <v>201.06</v>
      </c>
      <c r="LV58" s="98">
        <f t="shared" si="36"/>
        <v>200.3</v>
      </c>
      <c r="LW58" s="98">
        <f t="shared" si="36"/>
        <v>199.55</v>
      </c>
      <c r="LX58" s="98">
        <f t="shared" si="36"/>
        <v>198.8</v>
      </c>
      <c r="LY58" s="98">
        <f t="shared" si="36"/>
        <v>198.05</v>
      </c>
      <c r="LZ58" s="98">
        <f t="shared" si="36"/>
        <v>197.31</v>
      </c>
      <c r="MA58" s="98">
        <f t="shared" si="36"/>
        <v>196.56</v>
      </c>
      <c r="MB58" s="98">
        <f t="shared" si="36"/>
        <v>195.82</v>
      </c>
      <c r="MC58" s="98">
        <f t="shared" si="36"/>
        <v>195.08</v>
      </c>
      <c r="MD58" s="100">
        <f t="shared" si="36"/>
        <v>194.34</v>
      </c>
      <c r="ME58" s="101">
        <f t="shared" si="36"/>
        <v>193.61</v>
      </c>
      <c r="MF58" s="101">
        <f t="shared" si="36"/>
        <v>192.87</v>
      </c>
      <c r="MG58" s="101">
        <f t="shared" si="36"/>
        <v>192.14</v>
      </c>
      <c r="MH58" s="101">
        <f t="shared" si="36"/>
        <v>191.4</v>
      </c>
      <c r="MI58" s="101">
        <f t="shared" si="36"/>
        <v>190.67</v>
      </c>
      <c r="MJ58" s="101">
        <f t="shared" si="36"/>
        <v>189.94</v>
      </c>
      <c r="MK58" s="101">
        <f t="shared" si="36"/>
        <v>189.21</v>
      </c>
      <c r="ML58" s="101">
        <f t="shared" si="36"/>
        <v>188.49</v>
      </c>
      <c r="MM58" s="101">
        <f t="shared" si="36"/>
        <v>187.76</v>
      </c>
      <c r="MN58" s="101">
        <f t="shared" si="36"/>
        <v>187.04</v>
      </c>
      <c r="MO58" s="101">
        <f t="shared" si="36"/>
        <v>186.32</v>
      </c>
      <c r="MP58" s="101">
        <f t="shared" si="36"/>
        <v>185.6</v>
      </c>
      <c r="MQ58" s="101">
        <f t="shared" si="36"/>
        <v>184.89</v>
      </c>
      <c r="MR58" s="101">
        <f t="shared" si="36"/>
        <v>184.17</v>
      </c>
      <c r="MS58" s="101">
        <f t="shared" si="36"/>
        <v>183.46</v>
      </c>
      <c r="MT58" s="101">
        <f t="shared" si="36"/>
        <v>182.74</v>
      </c>
      <c r="MU58" s="101">
        <f t="shared" si="36"/>
        <v>182.03</v>
      </c>
      <c r="MV58" s="101">
        <f t="shared" si="36"/>
        <v>181.32</v>
      </c>
      <c r="MW58" s="101">
        <f t="shared" si="36"/>
        <v>180.62</v>
      </c>
      <c r="MX58" s="101">
        <f t="shared" si="36"/>
        <v>179.91</v>
      </c>
      <c r="MY58" s="101">
        <f t="shared" si="36"/>
        <v>179.21</v>
      </c>
    </row>
    <row r="59" spans="1:363" ht="15.75" x14ac:dyDescent="0.25">
      <c r="A59" s="90" t="s">
        <v>6</v>
      </c>
      <c r="B59" s="95">
        <v>2069</v>
      </c>
      <c r="C59" s="93">
        <v>520.54</v>
      </c>
      <c r="D59" s="93">
        <v>519.57000000000005</v>
      </c>
      <c r="E59" s="93">
        <v>518.54</v>
      </c>
      <c r="F59" s="93">
        <v>517.5</v>
      </c>
      <c r="G59" s="93">
        <v>516.47</v>
      </c>
      <c r="H59" s="93">
        <v>515.43000000000006</v>
      </c>
      <c r="I59" s="93">
        <v>514.4</v>
      </c>
      <c r="J59" s="93">
        <v>513.36</v>
      </c>
      <c r="K59" s="93">
        <v>512.32999999999993</v>
      </c>
      <c r="L59" s="93">
        <v>511.29</v>
      </c>
      <c r="M59" s="93">
        <v>510.26</v>
      </c>
      <c r="N59" s="93">
        <v>509.22</v>
      </c>
      <c r="O59" s="93">
        <v>508.19</v>
      </c>
      <c r="P59" s="93">
        <v>507.15</v>
      </c>
      <c r="Q59" s="93">
        <v>506.12</v>
      </c>
      <c r="R59" s="93">
        <v>505.08</v>
      </c>
      <c r="S59" s="93">
        <v>504.05</v>
      </c>
      <c r="T59" s="93">
        <v>503.01</v>
      </c>
      <c r="U59" s="93">
        <v>501.98</v>
      </c>
      <c r="V59" s="93">
        <v>500.94</v>
      </c>
      <c r="W59" s="93">
        <v>499.91</v>
      </c>
      <c r="X59" s="93">
        <v>498.87</v>
      </c>
      <c r="Y59" s="93">
        <v>497.84</v>
      </c>
      <c r="Z59" s="93">
        <v>496.8</v>
      </c>
      <c r="AA59" s="93">
        <v>495.77</v>
      </c>
      <c r="AB59" s="93">
        <v>494.73</v>
      </c>
      <c r="AC59" s="93">
        <v>493.7</v>
      </c>
      <c r="AD59" s="93">
        <v>492.66</v>
      </c>
      <c r="AE59" s="93">
        <v>491.62</v>
      </c>
      <c r="AF59" s="93">
        <v>490.59</v>
      </c>
      <c r="AG59" s="93">
        <v>489.55</v>
      </c>
      <c r="AH59" s="93">
        <v>488.52</v>
      </c>
      <c r="AI59" s="93">
        <v>487.48</v>
      </c>
      <c r="AJ59" s="93">
        <v>486.44</v>
      </c>
      <c r="AK59" s="93">
        <v>485.41</v>
      </c>
      <c r="AL59" s="93">
        <v>484.37</v>
      </c>
      <c r="AM59" s="93">
        <v>483.34</v>
      </c>
      <c r="AN59" s="93">
        <v>482.3</v>
      </c>
      <c r="AO59" s="93">
        <v>481.26</v>
      </c>
      <c r="AP59" s="93">
        <v>480.23</v>
      </c>
      <c r="AQ59" s="93">
        <v>479.19</v>
      </c>
      <c r="AR59" s="93">
        <v>478.15</v>
      </c>
      <c r="AS59" s="93">
        <v>477.12</v>
      </c>
      <c r="AT59" s="93">
        <v>476.08</v>
      </c>
      <c r="AU59" s="93">
        <v>475.04</v>
      </c>
      <c r="AV59" s="93">
        <v>474.01</v>
      </c>
      <c r="AW59" s="93">
        <v>472.97</v>
      </c>
      <c r="AX59" s="93">
        <v>471.94</v>
      </c>
      <c r="AY59" s="93">
        <v>470.9</v>
      </c>
      <c r="AZ59" s="93">
        <v>469.86</v>
      </c>
      <c r="BA59" s="93">
        <v>468.83</v>
      </c>
      <c r="BB59" s="93">
        <v>467.79</v>
      </c>
      <c r="BC59" s="93">
        <v>466.75</v>
      </c>
      <c r="BD59" s="93">
        <v>465.71</v>
      </c>
      <c r="BE59" s="93">
        <v>464.68</v>
      </c>
      <c r="BF59" s="93">
        <v>463.64</v>
      </c>
      <c r="BG59" s="93">
        <v>462.6</v>
      </c>
      <c r="BH59" s="93">
        <v>461.57</v>
      </c>
      <c r="BI59" s="93">
        <v>460.53</v>
      </c>
      <c r="BJ59" s="93">
        <v>459.49</v>
      </c>
      <c r="BK59" s="93">
        <v>458.46</v>
      </c>
      <c r="BL59" s="93">
        <v>457.42</v>
      </c>
      <c r="BM59" s="93">
        <v>456.38</v>
      </c>
      <c r="BN59" s="93">
        <v>455.34</v>
      </c>
      <c r="BO59" s="93">
        <v>454.3</v>
      </c>
      <c r="BP59" s="93">
        <v>453.27</v>
      </c>
      <c r="BQ59" s="93">
        <v>452.23</v>
      </c>
      <c r="BR59" s="93">
        <v>451.19</v>
      </c>
      <c r="BS59" s="93">
        <v>450.15</v>
      </c>
      <c r="BT59" s="93">
        <v>449.12</v>
      </c>
      <c r="BU59" s="93">
        <v>448.08</v>
      </c>
      <c r="BV59" s="93">
        <v>447.04</v>
      </c>
      <c r="BW59" s="93">
        <v>446</v>
      </c>
      <c r="BX59" s="93">
        <v>444.97</v>
      </c>
      <c r="BY59" s="93">
        <v>443.93</v>
      </c>
      <c r="BZ59" s="93">
        <v>442.89</v>
      </c>
      <c r="CA59" s="93">
        <v>441.86</v>
      </c>
      <c r="CB59" s="93">
        <v>440.82</v>
      </c>
      <c r="CC59" s="93">
        <v>439.78</v>
      </c>
      <c r="CD59" s="93">
        <v>438.75</v>
      </c>
      <c r="CE59" s="93">
        <v>437.71</v>
      </c>
      <c r="CF59" s="93">
        <v>436.68</v>
      </c>
      <c r="CG59" s="93">
        <v>435.64</v>
      </c>
      <c r="CH59" s="93">
        <v>434.6</v>
      </c>
      <c r="CI59" s="93">
        <v>433.57</v>
      </c>
      <c r="CJ59" s="93">
        <v>432.53</v>
      </c>
      <c r="CK59" s="93">
        <v>431.49</v>
      </c>
      <c r="CL59" s="93">
        <v>430.46</v>
      </c>
      <c r="CM59" s="93">
        <v>429.42</v>
      </c>
      <c r="CN59" s="93">
        <v>428.38</v>
      </c>
      <c r="CO59" s="93">
        <v>427.35</v>
      </c>
      <c r="CP59" s="93">
        <v>426.31</v>
      </c>
      <c r="CQ59" s="93">
        <v>425.27</v>
      </c>
      <c r="CR59" s="93">
        <v>424.24</v>
      </c>
      <c r="CS59" s="93">
        <v>423.2</v>
      </c>
      <c r="CT59" s="93">
        <v>422.16</v>
      </c>
      <c r="CU59" s="93">
        <v>421.13</v>
      </c>
      <c r="CV59" s="93">
        <v>420.09</v>
      </c>
      <c r="CW59" s="93">
        <v>419.06</v>
      </c>
      <c r="CX59" s="93">
        <v>418.02</v>
      </c>
      <c r="CY59" s="93">
        <v>416.99</v>
      </c>
      <c r="CZ59" s="93">
        <v>415.95</v>
      </c>
      <c r="DA59" s="93">
        <v>414.92</v>
      </c>
      <c r="DB59" s="93">
        <v>413.88</v>
      </c>
      <c r="DC59" s="93">
        <v>412.85</v>
      </c>
      <c r="DD59" s="93">
        <v>411.81</v>
      </c>
      <c r="DE59" s="93">
        <v>410.78</v>
      </c>
      <c r="DF59" s="93">
        <v>409.74</v>
      </c>
      <c r="DG59" s="93">
        <v>408.71</v>
      </c>
      <c r="DH59" s="93">
        <v>407.68</v>
      </c>
      <c r="DI59" s="93">
        <v>406.64</v>
      </c>
      <c r="DJ59" s="93">
        <v>405.61</v>
      </c>
      <c r="DK59" s="93">
        <v>404.58</v>
      </c>
      <c r="DL59" s="93">
        <v>403.54</v>
      </c>
      <c r="DM59" s="93">
        <v>402.51</v>
      </c>
      <c r="DN59" s="93">
        <v>401.48</v>
      </c>
      <c r="DO59" s="93">
        <v>400.44</v>
      </c>
      <c r="DP59" s="93">
        <v>399.41</v>
      </c>
      <c r="DQ59" s="93">
        <v>398.38</v>
      </c>
      <c r="DR59" s="93">
        <v>397.35</v>
      </c>
      <c r="DS59" s="93">
        <v>396.31</v>
      </c>
      <c r="DT59" s="93">
        <v>395.28</v>
      </c>
      <c r="DU59" s="93">
        <v>394.26</v>
      </c>
      <c r="DV59" s="93">
        <v>393.23</v>
      </c>
      <c r="DW59" s="93">
        <v>392.2</v>
      </c>
      <c r="DX59" s="93">
        <v>391.17</v>
      </c>
      <c r="DY59" s="93">
        <v>390.14</v>
      </c>
      <c r="DZ59" s="93">
        <v>389.12</v>
      </c>
      <c r="EA59" s="93">
        <v>388.09</v>
      </c>
      <c r="EB59" s="93">
        <v>387.06</v>
      </c>
      <c r="EC59" s="93">
        <v>386.03</v>
      </c>
      <c r="ED59" s="93">
        <v>385.01</v>
      </c>
      <c r="EE59" s="93">
        <v>383.98</v>
      </c>
      <c r="EF59" s="93">
        <v>382.96</v>
      </c>
      <c r="EG59" s="93">
        <v>381.94</v>
      </c>
      <c r="EH59" s="93">
        <v>380.92</v>
      </c>
      <c r="EI59" s="93">
        <v>379.9</v>
      </c>
      <c r="EJ59" s="93">
        <v>378.87</v>
      </c>
      <c r="EK59" s="93">
        <v>377.85</v>
      </c>
      <c r="EL59" s="93">
        <v>376.83</v>
      </c>
      <c r="EM59" s="93">
        <v>375.81</v>
      </c>
      <c r="EN59" s="93">
        <v>374.79</v>
      </c>
      <c r="EO59" s="93">
        <v>373.77</v>
      </c>
      <c r="EP59" s="93">
        <v>372.75</v>
      </c>
      <c r="EQ59" s="93">
        <v>371.74</v>
      </c>
      <c r="ER59" s="93">
        <v>370.72</v>
      </c>
      <c r="ES59" s="93">
        <v>369.71</v>
      </c>
      <c r="ET59" s="93">
        <v>368.69</v>
      </c>
      <c r="EU59" s="93">
        <v>367.68</v>
      </c>
      <c r="EV59" s="93">
        <v>366.66</v>
      </c>
      <c r="EW59" s="93">
        <v>365.65</v>
      </c>
      <c r="EX59" s="93">
        <v>364.63</v>
      </c>
      <c r="EY59" s="93">
        <v>363.62</v>
      </c>
      <c r="EZ59" s="93">
        <v>362.61</v>
      </c>
      <c r="FA59" s="93">
        <v>361.59</v>
      </c>
      <c r="FB59" s="93">
        <v>360.58</v>
      </c>
      <c r="FC59" s="93">
        <v>359.57</v>
      </c>
      <c r="FD59" s="93">
        <v>358.56</v>
      </c>
      <c r="FE59" s="93">
        <v>357.55</v>
      </c>
      <c r="FF59" s="93">
        <v>356.55</v>
      </c>
      <c r="FG59" s="93">
        <v>355.54</v>
      </c>
      <c r="FH59" s="93">
        <v>354.53</v>
      </c>
      <c r="FI59" s="93">
        <v>353.53</v>
      </c>
      <c r="FJ59" s="93">
        <v>352.52</v>
      </c>
      <c r="FK59" s="93">
        <v>351.52</v>
      </c>
      <c r="FL59" s="93">
        <v>350.51</v>
      </c>
      <c r="FM59" s="93">
        <v>349.51</v>
      </c>
      <c r="FN59" s="93">
        <v>348.5</v>
      </c>
      <c r="FO59" s="93">
        <v>347.5</v>
      </c>
      <c r="FP59" s="93">
        <v>346.5</v>
      </c>
      <c r="FQ59" s="93">
        <v>345.49</v>
      </c>
      <c r="FR59" s="93">
        <v>344.49</v>
      </c>
      <c r="FS59" s="93">
        <v>343.49</v>
      </c>
      <c r="FT59" s="93">
        <v>342.49</v>
      </c>
      <c r="FU59" s="93">
        <v>341.49</v>
      </c>
      <c r="FV59" s="93">
        <v>340.49</v>
      </c>
      <c r="FW59" s="93">
        <v>339.49</v>
      </c>
      <c r="FX59" s="93">
        <v>338.49</v>
      </c>
      <c r="FY59" s="93">
        <v>337.49</v>
      </c>
      <c r="FZ59" s="93">
        <v>336.49</v>
      </c>
      <c r="GA59" s="93">
        <v>335.49</v>
      </c>
      <c r="GB59" s="93">
        <v>334.5</v>
      </c>
      <c r="GC59" s="93">
        <v>333.5</v>
      </c>
      <c r="GD59" s="93">
        <v>332.51</v>
      </c>
      <c r="GE59" s="93">
        <v>331.51</v>
      </c>
      <c r="GF59" s="93">
        <v>330.51</v>
      </c>
      <c r="GG59" s="93">
        <v>329.51</v>
      </c>
      <c r="GH59" s="93">
        <v>328.53</v>
      </c>
      <c r="GI59" s="93">
        <v>327.52999999999997</v>
      </c>
      <c r="GJ59" s="93">
        <v>326.54000000000002</v>
      </c>
      <c r="GK59" s="93">
        <v>325.54000000000002</v>
      </c>
      <c r="GL59" s="93">
        <v>324.56</v>
      </c>
      <c r="GM59" s="93">
        <v>323.57</v>
      </c>
      <c r="GN59" s="93">
        <v>322.57</v>
      </c>
      <c r="GO59" s="93">
        <v>321.58999999999997</v>
      </c>
      <c r="GP59" s="93">
        <v>320.60000000000002</v>
      </c>
      <c r="GQ59" s="93">
        <v>319.63</v>
      </c>
      <c r="GR59" s="93">
        <v>318.64</v>
      </c>
      <c r="GS59" s="93">
        <v>317.66000000000003</v>
      </c>
      <c r="GT59" s="93">
        <v>316.68</v>
      </c>
      <c r="GU59" s="93">
        <v>315.7</v>
      </c>
      <c r="GV59" s="93">
        <v>314.72000000000003</v>
      </c>
      <c r="GW59" s="93">
        <v>313.74</v>
      </c>
      <c r="GX59" s="93">
        <v>312.76</v>
      </c>
      <c r="GY59" s="93">
        <v>311.77999999999997</v>
      </c>
      <c r="GZ59" s="93">
        <v>310.79000000000002</v>
      </c>
      <c r="HA59" s="93">
        <v>309.82</v>
      </c>
      <c r="HB59" s="93">
        <v>308.85000000000002</v>
      </c>
      <c r="HC59" s="93">
        <v>307.87</v>
      </c>
      <c r="HD59" s="93">
        <v>306.89999999999998</v>
      </c>
      <c r="HE59" s="93">
        <v>305.92</v>
      </c>
      <c r="HF59" s="93">
        <v>304.95</v>
      </c>
      <c r="HG59" s="93">
        <v>303.98</v>
      </c>
      <c r="HH59" s="93">
        <v>303</v>
      </c>
      <c r="HI59" s="93">
        <v>302.02999999999997</v>
      </c>
      <c r="HJ59" s="93">
        <v>301.06</v>
      </c>
      <c r="HK59" s="93">
        <v>300.08999999999997</v>
      </c>
      <c r="HL59" s="93">
        <v>299.13</v>
      </c>
      <c r="HM59" s="93">
        <v>298.17</v>
      </c>
      <c r="HN59" s="93">
        <v>297.20999999999998</v>
      </c>
      <c r="HO59" s="93">
        <v>296.25</v>
      </c>
      <c r="HP59" s="93">
        <v>295.29000000000002</v>
      </c>
      <c r="HQ59" s="93">
        <v>294.32</v>
      </c>
      <c r="HR59" s="93">
        <v>293.37</v>
      </c>
      <c r="HS59" s="93">
        <v>292.41000000000003</v>
      </c>
      <c r="HT59" s="93">
        <v>291.45999999999998</v>
      </c>
      <c r="HU59" s="93">
        <v>290.5</v>
      </c>
      <c r="HV59" s="93">
        <v>289.54000000000002</v>
      </c>
      <c r="HW59" s="93">
        <v>288.58999999999997</v>
      </c>
      <c r="HX59" s="93">
        <v>287.64</v>
      </c>
      <c r="HY59" s="93">
        <v>286.69</v>
      </c>
      <c r="HZ59" s="93">
        <v>285.74</v>
      </c>
      <c r="IA59" s="93">
        <v>284.79000000000002</v>
      </c>
      <c r="IB59" s="93">
        <v>283.83999999999997</v>
      </c>
      <c r="IC59" s="93">
        <v>282.89</v>
      </c>
      <c r="ID59" s="93">
        <v>281.94</v>
      </c>
      <c r="IE59" s="93">
        <v>280.99</v>
      </c>
      <c r="IF59" s="93">
        <v>280.04000000000002</v>
      </c>
      <c r="IG59" s="93">
        <v>279.10000000000002</v>
      </c>
      <c r="IH59" s="93">
        <v>278.14999999999998</v>
      </c>
      <c r="II59" s="93">
        <v>277.2</v>
      </c>
      <c r="IJ59" s="93">
        <v>276.26</v>
      </c>
      <c r="IK59" s="93">
        <v>275.32</v>
      </c>
      <c r="IL59" s="93">
        <v>274.38</v>
      </c>
      <c r="IM59" s="93">
        <v>273.44</v>
      </c>
      <c r="IN59" s="93">
        <v>272.5</v>
      </c>
      <c r="IO59" s="93">
        <v>271.56</v>
      </c>
      <c r="IP59" s="93">
        <v>270.62</v>
      </c>
      <c r="IQ59" s="93">
        <v>269.68</v>
      </c>
      <c r="IR59" s="93">
        <v>268.74</v>
      </c>
      <c r="IS59" s="93">
        <v>267.81</v>
      </c>
      <c r="IT59" s="93">
        <v>266.87</v>
      </c>
      <c r="IU59" s="93">
        <v>265.94</v>
      </c>
      <c r="IV59" s="93">
        <v>265.01</v>
      </c>
      <c r="IW59" s="93">
        <v>264.08999999999997</v>
      </c>
      <c r="IX59" s="93">
        <v>263.17</v>
      </c>
      <c r="IY59" s="93">
        <v>262.25</v>
      </c>
      <c r="IZ59" s="93">
        <v>261.32</v>
      </c>
      <c r="JA59" s="93">
        <v>260.40999999999997</v>
      </c>
      <c r="JB59" s="93">
        <v>259.49</v>
      </c>
      <c r="JC59" s="93">
        <v>258.57</v>
      </c>
      <c r="JD59" s="93">
        <v>257.64999999999998</v>
      </c>
      <c r="JE59" s="93">
        <v>256.74</v>
      </c>
      <c r="JF59" s="93">
        <v>255.82</v>
      </c>
      <c r="JG59" s="93">
        <v>254.9</v>
      </c>
      <c r="JH59" s="93">
        <v>253.99</v>
      </c>
      <c r="JI59" s="93">
        <v>253.08</v>
      </c>
      <c r="JJ59" s="93">
        <v>252.17</v>
      </c>
      <c r="JK59" s="93">
        <v>251.26</v>
      </c>
      <c r="JL59" s="93">
        <v>250.35</v>
      </c>
      <c r="JM59" s="93">
        <v>249.44</v>
      </c>
      <c r="JN59" s="93">
        <v>248.53</v>
      </c>
      <c r="JO59" s="93">
        <v>247.62</v>
      </c>
      <c r="JP59" s="93">
        <v>246.71</v>
      </c>
      <c r="JQ59" s="93">
        <v>245.81</v>
      </c>
      <c r="JR59" s="93">
        <v>244.9</v>
      </c>
      <c r="JS59" s="93">
        <v>244</v>
      </c>
      <c r="JT59" s="93">
        <v>243.09</v>
      </c>
      <c r="JU59" s="93">
        <v>242.18</v>
      </c>
      <c r="JV59" s="93">
        <v>241.27</v>
      </c>
      <c r="JW59" s="93">
        <v>240.36</v>
      </c>
      <c r="JX59" s="93">
        <v>239.45</v>
      </c>
      <c r="JY59" s="93">
        <v>238.54</v>
      </c>
      <c r="JZ59" s="93">
        <v>237.63</v>
      </c>
      <c r="KA59" s="93">
        <v>236.72</v>
      </c>
      <c r="KB59" s="93">
        <v>235.82</v>
      </c>
      <c r="KC59" s="93">
        <v>234.91</v>
      </c>
      <c r="KD59" s="93">
        <v>234.01</v>
      </c>
      <c r="KE59" s="93">
        <v>233.1</v>
      </c>
      <c r="KF59" s="93">
        <v>232.2</v>
      </c>
      <c r="KG59" s="93">
        <v>231.3</v>
      </c>
      <c r="KH59" s="93">
        <v>230.4</v>
      </c>
      <c r="KI59" s="93">
        <v>229.5</v>
      </c>
      <c r="KJ59" s="93">
        <v>228.6</v>
      </c>
      <c r="KK59" s="93">
        <v>227.7</v>
      </c>
      <c r="KL59" s="93">
        <v>226.8</v>
      </c>
      <c r="KM59" s="93">
        <v>225.91</v>
      </c>
      <c r="KN59" s="93">
        <v>225.01</v>
      </c>
      <c r="KO59" s="93">
        <v>224.12</v>
      </c>
      <c r="KP59" s="93">
        <v>223.22</v>
      </c>
      <c r="KQ59" s="93">
        <v>222.33</v>
      </c>
      <c r="KR59" s="98">
        <f t="shared" si="37"/>
        <v>224.27</v>
      </c>
      <c r="KS59" s="98">
        <f t="shared" si="38"/>
        <v>223.48</v>
      </c>
      <c r="KT59" s="98">
        <f t="shared" si="37"/>
        <v>222.66</v>
      </c>
      <c r="KU59" s="98">
        <f t="shared" si="37"/>
        <v>221.87</v>
      </c>
      <c r="KV59" s="98">
        <f t="shared" si="37"/>
        <v>221.09</v>
      </c>
      <c r="KW59" s="98">
        <f t="shared" si="37"/>
        <v>220.3</v>
      </c>
      <c r="KX59" s="98">
        <f t="shared" si="37"/>
        <v>219.51</v>
      </c>
      <c r="KY59" s="98">
        <f t="shared" si="37"/>
        <v>218.73</v>
      </c>
      <c r="KZ59" s="98">
        <f t="shared" si="37"/>
        <v>217.94</v>
      </c>
      <c r="LA59" s="98">
        <f t="shared" si="37"/>
        <v>217.16</v>
      </c>
      <c r="LB59" s="98">
        <f t="shared" si="37"/>
        <v>216.38</v>
      </c>
      <c r="LC59" s="98">
        <f t="shared" si="37"/>
        <v>215.6</v>
      </c>
      <c r="LD59" s="98">
        <f t="shared" si="37"/>
        <v>214.82</v>
      </c>
      <c r="LE59" s="98">
        <f t="shared" si="37"/>
        <v>214.04</v>
      </c>
      <c r="LF59" s="98">
        <f t="shared" si="37"/>
        <v>213.27</v>
      </c>
      <c r="LG59" s="98">
        <f t="shared" si="37"/>
        <v>212.5</v>
      </c>
      <c r="LH59" s="98">
        <f t="shared" si="37"/>
        <v>211.72</v>
      </c>
      <c r="LI59" s="98">
        <f t="shared" si="37"/>
        <v>210.95</v>
      </c>
      <c r="LJ59" s="98">
        <f t="shared" si="37"/>
        <v>210.18</v>
      </c>
      <c r="LK59" s="98">
        <f t="shared" si="37"/>
        <v>209.41</v>
      </c>
      <c r="LL59" s="98">
        <f t="shared" si="37"/>
        <v>208.64</v>
      </c>
      <c r="LM59" s="98">
        <f t="shared" si="37"/>
        <v>207.88</v>
      </c>
      <c r="LN59" s="98">
        <f t="shared" si="36"/>
        <v>207.11</v>
      </c>
      <c r="LO59" s="98">
        <f t="shared" si="36"/>
        <v>206.35</v>
      </c>
      <c r="LP59" s="98">
        <f t="shared" si="36"/>
        <v>205.59</v>
      </c>
      <c r="LQ59" s="98">
        <f t="shared" si="36"/>
        <v>204.83</v>
      </c>
      <c r="LR59" s="98">
        <f t="shared" si="36"/>
        <v>204.07</v>
      </c>
      <c r="LS59" s="98">
        <f t="shared" si="36"/>
        <v>203.31</v>
      </c>
      <c r="LT59" s="98">
        <f t="shared" si="36"/>
        <v>202.56</v>
      </c>
      <c r="LU59" s="98">
        <f t="shared" si="36"/>
        <v>201.81</v>
      </c>
      <c r="LV59" s="98">
        <f t="shared" si="36"/>
        <v>201.05</v>
      </c>
      <c r="LW59" s="98">
        <f t="shared" si="36"/>
        <v>200.3</v>
      </c>
      <c r="LX59" s="98">
        <f t="shared" si="36"/>
        <v>199.55</v>
      </c>
      <c r="LY59" s="98">
        <f t="shared" si="36"/>
        <v>198.8</v>
      </c>
      <c r="LZ59" s="98">
        <f t="shared" si="36"/>
        <v>198.06</v>
      </c>
      <c r="MA59" s="98">
        <f t="shared" si="36"/>
        <v>197.31</v>
      </c>
      <c r="MB59" s="98">
        <f t="shared" si="36"/>
        <v>196.57</v>
      </c>
      <c r="MC59" s="98">
        <f t="shared" si="36"/>
        <v>195.83</v>
      </c>
      <c r="MD59" s="100">
        <f t="shared" si="36"/>
        <v>195.09</v>
      </c>
      <c r="ME59" s="101">
        <f t="shared" si="36"/>
        <v>194.36</v>
      </c>
      <c r="MF59" s="101">
        <f t="shared" si="36"/>
        <v>193.62</v>
      </c>
      <c r="MG59" s="101">
        <f t="shared" si="36"/>
        <v>192.89</v>
      </c>
      <c r="MH59" s="101">
        <f t="shared" si="36"/>
        <v>192.15</v>
      </c>
      <c r="MI59" s="101">
        <f t="shared" si="36"/>
        <v>191.42</v>
      </c>
      <c r="MJ59" s="101">
        <f t="shared" si="36"/>
        <v>190.69</v>
      </c>
      <c r="MK59" s="101">
        <f t="shared" si="36"/>
        <v>189.96</v>
      </c>
      <c r="ML59" s="101">
        <f t="shared" si="36"/>
        <v>189.24</v>
      </c>
      <c r="MM59" s="101">
        <f t="shared" si="36"/>
        <v>188.51</v>
      </c>
      <c r="MN59" s="101">
        <f t="shared" si="36"/>
        <v>187.79</v>
      </c>
      <c r="MO59" s="101">
        <f t="shared" si="36"/>
        <v>187.07</v>
      </c>
      <c r="MP59" s="101">
        <f t="shared" si="36"/>
        <v>186.35</v>
      </c>
      <c r="MQ59" s="101">
        <f t="shared" si="36"/>
        <v>185.64</v>
      </c>
      <c r="MR59" s="101">
        <f t="shared" si="36"/>
        <v>184.92</v>
      </c>
      <c r="MS59" s="101">
        <f t="shared" si="36"/>
        <v>184.21</v>
      </c>
      <c r="MT59" s="101">
        <f t="shared" si="36"/>
        <v>183.49</v>
      </c>
      <c r="MU59" s="101">
        <f t="shared" si="36"/>
        <v>182.78</v>
      </c>
      <c r="MV59" s="101">
        <f t="shared" si="36"/>
        <v>182.07</v>
      </c>
      <c r="MW59" s="101">
        <f t="shared" si="36"/>
        <v>181.37</v>
      </c>
      <c r="MX59" s="101">
        <f t="shared" si="36"/>
        <v>180.66</v>
      </c>
      <c r="MY59" s="101">
        <f>MY58+0.75</f>
        <v>179.96</v>
      </c>
    </row>
    <row r="60" spans="1:363" ht="15.75" x14ac:dyDescent="0.25">
      <c r="A60" s="90" t="s">
        <v>6</v>
      </c>
      <c r="B60" s="95">
        <v>2070</v>
      </c>
      <c r="C60" s="93">
        <v>521.26</v>
      </c>
      <c r="D60" s="93">
        <v>520.32000000000005</v>
      </c>
      <c r="E60" s="93">
        <v>519.29</v>
      </c>
      <c r="F60" s="93">
        <v>518.25</v>
      </c>
      <c r="G60" s="93">
        <v>517.22</v>
      </c>
      <c r="H60" s="93">
        <v>516.18000000000006</v>
      </c>
      <c r="I60" s="93">
        <v>515.15</v>
      </c>
      <c r="J60" s="93">
        <v>514.11</v>
      </c>
      <c r="K60" s="93">
        <v>513.07999999999993</v>
      </c>
      <c r="L60" s="93">
        <v>512.04</v>
      </c>
      <c r="M60" s="93">
        <v>511.01</v>
      </c>
      <c r="N60" s="93">
        <v>509.97</v>
      </c>
      <c r="O60" s="93">
        <v>508.94</v>
      </c>
      <c r="P60" s="93">
        <v>507.9</v>
      </c>
      <c r="Q60" s="93">
        <v>506.87</v>
      </c>
      <c r="R60" s="93">
        <v>505.83</v>
      </c>
      <c r="S60" s="93">
        <v>504.8</v>
      </c>
      <c r="T60" s="93">
        <v>503.76</v>
      </c>
      <c r="U60" s="93">
        <v>502.73</v>
      </c>
      <c r="V60" s="93">
        <v>501.69</v>
      </c>
      <c r="W60" s="93">
        <v>500.66</v>
      </c>
      <c r="X60" s="93">
        <v>499.62</v>
      </c>
      <c r="Y60" s="93">
        <v>498.59</v>
      </c>
      <c r="Z60" s="93">
        <v>497.55</v>
      </c>
      <c r="AA60" s="93">
        <v>496.52</v>
      </c>
      <c r="AB60" s="93">
        <v>495.48</v>
      </c>
      <c r="AC60" s="93">
        <v>494.45</v>
      </c>
      <c r="AD60" s="93">
        <v>493.41</v>
      </c>
      <c r="AE60" s="93">
        <v>492.37</v>
      </c>
      <c r="AF60" s="93">
        <v>491.34</v>
      </c>
      <c r="AG60" s="93">
        <v>490.3</v>
      </c>
      <c r="AH60" s="93">
        <v>489.27</v>
      </c>
      <c r="AI60" s="93">
        <v>488.23</v>
      </c>
      <c r="AJ60" s="93">
        <v>487.19</v>
      </c>
      <c r="AK60" s="93">
        <v>486.16</v>
      </c>
      <c r="AL60" s="93">
        <v>485.12</v>
      </c>
      <c r="AM60" s="93">
        <v>484.09</v>
      </c>
      <c r="AN60" s="93">
        <v>483.05</v>
      </c>
      <c r="AO60" s="93">
        <v>482.01</v>
      </c>
      <c r="AP60" s="93">
        <v>480.98</v>
      </c>
      <c r="AQ60" s="93">
        <v>479.94</v>
      </c>
      <c r="AR60" s="93">
        <v>478.9</v>
      </c>
      <c r="AS60" s="93">
        <v>477.87</v>
      </c>
      <c r="AT60" s="93">
        <v>476.83</v>
      </c>
      <c r="AU60" s="93">
        <v>475.79</v>
      </c>
      <c r="AV60" s="93">
        <v>474.76</v>
      </c>
      <c r="AW60" s="93">
        <v>473.72</v>
      </c>
      <c r="AX60" s="93">
        <v>472.69</v>
      </c>
      <c r="AY60" s="93">
        <v>471.65</v>
      </c>
      <c r="AZ60" s="93">
        <v>470.61</v>
      </c>
      <c r="BA60" s="93">
        <v>469.58</v>
      </c>
      <c r="BB60" s="93">
        <v>468.54</v>
      </c>
      <c r="BC60" s="93">
        <v>467.5</v>
      </c>
      <c r="BD60" s="93">
        <v>466.46</v>
      </c>
      <c r="BE60" s="93">
        <v>465.43</v>
      </c>
      <c r="BF60" s="93">
        <v>464.39</v>
      </c>
      <c r="BG60" s="93">
        <v>463.35</v>
      </c>
      <c r="BH60" s="93">
        <v>462.32</v>
      </c>
      <c r="BI60" s="93">
        <v>461.28</v>
      </c>
      <c r="BJ60" s="93">
        <v>460.24</v>
      </c>
      <c r="BK60" s="93">
        <v>459.21</v>
      </c>
      <c r="BL60" s="93">
        <v>458.17</v>
      </c>
      <c r="BM60" s="93">
        <v>457.13</v>
      </c>
      <c r="BN60" s="93">
        <v>456.09</v>
      </c>
      <c r="BO60" s="93">
        <v>455.05</v>
      </c>
      <c r="BP60" s="93">
        <v>454.02</v>
      </c>
      <c r="BQ60" s="93">
        <v>452.98</v>
      </c>
      <c r="BR60" s="93">
        <v>451.94</v>
      </c>
      <c r="BS60" s="93">
        <v>450.9</v>
      </c>
      <c r="BT60" s="93">
        <v>449.87</v>
      </c>
      <c r="BU60" s="93">
        <v>448.83</v>
      </c>
      <c r="BV60" s="93">
        <v>447.79</v>
      </c>
      <c r="BW60" s="93">
        <v>446.75</v>
      </c>
      <c r="BX60" s="93">
        <v>445.72</v>
      </c>
      <c r="BY60" s="93">
        <v>444.68</v>
      </c>
      <c r="BZ60" s="93">
        <v>443.64</v>
      </c>
      <c r="CA60" s="93">
        <v>442.61</v>
      </c>
      <c r="CB60" s="93">
        <v>441.57</v>
      </c>
      <c r="CC60" s="93">
        <v>440.53</v>
      </c>
      <c r="CD60" s="93">
        <v>439.5</v>
      </c>
      <c r="CE60" s="93">
        <v>438.46</v>
      </c>
      <c r="CF60" s="93">
        <v>437.43</v>
      </c>
      <c r="CG60" s="93">
        <v>436.39</v>
      </c>
      <c r="CH60" s="93">
        <v>435.35</v>
      </c>
      <c r="CI60" s="93">
        <v>434.32</v>
      </c>
      <c r="CJ60" s="93">
        <v>433.28</v>
      </c>
      <c r="CK60" s="93">
        <v>432.24</v>
      </c>
      <c r="CL60" s="93">
        <v>431.21</v>
      </c>
      <c r="CM60" s="93">
        <v>430.17</v>
      </c>
      <c r="CN60" s="93">
        <v>429.13</v>
      </c>
      <c r="CO60" s="93">
        <v>428.1</v>
      </c>
      <c r="CP60" s="93">
        <v>427.06</v>
      </c>
      <c r="CQ60" s="93">
        <v>426.02</v>
      </c>
      <c r="CR60" s="93">
        <v>424.99</v>
      </c>
      <c r="CS60" s="93">
        <v>423.95</v>
      </c>
      <c r="CT60" s="93">
        <v>422.91</v>
      </c>
      <c r="CU60" s="93">
        <v>421.88</v>
      </c>
      <c r="CV60" s="93">
        <v>420.84</v>
      </c>
      <c r="CW60" s="93">
        <v>419.81</v>
      </c>
      <c r="CX60" s="93">
        <v>418.77</v>
      </c>
      <c r="CY60" s="93">
        <v>417.74</v>
      </c>
      <c r="CZ60" s="93">
        <v>416.7</v>
      </c>
      <c r="DA60" s="93">
        <v>415.67</v>
      </c>
      <c r="DB60" s="93">
        <v>414.63</v>
      </c>
      <c r="DC60" s="93">
        <v>413.6</v>
      </c>
      <c r="DD60" s="93">
        <v>412.56</v>
      </c>
      <c r="DE60" s="93">
        <v>411.53</v>
      </c>
      <c r="DF60" s="93">
        <v>410.49</v>
      </c>
      <c r="DG60" s="93">
        <v>409.46</v>
      </c>
      <c r="DH60" s="93">
        <v>408.43</v>
      </c>
      <c r="DI60" s="93">
        <v>407.39</v>
      </c>
      <c r="DJ60" s="93">
        <v>406.36</v>
      </c>
      <c r="DK60" s="93">
        <v>405.33</v>
      </c>
      <c r="DL60" s="93">
        <v>404.29</v>
      </c>
      <c r="DM60" s="93">
        <v>403.26</v>
      </c>
      <c r="DN60" s="93">
        <v>402.23</v>
      </c>
      <c r="DO60" s="93">
        <v>401.19</v>
      </c>
      <c r="DP60" s="93">
        <v>400.16</v>
      </c>
      <c r="DQ60" s="93">
        <v>399.13</v>
      </c>
      <c r="DR60" s="93">
        <v>398.1</v>
      </c>
      <c r="DS60" s="93">
        <v>397.06</v>
      </c>
      <c r="DT60" s="93">
        <v>396.03</v>
      </c>
      <c r="DU60" s="93">
        <v>395.01</v>
      </c>
      <c r="DV60" s="93">
        <v>393.98</v>
      </c>
      <c r="DW60" s="93">
        <v>392.95</v>
      </c>
      <c r="DX60" s="93">
        <v>391.92</v>
      </c>
      <c r="DY60" s="93">
        <v>390.89</v>
      </c>
      <c r="DZ60" s="93">
        <v>389.87</v>
      </c>
      <c r="EA60" s="93">
        <v>388.84</v>
      </c>
      <c r="EB60" s="93">
        <v>387.81</v>
      </c>
      <c r="EC60" s="93">
        <v>386.78</v>
      </c>
      <c r="ED60" s="93">
        <v>385.76</v>
      </c>
      <c r="EE60" s="93">
        <v>384.73</v>
      </c>
      <c r="EF60" s="93">
        <v>383.71</v>
      </c>
      <c r="EG60" s="93">
        <v>382.69</v>
      </c>
      <c r="EH60" s="93">
        <v>381.67</v>
      </c>
      <c r="EI60" s="93">
        <v>380.65</v>
      </c>
      <c r="EJ60" s="93">
        <v>379.62</v>
      </c>
      <c r="EK60" s="93">
        <v>378.6</v>
      </c>
      <c r="EL60" s="93">
        <v>377.58</v>
      </c>
      <c r="EM60" s="93">
        <v>376.56</v>
      </c>
      <c r="EN60" s="93">
        <v>375.54</v>
      </c>
      <c r="EO60" s="93">
        <v>374.52</v>
      </c>
      <c r="EP60" s="93">
        <v>373.5</v>
      </c>
      <c r="EQ60" s="93">
        <v>372.49</v>
      </c>
      <c r="ER60" s="93">
        <v>371.47</v>
      </c>
      <c r="ES60" s="93">
        <v>370.46</v>
      </c>
      <c r="ET60" s="93">
        <v>369.44</v>
      </c>
      <c r="EU60" s="93">
        <v>368.43</v>
      </c>
      <c r="EV60" s="93">
        <v>367.41</v>
      </c>
      <c r="EW60" s="93">
        <v>366.4</v>
      </c>
      <c r="EX60" s="93">
        <v>365.38</v>
      </c>
      <c r="EY60" s="93">
        <v>364.37</v>
      </c>
      <c r="EZ60" s="93">
        <v>363.36</v>
      </c>
      <c r="FA60" s="93">
        <v>362.34</v>
      </c>
      <c r="FB60" s="93">
        <v>361.33</v>
      </c>
      <c r="FC60" s="93">
        <v>360.32</v>
      </c>
      <c r="FD60" s="93">
        <v>359.31</v>
      </c>
      <c r="FE60" s="93">
        <v>358.3</v>
      </c>
      <c r="FF60" s="93">
        <v>357.3</v>
      </c>
      <c r="FG60" s="93">
        <v>356.29</v>
      </c>
      <c r="FH60" s="93">
        <v>355.28</v>
      </c>
      <c r="FI60" s="93">
        <v>354.28</v>
      </c>
      <c r="FJ60" s="93">
        <v>353.27</v>
      </c>
      <c r="FK60" s="93">
        <v>352.27</v>
      </c>
      <c r="FL60" s="93">
        <v>351.26</v>
      </c>
      <c r="FM60" s="93">
        <v>350.26</v>
      </c>
      <c r="FN60" s="93">
        <v>349.25</v>
      </c>
      <c r="FO60" s="93">
        <v>348.25</v>
      </c>
      <c r="FP60" s="93">
        <v>347.25</v>
      </c>
      <c r="FQ60" s="93">
        <v>346.24</v>
      </c>
      <c r="FR60" s="93">
        <v>345.24</v>
      </c>
      <c r="FS60" s="93">
        <v>344.24</v>
      </c>
      <c r="FT60" s="93">
        <v>343.24</v>
      </c>
      <c r="FU60" s="93">
        <v>342.24</v>
      </c>
      <c r="FV60" s="93">
        <v>341.24</v>
      </c>
      <c r="FW60" s="93">
        <v>340.24</v>
      </c>
      <c r="FX60" s="93">
        <v>339.24</v>
      </c>
      <c r="FY60" s="93">
        <v>338.24</v>
      </c>
      <c r="FZ60" s="93">
        <v>337.24</v>
      </c>
      <c r="GA60" s="93">
        <v>336.24</v>
      </c>
      <c r="GB60" s="93">
        <v>335.25</v>
      </c>
      <c r="GC60" s="93">
        <v>334.25</v>
      </c>
      <c r="GD60" s="93">
        <v>333.26</v>
      </c>
      <c r="GE60" s="93">
        <v>332.26</v>
      </c>
      <c r="GF60" s="93">
        <v>331.26</v>
      </c>
      <c r="GG60" s="93">
        <v>330.26</v>
      </c>
      <c r="GH60" s="93">
        <v>329.28</v>
      </c>
      <c r="GI60" s="93">
        <v>328.28</v>
      </c>
      <c r="GJ60" s="93">
        <v>327.29000000000002</v>
      </c>
      <c r="GK60" s="93">
        <v>326.29000000000002</v>
      </c>
      <c r="GL60" s="93">
        <v>325.31</v>
      </c>
      <c r="GM60" s="93">
        <v>324.32</v>
      </c>
      <c r="GN60" s="93">
        <v>323.32</v>
      </c>
      <c r="GO60" s="93">
        <v>322.33999999999997</v>
      </c>
      <c r="GP60" s="93">
        <v>321.35000000000002</v>
      </c>
      <c r="GQ60" s="93">
        <v>320.38</v>
      </c>
      <c r="GR60" s="93">
        <v>319.39</v>
      </c>
      <c r="GS60" s="93">
        <v>318.41000000000003</v>
      </c>
      <c r="GT60" s="93">
        <v>317.43</v>
      </c>
      <c r="GU60" s="93">
        <v>316.45</v>
      </c>
      <c r="GV60" s="93">
        <v>315.47000000000003</v>
      </c>
      <c r="GW60" s="93">
        <v>314.49</v>
      </c>
      <c r="GX60" s="93">
        <v>313.51</v>
      </c>
      <c r="GY60" s="93">
        <v>312.52999999999997</v>
      </c>
      <c r="GZ60" s="93">
        <v>311.54000000000002</v>
      </c>
      <c r="HA60" s="93">
        <v>310.57</v>
      </c>
      <c r="HB60" s="93">
        <v>309.60000000000002</v>
      </c>
      <c r="HC60" s="93">
        <v>308.62</v>
      </c>
      <c r="HD60" s="93">
        <v>307.64999999999998</v>
      </c>
      <c r="HE60" s="93">
        <v>306.67</v>
      </c>
      <c r="HF60" s="93">
        <v>305.7</v>
      </c>
      <c r="HG60" s="93">
        <v>304.73</v>
      </c>
      <c r="HH60" s="93">
        <v>303.75</v>
      </c>
      <c r="HI60" s="93">
        <v>302.77999999999997</v>
      </c>
      <c r="HJ60" s="93">
        <v>301.81</v>
      </c>
      <c r="HK60" s="93">
        <v>300.83999999999997</v>
      </c>
      <c r="HL60" s="93">
        <v>299.88</v>
      </c>
      <c r="HM60" s="93">
        <v>298.92</v>
      </c>
      <c r="HN60" s="93">
        <v>297.95999999999998</v>
      </c>
      <c r="HO60" s="93">
        <v>297</v>
      </c>
      <c r="HP60" s="93">
        <v>296.04000000000002</v>
      </c>
      <c r="HQ60" s="93">
        <v>295.07</v>
      </c>
      <c r="HR60" s="93">
        <v>294.12</v>
      </c>
      <c r="HS60" s="93">
        <v>293.16000000000003</v>
      </c>
      <c r="HT60" s="93">
        <v>292.20999999999998</v>
      </c>
      <c r="HU60" s="93">
        <v>291.25</v>
      </c>
      <c r="HV60" s="93">
        <v>290.29000000000002</v>
      </c>
      <c r="HW60" s="93">
        <v>289.33999999999997</v>
      </c>
      <c r="HX60" s="93">
        <v>288.39</v>
      </c>
      <c r="HY60" s="93">
        <v>287.44</v>
      </c>
      <c r="HZ60" s="93">
        <v>286.49</v>
      </c>
      <c r="IA60" s="93">
        <v>285.54000000000002</v>
      </c>
      <c r="IB60" s="93">
        <v>284.58999999999997</v>
      </c>
      <c r="IC60" s="93">
        <v>283.64</v>
      </c>
      <c r="ID60" s="93">
        <v>282.69</v>
      </c>
      <c r="IE60" s="93">
        <v>281.74</v>
      </c>
      <c r="IF60" s="93">
        <v>280.79000000000002</v>
      </c>
      <c r="IG60" s="93">
        <v>279.85000000000002</v>
      </c>
      <c r="IH60" s="93">
        <v>278.89999999999998</v>
      </c>
      <c r="II60" s="93">
        <v>277.95</v>
      </c>
      <c r="IJ60" s="93">
        <v>277.01</v>
      </c>
      <c r="IK60" s="93">
        <v>276.07</v>
      </c>
      <c r="IL60" s="93">
        <v>275.13</v>
      </c>
      <c r="IM60" s="93">
        <v>274.19</v>
      </c>
      <c r="IN60" s="93">
        <v>273.25</v>
      </c>
      <c r="IO60" s="93">
        <v>272.31</v>
      </c>
      <c r="IP60" s="93">
        <v>271.37</v>
      </c>
      <c r="IQ60" s="93">
        <v>270.43</v>
      </c>
      <c r="IR60" s="93">
        <v>269.49</v>
      </c>
      <c r="IS60" s="93">
        <v>268.56</v>
      </c>
      <c r="IT60" s="93">
        <v>267.62</v>
      </c>
      <c r="IU60" s="93">
        <v>266.69</v>
      </c>
      <c r="IV60" s="93">
        <v>265.76</v>
      </c>
      <c r="IW60" s="93">
        <v>264.83999999999997</v>
      </c>
      <c r="IX60" s="93">
        <v>263.92</v>
      </c>
      <c r="IY60" s="93">
        <v>263</v>
      </c>
      <c r="IZ60" s="93">
        <v>262.07</v>
      </c>
      <c r="JA60" s="93">
        <v>261.15999999999997</v>
      </c>
      <c r="JB60" s="93">
        <v>260.24</v>
      </c>
      <c r="JC60" s="93">
        <v>259.32</v>
      </c>
      <c r="JD60" s="93">
        <v>258.39999999999998</v>
      </c>
      <c r="JE60" s="93">
        <v>257.49</v>
      </c>
      <c r="JF60" s="93">
        <v>256.57</v>
      </c>
      <c r="JG60" s="93">
        <v>255.65</v>
      </c>
      <c r="JH60" s="93">
        <v>254.74</v>
      </c>
      <c r="JI60" s="93">
        <v>253.83</v>
      </c>
      <c r="JJ60" s="93">
        <v>252.92</v>
      </c>
      <c r="JK60" s="93">
        <v>252.01</v>
      </c>
      <c r="JL60" s="93">
        <v>251.1</v>
      </c>
      <c r="JM60" s="93">
        <v>250.19</v>
      </c>
      <c r="JN60" s="93">
        <v>249.28</v>
      </c>
      <c r="JO60" s="93">
        <v>248.37</v>
      </c>
      <c r="JP60" s="93">
        <v>247.46</v>
      </c>
      <c r="JQ60" s="93">
        <v>246.56</v>
      </c>
      <c r="JR60" s="93">
        <v>245.65</v>
      </c>
      <c r="JS60" s="93">
        <v>244.75</v>
      </c>
      <c r="JT60" s="93">
        <v>243.84</v>
      </c>
      <c r="JU60" s="93">
        <v>242.93</v>
      </c>
      <c r="JV60" s="93">
        <v>242.02</v>
      </c>
      <c r="JW60" s="93">
        <v>241.11</v>
      </c>
      <c r="JX60" s="93">
        <v>240.2</v>
      </c>
      <c r="JY60" s="93">
        <v>239.29</v>
      </c>
      <c r="JZ60" s="93">
        <v>238.38</v>
      </c>
      <c r="KA60" s="93">
        <v>237.47</v>
      </c>
      <c r="KB60" s="93">
        <v>236.57</v>
      </c>
      <c r="KC60" s="93">
        <v>235.66</v>
      </c>
      <c r="KD60" s="93">
        <v>234.76</v>
      </c>
      <c r="KE60" s="93">
        <v>233.85</v>
      </c>
      <c r="KF60" s="93">
        <v>232.95</v>
      </c>
      <c r="KG60" s="93">
        <v>232.05</v>
      </c>
      <c r="KH60" s="93">
        <v>231.15</v>
      </c>
      <c r="KI60" s="93">
        <v>230.25</v>
      </c>
      <c r="KJ60" s="93">
        <v>229.35</v>
      </c>
      <c r="KK60" s="93">
        <v>228.45</v>
      </c>
      <c r="KL60" s="93">
        <v>227.55</v>
      </c>
      <c r="KM60" s="93">
        <v>226.66</v>
      </c>
      <c r="KN60" s="93">
        <v>225.76</v>
      </c>
      <c r="KO60" s="93">
        <v>224.87</v>
      </c>
      <c r="KP60" s="93">
        <v>223.97</v>
      </c>
      <c r="KQ60" s="93">
        <v>223.08</v>
      </c>
      <c r="KR60" s="98">
        <f t="shared" si="37"/>
        <v>225.02</v>
      </c>
      <c r="KS60" s="98">
        <f t="shared" si="38"/>
        <v>224.23</v>
      </c>
      <c r="KT60" s="98">
        <f t="shared" si="37"/>
        <v>223.41</v>
      </c>
      <c r="KU60" s="98">
        <f t="shared" si="37"/>
        <v>222.62</v>
      </c>
      <c r="KV60" s="98">
        <f t="shared" si="37"/>
        <v>221.84</v>
      </c>
      <c r="KW60" s="98">
        <f t="shared" si="37"/>
        <v>221.05</v>
      </c>
      <c r="KX60" s="98">
        <f t="shared" si="37"/>
        <v>220.26</v>
      </c>
      <c r="KY60" s="98">
        <f t="shared" si="37"/>
        <v>219.48</v>
      </c>
      <c r="KZ60" s="98">
        <f t="shared" si="37"/>
        <v>218.69</v>
      </c>
      <c r="LA60" s="98">
        <f t="shared" si="37"/>
        <v>217.91</v>
      </c>
      <c r="LB60" s="98">
        <f t="shared" si="37"/>
        <v>217.13</v>
      </c>
      <c r="LC60" s="98">
        <f t="shared" si="37"/>
        <v>216.35</v>
      </c>
      <c r="LD60" s="98">
        <f t="shared" si="37"/>
        <v>215.57</v>
      </c>
      <c r="LE60" s="98">
        <f t="shared" si="37"/>
        <v>214.79</v>
      </c>
      <c r="LF60" s="98">
        <f t="shared" si="37"/>
        <v>214.02</v>
      </c>
      <c r="LG60" s="98">
        <f t="shared" si="37"/>
        <v>213.25</v>
      </c>
      <c r="LH60" s="98">
        <f t="shared" si="37"/>
        <v>212.47</v>
      </c>
      <c r="LI60" s="98">
        <f t="shared" si="37"/>
        <v>211.7</v>
      </c>
      <c r="LJ60" s="98">
        <f t="shared" si="37"/>
        <v>210.93</v>
      </c>
      <c r="LK60" s="98">
        <f t="shared" si="37"/>
        <v>210.16</v>
      </c>
      <c r="LL60" s="98">
        <f t="shared" si="37"/>
        <v>209.39</v>
      </c>
      <c r="LM60" s="98">
        <f t="shared" si="37"/>
        <v>208.63</v>
      </c>
      <c r="LN60" s="98">
        <f t="shared" si="36"/>
        <v>207.86</v>
      </c>
      <c r="LO60" s="98">
        <f t="shared" si="36"/>
        <v>207.1</v>
      </c>
      <c r="LP60" s="98">
        <f t="shared" si="36"/>
        <v>206.34</v>
      </c>
      <c r="LQ60" s="98">
        <f t="shared" si="36"/>
        <v>205.58</v>
      </c>
      <c r="LR60" s="98">
        <f t="shared" si="36"/>
        <v>204.82</v>
      </c>
      <c r="LS60" s="98">
        <f t="shared" si="36"/>
        <v>204.06</v>
      </c>
      <c r="LT60" s="98">
        <f t="shared" si="36"/>
        <v>203.31</v>
      </c>
      <c r="LU60" s="98">
        <f t="shared" si="36"/>
        <v>202.56</v>
      </c>
      <c r="LV60" s="98">
        <f t="shared" si="36"/>
        <v>201.8</v>
      </c>
      <c r="LW60" s="98">
        <f t="shared" si="36"/>
        <v>201.05</v>
      </c>
      <c r="LX60" s="98">
        <f t="shared" si="36"/>
        <v>200.3</v>
      </c>
      <c r="LY60" s="98">
        <f t="shared" si="36"/>
        <v>199.55</v>
      </c>
      <c r="LZ60" s="98">
        <f t="shared" si="36"/>
        <v>198.81</v>
      </c>
      <c r="MA60" s="98">
        <f t="shared" si="36"/>
        <v>198.06</v>
      </c>
      <c r="MB60" s="98">
        <f t="shared" si="36"/>
        <v>197.32</v>
      </c>
      <c r="MC60" s="98">
        <f t="shared" si="36"/>
        <v>196.58</v>
      </c>
      <c r="MD60" s="100">
        <f t="shared" si="36"/>
        <v>195.84</v>
      </c>
      <c r="ME60" s="101">
        <f t="shared" si="36"/>
        <v>195.11</v>
      </c>
      <c r="MF60" s="101">
        <f t="shared" si="36"/>
        <v>194.37</v>
      </c>
      <c r="MG60" s="101">
        <f t="shared" si="36"/>
        <v>193.64</v>
      </c>
      <c r="MH60" s="101">
        <f t="shared" si="36"/>
        <v>192.9</v>
      </c>
      <c r="MI60" s="101">
        <f t="shared" si="36"/>
        <v>192.17</v>
      </c>
      <c r="MJ60" s="101">
        <f t="shared" si="36"/>
        <v>191.44</v>
      </c>
      <c r="MK60" s="101">
        <f t="shared" si="36"/>
        <v>190.71</v>
      </c>
      <c r="ML60" s="101">
        <f t="shared" si="36"/>
        <v>189.99</v>
      </c>
      <c r="MM60" s="101">
        <f t="shared" si="36"/>
        <v>189.26</v>
      </c>
      <c r="MN60" s="101">
        <f t="shared" si="36"/>
        <v>188.54</v>
      </c>
      <c r="MO60" s="101">
        <f t="shared" si="36"/>
        <v>187.82</v>
      </c>
      <c r="MP60" s="101">
        <f t="shared" si="36"/>
        <v>187.1</v>
      </c>
      <c r="MQ60" s="101">
        <f t="shared" si="36"/>
        <v>186.39</v>
      </c>
      <c r="MR60" s="101">
        <f t="shared" si="36"/>
        <v>185.67</v>
      </c>
      <c r="MS60" s="101">
        <f t="shared" si="36"/>
        <v>184.96</v>
      </c>
      <c r="MT60" s="101">
        <f t="shared" si="36"/>
        <v>184.24</v>
      </c>
      <c r="MU60" s="101">
        <f t="shared" si="36"/>
        <v>183.53</v>
      </c>
      <c r="MV60" s="101">
        <f t="shared" si="36"/>
        <v>182.82</v>
      </c>
      <c r="MW60" s="101">
        <f t="shared" si="36"/>
        <v>182.12</v>
      </c>
      <c r="MX60" s="101">
        <f t="shared" si="36"/>
        <v>181.41</v>
      </c>
      <c r="MY60" s="101">
        <f t="shared" si="36"/>
        <v>180.71</v>
      </c>
    </row>
    <row r="61" spans="1:363" ht="15.75" x14ac:dyDescent="0.25">
      <c r="A61" s="90" t="s">
        <v>6</v>
      </c>
      <c r="B61" s="95">
        <v>2071</v>
      </c>
      <c r="C61" s="93">
        <v>521.97</v>
      </c>
      <c r="D61" s="93">
        <v>521.07000000000005</v>
      </c>
      <c r="E61" s="93">
        <v>520.04</v>
      </c>
      <c r="F61" s="93">
        <v>519</v>
      </c>
      <c r="G61" s="93">
        <v>517.97</v>
      </c>
      <c r="H61" s="93">
        <v>516.93000000000006</v>
      </c>
      <c r="I61" s="93">
        <v>515.9</v>
      </c>
      <c r="J61" s="93">
        <v>514.86</v>
      </c>
      <c r="K61" s="93">
        <v>513.82999999999993</v>
      </c>
      <c r="L61" s="93">
        <v>512.79</v>
      </c>
      <c r="M61" s="93">
        <v>511.76</v>
      </c>
      <c r="N61" s="93">
        <v>510.72</v>
      </c>
      <c r="O61" s="93">
        <v>509.69</v>
      </c>
      <c r="P61" s="93">
        <v>508.65</v>
      </c>
      <c r="Q61" s="93">
        <v>507.62</v>
      </c>
      <c r="R61" s="93">
        <v>506.58</v>
      </c>
      <c r="S61" s="93">
        <v>505.55</v>
      </c>
      <c r="T61" s="93">
        <v>504.51</v>
      </c>
      <c r="U61" s="93">
        <v>503.48</v>
      </c>
      <c r="V61" s="93">
        <v>502.44</v>
      </c>
      <c r="W61" s="93">
        <v>501.41</v>
      </c>
      <c r="X61" s="93">
        <v>500.37</v>
      </c>
      <c r="Y61" s="93">
        <v>499.34</v>
      </c>
      <c r="Z61" s="93">
        <v>498.3</v>
      </c>
      <c r="AA61" s="93">
        <v>497.27</v>
      </c>
      <c r="AB61" s="93">
        <v>496.23</v>
      </c>
      <c r="AC61" s="93">
        <v>495.2</v>
      </c>
      <c r="AD61" s="93">
        <v>494.16</v>
      </c>
      <c r="AE61" s="93">
        <v>493.12</v>
      </c>
      <c r="AF61" s="93">
        <v>492.09</v>
      </c>
      <c r="AG61" s="93">
        <v>491.05</v>
      </c>
      <c r="AH61" s="93">
        <v>490.02</v>
      </c>
      <c r="AI61" s="93">
        <v>488.98</v>
      </c>
      <c r="AJ61" s="93">
        <v>487.94</v>
      </c>
      <c r="AK61" s="93">
        <v>486.91</v>
      </c>
      <c r="AL61" s="93">
        <v>485.87</v>
      </c>
      <c r="AM61" s="93">
        <v>484.84</v>
      </c>
      <c r="AN61" s="93">
        <v>483.8</v>
      </c>
      <c r="AO61" s="93">
        <v>482.76</v>
      </c>
      <c r="AP61" s="93">
        <v>481.73</v>
      </c>
      <c r="AQ61" s="93">
        <v>480.69</v>
      </c>
      <c r="AR61" s="93">
        <v>479.65</v>
      </c>
      <c r="AS61" s="93">
        <v>478.62</v>
      </c>
      <c r="AT61" s="93">
        <v>477.58</v>
      </c>
      <c r="AU61" s="93">
        <v>476.54</v>
      </c>
      <c r="AV61" s="93">
        <v>475.51</v>
      </c>
      <c r="AW61" s="93">
        <v>474.47</v>
      </c>
      <c r="AX61" s="93">
        <v>473.44</v>
      </c>
      <c r="AY61" s="93">
        <v>472.4</v>
      </c>
      <c r="AZ61" s="93">
        <v>471.36</v>
      </c>
      <c r="BA61" s="93">
        <v>470.33</v>
      </c>
      <c r="BB61" s="93">
        <v>469.29</v>
      </c>
      <c r="BC61" s="93">
        <v>468.25</v>
      </c>
      <c r="BD61" s="93">
        <v>467.21</v>
      </c>
      <c r="BE61" s="93">
        <v>466.18</v>
      </c>
      <c r="BF61" s="93">
        <v>465.14</v>
      </c>
      <c r="BG61" s="93">
        <v>464.1</v>
      </c>
      <c r="BH61" s="93">
        <v>463.07</v>
      </c>
      <c r="BI61" s="93">
        <v>462.03</v>
      </c>
      <c r="BJ61" s="93">
        <v>460.99</v>
      </c>
      <c r="BK61" s="93">
        <v>459.96</v>
      </c>
      <c r="BL61" s="93">
        <v>458.92</v>
      </c>
      <c r="BM61" s="93">
        <v>457.88</v>
      </c>
      <c r="BN61" s="93">
        <v>456.84</v>
      </c>
      <c r="BO61" s="93">
        <v>455.8</v>
      </c>
      <c r="BP61" s="93">
        <v>454.77</v>
      </c>
      <c r="BQ61" s="93">
        <v>453.73</v>
      </c>
      <c r="BR61" s="93">
        <v>452.69</v>
      </c>
      <c r="BS61" s="93">
        <v>451.65</v>
      </c>
      <c r="BT61" s="93">
        <v>450.62</v>
      </c>
      <c r="BU61" s="93">
        <v>449.58</v>
      </c>
      <c r="BV61" s="93">
        <v>448.54</v>
      </c>
      <c r="BW61" s="93">
        <v>447.5</v>
      </c>
      <c r="BX61" s="93">
        <v>446.47</v>
      </c>
      <c r="BY61" s="93">
        <v>445.43</v>
      </c>
      <c r="BZ61" s="93">
        <v>444.39</v>
      </c>
      <c r="CA61" s="93">
        <v>443.36</v>
      </c>
      <c r="CB61" s="93">
        <v>442.32</v>
      </c>
      <c r="CC61" s="93">
        <v>441.28</v>
      </c>
      <c r="CD61" s="93">
        <v>440.25</v>
      </c>
      <c r="CE61" s="93">
        <v>439.21</v>
      </c>
      <c r="CF61" s="93">
        <v>438.18</v>
      </c>
      <c r="CG61" s="93">
        <v>437.14</v>
      </c>
      <c r="CH61" s="93">
        <v>436.1</v>
      </c>
      <c r="CI61" s="93">
        <v>435.07</v>
      </c>
      <c r="CJ61" s="93">
        <v>434.03</v>
      </c>
      <c r="CK61" s="93">
        <v>432.99</v>
      </c>
      <c r="CL61" s="93">
        <v>431.96</v>
      </c>
      <c r="CM61" s="93">
        <v>430.92</v>
      </c>
      <c r="CN61" s="93">
        <v>429.88</v>
      </c>
      <c r="CO61" s="93">
        <v>428.85</v>
      </c>
      <c r="CP61" s="93">
        <v>427.81</v>
      </c>
      <c r="CQ61" s="93">
        <v>426.77</v>
      </c>
      <c r="CR61" s="93">
        <v>425.74</v>
      </c>
      <c r="CS61" s="93">
        <v>424.7</v>
      </c>
      <c r="CT61" s="93">
        <v>423.66</v>
      </c>
      <c r="CU61" s="93">
        <v>422.63</v>
      </c>
      <c r="CV61" s="93">
        <v>421.59</v>
      </c>
      <c r="CW61" s="93">
        <v>420.56</v>
      </c>
      <c r="CX61" s="93">
        <v>419.52</v>
      </c>
      <c r="CY61" s="93">
        <v>418.49</v>
      </c>
      <c r="CZ61" s="93">
        <v>417.45</v>
      </c>
      <c r="DA61" s="93">
        <v>416.42</v>
      </c>
      <c r="DB61" s="93">
        <v>415.38</v>
      </c>
      <c r="DC61" s="93">
        <v>414.35</v>
      </c>
      <c r="DD61" s="93">
        <v>413.31</v>
      </c>
      <c r="DE61" s="93">
        <v>412.28</v>
      </c>
      <c r="DF61" s="93">
        <v>411.24</v>
      </c>
      <c r="DG61" s="93">
        <v>410.21</v>
      </c>
      <c r="DH61" s="93">
        <v>409.18</v>
      </c>
      <c r="DI61" s="93">
        <v>408.14</v>
      </c>
      <c r="DJ61" s="93">
        <v>407.11</v>
      </c>
      <c r="DK61" s="93">
        <v>406.08</v>
      </c>
      <c r="DL61" s="93">
        <v>405.04</v>
      </c>
      <c r="DM61" s="93">
        <v>404.01</v>
      </c>
      <c r="DN61" s="93">
        <v>402.98</v>
      </c>
      <c r="DO61" s="93">
        <v>401.94</v>
      </c>
      <c r="DP61" s="93">
        <v>400.91</v>
      </c>
      <c r="DQ61" s="93">
        <v>399.88</v>
      </c>
      <c r="DR61" s="93">
        <v>398.85</v>
      </c>
      <c r="DS61" s="93">
        <v>397.81</v>
      </c>
      <c r="DT61" s="93">
        <v>396.78</v>
      </c>
      <c r="DU61" s="93">
        <v>395.76</v>
      </c>
      <c r="DV61" s="93">
        <v>394.73</v>
      </c>
      <c r="DW61" s="93">
        <v>393.7</v>
      </c>
      <c r="DX61" s="93">
        <v>392.67</v>
      </c>
      <c r="DY61" s="93">
        <v>391.64</v>
      </c>
      <c r="DZ61" s="93">
        <v>390.62</v>
      </c>
      <c r="EA61" s="93">
        <v>389.59</v>
      </c>
      <c r="EB61" s="93">
        <v>388.56</v>
      </c>
      <c r="EC61" s="93">
        <v>387.53</v>
      </c>
      <c r="ED61" s="93">
        <v>386.51</v>
      </c>
      <c r="EE61" s="93">
        <v>385.48</v>
      </c>
      <c r="EF61" s="93">
        <v>384.46</v>
      </c>
      <c r="EG61" s="93">
        <v>383.44</v>
      </c>
      <c r="EH61" s="93">
        <v>382.42</v>
      </c>
      <c r="EI61" s="93">
        <v>381.4</v>
      </c>
      <c r="EJ61" s="93">
        <v>380.37</v>
      </c>
      <c r="EK61" s="93">
        <v>379.35</v>
      </c>
      <c r="EL61" s="93">
        <v>378.33</v>
      </c>
      <c r="EM61" s="93">
        <v>377.31</v>
      </c>
      <c r="EN61" s="93">
        <v>376.29</v>
      </c>
      <c r="EO61" s="93">
        <v>375.27</v>
      </c>
      <c r="EP61" s="93">
        <v>374.25</v>
      </c>
      <c r="EQ61" s="93">
        <v>373.24</v>
      </c>
      <c r="ER61" s="93">
        <v>372.22</v>
      </c>
      <c r="ES61" s="93">
        <v>371.21</v>
      </c>
      <c r="ET61" s="93">
        <v>370.19</v>
      </c>
      <c r="EU61" s="93">
        <v>369.18</v>
      </c>
      <c r="EV61" s="93">
        <v>368.16</v>
      </c>
      <c r="EW61" s="93">
        <v>367.15</v>
      </c>
      <c r="EX61" s="93">
        <v>366.13</v>
      </c>
      <c r="EY61" s="93">
        <v>365.12</v>
      </c>
      <c r="EZ61" s="93">
        <v>364.11</v>
      </c>
      <c r="FA61" s="93">
        <v>363.09</v>
      </c>
      <c r="FB61" s="93">
        <v>362.08</v>
      </c>
      <c r="FC61" s="93">
        <v>361.07</v>
      </c>
      <c r="FD61" s="93">
        <v>360.06</v>
      </c>
      <c r="FE61" s="93">
        <v>359.05</v>
      </c>
      <c r="FF61" s="93">
        <v>358.05</v>
      </c>
      <c r="FG61" s="93">
        <v>357.04</v>
      </c>
      <c r="FH61" s="93">
        <v>356.03</v>
      </c>
      <c r="FI61" s="93">
        <v>355.03</v>
      </c>
      <c r="FJ61" s="93">
        <v>354.02</v>
      </c>
      <c r="FK61" s="93">
        <v>353.02</v>
      </c>
      <c r="FL61" s="93">
        <v>352.01</v>
      </c>
      <c r="FM61" s="93">
        <v>351.01</v>
      </c>
      <c r="FN61" s="93">
        <v>350</v>
      </c>
      <c r="FO61" s="93">
        <v>349</v>
      </c>
      <c r="FP61" s="93">
        <v>348</v>
      </c>
      <c r="FQ61" s="93">
        <v>346.99</v>
      </c>
      <c r="FR61" s="93">
        <v>345.99</v>
      </c>
      <c r="FS61" s="93">
        <v>344.99</v>
      </c>
      <c r="FT61" s="93">
        <v>343.99</v>
      </c>
      <c r="FU61" s="93">
        <v>342.99</v>
      </c>
      <c r="FV61" s="93">
        <v>341.99</v>
      </c>
      <c r="FW61" s="93">
        <v>340.99</v>
      </c>
      <c r="FX61" s="93">
        <v>339.99</v>
      </c>
      <c r="FY61" s="93">
        <v>338.99</v>
      </c>
      <c r="FZ61" s="93">
        <v>337.99</v>
      </c>
      <c r="GA61" s="93">
        <v>336.99</v>
      </c>
      <c r="GB61" s="93">
        <v>336</v>
      </c>
      <c r="GC61" s="93">
        <v>335</v>
      </c>
      <c r="GD61" s="93">
        <v>334.01</v>
      </c>
      <c r="GE61" s="93">
        <v>333.01</v>
      </c>
      <c r="GF61" s="93">
        <v>332.01</v>
      </c>
      <c r="GG61" s="93">
        <v>331.01</v>
      </c>
      <c r="GH61" s="93">
        <v>330.03</v>
      </c>
      <c r="GI61" s="93">
        <v>329.03</v>
      </c>
      <c r="GJ61" s="93">
        <v>328.04</v>
      </c>
      <c r="GK61" s="93">
        <v>327.04000000000002</v>
      </c>
      <c r="GL61" s="93">
        <v>326.06</v>
      </c>
      <c r="GM61" s="93">
        <v>325.07</v>
      </c>
      <c r="GN61" s="93">
        <v>324.07</v>
      </c>
      <c r="GO61" s="93">
        <v>323.08999999999997</v>
      </c>
      <c r="GP61" s="93">
        <v>322.10000000000002</v>
      </c>
      <c r="GQ61" s="93">
        <v>321.13</v>
      </c>
      <c r="GR61" s="93">
        <v>320.14</v>
      </c>
      <c r="GS61" s="93">
        <v>319.16000000000003</v>
      </c>
      <c r="GT61" s="93">
        <v>318.18</v>
      </c>
      <c r="GU61" s="93">
        <v>317.2</v>
      </c>
      <c r="GV61" s="93">
        <v>316.22000000000003</v>
      </c>
      <c r="GW61" s="93">
        <v>315.24</v>
      </c>
      <c r="GX61" s="93">
        <v>314.26</v>
      </c>
      <c r="GY61" s="93">
        <v>313.27999999999997</v>
      </c>
      <c r="GZ61" s="93">
        <v>312.29000000000002</v>
      </c>
      <c r="HA61" s="93">
        <v>311.32</v>
      </c>
      <c r="HB61" s="93">
        <v>310.35000000000002</v>
      </c>
      <c r="HC61" s="93">
        <v>309.37</v>
      </c>
      <c r="HD61" s="93">
        <v>308.39999999999998</v>
      </c>
      <c r="HE61" s="93">
        <v>307.42</v>
      </c>
      <c r="HF61" s="93">
        <v>306.45</v>
      </c>
      <c r="HG61" s="93">
        <v>305.48</v>
      </c>
      <c r="HH61" s="93">
        <v>304.5</v>
      </c>
      <c r="HI61" s="93">
        <v>303.52999999999997</v>
      </c>
      <c r="HJ61" s="93">
        <v>302.56</v>
      </c>
      <c r="HK61" s="93">
        <v>301.58999999999997</v>
      </c>
      <c r="HL61" s="93">
        <v>300.63</v>
      </c>
      <c r="HM61" s="93">
        <v>299.67</v>
      </c>
      <c r="HN61" s="93">
        <v>298.70999999999998</v>
      </c>
      <c r="HO61" s="93">
        <v>297.75</v>
      </c>
      <c r="HP61" s="93">
        <v>296.79000000000002</v>
      </c>
      <c r="HQ61" s="93">
        <v>295.82</v>
      </c>
      <c r="HR61" s="93">
        <v>294.87</v>
      </c>
      <c r="HS61" s="93">
        <v>293.91000000000003</v>
      </c>
      <c r="HT61" s="93">
        <v>292.95999999999998</v>
      </c>
      <c r="HU61" s="93">
        <v>292</v>
      </c>
      <c r="HV61" s="93">
        <v>291.04000000000002</v>
      </c>
      <c r="HW61" s="93">
        <v>290.08999999999997</v>
      </c>
      <c r="HX61" s="93">
        <v>289.14</v>
      </c>
      <c r="HY61" s="93">
        <v>288.19</v>
      </c>
      <c r="HZ61" s="93">
        <v>287.24</v>
      </c>
      <c r="IA61" s="93">
        <v>286.29000000000002</v>
      </c>
      <c r="IB61" s="93">
        <v>285.33999999999997</v>
      </c>
      <c r="IC61" s="93">
        <v>284.39</v>
      </c>
      <c r="ID61" s="93">
        <v>283.44</v>
      </c>
      <c r="IE61" s="93">
        <v>282.49</v>
      </c>
      <c r="IF61" s="93">
        <v>281.54000000000002</v>
      </c>
      <c r="IG61" s="93">
        <v>280.60000000000002</v>
      </c>
      <c r="IH61" s="93">
        <v>279.64999999999998</v>
      </c>
      <c r="II61" s="93">
        <v>278.7</v>
      </c>
      <c r="IJ61" s="93">
        <v>277.76</v>
      </c>
      <c r="IK61" s="93">
        <v>276.82</v>
      </c>
      <c r="IL61" s="93">
        <v>275.88</v>
      </c>
      <c r="IM61" s="93">
        <v>274.94</v>
      </c>
      <c r="IN61" s="93">
        <v>274</v>
      </c>
      <c r="IO61" s="93">
        <v>273.06</v>
      </c>
      <c r="IP61" s="93">
        <v>272.12</v>
      </c>
      <c r="IQ61" s="93">
        <v>271.18</v>
      </c>
      <c r="IR61" s="93">
        <v>270.24</v>
      </c>
      <c r="IS61" s="93">
        <v>269.31</v>
      </c>
      <c r="IT61" s="93">
        <v>268.37</v>
      </c>
      <c r="IU61" s="93">
        <v>267.44</v>
      </c>
      <c r="IV61" s="93">
        <v>266.51</v>
      </c>
      <c r="IW61" s="93">
        <v>265.58999999999997</v>
      </c>
      <c r="IX61" s="93">
        <v>264.67</v>
      </c>
      <c r="IY61" s="93">
        <v>263.75</v>
      </c>
      <c r="IZ61" s="93">
        <v>262.82</v>
      </c>
      <c r="JA61" s="93">
        <v>261.90999999999997</v>
      </c>
      <c r="JB61" s="93">
        <v>260.99</v>
      </c>
      <c r="JC61" s="93">
        <v>260.07</v>
      </c>
      <c r="JD61" s="93">
        <v>259.14999999999998</v>
      </c>
      <c r="JE61" s="93">
        <v>258.24</v>
      </c>
      <c r="JF61" s="93">
        <v>257.32</v>
      </c>
      <c r="JG61" s="93">
        <v>256.39999999999998</v>
      </c>
      <c r="JH61" s="93">
        <v>255.49</v>
      </c>
      <c r="JI61" s="93">
        <v>254.58</v>
      </c>
      <c r="JJ61" s="93">
        <v>253.67</v>
      </c>
      <c r="JK61" s="93">
        <v>252.76</v>
      </c>
      <c r="JL61" s="93">
        <v>251.85</v>
      </c>
      <c r="JM61" s="93">
        <v>250.94</v>
      </c>
      <c r="JN61" s="93">
        <v>250.03</v>
      </c>
      <c r="JO61" s="93">
        <v>249.12</v>
      </c>
      <c r="JP61" s="93">
        <v>248.21</v>
      </c>
      <c r="JQ61" s="93">
        <v>247.31</v>
      </c>
      <c r="JR61" s="93">
        <v>246.4</v>
      </c>
      <c r="JS61" s="93">
        <v>245.5</v>
      </c>
      <c r="JT61" s="93">
        <v>244.59</v>
      </c>
      <c r="JU61" s="93">
        <v>243.68</v>
      </c>
      <c r="JV61" s="93">
        <v>242.77</v>
      </c>
      <c r="JW61" s="93">
        <v>241.86</v>
      </c>
      <c r="JX61" s="93">
        <v>240.95</v>
      </c>
      <c r="JY61" s="93">
        <v>240.04</v>
      </c>
      <c r="JZ61" s="93">
        <v>239.13</v>
      </c>
      <c r="KA61" s="93">
        <v>238.22</v>
      </c>
      <c r="KB61" s="93">
        <v>237.32</v>
      </c>
      <c r="KC61" s="93">
        <v>236.41</v>
      </c>
      <c r="KD61" s="93">
        <v>235.51</v>
      </c>
      <c r="KE61" s="93">
        <v>234.6</v>
      </c>
      <c r="KF61" s="93">
        <v>233.7</v>
      </c>
      <c r="KG61" s="93">
        <v>232.8</v>
      </c>
      <c r="KH61" s="93">
        <v>231.9</v>
      </c>
      <c r="KI61" s="93">
        <v>231</v>
      </c>
      <c r="KJ61" s="93">
        <v>230.1</v>
      </c>
      <c r="KK61" s="93">
        <v>229.2</v>
      </c>
      <c r="KL61" s="93">
        <v>228.3</v>
      </c>
      <c r="KM61" s="93">
        <v>227.41</v>
      </c>
      <c r="KN61" s="93">
        <v>226.51</v>
      </c>
      <c r="KO61" s="93">
        <v>225.62</v>
      </c>
      <c r="KP61" s="93">
        <v>224.72</v>
      </c>
      <c r="KQ61" s="93">
        <v>223.83</v>
      </c>
      <c r="KR61" s="98">
        <f t="shared" si="37"/>
        <v>225.77</v>
      </c>
      <c r="KS61" s="98">
        <f t="shared" si="38"/>
        <v>224.98</v>
      </c>
      <c r="KT61" s="98">
        <f t="shared" si="37"/>
        <v>224.16</v>
      </c>
      <c r="KU61" s="98">
        <f t="shared" si="37"/>
        <v>223.37</v>
      </c>
      <c r="KV61" s="98">
        <f t="shared" si="37"/>
        <v>222.59</v>
      </c>
      <c r="KW61" s="98">
        <f t="shared" si="37"/>
        <v>221.8</v>
      </c>
      <c r="KX61" s="98">
        <f t="shared" si="37"/>
        <v>221.01</v>
      </c>
      <c r="KY61" s="98">
        <f t="shared" si="37"/>
        <v>220.23</v>
      </c>
      <c r="KZ61" s="98">
        <f t="shared" si="37"/>
        <v>219.44</v>
      </c>
      <c r="LA61" s="98">
        <f t="shared" si="37"/>
        <v>218.66</v>
      </c>
      <c r="LB61" s="98">
        <f t="shared" si="37"/>
        <v>217.88</v>
      </c>
      <c r="LC61" s="98">
        <f t="shared" si="37"/>
        <v>217.1</v>
      </c>
      <c r="LD61" s="98">
        <f t="shared" si="37"/>
        <v>216.32</v>
      </c>
      <c r="LE61" s="98">
        <f t="shared" si="37"/>
        <v>215.54</v>
      </c>
      <c r="LF61" s="98">
        <f t="shared" si="37"/>
        <v>214.77</v>
      </c>
      <c r="LG61" s="98">
        <f t="shared" si="37"/>
        <v>214</v>
      </c>
      <c r="LH61" s="98">
        <f t="shared" si="37"/>
        <v>213.22</v>
      </c>
      <c r="LI61" s="98">
        <f t="shared" si="37"/>
        <v>212.45</v>
      </c>
      <c r="LJ61" s="98">
        <f t="shared" si="37"/>
        <v>211.68</v>
      </c>
      <c r="LK61" s="98">
        <f t="shared" si="37"/>
        <v>210.91</v>
      </c>
      <c r="LL61" s="98">
        <f t="shared" si="37"/>
        <v>210.14</v>
      </c>
      <c r="LM61" s="98">
        <f t="shared" si="37"/>
        <v>209.38</v>
      </c>
      <c r="LN61" s="98">
        <f t="shared" si="36"/>
        <v>208.61</v>
      </c>
      <c r="LO61" s="98">
        <f t="shared" si="36"/>
        <v>207.85</v>
      </c>
      <c r="LP61" s="98">
        <f t="shared" si="36"/>
        <v>207.09</v>
      </c>
      <c r="LQ61" s="98">
        <f t="shared" si="36"/>
        <v>206.33</v>
      </c>
      <c r="LR61" s="98">
        <f t="shared" si="36"/>
        <v>205.57</v>
      </c>
      <c r="LS61" s="98">
        <f t="shared" si="36"/>
        <v>204.81</v>
      </c>
      <c r="LT61" s="98">
        <f t="shared" si="36"/>
        <v>204.06</v>
      </c>
      <c r="LU61" s="98">
        <f t="shared" si="36"/>
        <v>203.31</v>
      </c>
      <c r="LV61" s="98">
        <f t="shared" si="36"/>
        <v>202.55</v>
      </c>
      <c r="LW61" s="98">
        <f t="shared" si="36"/>
        <v>201.8</v>
      </c>
      <c r="LX61" s="98">
        <f t="shared" si="36"/>
        <v>201.05</v>
      </c>
      <c r="LY61" s="98">
        <f t="shared" si="36"/>
        <v>200.3</v>
      </c>
      <c r="LZ61" s="98">
        <f t="shared" si="36"/>
        <v>199.56</v>
      </c>
      <c r="MA61" s="98">
        <f t="shared" si="36"/>
        <v>198.81</v>
      </c>
      <c r="MB61" s="98">
        <f t="shared" si="36"/>
        <v>198.07</v>
      </c>
      <c r="MC61" s="98">
        <f t="shared" si="36"/>
        <v>197.33</v>
      </c>
      <c r="MD61" s="100">
        <f t="shared" si="36"/>
        <v>196.59</v>
      </c>
      <c r="ME61" s="101">
        <f t="shared" si="36"/>
        <v>195.86</v>
      </c>
      <c r="MF61" s="101">
        <f t="shared" si="36"/>
        <v>195.12</v>
      </c>
      <c r="MG61" s="101">
        <f t="shared" si="36"/>
        <v>194.39</v>
      </c>
      <c r="MH61" s="101">
        <f t="shared" si="36"/>
        <v>193.65</v>
      </c>
      <c r="MI61" s="101">
        <f t="shared" si="36"/>
        <v>192.92</v>
      </c>
      <c r="MJ61" s="101">
        <f t="shared" si="36"/>
        <v>192.19</v>
      </c>
      <c r="MK61" s="101">
        <f t="shared" si="36"/>
        <v>191.46</v>
      </c>
      <c r="ML61" s="101">
        <f t="shared" si="36"/>
        <v>190.74</v>
      </c>
      <c r="MM61" s="101">
        <f t="shared" si="36"/>
        <v>190.01</v>
      </c>
      <c r="MN61" s="101">
        <f t="shared" si="36"/>
        <v>189.29</v>
      </c>
      <c r="MO61" s="101">
        <f t="shared" si="36"/>
        <v>188.57</v>
      </c>
      <c r="MP61" s="101">
        <f t="shared" si="36"/>
        <v>187.85</v>
      </c>
      <c r="MQ61" s="101">
        <f t="shared" si="36"/>
        <v>187.14</v>
      </c>
      <c r="MR61" s="101">
        <f t="shared" si="36"/>
        <v>186.42</v>
      </c>
      <c r="MS61" s="101">
        <f t="shared" si="36"/>
        <v>185.71</v>
      </c>
      <c r="MT61" s="101">
        <f t="shared" si="36"/>
        <v>184.99</v>
      </c>
      <c r="MU61" s="101">
        <f t="shared" si="36"/>
        <v>184.28</v>
      </c>
      <c r="MV61" s="101">
        <f t="shared" si="36"/>
        <v>183.57</v>
      </c>
      <c r="MW61" s="101">
        <f t="shared" si="36"/>
        <v>182.87</v>
      </c>
      <c r="MX61" s="101">
        <f t="shared" si="36"/>
        <v>182.16</v>
      </c>
      <c r="MY61" s="101">
        <f t="shared" si="36"/>
        <v>181.46</v>
      </c>
    </row>
    <row r="62" spans="1:363" ht="15.75" x14ac:dyDescent="0.25">
      <c r="A62" s="90" t="s">
        <v>6</v>
      </c>
      <c r="B62" s="95">
        <v>2072</v>
      </c>
      <c r="C62" s="93">
        <v>522.67999999999995</v>
      </c>
      <c r="D62" s="93">
        <v>521.82000000000005</v>
      </c>
      <c r="E62" s="93">
        <v>520.79</v>
      </c>
      <c r="F62" s="93">
        <v>519.75</v>
      </c>
      <c r="G62" s="93">
        <v>518.72</v>
      </c>
      <c r="H62" s="93">
        <v>517.68000000000006</v>
      </c>
      <c r="I62" s="93">
        <v>516.65</v>
      </c>
      <c r="J62" s="93">
        <v>515.61</v>
      </c>
      <c r="K62" s="93">
        <v>514.57999999999993</v>
      </c>
      <c r="L62" s="93">
        <v>513.54</v>
      </c>
      <c r="M62" s="93">
        <v>512.51</v>
      </c>
      <c r="N62" s="93">
        <v>511.47</v>
      </c>
      <c r="O62" s="93">
        <v>510.44</v>
      </c>
      <c r="P62" s="93">
        <v>509.4</v>
      </c>
      <c r="Q62" s="93">
        <v>508.37</v>
      </c>
      <c r="R62" s="93">
        <v>507.33</v>
      </c>
      <c r="S62" s="93">
        <v>506.3</v>
      </c>
      <c r="T62" s="93">
        <v>505.26</v>
      </c>
      <c r="U62" s="93">
        <v>504.23</v>
      </c>
      <c r="V62" s="93">
        <v>503.19</v>
      </c>
      <c r="W62" s="93">
        <v>502.16</v>
      </c>
      <c r="X62" s="93">
        <v>501.12</v>
      </c>
      <c r="Y62" s="93">
        <v>500.09</v>
      </c>
      <c r="Z62" s="93">
        <v>499.05</v>
      </c>
      <c r="AA62" s="93">
        <v>498.02</v>
      </c>
      <c r="AB62" s="93">
        <v>496.98</v>
      </c>
      <c r="AC62" s="93">
        <v>495.95</v>
      </c>
      <c r="AD62" s="93">
        <v>494.91</v>
      </c>
      <c r="AE62" s="93">
        <v>493.87</v>
      </c>
      <c r="AF62" s="93">
        <v>492.84</v>
      </c>
      <c r="AG62" s="93">
        <v>491.8</v>
      </c>
      <c r="AH62" s="93">
        <v>490.77</v>
      </c>
      <c r="AI62" s="93">
        <v>489.73</v>
      </c>
      <c r="AJ62" s="93">
        <v>488.69</v>
      </c>
      <c r="AK62" s="93">
        <v>487.66</v>
      </c>
      <c r="AL62" s="93">
        <v>486.62</v>
      </c>
      <c r="AM62" s="93">
        <v>485.59</v>
      </c>
      <c r="AN62" s="93">
        <v>484.55</v>
      </c>
      <c r="AO62" s="93">
        <v>483.51</v>
      </c>
      <c r="AP62" s="93">
        <v>482.48</v>
      </c>
      <c r="AQ62" s="93">
        <v>481.44</v>
      </c>
      <c r="AR62" s="93">
        <v>480.4</v>
      </c>
      <c r="AS62" s="93">
        <v>479.37</v>
      </c>
      <c r="AT62" s="93">
        <v>478.33</v>
      </c>
      <c r="AU62" s="93">
        <v>477.29</v>
      </c>
      <c r="AV62" s="93">
        <v>476.26</v>
      </c>
      <c r="AW62" s="93">
        <v>475.22</v>
      </c>
      <c r="AX62" s="93">
        <v>474.19</v>
      </c>
      <c r="AY62" s="93">
        <v>473.15</v>
      </c>
      <c r="AZ62" s="93">
        <v>472.11</v>
      </c>
      <c r="BA62" s="93">
        <v>471.08</v>
      </c>
      <c r="BB62" s="93">
        <v>470.04</v>
      </c>
      <c r="BC62" s="93">
        <v>469</v>
      </c>
      <c r="BD62" s="93">
        <v>467.96</v>
      </c>
      <c r="BE62" s="93">
        <v>466.93</v>
      </c>
      <c r="BF62" s="93">
        <v>465.89</v>
      </c>
      <c r="BG62" s="93">
        <v>464.85</v>
      </c>
      <c r="BH62" s="93">
        <v>463.82</v>
      </c>
      <c r="BI62" s="93">
        <v>462.78</v>
      </c>
      <c r="BJ62" s="93">
        <v>461.74</v>
      </c>
      <c r="BK62" s="93">
        <v>460.71</v>
      </c>
      <c r="BL62" s="93">
        <v>459.67</v>
      </c>
      <c r="BM62" s="93">
        <v>458.63</v>
      </c>
      <c r="BN62" s="93">
        <v>457.59</v>
      </c>
      <c r="BO62" s="93">
        <v>456.55</v>
      </c>
      <c r="BP62" s="93">
        <v>455.52</v>
      </c>
      <c r="BQ62" s="93">
        <v>454.48</v>
      </c>
      <c r="BR62" s="93">
        <v>453.44</v>
      </c>
      <c r="BS62" s="93">
        <v>452.4</v>
      </c>
      <c r="BT62" s="93">
        <v>451.37</v>
      </c>
      <c r="BU62" s="93">
        <v>450.33</v>
      </c>
      <c r="BV62" s="93">
        <v>449.29</v>
      </c>
      <c r="BW62" s="93">
        <v>448.25</v>
      </c>
      <c r="BX62" s="93">
        <v>447.22</v>
      </c>
      <c r="BY62" s="93">
        <v>446.18</v>
      </c>
      <c r="BZ62" s="93">
        <v>445.14</v>
      </c>
      <c r="CA62" s="93">
        <v>444.11</v>
      </c>
      <c r="CB62" s="93">
        <v>443.07</v>
      </c>
      <c r="CC62" s="93">
        <v>442.03</v>
      </c>
      <c r="CD62" s="93">
        <v>441</v>
      </c>
      <c r="CE62" s="93">
        <v>439.96</v>
      </c>
      <c r="CF62" s="93">
        <v>438.93</v>
      </c>
      <c r="CG62" s="93">
        <v>437.89</v>
      </c>
      <c r="CH62" s="93">
        <v>436.85</v>
      </c>
      <c r="CI62" s="93">
        <v>435.82</v>
      </c>
      <c r="CJ62" s="93">
        <v>434.78</v>
      </c>
      <c r="CK62" s="93">
        <v>433.74</v>
      </c>
      <c r="CL62" s="93">
        <v>432.71</v>
      </c>
      <c r="CM62" s="93">
        <v>431.67</v>
      </c>
      <c r="CN62" s="93">
        <v>430.63</v>
      </c>
      <c r="CO62" s="93">
        <v>429.6</v>
      </c>
      <c r="CP62" s="93">
        <v>428.56</v>
      </c>
      <c r="CQ62" s="93">
        <v>427.52</v>
      </c>
      <c r="CR62" s="93">
        <v>426.49</v>
      </c>
      <c r="CS62" s="93">
        <v>425.45</v>
      </c>
      <c r="CT62" s="93">
        <v>424.41</v>
      </c>
      <c r="CU62" s="93">
        <v>423.38</v>
      </c>
      <c r="CV62" s="93">
        <v>422.34</v>
      </c>
      <c r="CW62" s="93">
        <v>421.31</v>
      </c>
      <c r="CX62" s="93">
        <v>420.27</v>
      </c>
      <c r="CY62" s="93">
        <v>419.24</v>
      </c>
      <c r="CZ62" s="93">
        <v>418.2</v>
      </c>
      <c r="DA62" s="93">
        <v>417.17</v>
      </c>
      <c r="DB62" s="93">
        <v>416.13</v>
      </c>
      <c r="DC62" s="93">
        <v>415.1</v>
      </c>
      <c r="DD62" s="93">
        <v>414.06</v>
      </c>
      <c r="DE62" s="93">
        <v>413.03</v>
      </c>
      <c r="DF62" s="93">
        <v>411.99</v>
      </c>
      <c r="DG62" s="93">
        <v>410.96</v>
      </c>
      <c r="DH62" s="93">
        <v>409.93</v>
      </c>
      <c r="DI62" s="93">
        <v>408.89</v>
      </c>
      <c r="DJ62" s="93">
        <v>407.86</v>
      </c>
      <c r="DK62" s="93">
        <v>406.83</v>
      </c>
      <c r="DL62" s="93">
        <v>405.79</v>
      </c>
      <c r="DM62" s="93">
        <v>404.76</v>
      </c>
      <c r="DN62" s="93">
        <v>403.73</v>
      </c>
      <c r="DO62" s="93">
        <v>402.69</v>
      </c>
      <c r="DP62" s="93">
        <v>401.66</v>
      </c>
      <c r="DQ62" s="93">
        <v>400.63</v>
      </c>
      <c r="DR62" s="93">
        <v>399.6</v>
      </c>
      <c r="DS62" s="93">
        <v>398.56</v>
      </c>
      <c r="DT62" s="93">
        <v>397.53</v>
      </c>
      <c r="DU62" s="93">
        <v>396.51</v>
      </c>
      <c r="DV62" s="93">
        <v>395.48</v>
      </c>
      <c r="DW62" s="93">
        <v>394.45</v>
      </c>
      <c r="DX62" s="93">
        <v>393.42</v>
      </c>
      <c r="DY62" s="93">
        <v>392.39</v>
      </c>
      <c r="DZ62" s="93">
        <v>391.37</v>
      </c>
      <c r="EA62" s="93">
        <v>390.34</v>
      </c>
      <c r="EB62" s="93">
        <v>389.31</v>
      </c>
      <c r="EC62" s="93">
        <v>388.28</v>
      </c>
      <c r="ED62" s="93">
        <v>387.26</v>
      </c>
      <c r="EE62" s="93">
        <v>386.23</v>
      </c>
      <c r="EF62" s="93">
        <v>385.21</v>
      </c>
      <c r="EG62" s="93">
        <v>384.19</v>
      </c>
      <c r="EH62" s="93">
        <v>383.17</v>
      </c>
      <c r="EI62" s="93">
        <v>382.15</v>
      </c>
      <c r="EJ62" s="93">
        <v>381.12</v>
      </c>
      <c r="EK62" s="93">
        <v>380.1</v>
      </c>
      <c r="EL62" s="93">
        <v>379.08</v>
      </c>
      <c r="EM62" s="93">
        <v>378.06</v>
      </c>
      <c r="EN62" s="93">
        <v>377.04</v>
      </c>
      <c r="EO62" s="93">
        <v>376.02</v>
      </c>
      <c r="EP62" s="93">
        <v>375</v>
      </c>
      <c r="EQ62" s="93">
        <v>373.99</v>
      </c>
      <c r="ER62" s="93">
        <v>372.97</v>
      </c>
      <c r="ES62" s="93">
        <v>371.96</v>
      </c>
      <c r="ET62" s="93">
        <v>370.94</v>
      </c>
      <c r="EU62" s="93">
        <v>369.93</v>
      </c>
      <c r="EV62" s="93">
        <v>368.91</v>
      </c>
      <c r="EW62" s="93">
        <v>367.9</v>
      </c>
      <c r="EX62" s="93">
        <v>366.88</v>
      </c>
      <c r="EY62" s="93">
        <v>365.87</v>
      </c>
      <c r="EZ62" s="93">
        <v>364.86</v>
      </c>
      <c r="FA62" s="93">
        <v>363.84</v>
      </c>
      <c r="FB62" s="93">
        <v>362.83</v>
      </c>
      <c r="FC62" s="93">
        <v>361.82</v>
      </c>
      <c r="FD62" s="93">
        <v>360.81</v>
      </c>
      <c r="FE62" s="93">
        <v>359.8</v>
      </c>
      <c r="FF62" s="93">
        <v>358.8</v>
      </c>
      <c r="FG62" s="93">
        <v>357.79</v>
      </c>
      <c r="FH62" s="93">
        <v>356.78</v>
      </c>
      <c r="FI62" s="93">
        <v>355.78</v>
      </c>
      <c r="FJ62" s="93">
        <v>354.77</v>
      </c>
      <c r="FK62" s="93">
        <v>353.77</v>
      </c>
      <c r="FL62" s="93">
        <v>352.76</v>
      </c>
      <c r="FM62" s="93">
        <v>351.76</v>
      </c>
      <c r="FN62" s="93">
        <v>350.75</v>
      </c>
      <c r="FO62" s="93">
        <v>349.75</v>
      </c>
      <c r="FP62" s="93">
        <v>348.75</v>
      </c>
      <c r="FQ62" s="93">
        <v>347.74</v>
      </c>
      <c r="FR62" s="93">
        <v>346.74</v>
      </c>
      <c r="FS62" s="93">
        <v>345.74</v>
      </c>
      <c r="FT62" s="93">
        <v>344.74</v>
      </c>
      <c r="FU62" s="93">
        <v>343.74</v>
      </c>
      <c r="FV62" s="93">
        <v>342.74</v>
      </c>
      <c r="FW62" s="93">
        <v>341.74</v>
      </c>
      <c r="FX62" s="93">
        <v>340.74</v>
      </c>
      <c r="FY62" s="93">
        <v>339.74</v>
      </c>
      <c r="FZ62" s="93">
        <v>338.74</v>
      </c>
      <c r="GA62" s="93">
        <v>337.74</v>
      </c>
      <c r="GB62" s="93">
        <v>336.75</v>
      </c>
      <c r="GC62" s="93">
        <v>335.75</v>
      </c>
      <c r="GD62" s="93">
        <v>334.76</v>
      </c>
      <c r="GE62" s="93">
        <v>333.76</v>
      </c>
      <c r="GF62" s="93">
        <v>332.76</v>
      </c>
      <c r="GG62" s="93">
        <v>331.76</v>
      </c>
      <c r="GH62" s="93">
        <v>330.78</v>
      </c>
      <c r="GI62" s="93">
        <v>329.78</v>
      </c>
      <c r="GJ62" s="93">
        <v>328.79</v>
      </c>
      <c r="GK62" s="93">
        <v>327.79</v>
      </c>
      <c r="GL62" s="93">
        <v>326.81</v>
      </c>
      <c r="GM62" s="93">
        <v>325.82</v>
      </c>
      <c r="GN62" s="93">
        <v>324.82</v>
      </c>
      <c r="GO62" s="93">
        <v>323.83999999999997</v>
      </c>
      <c r="GP62" s="93">
        <v>322.85000000000002</v>
      </c>
      <c r="GQ62" s="93">
        <v>321.88</v>
      </c>
      <c r="GR62" s="93">
        <v>320.89</v>
      </c>
      <c r="GS62" s="93">
        <v>319.91000000000003</v>
      </c>
      <c r="GT62" s="93">
        <v>318.93</v>
      </c>
      <c r="GU62" s="93">
        <v>317.95</v>
      </c>
      <c r="GV62" s="93">
        <v>316.97000000000003</v>
      </c>
      <c r="GW62" s="93">
        <v>315.99</v>
      </c>
      <c r="GX62" s="93">
        <v>315.01</v>
      </c>
      <c r="GY62" s="93">
        <v>314.02999999999997</v>
      </c>
      <c r="GZ62" s="93">
        <v>313.04000000000002</v>
      </c>
      <c r="HA62" s="93">
        <v>312.07</v>
      </c>
      <c r="HB62" s="93">
        <v>311.10000000000002</v>
      </c>
      <c r="HC62" s="93">
        <v>310.12</v>
      </c>
      <c r="HD62" s="93">
        <v>309.14999999999998</v>
      </c>
      <c r="HE62" s="93">
        <v>308.17</v>
      </c>
      <c r="HF62" s="93">
        <v>307.2</v>
      </c>
      <c r="HG62" s="93">
        <v>306.23</v>
      </c>
      <c r="HH62" s="93">
        <v>305.25</v>
      </c>
      <c r="HI62" s="93">
        <v>304.27999999999997</v>
      </c>
      <c r="HJ62" s="93">
        <v>303.31</v>
      </c>
      <c r="HK62" s="93">
        <v>302.33999999999997</v>
      </c>
      <c r="HL62" s="93">
        <v>301.38</v>
      </c>
      <c r="HM62" s="93">
        <v>300.42</v>
      </c>
      <c r="HN62" s="93">
        <v>299.45999999999998</v>
      </c>
      <c r="HO62" s="93">
        <v>298.5</v>
      </c>
      <c r="HP62" s="93">
        <v>297.54000000000002</v>
      </c>
      <c r="HQ62" s="93">
        <v>296.57</v>
      </c>
      <c r="HR62" s="93">
        <v>295.62</v>
      </c>
      <c r="HS62" s="93">
        <v>294.66000000000003</v>
      </c>
      <c r="HT62" s="93">
        <v>293.70999999999998</v>
      </c>
      <c r="HU62" s="93">
        <v>292.75</v>
      </c>
      <c r="HV62" s="93">
        <v>291.79000000000002</v>
      </c>
      <c r="HW62" s="93">
        <v>290.83999999999997</v>
      </c>
      <c r="HX62" s="93">
        <v>289.89</v>
      </c>
      <c r="HY62" s="93">
        <v>288.94</v>
      </c>
      <c r="HZ62" s="93">
        <v>287.99</v>
      </c>
      <c r="IA62" s="93">
        <v>287.04000000000002</v>
      </c>
      <c r="IB62" s="93">
        <v>286.08999999999997</v>
      </c>
      <c r="IC62" s="93">
        <v>285.14</v>
      </c>
      <c r="ID62" s="93">
        <v>284.19</v>
      </c>
      <c r="IE62" s="93">
        <v>283.24</v>
      </c>
      <c r="IF62" s="93">
        <v>282.29000000000002</v>
      </c>
      <c r="IG62" s="93">
        <v>281.35000000000002</v>
      </c>
      <c r="IH62" s="93">
        <v>280.39999999999998</v>
      </c>
      <c r="II62" s="93">
        <v>279.45</v>
      </c>
      <c r="IJ62" s="93">
        <v>278.51</v>
      </c>
      <c r="IK62" s="93">
        <v>277.57</v>
      </c>
      <c r="IL62" s="93">
        <v>276.63</v>
      </c>
      <c r="IM62" s="93">
        <v>275.69</v>
      </c>
      <c r="IN62" s="93">
        <v>274.75</v>
      </c>
      <c r="IO62" s="93">
        <v>273.81</v>
      </c>
      <c r="IP62" s="93">
        <v>272.87</v>
      </c>
      <c r="IQ62" s="93">
        <v>271.93</v>
      </c>
      <c r="IR62" s="93">
        <v>270.99</v>
      </c>
      <c r="IS62" s="93">
        <v>270.06</v>
      </c>
      <c r="IT62" s="93">
        <v>269.12</v>
      </c>
      <c r="IU62" s="93">
        <v>268.19</v>
      </c>
      <c r="IV62" s="93">
        <v>267.26</v>
      </c>
      <c r="IW62" s="93">
        <v>266.33999999999997</v>
      </c>
      <c r="IX62" s="93">
        <v>265.42</v>
      </c>
      <c r="IY62" s="93">
        <v>264.5</v>
      </c>
      <c r="IZ62" s="93">
        <v>263.57</v>
      </c>
      <c r="JA62" s="93">
        <v>262.65999999999997</v>
      </c>
      <c r="JB62" s="93">
        <v>261.74</v>
      </c>
      <c r="JC62" s="93">
        <v>260.82</v>
      </c>
      <c r="JD62" s="93">
        <v>259.89999999999998</v>
      </c>
      <c r="JE62" s="93">
        <v>258.99</v>
      </c>
      <c r="JF62" s="93">
        <v>258.07</v>
      </c>
      <c r="JG62" s="93">
        <v>257.14999999999998</v>
      </c>
      <c r="JH62" s="93">
        <v>256.24</v>
      </c>
      <c r="JI62" s="93">
        <v>255.33</v>
      </c>
      <c r="JJ62" s="93">
        <v>254.42</v>
      </c>
      <c r="JK62" s="93">
        <v>253.51</v>
      </c>
      <c r="JL62" s="93">
        <v>252.6</v>
      </c>
      <c r="JM62" s="93">
        <v>251.69</v>
      </c>
      <c r="JN62" s="93">
        <v>250.78</v>
      </c>
      <c r="JO62" s="93">
        <v>249.87</v>
      </c>
      <c r="JP62" s="93">
        <v>248.96</v>
      </c>
      <c r="JQ62" s="93">
        <v>248.06</v>
      </c>
      <c r="JR62" s="93">
        <v>247.15</v>
      </c>
      <c r="JS62" s="93">
        <v>246.25</v>
      </c>
      <c r="JT62" s="93">
        <v>245.34</v>
      </c>
      <c r="JU62" s="93">
        <v>244.43</v>
      </c>
      <c r="JV62" s="93">
        <v>243.52</v>
      </c>
      <c r="JW62" s="93">
        <v>242.61</v>
      </c>
      <c r="JX62" s="93">
        <v>241.7</v>
      </c>
      <c r="JY62" s="93">
        <v>240.79</v>
      </c>
      <c r="JZ62" s="93">
        <v>239.88</v>
      </c>
      <c r="KA62" s="93">
        <v>238.97</v>
      </c>
      <c r="KB62" s="93">
        <v>238.07</v>
      </c>
      <c r="KC62" s="93">
        <v>237.16</v>
      </c>
      <c r="KD62" s="93">
        <v>236.26</v>
      </c>
      <c r="KE62" s="93">
        <v>235.35</v>
      </c>
      <c r="KF62" s="93">
        <v>234.45</v>
      </c>
      <c r="KG62" s="93">
        <v>233.55</v>
      </c>
      <c r="KH62" s="93">
        <v>232.65</v>
      </c>
      <c r="KI62" s="93">
        <v>231.75</v>
      </c>
      <c r="KJ62" s="93">
        <v>230.85</v>
      </c>
      <c r="KK62" s="93">
        <v>229.95</v>
      </c>
      <c r="KL62" s="93">
        <v>229.05</v>
      </c>
      <c r="KM62" s="93">
        <v>228.16</v>
      </c>
      <c r="KN62" s="93">
        <v>227.26</v>
      </c>
      <c r="KO62" s="93">
        <v>226.37</v>
      </c>
      <c r="KP62" s="93">
        <v>225.47</v>
      </c>
      <c r="KQ62" s="93">
        <v>224.58</v>
      </c>
      <c r="KR62" s="98">
        <f t="shared" si="37"/>
        <v>226.52</v>
      </c>
      <c r="KS62" s="98">
        <f t="shared" si="38"/>
        <v>225.73</v>
      </c>
      <c r="KT62" s="98">
        <f t="shared" si="37"/>
        <v>224.91</v>
      </c>
      <c r="KU62" s="98">
        <f t="shared" si="37"/>
        <v>224.12</v>
      </c>
      <c r="KV62" s="98">
        <f t="shared" si="37"/>
        <v>223.34</v>
      </c>
      <c r="KW62" s="98">
        <f t="shared" si="37"/>
        <v>222.55</v>
      </c>
      <c r="KX62" s="98">
        <f t="shared" si="37"/>
        <v>221.76</v>
      </c>
      <c r="KY62" s="98">
        <f t="shared" si="37"/>
        <v>220.98</v>
      </c>
      <c r="KZ62" s="98">
        <f t="shared" si="37"/>
        <v>220.19</v>
      </c>
      <c r="LA62" s="98">
        <f t="shared" si="37"/>
        <v>219.41</v>
      </c>
      <c r="LB62" s="98">
        <f t="shared" si="37"/>
        <v>218.63</v>
      </c>
      <c r="LC62" s="98">
        <f t="shared" si="37"/>
        <v>217.85</v>
      </c>
      <c r="LD62" s="98">
        <f t="shared" si="37"/>
        <v>217.07</v>
      </c>
      <c r="LE62" s="98">
        <f t="shared" si="37"/>
        <v>216.29</v>
      </c>
      <c r="LF62" s="98">
        <f t="shared" si="37"/>
        <v>215.52</v>
      </c>
      <c r="LG62" s="98">
        <f t="shared" si="37"/>
        <v>214.75</v>
      </c>
      <c r="LH62" s="98">
        <f t="shared" si="37"/>
        <v>213.97</v>
      </c>
      <c r="LI62" s="98">
        <f t="shared" si="37"/>
        <v>213.2</v>
      </c>
      <c r="LJ62" s="98">
        <f t="shared" si="37"/>
        <v>212.43</v>
      </c>
      <c r="LK62" s="98">
        <f t="shared" si="37"/>
        <v>211.66</v>
      </c>
      <c r="LL62" s="98">
        <f t="shared" si="37"/>
        <v>210.89</v>
      </c>
      <c r="LM62" s="98">
        <f t="shared" si="37"/>
        <v>210.13</v>
      </c>
      <c r="LN62" s="98">
        <f t="shared" si="36"/>
        <v>209.36</v>
      </c>
      <c r="LO62" s="98">
        <f t="shared" si="36"/>
        <v>208.6</v>
      </c>
      <c r="LP62" s="98">
        <f t="shared" si="36"/>
        <v>207.84</v>
      </c>
      <c r="LQ62" s="98">
        <f t="shared" si="36"/>
        <v>207.08</v>
      </c>
      <c r="LR62" s="98">
        <f t="shared" si="36"/>
        <v>206.32</v>
      </c>
      <c r="LS62" s="98">
        <f t="shared" si="36"/>
        <v>205.56</v>
      </c>
      <c r="LT62" s="98">
        <f t="shared" si="36"/>
        <v>204.81</v>
      </c>
      <c r="LU62" s="98">
        <f t="shared" si="36"/>
        <v>204.06</v>
      </c>
      <c r="LV62" s="98">
        <f t="shared" si="36"/>
        <v>203.3</v>
      </c>
      <c r="LW62" s="98">
        <f t="shared" si="36"/>
        <v>202.55</v>
      </c>
      <c r="LX62" s="98">
        <f t="shared" si="36"/>
        <v>201.8</v>
      </c>
      <c r="LY62" s="98">
        <f t="shared" si="36"/>
        <v>201.05</v>
      </c>
      <c r="LZ62" s="98">
        <f t="shared" si="36"/>
        <v>200.31</v>
      </c>
      <c r="MA62" s="98">
        <f t="shared" si="36"/>
        <v>199.56</v>
      </c>
      <c r="MB62" s="98">
        <f t="shared" si="36"/>
        <v>198.82</v>
      </c>
      <c r="MC62" s="98">
        <f t="shared" si="36"/>
        <v>198.08</v>
      </c>
      <c r="MD62" s="100">
        <f t="shared" si="36"/>
        <v>197.34</v>
      </c>
      <c r="ME62" s="101">
        <f t="shared" si="36"/>
        <v>196.61</v>
      </c>
      <c r="MF62" s="101">
        <f t="shared" si="36"/>
        <v>195.87</v>
      </c>
      <c r="MG62" s="101">
        <f t="shared" si="36"/>
        <v>195.14</v>
      </c>
      <c r="MH62" s="101">
        <f t="shared" si="36"/>
        <v>194.4</v>
      </c>
      <c r="MI62" s="101">
        <f t="shared" si="36"/>
        <v>193.67</v>
      </c>
      <c r="MJ62" s="101">
        <f t="shared" si="36"/>
        <v>192.94</v>
      </c>
      <c r="MK62" s="101">
        <f t="shared" si="36"/>
        <v>192.21</v>
      </c>
      <c r="ML62" s="101">
        <f t="shared" si="36"/>
        <v>191.49</v>
      </c>
      <c r="MM62" s="101">
        <f t="shared" si="36"/>
        <v>190.76</v>
      </c>
      <c r="MN62" s="101">
        <f t="shared" si="36"/>
        <v>190.04</v>
      </c>
      <c r="MO62" s="101">
        <f t="shared" si="36"/>
        <v>189.32</v>
      </c>
      <c r="MP62" s="101">
        <f t="shared" si="36"/>
        <v>188.6</v>
      </c>
      <c r="MQ62" s="101">
        <f t="shared" si="36"/>
        <v>187.89</v>
      </c>
      <c r="MR62" s="101">
        <f t="shared" si="36"/>
        <v>187.17</v>
      </c>
      <c r="MS62" s="101">
        <f t="shared" si="36"/>
        <v>186.46</v>
      </c>
      <c r="MT62" s="101">
        <f t="shared" si="36"/>
        <v>185.74</v>
      </c>
      <c r="MU62" s="101">
        <f t="shared" si="36"/>
        <v>185.03</v>
      </c>
      <c r="MV62" s="101">
        <f t="shared" si="36"/>
        <v>184.32</v>
      </c>
      <c r="MW62" s="101">
        <f t="shared" si="36"/>
        <v>183.62</v>
      </c>
      <c r="MX62" s="101">
        <f t="shared" si="36"/>
        <v>182.91</v>
      </c>
      <c r="MY62" s="101">
        <f t="shared" si="36"/>
        <v>182.21</v>
      </c>
    </row>
    <row r="63" spans="1:363" ht="15.75" x14ac:dyDescent="0.25">
      <c r="A63" s="90" t="s">
        <v>6</v>
      </c>
      <c r="B63" s="95">
        <v>2073</v>
      </c>
      <c r="C63" s="93">
        <v>523.39</v>
      </c>
      <c r="D63" s="93">
        <v>522.57000000000005</v>
      </c>
      <c r="E63" s="93">
        <v>521.54</v>
      </c>
      <c r="F63" s="93">
        <v>520.5</v>
      </c>
      <c r="G63" s="93">
        <v>519.47</v>
      </c>
      <c r="H63" s="93">
        <v>518.43000000000006</v>
      </c>
      <c r="I63" s="93">
        <v>517.4</v>
      </c>
      <c r="J63" s="93">
        <v>516.36</v>
      </c>
      <c r="K63" s="93">
        <v>515.32999999999993</v>
      </c>
      <c r="L63" s="93">
        <v>514.29</v>
      </c>
      <c r="M63" s="93">
        <v>513.26</v>
      </c>
      <c r="N63" s="93">
        <v>512.22</v>
      </c>
      <c r="O63" s="93">
        <v>511.19</v>
      </c>
      <c r="P63" s="93">
        <v>510.15</v>
      </c>
      <c r="Q63" s="93">
        <v>509.12</v>
      </c>
      <c r="R63" s="93">
        <v>508.08</v>
      </c>
      <c r="S63" s="93">
        <v>507.05</v>
      </c>
      <c r="T63" s="93">
        <v>506.01</v>
      </c>
      <c r="U63" s="93">
        <v>504.98</v>
      </c>
      <c r="V63" s="93">
        <v>503.94</v>
      </c>
      <c r="W63" s="93">
        <v>502.91</v>
      </c>
      <c r="X63" s="93">
        <v>501.87</v>
      </c>
      <c r="Y63" s="93">
        <v>500.84</v>
      </c>
      <c r="Z63" s="93">
        <v>499.8</v>
      </c>
      <c r="AA63" s="93">
        <v>498.77</v>
      </c>
      <c r="AB63" s="93">
        <v>497.73</v>
      </c>
      <c r="AC63" s="93">
        <v>496.7</v>
      </c>
      <c r="AD63" s="93">
        <v>495.66</v>
      </c>
      <c r="AE63" s="93">
        <v>494.62</v>
      </c>
      <c r="AF63" s="93">
        <v>493.59</v>
      </c>
      <c r="AG63" s="93">
        <v>492.55</v>
      </c>
      <c r="AH63" s="93">
        <v>491.52</v>
      </c>
      <c r="AI63" s="93">
        <v>490.48</v>
      </c>
      <c r="AJ63" s="93">
        <v>489.44</v>
      </c>
      <c r="AK63" s="93">
        <v>488.41</v>
      </c>
      <c r="AL63" s="93">
        <v>487.37</v>
      </c>
      <c r="AM63" s="93">
        <v>486.34</v>
      </c>
      <c r="AN63" s="93">
        <v>485.3</v>
      </c>
      <c r="AO63" s="93">
        <v>484.26</v>
      </c>
      <c r="AP63" s="93">
        <v>483.23</v>
      </c>
      <c r="AQ63" s="93">
        <v>482.19</v>
      </c>
      <c r="AR63" s="93">
        <v>481.15</v>
      </c>
      <c r="AS63" s="93">
        <v>480.12</v>
      </c>
      <c r="AT63" s="93">
        <v>479.08</v>
      </c>
      <c r="AU63" s="93">
        <v>478.04</v>
      </c>
      <c r="AV63" s="93">
        <v>477.01</v>
      </c>
      <c r="AW63" s="93">
        <v>475.97</v>
      </c>
      <c r="AX63" s="93">
        <v>474.94</v>
      </c>
      <c r="AY63" s="93">
        <v>473.9</v>
      </c>
      <c r="AZ63" s="93">
        <v>472.86</v>
      </c>
      <c r="BA63" s="93">
        <v>471.83</v>
      </c>
      <c r="BB63" s="93">
        <v>470.79</v>
      </c>
      <c r="BC63" s="93">
        <v>469.75</v>
      </c>
      <c r="BD63" s="93">
        <v>468.71</v>
      </c>
      <c r="BE63" s="93">
        <v>467.68</v>
      </c>
      <c r="BF63" s="93">
        <v>466.64</v>
      </c>
      <c r="BG63" s="93">
        <v>465.6</v>
      </c>
      <c r="BH63" s="93">
        <v>464.57</v>
      </c>
      <c r="BI63" s="93">
        <v>463.53</v>
      </c>
      <c r="BJ63" s="93">
        <v>462.49</v>
      </c>
      <c r="BK63" s="93">
        <v>461.46</v>
      </c>
      <c r="BL63" s="93">
        <v>460.42</v>
      </c>
      <c r="BM63" s="93">
        <v>459.38</v>
      </c>
      <c r="BN63" s="93">
        <v>458.34</v>
      </c>
      <c r="BO63" s="93">
        <v>457.3</v>
      </c>
      <c r="BP63" s="93">
        <v>456.27</v>
      </c>
      <c r="BQ63" s="93">
        <v>455.23</v>
      </c>
      <c r="BR63" s="93">
        <v>454.19</v>
      </c>
      <c r="BS63" s="93">
        <v>453.15</v>
      </c>
      <c r="BT63" s="93">
        <v>452.12</v>
      </c>
      <c r="BU63" s="93">
        <v>451.08</v>
      </c>
      <c r="BV63" s="93">
        <v>450.04</v>
      </c>
      <c r="BW63" s="93">
        <v>449</v>
      </c>
      <c r="BX63" s="93">
        <v>447.97</v>
      </c>
      <c r="BY63" s="93">
        <v>446.93</v>
      </c>
      <c r="BZ63" s="93">
        <v>445.89</v>
      </c>
      <c r="CA63" s="93">
        <v>444.86</v>
      </c>
      <c r="CB63" s="93">
        <v>443.82</v>
      </c>
      <c r="CC63" s="93">
        <v>442.78</v>
      </c>
      <c r="CD63" s="93">
        <v>441.75</v>
      </c>
      <c r="CE63" s="93">
        <v>440.71</v>
      </c>
      <c r="CF63" s="93">
        <v>439.68</v>
      </c>
      <c r="CG63" s="93">
        <v>438.64</v>
      </c>
      <c r="CH63" s="93">
        <v>437.6</v>
      </c>
      <c r="CI63" s="93">
        <v>436.57</v>
      </c>
      <c r="CJ63" s="93">
        <v>435.53</v>
      </c>
      <c r="CK63" s="93">
        <v>434.49</v>
      </c>
      <c r="CL63" s="93">
        <v>433.46</v>
      </c>
      <c r="CM63" s="93">
        <v>432.42</v>
      </c>
      <c r="CN63" s="93">
        <v>431.38</v>
      </c>
      <c r="CO63" s="93">
        <v>430.35</v>
      </c>
      <c r="CP63" s="93">
        <v>429.31</v>
      </c>
      <c r="CQ63" s="93">
        <v>428.27</v>
      </c>
      <c r="CR63" s="93">
        <v>427.24</v>
      </c>
      <c r="CS63" s="93">
        <v>426.2</v>
      </c>
      <c r="CT63" s="93">
        <v>425.16</v>
      </c>
      <c r="CU63" s="93">
        <v>424.13</v>
      </c>
      <c r="CV63" s="93">
        <v>423.09</v>
      </c>
      <c r="CW63" s="93">
        <v>422.06</v>
      </c>
      <c r="CX63" s="93">
        <v>421.02</v>
      </c>
      <c r="CY63" s="93">
        <v>419.99</v>
      </c>
      <c r="CZ63" s="93">
        <v>418.95</v>
      </c>
      <c r="DA63" s="93">
        <v>417.92</v>
      </c>
      <c r="DB63" s="93">
        <v>416.88</v>
      </c>
      <c r="DC63" s="93">
        <v>415.85</v>
      </c>
      <c r="DD63" s="93">
        <v>414.81</v>
      </c>
      <c r="DE63" s="93">
        <v>413.78</v>
      </c>
      <c r="DF63" s="93">
        <v>412.74</v>
      </c>
      <c r="DG63" s="93">
        <v>411.71</v>
      </c>
      <c r="DH63" s="93">
        <v>410.68</v>
      </c>
      <c r="DI63" s="93">
        <v>409.64</v>
      </c>
      <c r="DJ63" s="93">
        <v>408.61</v>
      </c>
      <c r="DK63" s="93">
        <v>407.58</v>
      </c>
      <c r="DL63" s="93">
        <v>406.54</v>
      </c>
      <c r="DM63" s="93">
        <v>405.51</v>
      </c>
      <c r="DN63" s="93">
        <v>404.48</v>
      </c>
      <c r="DO63" s="93">
        <v>403.44</v>
      </c>
      <c r="DP63" s="93">
        <v>402.41</v>
      </c>
      <c r="DQ63" s="93">
        <v>401.38</v>
      </c>
      <c r="DR63" s="93">
        <v>400.35</v>
      </c>
      <c r="DS63" s="93">
        <v>399.31</v>
      </c>
      <c r="DT63" s="93">
        <v>398.28</v>
      </c>
      <c r="DU63" s="93">
        <v>397.26</v>
      </c>
      <c r="DV63" s="93">
        <v>396.23</v>
      </c>
      <c r="DW63" s="93">
        <v>395.2</v>
      </c>
      <c r="DX63" s="93">
        <v>394.17</v>
      </c>
      <c r="DY63" s="93">
        <v>393.14</v>
      </c>
      <c r="DZ63" s="93">
        <v>392.12</v>
      </c>
      <c r="EA63" s="93">
        <v>391.09</v>
      </c>
      <c r="EB63" s="93">
        <v>390.06</v>
      </c>
      <c r="EC63" s="93">
        <v>389.03</v>
      </c>
      <c r="ED63" s="93">
        <v>388.01</v>
      </c>
      <c r="EE63" s="93">
        <v>386.98</v>
      </c>
      <c r="EF63" s="93">
        <v>385.96</v>
      </c>
      <c r="EG63" s="93">
        <v>384.94</v>
      </c>
      <c r="EH63" s="93">
        <v>383.92</v>
      </c>
      <c r="EI63" s="93">
        <v>382.9</v>
      </c>
      <c r="EJ63" s="93">
        <v>381.87</v>
      </c>
      <c r="EK63" s="93">
        <v>380.85</v>
      </c>
      <c r="EL63" s="93">
        <v>379.83</v>
      </c>
      <c r="EM63" s="93">
        <v>378.81</v>
      </c>
      <c r="EN63" s="93">
        <v>377.79</v>
      </c>
      <c r="EO63" s="93">
        <v>376.77</v>
      </c>
      <c r="EP63" s="93">
        <v>375.75</v>
      </c>
      <c r="EQ63" s="93">
        <v>374.74</v>
      </c>
      <c r="ER63" s="93">
        <v>373.72</v>
      </c>
      <c r="ES63" s="93">
        <v>372.71</v>
      </c>
      <c r="ET63" s="93">
        <v>371.69</v>
      </c>
      <c r="EU63" s="93">
        <v>370.68</v>
      </c>
      <c r="EV63" s="93">
        <v>369.66</v>
      </c>
      <c r="EW63" s="93">
        <v>368.65</v>
      </c>
      <c r="EX63" s="93">
        <v>367.63</v>
      </c>
      <c r="EY63" s="93">
        <v>366.62</v>
      </c>
      <c r="EZ63" s="93">
        <v>365.61</v>
      </c>
      <c r="FA63" s="93">
        <v>364.59</v>
      </c>
      <c r="FB63" s="93">
        <v>363.58</v>
      </c>
      <c r="FC63" s="93">
        <v>362.57</v>
      </c>
      <c r="FD63" s="93">
        <v>361.56</v>
      </c>
      <c r="FE63" s="93">
        <v>360.55</v>
      </c>
      <c r="FF63" s="93">
        <v>359.55</v>
      </c>
      <c r="FG63" s="93">
        <v>358.54</v>
      </c>
      <c r="FH63" s="93">
        <v>357.53</v>
      </c>
      <c r="FI63" s="93">
        <v>356.53</v>
      </c>
      <c r="FJ63" s="93">
        <v>355.52</v>
      </c>
      <c r="FK63" s="93">
        <v>354.52</v>
      </c>
      <c r="FL63" s="93">
        <v>353.51</v>
      </c>
      <c r="FM63" s="93">
        <v>352.51</v>
      </c>
      <c r="FN63" s="93">
        <v>351.5</v>
      </c>
      <c r="FO63" s="93">
        <v>350.5</v>
      </c>
      <c r="FP63" s="93">
        <v>349.5</v>
      </c>
      <c r="FQ63" s="93">
        <v>348.49</v>
      </c>
      <c r="FR63" s="93">
        <v>347.49</v>
      </c>
      <c r="FS63" s="93">
        <v>346.49</v>
      </c>
      <c r="FT63" s="93">
        <v>345.49</v>
      </c>
      <c r="FU63" s="93">
        <v>344.49</v>
      </c>
      <c r="FV63" s="93">
        <v>343.49</v>
      </c>
      <c r="FW63" s="93">
        <v>342.49</v>
      </c>
      <c r="FX63" s="93">
        <v>341.49</v>
      </c>
      <c r="FY63" s="93">
        <v>340.49</v>
      </c>
      <c r="FZ63" s="93">
        <v>339.49</v>
      </c>
      <c r="GA63" s="93">
        <v>338.49</v>
      </c>
      <c r="GB63" s="93">
        <v>337.5</v>
      </c>
      <c r="GC63" s="93">
        <v>336.5</v>
      </c>
      <c r="GD63" s="93">
        <v>335.51</v>
      </c>
      <c r="GE63" s="93">
        <v>334.51</v>
      </c>
      <c r="GF63" s="93">
        <v>333.51</v>
      </c>
      <c r="GG63" s="93">
        <v>332.51</v>
      </c>
      <c r="GH63" s="93">
        <v>331.53</v>
      </c>
      <c r="GI63" s="93">
        <v>330.53</v>
      </c>
      <c r="GJ63" s="93">
        <v>329.54</v>
      </c>
      <c r="GK63" s="93">
        <v>328.54</v>
      </c>
      <c r="GL63" s="93">
        <v>327.56</v>
      </c>
      <c r="GM63" s="93">
        <v>326.57</v>
      </c>
      <c r="GN63" s="93">
        <v>325.57</v>
      </c>
      <c r="GO63" s="93">
        <v>324.58999999999997</v>
      </c>
      <c r="GP63" s="93">
        <v>323.60000000000002</v>
      </c>
      <c r="GQ63" s="93">
        <v>322.63</v>
      </c>
      <c r="GR63" s="93">
        <v>321.64</v>
      </c>
      <c r="GS63" s="93">
        <v>320.66000000000003</v>
      </c>
      <c r="GT63" s="93">
        <v>319.68</v>
      </c>
      <c r="GU63" s="93">
        <v>318.7</v>
      </c>
      <c r="GV63" s="93">
        <v>317.72000000000003</v>
      </c>
      <c r="GW63" s="93">
        <v>316.74</v>
      </c>
      <c r="GX63" s="93">
        <v>315.76</v>
      </c>
      <c r="GY63" s="93">
        <v>314.77999999999997</v>
      </c>
      <c r="GZ63" s="93">
        <v>313.79000000000002</v>
      </c>
      <c r="HA63" s="93">
        <v>312.82</v>
      </c>
      <c r="HB63" s="93">
        <v>311.85000000000002</v>
      </c>
      <c r="HC63" s="93">
        <v>310.87</v>
      </c>
      <c r="HD63" s="93">
        <v>309.89999999999998</v>
      </c>
      <c r="HE63" s="93">
        <v>308.92</v>
      </c>
      <c r="HF63" s="93">
        <v>307.95</v>
      </c>
      <c r="HG63" s="93">
        <v>306.98</v>
      </c>
      <c r="HH63" s="93">
        <v>306</v>
      </c>
      <c r="HI63" s="93">
        <v>305.02999999999997</v>
      </c>
      <c r="HJ63" s="93">
        <v>304.06</v>
      </c>
      <c r="HK63" s="93">
        <v>303.08999999999997</v>
      </c>
      <c r="HL63" s="93">
        <v>302.13</v>
      </c>
      <c r="HM63" s="93">
        <v>301.17</v>
      </c>
      <c r="HN63" s="93">
        <v>300.20999999999998</v>
      </c>
      <c r="HO63" s="93">
        <v>299.25</v>
      </c>
      <c r="HP63" s="93">
        <v>298.29000000000002</v>
      </c>
      <c r="HQ63" s="93">
        <v>297.32</v>
      </c>
      <c r="HR63" s="93">
        <v>296.37</v>
      </c>
      <c r="HS63" s="93">
        <v>295.41000000000003</v>
      </c>
      <c r="HT63" s="93">
        <v>294.45999999999998</v>
      </c>
      <c r="HU63" s="93">
        <v>293.5</v>
      </c>
      <c r="HV63" s="93">
        <v>292.54000000000002</v>
      </c>
      <c r="HW63" s="93">
        <v>291.58999999999997</v>
      </c>
      <c r="HX63" s="93">
        <v>290.64</v>
      </c>
      <c r="HY63" s="93">
        <v>289.69</v>
      </c>
      <c r="HZ63" s="93">
        <v>288.74</v>
      </c>
      <c r="IA63" s="93">
        <v>287.79000000000002</v>
      </c>
      <c r="IB63" s="93">
        <v>286.83999999999997</v>
      </c>
      <c r="IC63" s="93">
        <v>285.89</v>
      </c>
      <c r="ID63" s="93">
        <v>284.94</v>
      </c>
      <c r="IE63" s="93">
        <v>283.99</v>
      </c>
      <c r="IF63" s="93">
        <v>283.04000000000002</v>
      </c>
      <c r="IG63" s="93">
        <v>282.10000000000002</v>
      </c>
      <c r="IH63" s="93">
        <v>281.14999999999998</v>
      </c>
      <c r="II63" s="93">
        <v>280.2</v>
      </c>
      <c r="IJ63" s="93">
        <v>279.26</v>
      </c>
      <c r="IK63" s="93">
        <v>278.32</v>
      </c>
      <c r="IL63" s="93">
        <v>277.38</v>
      </c>
      <c r="IM63" s="93">
        <v>276.44</v>
      </c>
      <c r="IN63" s="93">
        <v>275.5</v>
      </c>
      <c r="IO63" s="93">
        <v>274.56</v>
      </c>
      <c r="IP63" s="93">
        <v>273.62</v>
      </c>
      <c r="IQ63" s="93">
        <v>272.68</v>
      </c>
      <c r="IR63" s="93">
        <v>271.74</v>
      </c>
      <c r="IS63" s="93">
        <v>270.81</v>
      </c>
      <c r="IT63" s="93">
        <v>269.87</v>
      </c>
      <c r="IU63" s="93">
        <v>268.94</v>
      </c>
      <c r="IV63" s="93">
        <v>268.01</v>
      </c>
      <c r="IW63" s="93">
        <v>267.08999999999997</v>
      </c>
      <c r="IX63" s="93">
        <v>266.17</v>
      </c>
      <c r="IY63" s="93">
        <v>265.25</v>
      </c>
      <c r="IZ63" s="93">
        <v>264.32</v>
      </c>
      <c r="JA63" s="93">
        <v>263.40999999999997</v>
      </c>
      <c r="JB63" s="93">
        <v>262.49</v>
      </c>
      <c r="JC63" s="93">
        <v>261.57</v>
      </c>
      <c r="JD63" s="93">
        <v>260.64999999999998</v>
      </c>
      <c r="JE63" s="93">
        <v>259.74</v>
      </c>
      <c r="JF63" s="93">
        <v>258.82</v>
      </c>
      <c r="JG63" s="93">
        <v>257.89999999999998</v>
      </c>
      <c r="JH63" s="93">
        <v>256.99</v>
      </c>
      <c r="JI63" s="93">
        <v>256.08000000000004</v>
      </c>
      <c r="JJ63" s="93">
        <v>255.17</v>
      </c>
      <c r="JK63" s="93">
        <v>254.26</v>
      </c>
      <c r="JL63" s="93">
        <v>253.35</v>
      </c>
      <c r="JM63" s="93">
        <v>252.44</v>
      </c>
      <c r="JN63" s="93">
        <v>251.53</v>
      </c>
      <c r="JO63" s="93">
        <v>250.62</v>
      </c>
      <c r="JP63" s="93">
        <v>249.71</v>
      </c>
      <c r="JQ63" s="93">
        <v>248.81</v>
      </c>
      <c r="JR63" s="93">
        <v>247.9</v>
      </c>
      <c r="JS63" s="93">
        <v>247</v>
      </c>
      <c r="JT63" s="93">
        <v>246.09</v>
      </c>
      <c r="JU63" s="93">
        <v>245.18</v>
      </c>
      <c r="JV63" s="93">
        <v>244.27</v>
      </c>
      <c r="JW63" s="93">
        <v>243.36</v>
      </c>
      <c r="JX63" s="93">
        <v>242.45</v>
      </c>
      <c r="JY63" s="93">
        <v>241.54</v>
      </c>
      <c r="JZ63" s="93">
        <v>240.63</v>
      </c>
      <c r="KA63" s="93">
        <v>239.72</v>
      </c>
      <c r="KB63" s="93">
        <v>238.82</v>
      </c>
      <c r="KC63" s="93">
        <v>237.91</v>
      </c>
      <c r="KD63" s="93">
        <v>237.01</v>
      </c>
      <c r="KE63" s="93">
        <v>236.1</v>
      </c>
      <c r="KF63" s="93">
        <v>235.2</v>
      </c>
      <c r="KG63" s="93">
        <v>234.3</v>
      </c>
      <c r="KH63" s="93">
        <v>233.4</v>
      </c>
      <c r="KI63" s="93">
        <v>232.5</v>
      </c>
      <c r="KJ63" s="93">
        <v>231.6</v>
      </c>
      <c r="KK63" s="93">
        <v>230.7</v>
      </c>
      <c r="KL63" s="93">
        <v>229.8</v>
      </c>
      <c r="KM63" s="93">
        <v>228.91</v>
      </c>
      <c r="KN63" s="93">
        <v>228.01</v>
      </c>
      <c r="KO63" s="93">
        <v>227.12</v>
      </c>
      <c r="KP63" s="93">
        <v>226.22</v>
      </c>
      <c r="KQ63" s="93">
        <v>225.33</v>
      </c>
      <c r="KR63" s="98">
        <f t="shared" si="37"/>
        <v>227.27</v>
      </c>
      <c r="KS63" s="98">
        <f t="shared" si="38"/>
        <v>226.48</v>
      </c>
      <c r="KT63" s="98">
        <f t="shared" si="37"/>
        <v>225.66</v>
      </c>
      <c r="KU63" s="98">
        <f t="shared" si="37"/>
        <v>224.87</v>
      </c>
      <c r="KV63" s="98">
        <f t="shared" si="37"/>
        <v>224.09</v>
      </c>
      <c r="KW63" s="98">
        <f t="shared" si="37"/>
        <v>223.3</v>
      </c>
      <c r="KX63" s="98">
        <f t="shared" si="37"/>
        <v>222.51</v>
      </c>
      <c r="KY63" s="98">
        <f t="shared" si="37"/>
        <v>221.73</v>
      </c>
      <c r="KZ63" s="98">
        <f t="shared" si="37"/>
        <v>220.94</v>
      </c>
      <c r="LA63" s="98">
        <f t="shared" si="37"/>
        <v>220.16</v>
      </c>
      <c r="LB63" s="98">
        <f t="shared" si="37"/>
        <v>219.38</v>
      </c>
      <c r="LC63" s="98">
        <f t="shared" si="37"/>
        <v>218.6</v>
      </c>
      <c r="LD63" s="98">
        <f t="shared" si="37"/>
        <v>217.82</v>
      </c>
      <c r="LE63" s="98">
        <f t="shared" si="37"/>
        <v>217.04</v>
      </c>
      <c r="LF63" s="98">
        <f t="shared" si="37"/>
        <v>216.27</v>
      </c>
      <c r="LG63" s="98">
        <f t="shared" si="37"/>
        <v>215.5</v>
      </c>
      <c r="LH63" s="98">
        <f t="shared" si="37"/>
        <v>214.72</v>
      </c>
      <c r="LI63" s="98">
        <f t="shared" si="37"/>
        <v>213.95</v>
      </c>
      <c r="LJ63" s="98">
        <f t="shared" si="37"/>
        <v>213.18</v>
      </c>
      <c r="LK63" s="98">
        <f t="shared" si="37"/>
        <v>212.41</v>
      </c>
      <c r="LL63" s="98">
        <f t="shared" si="37"/>
        <v>211.64</v>
      </c>
      <c r="LM63" s="98">
        <f t="shared" si="37"/>
        <v>210.88</v>
      </c>
      <c r="LN63" s="98">
        <f t="shared" si="36"/>
        <v>210.11</v>
      </c>
      <c r="LO63" s="98">
        <f t="shared" si="36"/>
        <v>209.35</v>
      </c>
      <c r="LP63" s="98">
        <f t="shared" si="36"/>
        <v>208.59</v>
      </c>
      <c r="LQ63" s="98">
        <f t="shared" si="36"/>
        <v>207.83</v>
      </c>
      <c r="LR63" s="98">
        <f t="shared" si="36"/>
        <v>207.07</v>
      </c>
      <c r="LS63" s="98">
        <f t="shared" si="36"/>
        <v>206.31</v>
      </c>
      <c r="LT63" s="98">
        <f t="shared" si="36"/>
        <v>205.56</v>
      </c>
      <c r="LU63" s="98">
        <f t="shared" si="36"/>
        <v>204.81</v>
      </c>
      <c r="LV63" s="98">
        <f t="shared" si="36"/>
        <v>204.05</v>
      </c>
      <c r="LW63" s="98">
        <f t="shared" si="36"/>
        <v>203.3</v>
      </c>
      <c r="LX63" s="98">
        <f t="shared" si="36"/>
        <v>202.55</v>
      </c>
      <c r="LY63" s="98">
        <f t="shared" si="36"/>
        <v>201.8</v>
      </c>
      <c r="LZ63" s="98">
        <f t="shared" si="36"/>
        <v>201.06</v>
      </c>
      <c r="MA63" s="98">
        <f t="shared" si="36"/>
        <v>200.31</v>
      </c>
      <c r="MB63" s="98">
        <f t="shared" si="36"/>
        <v>199.57</v>
      </c>
      <c r="MC63" s="98">
        <f t="shared" ref="MC63:MY63" si="39">MC62+0.75</f>
        <v>198.83</v>
      </c>
      <c r="MD63" s="100">
        <f t="shared" si="39"/>
        <v>198.09</v>
      </c>
      <c r="ME63" s="101">
        <f t="shared" si="39"/>
        <v>197.36</v>
      </c>
      <c r="MF63" s="101">
        <f t="shared" si="39"/>
        <v>196.62</v>
      </c>
      <c r="MG63" s="101">
        <f t="shared" si="39"/>
        <v>195.89</v>
      </c>
      <c r="MH63" s="101">
        <f t="shared" si="39"/>
        <v>195.15</v>
      </c>
      <c r="MI63" s="101">
        <f t="shared" si="39"/>
        <v>194.42</v>
      </c>
      <c r="MJ63" s="101">
        <f t="shared" si="39"/>
        <v>193.69</v>
      </c>
      <c r="MK63" s="101">
        <f t="shared" si="39"/>
        <v>192.96</v>
      </c>
      <c r="ML63" s="101">
        <f t="shared" si="39"/>
        <v>192.24</v>
      </c>
      <c r="MM63" s="101">
        <f t="shared" si="39"/>
        <v>191.51</v>
      </c>
      <c r="MN63" s="101">
        <f t="shared" si="39"/>
        <v>190.79</v>
      </c>
      <c r="MO63" s="101">
        <f t="shared" si="39"/>
        <v>190.07</v>
      </c>
      <c r="MP63" s="101">
        <f t="shared" si="39"/>
        <v>189.35</v>
      </c>
      <c r="MQ63" s="101">
        <f t="shared" si="39"/>
        <v>188.64</v>
      </c>
      <c r="MR63" s="101">
        <f t="shared" si="39"/>
        <v>187.92</v>
      </c>
      <c r="MS63" s="101">
        <f t="shared" si="39"/>
        <v>187.21</v>
      </c>
      <c r="MT63" s="101">
        <f t="shared" si="39"/>
        <v>186.49</v>
      </c>
      <c r="MU63" s="101">
        <f t="shared" si="39"/>
        <v>185.78</v>
      </c>
      <c r="MV63" s="101">
        <f t="shared" si="39"/>
        <v>185.07</v>
      </c>
      <c r="MW63" s="101">
        <f t="shared" si="39"/>
        <v>184.37</v>
      </c>
      <c r="MX63" s="101">
        <f t="shared" si="39"/>
        <v>183.66</v>
      </c>
      <c r="MY63" s="101">
        <f t="shared" si="39"/>
        <v>182.96</v>
      </c>
    </row>
    <row r="64" spans="1:363" ht="15.75" x14ac:dyDescent="0.25">
      <c r="A64" s="90" t="s">
        <v>6</v>
      </c>
      <c r="B64" s="95">
        <v>2074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  <c r="IX64" s="96"/>
      <c r="IY64" s="96"/>
      <c r="IZ64" s="96"/>
      <c r="JA64" s="96"/>
      <c r="JB64" s="96"/>
      <c r="JC64" s="96"/>
      <c r="JD64" s="96"/>
      <c r="JE64" s="96"/>
      <c r="JF64" s="96"/>
      <c r="JG64" s="96"/>
      <c r="JH64" s="96"/>
      <c r="JI64" s="96"/>
      <c r="JJ64" s="96"/>
      <c r="JK64" s="96"/>
      <c r="JL64" s="96"/>
      <c r="JM64" s="96"/>
      <c r="JN64" s="96"/>
      <c r="JO64" s="96"/>
      <c r="JP64" s="96"/>
      <c r="JQ64" s="96"/>
      <c r="JR64" s="96"/>
      <c r="JS64" s="96"/>
      <c r="JT64" s="96"/>
      <c r="JU64" s="96"/>
      <c r="JV64" s="96"/>
      <c r="JW64" s="96"/>
      <c r="JX64" s="96"/>
      <c r="JY64" s="96"/>
      <c r="JZ64" s="96"/>
      <c r="KA64" s="96"/>
      <c r="KB64" s="96"/>
      <c r="KC64" s="96"/>
      <c r="KD64" s="96"/>
      <c r="KE64" s="96"/>
      <c r="KF64" s="96"/>
      <c r="KG64" s="96"/>
      <c r="KH64" s="96"/>
      <c r="KI64" s="96"/>
      <c r="KJ64" s="96"/>
      <c r="KK64" s="96"/>
      <c r="KL64" s="96"/>
      <c r="KM64" s="96"/>
      <c r="KN64" s="96"/>
      <c r="KO64" s="96"/>
      <c r="KP64" s="96"/>
      <c r="KQ64" s="96"/>
      <c r="KR64" s="96"/>
      <c r="KS64" s="96"/>
      <c r="KT64" s="96"/>
      <c r="KU64" s="96"/>
      <c r="KV64" s="96"/>
      <c r="KW64" s="96"/>
      <c r="KX64" s="96"/>
      <c r="KY64" s="96"/>
      <c r="KZ64" s="96"/>
      <c r="LA64" s="96"/>
      <c r="LB64" s="96"/>
      <c r="LC64" s="96"/>
    </row>
    <row r="65" spans="1:315" ht="15.75" x14ac:dyDescent="0.25">
      <c r="A65" s="90" t="s">
        <v>6</v>
      </c>
      <c r="B65" s="95">
        <v>2075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  <c r="IX65" s="96"/>
      <c r="IY65" s="96"/>
      <c r="IZ65" s="96"/>
      <c r="JA65" s="96"/>
      <c r="JB65" s="96"/>
      <c r="JC65" s="96"/>
      <c r="JD65" s="96"/>
      <c r="JE65" s="96"/>
      <c r="JF65" s="96"/>
      <c r="JG65" s="96"/>
      <c r="JH65" s="96"/>
      <c r="JI65" s="96"/>
      <c r="JJ65" s="96"/>
      <c r="JK65" s="96"/>
      <c r="JL65" s="96"/>
      <c r="JM65" s="96"/>
      <c r="JN65" s="96"/>
      <c r="JO65" s="96"/>
      <c r="JP65" s="96"/>
      <c r="JQ65" s="96"/>
      <c r="JR65" s="96"/>
      <c r="JS65" s="96"/>
      <c r="JT65" s="96"/>
      <c r="JU65" s="96"/>
      <c r="JV65" s="96"/>
      <c r="JW65" s="96"/>
      <c r="JX65" s="96"/>
      <c r="JY65" s="96"/>
      <c r="JZ65" s="96"/>
      <c r="KA65" s="96"/>
      <c r="KB65" s="96"/>
      <c r="KC65" s="96"/>
      <c r="KD65" s="96"/>
      <c r="KE65" s="96"/>
      <c r="KF65" s="96"/>
      <c r="KG65" s="96"/>
      <c r="KH65" s="96"/>
      <c r="KI65" s="96"/>
      <c r="KJ65" s="96"/>
      <c r="KK65" s="96"/>
      <c r="KL65" s="96"/>
      <c r="KM65" s="96"/>
      <c r="KN65" s="96"/>
      <c r="KO65" s="96"/>
      <c r="KP65" s="96"/>
      <c r="KQ65" s="96"/>
      <c r="KR65" s="96"/>
      <c r="KS65" s="96"/>
      <c r="KT65" s="96"/>
      <c r="KU65" s="96"/>
      <c r="KV65" s="96"/>
      <c r="KW65" s="96"/>
      <c r="KX65" s="96"/>
      <c r="KY65" s="96"/>
      <c r="KZ65" s="96"/>
      <c r="LA65" s="96"/>
      <c r="LB65" s="96"/>
      <c r="LC65" s="96"/>
    </row>
    <row r="66" spans="1:315" ht="15.75" x14ac:dyDescent="0.25">
      <c r="A66" s="90" t="s">
        <v>6</v>
      </c>
      <c r="B66" s="95">
        <v>2076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  <c r="IX66" s="96"/>
      <c r="IY66" s="96"/>
      <c r="IZ66" s="96"/>
      <c r="JA66" s="96"/>
      <c r="JB66" s="96"/>
      <c r="JC66" s="96"/>
      <c r="JD66" s="96"/>
      <c r="JE66" s="96"/>
      <c r="JF66" s="96"/>
      <c r="JG66" s="96"/>
      <c r="JH66" s="96"/>
      <c r="JI66" s="96"/>
      <c r="JJ66" s="96"/>
      <c r="JK66" s="96"/>
      <c r="JL66" s="96"/>
      <c r="JM66" s="96"/>
      <c r="JN66" s="96"/>
      <c r="JO66" s="96"/>
      <c r="JP66" s="96"/>
      <c r="JQ66" s="96"/>
      <c r="JR66" s="96"/>
      <c r="JS66" s="96"/>
      <c r="JT66" s="96"/>
      <c r="JU66" s="96"/>
      <c r="JV66" s="96"/>
      <c r="JW66" s="96"/>
      <c r="JX66" s="96"/>
      <c r="JY66" s="96"/>
      <c r="JZ66" s="96"/>
      <c r="KA66" s="96"/>
      <c r="KB66" s="96"/>
      <c r="KC66" s="96"/>
      <c r="KD66" s="96"/>
      <c r="KE66" s="96"/>
      <c r="KF66" s="96"/>
      <c r="KG66" s="96"/>
      <c r="KH66" s="96"/>
      <c r="KI66" s="96"/>
      <c r="KJ66" s="96"/>
      <c r="KK66" s="96"/>
      <c r="KL66" s="96"/>
      <c r="KM66" s="96"/>
      <c r="KN66" s="96"/>
      <c r="KO66" s="96"/>
      <c r="KP66" s="96"/>
      <c r="KQ66" s="96"/>
      <c r="KR66" s="96"/>
      <c r="KS66" s="96"/>
      <c r="KT66" s="96"/>
      <c r="KU66" s="96"/>
      <c r="KV66" s="96"/>
      <c r="KW66" s="96"/>
      <c r="KX66" s="96"/>
      <c r="KY66" s="96"/>
      <c r="KZ66" s="96"/>
      <c r="LA66" s="96"/>
      <c r="LB66" s="96"/>
      <c r="LC66" s="96"/>
    </row>
    <row r="67" spans="1:315" ht="15.75" x14ac:dyDescent="0.25">
      <c r="A67" s="90" t="s">
        <v>6</v>
      </c>
      <c r="B67" s="95">
        <v>2077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  <c r="IX67" s="96"/>
      <c r="IY67" s="96"/>
      <c r="IZ67" s="96"/>
      <c r="JA67" s="96"/>
      <c r="JB67" s="96"/>
      <c r="JC67" s="96"/>
      <c r="JD67" s="96"/>
      <c r="JE67" s="96"/>
      <c r="JF67" s="96"/>
      <c r="JG67" s="96"/>
      <c r="JH67" s="96"/>
      <c r="JI67" s="96"/>
      <c r="JJ67" s="96"/>
      <c r="JK67" s="96"/>
      <c r="JL67" s="96"/>
      <c r="JM67" s="96"/>
      <c r="JN67" s="96"/>
      <c r="JO67" s="96"/>
      <c r="JP67" s="96"/>
      <c r="JQ67" s="96"/>
      <c r="JR67" s="96"/>
      <c r="JS67" s="96"/>
      <c r="JT67" s="96"/>
      <c r="JU67" s="96"/>
      <c r="JV67" s="96"/>
      <c r="JW67" s="96"/>
      <c r="JX67" s="96"/>
      <c r="JY67" s="96"/>
      <c r="JZ67" s="96"/>
      <c r="KA67" s="96"/>
      <c r="KB67" s="96"/>
      <c r="KC67" s="96"/>
      <c r="KD67" s="96"/>
      <c r="KE67" s="96"/>
      <c r="KF67" s="96"/>
      <c r="KG67" s="96"/>
      <c r="KH67" s="96"/>
      <c r="KI67" s="96"/>
      <c r="KJ67" s="96"/>
      <c r="KK67" s="96"/>
      <c r="KL67" s="96"/>
      <c r="KM67" s="96"/>
      <c r="KN67" s="96"/>
      <c r="KO67" s="96"/>
      <c r="KP67" s="96"/>
      <c r="KQ67" s="96"/>
      <c r="KR67" s="96"/>
      <c r="KS67" s="96"/>
      <c r="KT67" s="96"/>
      <c r="KU67" s="96"/>
      <c r="KV67" s="96"/>
      <c r="KW67" s="96"/>
      <c r="KX67" s="96"/>
      <c r="KY67" s="96"/>
      <c r="KZ67" s="96"/>
      <c r="LA67" s="96"/>
      <c r="LB67" s="96"/>
      <c r="LC67" s="96"/>
    </row>
    <row r="68" spans="1:315" ht="15.75" x14ac:dyDescent="0.25">
      <c r="A68" s="90" t="s">
        <v>6</v>
      </c>
      <c r="B68" s="95">
        <v>2078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  <c r="IX68" s="96"/>
      <c r="IY68" s="96"/>
      <c r="IZ68" s="96"/>
      <c r="JA68" s="96"/>
      <c r="JB68" s="96"/>
      <c r="JC68" s="96"/>
      <c r="JD68" s="96"/>
      <c r="JE68" s="96"/>
      <c r="JF68" s="96"/>
      <c r="JG68" s="96"/>
      <c r="JH68" s="96"/>
      <c r="JI68" s="96"/>
      <c r="JJ68" s="96"/>
      <c r="JK68" s="96"/>
      <c r="JL68" s="96"/>
      <c r="JM68" s="96"/>
      <c r="JN68" s="96"/>
      <c r="JO68" s="96"/>
      <c r="JP68" s="96"/>
      <c r="JQ68" s="96"/>
      <c r="JR68" s="96"/>
      <c r="JS68" s="96"/>
      <c r="JT68" s="96"/>
      <c r="JU68" s="96"/>
      <c r="JV68" s="96"/>
      <c r="JW68" s="96"/>
      <c r="JX68" s="96"/>
      <c r="JY68" s="96"/>
      <c r="JZ68" s="96"/>
      <c r="KA68" s="96"/>
      <c r="KB68" s="96"/>
      <c r="KC68" s="96"/>
      <c r="KD68" s="96"/>
      <c r="KE68" s="96"/>
      <c r="KF68" s="96"/>
      <c r="KG68" s="96"/>
      <c r="KH68" s="96"/>
      <c r="KI68" s="96"/>
      <c r="KJ68" s="96"/>
      <c r="KK68" s="96"/>
      <c r="KL68" s="96"/>
      <c r="KM68" s="96"/>
      <c r="KN68" s="96"/>
      <c r="KO68" s="96"/>
      <c r="KP68" s="96"/>
      <c r="KQ68" s="96"/>
      <c r="KR68" s="96"/>
      <c r="KS68" s="96"/>
      <c r="KT68" s="96"/>
      <c r="KU68" s="96"/>
      <c r="KV68" s="96"/>
      <c r="KW68" s="96"/>
      <c r="KX68" s="96"/>
      <c r="KY68" s="96"/>
      <c r="KZ68" s="96"/>
      <c r="LA68" s="96"/>
      <c r="LB68" s="96"/>
      <c r="LC68" s="96"/>
    </row>
    <row r="69" spans="1:315" ht="15.75" x14ac:dyDescent="0.25">
      <c r="A69" s="90" t="s">
        <v>6</v>
      </c>
      <c r="B69" s="95">
        <v>2079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  <c r="IX69" s="96"/>
      <c r="IY69" s="96"/>
      <c r="IZ69" s="96"/>
      <c r="JA69" s="96"/>
      <c r="JB69" s="96"/>
      <c r="JC69" s="96"/>
      <c r="JD69" s="96"/>
      <c r="JE69" s="96"/>
      <c r="JF69" s="96"/>
      <c r="JG69" s="96"/>
      <c r="JH69" s="96"/>
      <c r="JI69" s="96"/>
      <c r="JJ69" s="96"/>
      <c r="JK69" s="96"/>
      <c r="JL69" s="96"/>
      <c r="JM69" s="96"/>
      <c r="JN69" s="96"/>
      <c r="JO69" s="96"/>
      <c r="JP69" s="96"/>
      <c r="JQ69" s="96"/>
      <c r="JR69" s="96"/>
      <c r="JS69" s="96"/>
      <c r="JT69" s="96"/>
      <c r="JU69" s="96"/>
      <c r="JV69" s="96"/>
      <c r="JW69" s="96"/>
      <c r="JX69" s="96"/>
      <c r="JY69" s="96"/>
      <c r="JZ69" s="96"/>
      <c r="KA69" s="96"/>
      <c r="KB69" s="96"/>
      <c r="KC69" s="96"/>
      <c r="KD69" s="96"/>
      <c r="KE69" s="96"/>
      <c r="KF69" s="96"/>
      <c r="KG69" s="96"/>
      <c r="KH69" s="96"/>
      <c r="KI69" s="96"/>
      <c r="KJ69" s="96"/>
      <c r="KK69" s="96"/>
      <c r="KL69" s="96"/>
      <c r="KM69" s="96"/>
      <c r="KN69" s="96"/>
      <c r="KO69" s="96"/>
      <c r="KP69" s="96"/>
      <c r="KQ69" s="96"/>
      <c r="KR69" s="96"/>
      <c r="KS69" s="96"/>
      <c r="KT69" s="96"/>
      <c r="KU69" s="96"/>
      <c r="KV69" s="96"/>
      <c r="KW69" s="96"/>
      <c r="KX69" s="96"/>
      <c r="KY69" s="96"/>
      <c r="KZ69" s="96"/>
      <c r="LA69" s="96"/>
      <c r="LB69" s="96"/>
      <c r="LC69" s="96"/>
    </row>
    <row r="70" spans="1:315" ht="15.75" x14ac:dyDescent="0.25">
      <c r="A70" s="90" t="s">
        <v>6</v>
      </c>
      <c r="B70" s="95">
        <v>2080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  <c r="IX70" s="96"/>
      <c r="IY70" s="96"/>
      <c r="IZ70" s="96"/>
      <c r="JA70" s="96"/>
      <c r="JB70" s="96"/>
      <c r="JC70" s="96"/>
      <c r="JD70" s="96"/>
      <c r="JE70" s="96"/>
      <c r="JF70" s="96"/>
      <c r="JG70" s="96"/>
      <c r="JH70" s="96"/>
      <c r="JI70" s="96"/>
      <c r="JJ70" s="96"/>
      <c r="JK70" s="96"/>
      <c r="JL70" s="96"/>
      <c r="JM70" s="96"/>
      <c r="JN70" s="96"/>
      <c r="JO70" s="96"/>
      <c r="JP70" s="96"/>
      <c r="JQ70" s="96"/>
      <c r="JR70" s="96"/>
      <c r="JS70" s="96"/>
      <c r="JT70" s="96"/>
      <c r="JU70" s="96"/>
      <c r="JV70" s="96"/>
      <c r="JW70" s="96"/>
      <c r="JX70" s="96"/>
      <c r="JY70" s="96"/>
      <c r="JZ70" s="96"/>
      <c r="KA70" s="96"/>
      <c r="KB70" s="96"/>
      <c r="KC70" s="96"/>
      <c r="KD70" s="96"/>
      <c r="KE70" s="96"/>
      <c r="KF70" s="96"/>
      <c r="KG70" s="96"/>
      <c r="KH70" s="96"/>
      <c r="KI70" s="96"/>
      <c r="KJ70" s="96"/>
      <c r="KK70" s="96"/>
      <c r="KL70" s="96"/>
      <c r="KM70" s="96"/>
      <c r="KN70" s="96"/>
      <c r="KO70" s="96"/>
      <c r="KP70" s="96"/>
      <c r="KQ70" s="96"/>
      <c r="KR70" s="96"/>
      <c r="KS70" s="96"/>
      <c r="KT70" s="96"/>
      <c r="KU70" s="96"/>
      <c r="KV70" s="96"/>
      <c r="KW70" s="96"/>
      <c r="KX70" s="96"/>
      <c r="KY70" s="96"/>
      <c r="KZ70" s="96"/>
      <c r="LA70" s="96"/>
      <c r="LB70" s="96"/>
      <c r="LC70" s="96"/>
    </row>
    <row r="71" spans="1:315" ht="15.75" x14ac:dyDescent="0.25">
      <c r="A71" s="90" t="s">
        <v>6</v>
      </c>
      <c r="B71" s="95">
        <v>2081</v>
      </c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  <c r="IX71" s="96"/>
      <c r="IY71" s="96"/>
      <c r="IZ71" s="96"/>
      <c r="JA71" s="96"/>
      <c r="JB71" s="96"/>
      <c r="JC71" s="96"/>
      <c r="JD71" s="96"/>
      <c r="JE71" s="96"/>
      <c r="JF71" s="96"/>
      <c r="JG71" s="96"/>
      <c r="JH71" s="96"/>
      <c r="JI71" s="96"/>
      <c r="JJ71" s="96"/>
      <c r="JK71" s="96"/>
      <c r="JL71" s="96"/>
      <c r="JM71" s="96"/>
      <c r="JN71" s="96"/>
      <c r="JO71" s="96"/>
      <c r="JP71" s="96"/>
      <c r="JQ71" s="96"/>
      <c r="JR71" s="96"/>
      <c r="JS71" s="96"/>
      <c r="JT71" s="96"/>
      <c r="JU71" s="96"/>
      <c r="JV71" s="96"/>
      <c r="JW71" s="96"/>
      <c r="JX71" s="96"/>
      <c r="JY71" s="96"/>
      <c r="JZ71" s="96"/>
      <c r="KA71" s="96"/>
      <c r="KB71" s="96"/>
      <c r="KC71" s="96"/>
      <c r="KD71" s="96"/>
      <c r="KE71" s="96"/>
      <c r="KF71" s="96"/>
      <c r="KG71" s="96"/>
      <c r="KH71" s="96"/>
      <c r="KI71" s="96"/>
      <c r="KJ71" s="96"/>
      <c r="KK71" s="96"/>
      <c r="KL71" s="96"/>
      <c r="KM71" s="96"/>
      <c r="KN71" s="96"/>
      <c r="KO71" s="96"/>
      <c r="KP71" s="96"/>
      <c r="KQ71" s="96"/>
      <c r="KR71" s="96"/>
      <c r="KS71" s="96"/>
      <c r="KT71" s="96"/>
      <c r="KU71" s="96"/>
      <c r="KV71" s="96"/>
      <c r="KW71" s="96"/>
      <c r="KX71" s="96"/>
      <c r="KY71" s="96"/>
      <c r="KZ71" s="96"/>
      <c r="LA71" s="96"/>
      <c r="LB71" s="96"/>
      <c r="LC71" s="96"/>
    </row>
    <row r="72" spans="1:315" ht="15.75" x14ac:dyDescent="0.25">
      <c r="A72" s="90" t="s">
        <v>6</v>
      </c>
      <c r="B72" s="95">
        <v>2082</v>
      </c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  <c r="IX72" s="96"/>
      <c r="IY72" s="96"/>
      <c r="IZ72" s="96"/>
      <c r="JA72" s="96"/>
      <c r="JB72" s="96"/>
      <c r="JC72" s="96"/>
      <c r="JD72" s="96"/>
      <c r="JE72" s="96"/>
      <c r="JF72" s="96"/>
      <c r="JG72" s="96"/>
      <c r="JH72" s="96"/>
      <c r="JI72" s="96"/>
      <c r="JJ72" s="96"/>
      <c r="JK72" s="96"/>
      <c r="JL72" s="96"/>
      <c r="JM72" s="96"/>
      <c r="JN72" s="96"/>
      <c r="JO72" s="96"/>
      <c r="JP72" s="96"/>
      <c r="JQ72" s="96"/>
      <c r="JR72" s="96"/>
      <c r="JS72" s="96"/>
      <c r="JT72" s="96"/>
      <c r="JU72" s="96"/>
      <c r="JV72" s="96"/>
      <c r="JW72" s="96"/>
      <c r="JX72" s="96"/>
      <c r="JY72" s="96"/>
      <c r="JZ72" s="96"/>
      <c r="KA72" s="96"/>
      <c r="KB72" s="96"/>
      <c r="KC72" s="96"/>
      <c r="KD72" s="96"/>
      <c r="KE72" s="96"/>
      <c r="KF72" s="96"/>
      <c r="KG72" s="96"/>
      <c r="KH72" s="96"/>
      <c r="KI72" s="96"/>
      <c r="KJ72" s="96"/>
      <c r="KK72" s="96"/>
      <c r="KL72" s="96"/>
      <c r="KM72" s="96"/>
      <c r="KN72" s="96"/>
      <c r="KO72" s="96"/>
      <c r="KP72" s="96"/>
      <c r="KQ72" s="96"/>
      <c r="KR72" s="96"/>
      <c r="KS72" s="96"/>
      <c r="KT72" s="96"/>
      <c r="KU72" s="96"/>
      <c r="KV72" s="96"/>
      <c r="KW72" s="96"/>
      <c r="KX72" s="96"/>
      <c r="KY72" s="96"/>
      <c r="KZ72" s="96"/>
      <c r="LA72" s="96"/>
      <c r="LB72" s="96"/>
      <c r="LC72" s="96"/>
    </row>
    <row r="73" spans="1:315" ht="15.75" x14ac:dyDescent="0.25">
      <c r="A73" s="90" t="s">
        <v>6</v>
      </c>
      <c r="B73" s="95">
        <v>2083</v>
      </c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  <c r="IX73" s="96"/>
      <c r="IY73" s="96"/>
      <c r="IZ73" s="96"/>
      <c r="JA73" s="96"/>
      <c r="JB73" s="96"/>
      <c r="JC73" s="96"/>
      <c r="JD73" s="96"/>
      <c r="JE73" s="96"/>
      <c r="JF73" s="96"/>
      <c r="JG73" s="96"/>
      <c r="JH73" s="96"/>
      <c r="JI73" s="96"/>
      <c r="JJ73" s="96"/>
      <c r="JK73" s="96"/>
      <c r="JL73" s="96"/>
      <c r="JM73" s="96"/>
      <c r="JN73" s="96"/>
      <c r="JO73" s="96"/>
      <c r="JP73" s="96"/>
      <c r="JQ73" s="96"/>
      <c r="JR73" s="96"/>
      <c r="JS73" s="96"/>
      <c r="JT73" s="96"/>
      <c r="JU73" s="96"/>
      <c r="JV73" s="96"/>
      <c r="JW73" s="96"/>
      <c r="JX73" s="96"/>
      <c r="JY73" s="96"/>
      <c r="JZ73" s="96"/>
      <c r="KA73" s="96"/>
      <c r="KB73" s="96"/>
      <c r="KC73" s="96"/>
      <c r="KD73" s="96"/>
      <c r="KE73" s="96"/>
      <c r="KF73" s="96"/>
      <c r="KG73" s="96"/>
      <c r="KH73" s="96"/>
      <c r="KI73" s="96"/>
      <c r="KJ73" s="96"/>
      <c r="KK73" s="96"/>
      <c r="KL73" s="96"/>
      <c r="KM73" s="96"/>
      <c r="KN73" s="96"/>
      <c r="KO73" s="96"/>
      <c r="KP73" s="96"/>
      <c r="KQ73" s="96"/>
      <c r="KR73" s="96"/>
      <c r="KS73" s="96"/>
      <c r="KT73" s="96"/>
      <c r="KU73" s="96"/>
      <c r="KV73" s="96"/>
      <c r="KW73" s="96"/>
      <c r="KX73" s="96"/>
      <c r="KY73" s="96"/>
      <c r="KZ73" s="96"/>
      <c r="LA73" s="96"/>
      <c r="LB73" s="96"/>
      <c r="LC73" s="96"/>
    </row>
    <row r="74" spans="1:315" ht="15.75" x14ac:dyDescent="0.25">
      <c r="A74" s="90" t="s">
        <v>6</v>
      </c>
      <c r="B74" s="95">
        <v>2084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  <c r="IX74" s="96"/>
      <c r="IY74" s="96"/>
      <c r="IZ74" s="96"/>
      <c r="JA74" s="96"/>
      <c r="JB74" s="96"/>
      <c r="JC74" s="96"/>
      <c r="JD74" s="96"/>
      <c r="JE74" s="96"/>
      <c r="JF74" s="96"/>
      <c r="JG74" s="96"/>
      <c r="JH74" s="96"/>
      <c r="JI74" s="96"/>
      <c r="JJ74" s="96"/>
      <c r="JK74" s="96"/>
      <c r="JL74" s="96"/>
      <c r="JM74" s="96"/>
      <c r="JN74" s="96"/>
      <c r="JO74" s="96"/>
      <c r="JP74" s="96"/>
      <c r="JQ74" s="96"/>
      <c r="JR74" s="96"/>
      <c r="JS74" s="96"/>
      <c r="JT74" s="96"/>
      <c r="JU74" s="96"/>
      <c r="JV74" s="96"/>
      <c r="JW74" s="96"/>
      <c r="JX74" s="96"/>
      <c r="JY74" s="96"/>
      <c r="JZ74" s="96"/>
      <c r="KA74" s="96"/>
      <c r="KB74" s="96"/>
      <c r="KC74" s="96"/>
      <c r="KD74" s="96"/>
      <c r="KE74" s="96"/>
      <c r="KF74" s="96"/>
      <c r="KG74" s="96"/>
      <c r="KH74" s="96"/>
      <c r="KI74" s="96"/>
      <c r="KJ74" s="96"/>
      <c r="KK74" s="96"/>
      <c r="KL74" s="96"/>
      <c r="KM74" s="96"/>
      <c r="KN74" s="96"/>
      <c r="KO74" s="96"/>
      <c r="KP74" s="96"/>
      <c r="KQ74" s="96"/>
      <c r="KR74" s="96"/>
      <c r="KS74" s="96"/>
      <c r="KT74" s="96"/>
      <c r="KU74" s="96"/>
      <c r="KV74" s="96"/>
      <c r="KW74" s="96"/>
      <c r="KX74" s="96"/>
      <c r="KY74" s="96"/>
      <c r="KZ74" s="96"/>
      <c r="LA74" s="96"/>
      <c r="LB74" s="96"/>
      <c r="LC74" s="96"/>
    </row>
    <row r="75" spans="1:315" ht="15.75" x14ac:dyDescent="0.25">
      <c r="A75" s="90" t="s">
        <v>6</v>
      </c>
      <c r="B75" s="95">
        <v>2085</v>
      </c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  <c r="IX75" s="96"/>
      <c r="IY75" s="96"/>
      <c r="IZ75" s="96"/>
      <c r="JA75" s="96"/>
      <c r="JB75" s="96"/>
      <c r="JC75" s="96"/>
      <c r="JD75" s="96"/>
      <c r="JE75" s="96"/>
      <c r="JF75" s="96"/>
      <c r="JG75" s="96"/>
      <c r="JH75" s="96"/>
      <c r="JI75" s="96"/>
      <c r="JJ75" s="96"/>
      <c r="JK75" s="96"/>
      <c r="JL75" s="96"/>
      <c r="JM75" s="96"/>
      <c r="JN75" s="96"/>
      <c r="JO75" s="96"/>
      <c r="JP75" s="96"/>
      <c r="JQ75" s="96"/>
      <c r="JR75" s="96"/>
      <c r="JS75" s="96"/>
      <c r="JT75" s="96"/>
      <c r="JU75" s="96"/>
      <c r="JV75" s="96"/>
      <c r="JW75" s="96"/>
      <c r="JX75" s="96"/>
      <c r="JY75" s="96"/>
      <c r="JZ75" s="96"/>
      <c r="KA75" s="96"/>
      <c r="KB75" s="96"/>
      <c r="KC75" s="96"/>
      <c r="KD75" s="96"/>
      <c r="KE75" s="96"/>
      <c r="KF75" s="96"/>
      <c r="KG75" s="96"/>
      <c r="KH75" s="96"/>
      <c r="KI75" s="96"/>
      <c r="KJ75" s="96"/>
      <c r="KK75" s="96"/>
      <c r="KL75" s="96"/>
      <c r="KM75" s="96"/>
      <c r="KN75" s="96"/>
      <c r="KO75" s="96"/>
      <c r="KP75" s="96"/>
      <c r="KQ75" s="96"/>
      <c r="KR75" s="96"/>
      <c r="KS75" s="96"/>
      <c r="KT75" s="96"/>
      <c r="KU75" s="96"/>
      <c r="KV75" s="96"/>
      <c r="KW75" s="96"/>
      <c r="KX75" s="96"/>
      <c r="KY75" s="96"/>
      <c r="KZ75" s="96"/>
      <c r="LA75" s="96"/>
      <c r="LB75" s="96"/>
      <c r="LC75" s="96"/>
    </row>
    <row r="76" spans="1:315" ht="15.75" x14ac:dyDescent="0.25">
      <c r="A76" s="90" t="s">
        <v>6</v>
      </c>
      <c r="B76" s="95">
        <v>2086</v>
      </c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  <c r="IX76" s="96"/>
      <c r="IY76" s="96"/>
      <c r="IZ76" s="96"/>
      <c r="JA76" s="96"/>
      <c r="JB76" s="96"/>
      <c r="JC76" s="96"/>
      <c r="JD76" s="96"/>
      <c r="JE76" s="96"/>
      <c r="JF76" s="96"/>
      <c r="JG76" s="96"/>
      <c r="JH76" s="96"/>
      <c r="JI76" s="96"/>
      <c r="JJ76" s="96"/>
      <c r="JK76" s="96"/>
      <c r="JL76" s="96"/>
      <c r="JM76" s="96"/>
      <c r="JN76" s="96"/>
      <c r="JO76" s="96"/>
      <c r="JP76" s="96"/>
      <c r="JQ76" s="96"/>
      <c r="JR76" s="96"/>
      <c r="JS76" s="96"/>
      <c r="JT76" s="96"/>
      <c r="JU76" s="96"/>
      <c r="JV76" s="96"/>
      <c r="JW76" s="96"/>
      <c r="JX76" s="96"/>
      <c r="JY76" s="96"/>
      <c r="JZ76" s="96"/>
      <c r="KA76" s="96"/>
      <c r="KB76" s="96"/>
      <c r="KC76" s="96"/>
      <c r="KD76" s="96"/>
      <c r="KE76" s="96"/>
      <c r="KF76" s="96"/>
      <c r="KG76" s="96"/>
      <c r="KH76" s="96"/>
      <c r="KI76" s="96"/>
      <c r="KJ76" s="96"/>
      <c r="KK76" s="96"/>
      <c r="KL76" s="96"/>
      <c r="KM76" s="96"/>
      <c r="KN76" s="96"/>
      <c r="KO76" s="96"/>
      <c r="KP76" s="96"/>
      <c r="KQ76" s="96"/>
      <c r="KR76" s="96"/>
      <c r="KS76" s="96"/>
      <c r="KT76" s="96"/>
      <c r="KU76" s="96"/>
      <c r="KV76" s="96"/>
      <c r="KW76" s="96"/>
      <c r="KX76" s="96"/>
      <c r="KY76" s="96"/>
      <c r="KZ76" s="96"/>
      <c r="LA76" s="96"/>
      <c r="LB76" s="96"/>
      <c r="LC76" s="96"/>
    </row>
    <row r="77" spans="1:315" ht="15.75" x14ac:dyDescent="0.25">
      <c r="A77" s="90" t="s">
        <v>6</v>
      </c>
      <c r="B77" s="95">
        <v>2087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  <c r="IX77" s="96"/>
      <c r="IY77" s="96"/>
      <c r="IZ77" s="96"/>
      <c r="JA77" s="96"/>
      <c r="JB77" s="96"/>
      <c r="JC77" s="96"/>
      <c r="JD77" s="96"/>
      <c r="JE77" s="96"/>
      <c r="JF77" s="96"/>
      <c r="JG77" s="96"/>
      <c r="JH77" s="96"/>
      <c r="JI77" s="96"/>
      <c r="JJ77" s="96"/>
      <c r="JK77" s="96"/>
      <c r="JL77" s="96"/>
      <c r="JM77" s="96"/>
      <c r="JN77" s="96"/>
      <c r="JO77" s="96"/>
      <c r="JP77" s="96"/>
      <c r="JQ77" s="96"/>
      <c r="JR77" s="96"/>
      <c r="JS77" s="96"/>
      <c r="JT77" s="96"/>
      <c r="JU77" s="96"/>
      <c r="JV77" s="96"/>
      <c r="JW77" s="96"/>
      <c r="JX77" s="96"/>
      <c r="JY77" s="96"/>
      <c r="JZ77" s="96"/>
      <c r="KA77" s="96"/>
      <c r="KB77" s="96"/>
      <c r="KC77" s="96"/>
      <c r="KD77" s="96"/>
      <c r="KE77" s="96"/>
      <c r="KF77" s="96"/>
      <c r="KG77" s="96"/>
      <c r="KH77" s="96"/>
      <c r="KI77" s="96"/>
      <c r="KJ77" s="96"/>
      <c r="KK77" s="96"/>
      <c r="KL77" s="96"/>
      <c r="KM77" s="96"/>
      <c r="KN77" s="96"/>
      <c r="KO77" s="96"/>
      <c r="KP77" s="96"/>
      <c r="KQ77" s="96"/>
      <c r="KR77" s="96"/>
      <c r="KS77" s="96"/>
      <c r="KT77" s="96"/>
      <c r="KU77" s="96"/>
      <c r="KV77" s="96"/>
      <c r="KW77" s="96"/>
      <c r="KX77" s="96"/>
      <c r="KY77" s="96"/>
      <c r="KZ77" s="96"/>
      <c r="LA77" s="96"/>
      <c r="LB77" s="96"/>
      <c r="LC77" s="96"/>
    </row>
    <row r="78" spans="1:315" ht="15.75" x14ac:dyDescent="0.25">
      <c r="A78" s="90" t="s">
        <v>6</v>
      </c>
      <c r="B78" s="95">
        <v>2088</v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  <c r="IX78" s="96"/>
      <c r="IY78" s="96"/>
      <c r="IZ78" s="96"/>
      <c r="JA78" s="96"/>
      <c r="JB78" s="96"/>
      <c r="JC78" s="96"/>
      <c r="JD78" s="96"/>
      <c r="JE78" s="96"/>
      <c r="JF78" s="96"/>
      <c r="JG78" s="96"/>
      <c r="JH78" s="96"/>
      <c r="JI78" s="96"/>
      <c r="JJ78" s="96"/>
      <c r="JK78" s="96"/>
      <c r="JL78" s="96"/>
      <c r="JM78" s="96"/>
      <c r="JN78" s="96"/>
      <c r="JO78" s="96"/>
      <c r="JP78" s="96"/>
      <c r="JQ78" s="96"/>
      <c r="JR78" s="96"/>
      <c r="JS78" s="96"/>
      <c r="JT78" s="96"/>
      <c r="JU78" s="96"/>
      <c r="JV78" s="96"/>
      <c r="JW78" s="96"/>
      <c r="JX78" s="96"/>
      <c r="JY78" s="96"/>
      <c r="JZ78" s="96"/>
      <c r="KA78" s="96"/>
      <c r="KB78" s="96"/>
      <c r="KC78" s="96"/>
      <c r="KD78" s="96"/>
      <c r="KE78" s="96"/>
      <c r="KF78" s="96"/>
      <c r="KG78" s="96"/>
      <c r="KH78" s="96"/>
      <c r="KI78" s="96"/>
      <c r="KJ78" s="96"/>
      <c r="KK78" s="96"/>
      <c r="KL78" s="96"/>
      <c r="KM78" s="96"/>
      <c r="KN78" s="96"/>
      <c r="KO78" s="96"/>
      <c r="KP78" s="96"/>
      <c r="KQ78" s="96"/>
      <c r="KR78" s="96"/>
      <c r="KS78" s="96"/>
      <c r="KT78" s="96"/>
      <c r="KU78" s="96"/>
      <c r="KV78" s="96"/>
      <c r="KW78" s="96"/>
      <c r="KX78" s="96"/>
      <c r="KY78" s="96"/>
      <c r="KZ78" s="96"/>
      <c r="LA78" s="96"/>
      <c r="LB78" s="96"/>
      <c r="LC78" s="96"/>
    </row>
    <row r="79" spans="1:315" ht="15.75" x14ac:dyDescent="0.25">
      <c r="A79" s="90" t="s">
        <v>6</v>
      </c>
      <c r="B79" s="95">
        <v>2089</v>
      </c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  <c r="IX79" s="96"/>
      <c r="IY79" s="96"/>
      <c r="IZ79" s="96"/>
      <c r="JA79" s="96"/>
      <c r="JB79" s="96"/>
      <c r="JC79" s="96"/>
      <c r="JD79" s="96"/>
      <c r="JE79" s="96"/>
      <c r="JF79" s="96"/>
      <c r="JG79" s="96"/>
      <c r="JH79" s="96"/>
      <c r="JI79" s="96"/>
      <c r="JJ79" s="96"/>
      <c r="JK79" s="96"/>
      <c r="JL79" s="96"/>
      <c r="JM79" s="96"/>
      <c r="JN79" s="96"/>
      <c r="JO79" s="96"/>
      <c r="JP79" s="96"/>
      <c r="JQ79" s="96"/>
      <c r="JR79" s="96"/>
      <c r="JS79" s="96"/>
      <c r="JT79" s="96"/>
      <c r="JU79" s="96"/>
      <c r="JV79" s="96"/>
      <c r="JW79" s="96"/>
      <c r="JX79" s="96"/>
      <c r="JY79" s="96"/>
      <c r="JZ79" s="96"/>
      <c r="KA79" s="96"/>
      <c r="KB79" s="96"/>
      <c r="KC79" s="96"/>
      <c r="KD79" s="96"/>
      <c r="KE79" s="96"/>
      <c r="KF79" s="96"/>
      <c r="KG79" s="96"/>
      <c r="KH79" s="96"/>
      <c r="KI79" s="96"/>
      <c r="KJ79" s="96"/>
      <c r="KK79" s="96"/>
      <c r="KL79" s="96"/>
      <c r="KM79" s="96"/>
      <c r="KN79" s="96"/>
      <c r="KO79" s="96"/>
      <c r="KP79" s="96"/>
      <c r="KQ79" s="96"/>
      <c r="KR79" s="96"/>
      <c r="KS79" s="96"/>
      <c r="KT79" s="96"/>
      <c r="KU79" s="96"/>
      <c r="KV79" s="96"/>
      <c r="KW79" s="96"/>
      <c r="KX79" s="96"/>
      <c r="KY79" s="96"/>
      <c r="KZ79" s="96"/>
      <c r="LA79" s="96"/>
      <c r="LB79" s="96"/>
      <c r="LC79" s="96"/>
    </row>
    <row r="80" spans="1:315" ht="15.75" x14ac:dyDescent="0.25">
      <c r="A80" s="90" t="s">
        <v>6</v>
      </c>
      <c r="B80" s="95">
        <v>2090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  <c r="IX80" s="96"/>
      <c r="IY80" s="96"/>
      <c r="IZ80" s="96"/>
      <c r="JA80" s="96"/>
      <c r="JB80" s="96"/>
      <c r="JC80" s="96"/>
      <c r="JD80" s="96"/>
      <c r="JE80" s="96"/>
      <c r="JF80" s="96"/>
      <c r="JG80" s="96"/>
      <c r="JH80" s="96"/>
      <c r="JI80" s="96"/>
      <c r="JJ80" s="96"/>
      <c r="JK80" s="96"/>
      <c r="JL80" s="96"/>
      <c r="JM80" s="96"/>
      <c r="JN80" s="96"/>
      <c r="JO80" s="96"/>
      <c r="JP80" s="96"/>
      <c r="JQ80" s="96"/>
      <c r="JR80" s="96"/>
      <c r="JS80" s="96"/>
      <c r="JT80" s="96"/>
      <c r="JU80" s="96"/>
      <c r="JV80" s="96"/>
      <c r="JW80" s="96"/>
      <c r="JX80" s="96"/>
      <c r="JY80" s="96"/>
      <c r="JZ80" s="96"/>
      <c r="KA80" s="96"/>
      <c r="KB80" s="96"/>
      <c r="KC80" s="96"/>
      <c r="KD80" s="96"/>
      <c r="KE80" s="96"/>
      <c r="KF80" s="96"/>
      <c r="KG80" s="96"/>
      <c r="KH80" s="96"/>
      <c r="KI80" s="96"/>
      <c r="KJ80" s="96"/>
      <c r="KK80" s="96"/>
      <c r="KL80" s="96"/>
      <c r="KM80" s="96"/>
      <c r="KN80" s="96"/>
      <c r="KO80" s="96"/>
      <c r="KP80" s="96"/>
      <c r="KQ80" s="96"/>
      <c r="KR80" s="96"/>
      <c r="KS80" s="96"/>
      <c r="KT80" s="96"/>
      <c r="KU80" s="96"/>
      <c r="KV80" s="96"/>
      <c r="KW80" s="96"/>
      <c r="KX80" s="96"/>
      <c r="KY80" s="96"/>
      <c r="KZ80" s="96"/>
      <c r="LA80" s="96"/>
      <c r="LB80" s="96"/>
      <c r="LC80" s="96"/>
    </row>
    <row r="81" spans="1:315" ht="15.75" x14ac:dyDescent="0.25">
      <c r="A81" s="90" t="s">
        <v>6</v>
      </c>
      <c r="B81" s="95">
        <v>2091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  <c r="IX81" s="96"/>
      <c r="IY81" s="96"/>
      <c r="IZ81" s="96"/>
      <c r="JA81" s="96"/>
      <c r="JB81" s="96"/>
      <c r="JC81" s="96"/>
      <c r="JD81" s="96"/>
      <c r="JE81" s="96"/>
      <c r="JF81" s="96"/>
      <c r="JG81" s="96"/>
      <c r="JH81" s="96"/>
      <c r="JI81" s="96"/>
      <c r="JJ81" s="96"/>
      <c r="JK81" s="96"/>
      <c r="JL81" s="96"/>
      <c r="JM81" s="96"/>
      <c r="JN81" s="96"/>
      <c r="JO81" s="96"/>
      <c r="JP81" s="96"/>
      <c r="JQ81" s="96"/>
      <c r="JR81" s="96"/>
      <c r="JS81" s="96"/>
      <c r="JT81" s="96"/>
      <c r="JU81" s="96"/>
      <c r="JV81" s="96"/>
      <c r="JW81" s="96"/>
      <c r="JX81" s="96"/>
      <c r="JY81" s="96"/>
      <c r="JZ81" s="96"/>
      <c r="KA81" s="96"/>
      <c r="KB81" s="96"/>
      <c r="KC81" s="96"/>
      <c r="KD81" s="96"/>
      <c r="KE81" s="96"/>
      <c r="KF81" s="96"/>
      <c r="KG81" s="96"/>
      <c r="KH81" s="96"/>
      <c r="KI81" s="96"/>
      <c r="KJ81" s="96"/>
      <c r="KK81" s="96"/>
      <c r="KL81" s="96"/>
      <c r="KM81" s="96"/>
      <c r="KN81" s="96"/>
      <c r="KO81" s="96"/>
      <c r="KP81" s="96"/>
      <c r="KQ81" s="96"/>
      <c r="KR81" s="96"/>
      <c r="KS81" s="96"/>
      <c r="KT81" s="96"/>
      <c r="KU81" s="96"/>
      <c r="KV81" s="96"/>
      <c r="KW81" s="96"/>
      <c r="KX81" s="96"/>
      <c r="KY81" s="96"/>
      <c r="KZ81" s="96"/>
      <c r="LA81" s="96"/>
      <c r="LB81" s="96"/>
      <c r="LC81" s="96"/>
    </row>
    <row r="82" spans="1:315" ht="15.75" x14ac:dyDescent="0.25">
      <c r="A82" s="90" t="s">
        <v>6</v>
      </c>
      <c r="B82" s="95">
        <v>2092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  <c r="IX82" s="96"/>
      <c r="IY82" s="96"/>
      <c r="IZ82" s="96"/>
      <c r="JA82" s="96"/>
      <c r="JB82" s="96"/>
      <c r="JC82" s="96"/>
      <c r="JD82" s="96"/>
      <c r="JE82" s="96"/>
      <c r="JF82" s="96"/>
      <c r="JG82" s="96"/>
      <c r="JH82" s="96"/>
      <c r="JI82" s="96"/>
      <c r="JJ82" s="96"/>
      <c r="JK82" s="96"/>
      <c r="JL82" s="96"/>
      <c r="JM82" s="96"/>
      <c r="JN82" s="96"/>
      <c r="JO82" s="96"/>
      <c r="JP82" s="96"/>
      <c r="JQ82" s="96"/>
      <c r="JR82" s="96"/>
      <c r="JS82" s="96"/>
      <c r="JT82" s="96"/>
      <c r="JU82" s="96"/>
      <c r="JV82" s="96"/>
      <c r="JW82" s="96"/>
      <c r="JX82" s="96"/>
      <c r="JY82" s="96"/>
      <c r="JZ82" s="96"/>
      <c r="KA82" s="96"/>
      <c r="KB82" s="96"/>
      <c r="KC82" s="96"/>
      <c r="KD82" s="96"/>
      <c r="KE82" s="96"/>
      <c r="KF82" s="96"/>
      <c r="KG82" s="96"/>
      <c r="KH82" s="96"/>
      <c r="KI82" s="96"/>
      <c r="KJ82" s="96"/>
      <c r="KK82" s="96"/>
      <c r="KL82" s="96"/>
      <c r="KM82" s="96"/>
      <c r="KN82" s="96"/>
      <c r="KO82" s="96"/>
      <c r="KP82" s="96"/>
      <c r="KQ82" s="96"/>
      <c r="KR82" s="96"/>
      <c r="KS82" s="96"/>
      <c r="KT82" s="96"/>
      <c r="KU82" s="96"/>
      <c r="KV82" s="96"/>
      <c r="KW82" s="96"/>
      <c r="KX82" s="96"/>
      <c r="KY82" s="96"/>
      <c r="KZ82" s="96"/>
      <c r="LA82" s="96"/>
      <c r="LB82" s="96"/>
      <c r="LC82" s="96"/>
    </row>
    <row r="83" spans="1:315" ht="15.75" x14ac:dyDescent="0.25">
      <c r="A83" s="90" t="s">
        <v>6</v>
      </c>
      <c r="B83" s="95">
        <v>2093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  <c r="IX83" s="96"/>
      <c r="IY83" s="96"/>
      <c r="IZ83" s="96"/>
      <c r="JA83" s="96"/>
      <c r="JB83" s="96"/>
      <c r="JC83" s="96"/>
      <c r="JD83" s="96"/>
      <c r="JE83" s="96"/>
      <c r="JF83" s="96"/>
      <c r="JG83" s="96"/>
      <c r="JH83" s="96"/>
      <c r="JI83" s="96"/>
      <c r="JJ83" s="96"/>
      <c r="JK83" s="96"/>
      <c r="JL83" s="96"/>
      <c r="JM83" s="96"/>
      <c r="JN83" s="96"/>
      <c r="JO83" s="96"/>
      <c r="JP83" s="96"/>
      <c r="JQ83" s="96"/>
      <c r="JR83" s="96"/>
      <c r="JS83" s="96"/>
      <c r="JT83" s="96"/>
      <c r="JU83" s="96"/>
      <c r="JV83" s="96"/>
      <c r="JW83" s="96"/>
      <c r="JX83" s="96"/>
      <c r="JY83" s="96"/>
      <c r="JZ83" s="96"/>
      <c r="KA83" s="96"/>
      <c r="KB83" s="96"/>
      <c r="KC83" s="96"/>
      <c r="KD83" s="96"/>
      <c r="KE83" s="96"/>
      <c r="KF83" s="96"/>
      <c r="KG83" s="96"/>
      <c r="KH83" s="96"/>
      <c r="KI83" s="96"/>
      <c r="KJ83" s="96"/>
      <c r="KK83" s="96"/>
      <c r="KL83" s="96"/>
      <c r="KM83" s="96"/>
      <c r="KN83" s="96"/>
      <c r="KO83" s="96"/>
      <c r="KP83" s="96"/>
      <c r="KQ83" s="96"/>
      <c r="KR83" s="96"/>
      <c r="KS83" s="96"/>
      <c r="KT83" s="96"/>
      <c r="KU83" s="96"/>
      <c r="KV83" s="96"/>
      <c r="KW83" s="96"/>
      <c r="KX83" s="96"/>
      <c r="KY83" s="96"/>
      <c r="KZ83" s="96"/>
      <c r="LA83" s="96"/>
      <c r="LB83" s="96"/>
      <c r="LC83" s="96"/>
    </row>
    <row r="84" spans="1:315" ht="15.75" x14ac:dyDescent="0.25">
      <c r="A84" s="90" t="s">
        <v>6</v>
      </c>
      <c r="B84" s="95">
        <v>2094</v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  <c r="IX84" s="96"/>
      <c r="IY84" s="96"/>
      <c r="IZ84" s="96"/>
      <c r="JA84" s="96"/>
      <c r="JB84" s="96"/>
      <c r="JC84" s="96"/>
      <c r="JD84" s="96"/>
      <c r="JE84" s="96"/>
      <c r="JF84" s="96"/>
      <c r="JG84" s="96"/>
      <c r="JH84" s="96"/>
      <c r="JI84" s="96"/>
      <c r="JJ84" s="96"/>
      <c r="JK84" s="96"/>
      <c r="JL84" s="96"/>
      <c r="JM84" s="96"/>
      <c r="JN84" s="96"/>
      <c r="JO84" s="96"/>
      <c r="JP84" s="96"/>
      <c r="JQ84" s="96"/>
      <c r="JR84" s="96"/>
      <c r="JS84" s="96"/>
      <c r="JT84" s="96"/>
      <c r="JU84" s="96"/>
      <c r="JV84" s="96"/>
      <c r="JW84" s="96"/>
      <c r="JX84" s="96"/>
      <c r="JY84" s="96"/>
      <c r="JZ84" s="96"/>
      <c r="KA84" s="96"/>
      <c r="KB84" s="96"/>
      <c r="KC84" s="96"/>
      <c r="KD84" s="96"/>
      <c r="KE84" s="96"/>
      <c r="KF84" s="96"/>
      <c r="KG84" s="96"/>
      <c r="KH84" s="96"/>
      <c r="KI84" s="96"/>
      <c r="KJ84" s="96"/>
      <c r="KK84" s="96"/>
      <c r="KL84" s="96"/>
      <c r="KM84" s="96"/>
      <c r="KN84" s="96"/>
      <c r="KO84" s="96"/>
      <c r="KP84" s="96"/>
      <c r="KQ84" s="96"/>
      <c r="KR84" s="96"/>
      <c r="KS84" s="96"/>
      <c r="KT84" s="96"/>
      <c r="KU84" s="96"/>
      <c r="KV84" s="96"/>
      <c r="KW84" s="96"/>
      <c r="KX84" s="96"/>
      <c r="KY84" s="96"/>
      <c r="KZ84" s="96"/>
      <c r="LA84" s="96"/>
      <c r="LB84" s="96"/>
      <c r="LC84" s="96"/>
    </row>
    <row r="85" spans="1:315" ht="15.75" x14ac:dyDescent="0.25">
      <c r="A85" s="90" t="s">
        <v>6</v>
      </c>
      <c r="B85" s="95">
        <v>2095</v>
      </c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  <c r="IX85" s="96"/>
      <c r="IY85" s="96"/>
      <c r="IZ85" s="96"/>
      <c r="JA85" s="96"/>
      <c r="JB85" s="96"/>
      <c r="JC85" s="96"/>
      <c r="JD85" s="96"/>
      <c r="JE85" s="96"/>
      <c r="JF85" s="96"/>
      <c r="JG85" s="96"/>
      <c r="JH85" s="96"/>
      <c r="JI85" s="96"/>
      <c r="JJ85" s="96"/>
      <c r="JK85" s="96"/>
      <c r="JL85" s="96"/>
      <c r="JM85" s="96"/>
      <c r="JN85" s="96"/>
      <c r="JO85" s="96"/>
      <c r="JP85" s="96"/>
      <c r="JQ85" s="96"/>
      <c r="JR85" s="96"/>
      <c r="JS85" s="96"/>
      <c r="JT85" s="96"/>
      <c r="JU85" s="96"/>
      <c r="JV85" s="96"/>
      <c r="JW85" s="96"/>
      <c r="JX85" s="96"/>
      <c r="JY85" s="96"/>
      <c r="JZ85" s="96"/>
      <c r="KA85" s="96"/>
      <c r="KB85" s="96"/>
      <c r="KC85" s="96"/>
      <c r="KD85" s="96"/>
      <c r="KE85" s="96"/>
      <c r="KF85" s="96"/>
      <c r="KG85" s="96"/>
      <c r="KH85" s="96"/>
      <c r="KI85" s="96"/>
      <c r="KJ85" s="96"/>
      <c r="KK85" s="96"/>
      <c r="KL85" s="96"/>
      <c r="KM85" s="96"/>
      <c r="KN85" s="96"/>
      <c r="KO85" s="96"/>
      <c r="KP85" s="96"/>
      <c r="KQ85" s="96"/>
      <c r="KR85" s="96"/>
      <c r="KS85" s="96"/>
      <c r="KT85" s="96"/>
      <c r="KU85" s="96"/>
      <c r="KV85" s="96"/>
      <c r="KW85" s="96"/>
      <c r="KX85" s="96"/>
      <c r="KY85" s="96"/>
      <c r="KZ85" s="96"/>
      <c r="LA85" s="96"/>
      <c r="LB85" s="96"/>
      <c r="LC85" s="96"/>
    </row>
    <row r="86" spans="1:315" ht="15.75" x14ac:dyDescent="0.25">
      <c r="A86" s="90" t="s">
        <v>6</v>
      </c>
      <c r="B86" s="95">
        <v>2096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  <c r="IX86" s="96"/>
      <c r="IY86" s="96"/>
      <c r="IZ86" s="96"/>
      <c r="JA86" s="96"/>
      <c r="JB86" s="96"/>
      <c r="JC86" s="96"/>
      <c r="JD86" s="96"/>
      <c r="JE86" s="96"/>
      <c r="JF86" s="96"/>
      <c r="JG86" s="96"/>
      <c r="JH86" s="96"/>
      <c r="JI86" s="96"/>
      <c r="JJ86" s="96"/>
      <c r="JK86" s="96"/>
      <c r="JL86" s="96"/>
      <c r="JM86" s="96"/>
      <c r="JN86" s="96"/>
      <c r="JO86" s="96"/>
      <c r="JP86" s="96"/>
      <c r="JQ86" s="96"/>
      <c r="JR86" s="96"/>
      <c r="JS86" s="96"/>
      <c r="JT86" s="96"/>
      <c r="JU86" s="96"/>
      <c r="JV86" s="96"/>
      <c r="JW86" s="96"/>
      <c r="JX86" s="96"/>
      <c r="JY86" s="96"/>
      <c r="JZ86" s="96"/>
      <c r="KA86" s="96"/>
      <c r="KB86" s="96"/>
      <c r="KC86" s="96"/>
      <c r="KD86" s="96"/>
      <c r="KE86" s="96"/>
      <c r="KF86" s="96"/>
      <c r="KG86" s="96"/>
      <c r="KH86" s="96"/>
      <c r="KI86" s="96"/>
      <c r="KJ86" s="96"/>
      <c r="KK86" s="96"/>
      <c r="KL86" s="96"/>
      <c r="KM86" s="96"/>
      <c r="KN86" s="96"/>
      <c r="KO86" s="96"/>
      <c r="KP86" s="96"/>
      <c r="KQ86" s="96"/>
      <c r="KR86" s="96"/>
      <c r="KS86" s="96"/>
      <c r="KT86" s="96"/>
      <c r="KU86" s="96"/>
      <c r="KV86" s="96"/>
      <c r="KW86" s="96"/>
      <c r="KX86" s="96"/>
      <c r="KY86" s="96"/>
      <c r="KZ86" s="96"/>
      <c r="LA86" s="96"/>
      <c r="LB86" s="96"/>
      <c r="LC86" s="96"/>
    </row>
    <row r="87" spans="1:315" ht="15.75" x14ac:dyDescent="0.25">
      <c r="A87" s="90" t="s">
        <v>6</v>
      </c>
      <c r="B87" s="95">
        <v>2097</v>
      </c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  <c r="IX87" s="96"/>
      <c r="IY87" s="96"/>
      <c r="IZ87" s="96"/>
      <c r="JA87" s="96"/>
      <c r="JB87" s="96"/>
      <c r="JC87" s="96"/>
      <c r="JD87" s="96"/>
      <c r="JE87" s="96"/>
      <c r="JF87" s="96"/>
      <c r="JG87" s="96"/>
      <c r="JH87" s="96"/>
      <c r="JI87" s="96"/>
      <c r="JJ87" s="96"/>
      <c r="JK87" s="96"/>
      <c r="JL87" s="96"/>
      <c r="JM87" s="96"/>
      <c r="JN87" s="96"/>
      <c r="JO87" s="96"/>
      <c r="JP87" s="96"/>
      <c r="JQ87" s="96"/>
      <c r="JR87" s="96"/>
      <c r="JS87" s="96"/>
      <c r="JT87" s="96"/>
      <c r="JU87" s="96"/>
      <c r="JV87" s="96"/>
      <c r="JW87" s="96"/>
      <c r="JX87" s="96"/>
      <c r="JY87" s="96"/>
      <c r="JZ87" s="96"/>
      <c r="KA87" s="96"/>
      <c r="KB87" s="96"/>
      <c r="KC87" s="96"/>
      <c r="KD87" s="96"/>
      <c r="KE87" s="96"/>
      <c r="KF87" s="96"/>
      <c r="KG87" s="96"/>
      <c r="KH87" s="96"/>
      <c r="KI87" s="96"/>
      <c r="KJ87" s="96"/>
      <c r="KK87" s="96"/>
      <c r="KL87" s="96"/>
      <c r="KM87" s="96"/>
      <c r="KN87" s="96"/>
      <c r="KO87" s="96"/>
      <c r="KP87" s="96"/>
      <c r="KQ87" s="96"/>
      <c r="KR87" s="96"/>
      <c r="KS87" s="96"/>
      <c r="KT87" s="96"/>
      <c r="KU87" s="96"/>
      <c r="KV87" s="96"/>
      <c r="KW87" s="96"/>
      <c r="KX87" s="96"/>
      <c r="KY87" s="96"/>
      <c r="KZ87" s="96"/>
      <c r="LA87" s="96"/>
      <c r="LB87" s="96"/>
      <c r="LC87" s="96"/>
    </row>
    <row r="88" spans="1:315" ht="15.75" x14ac:dyDescent="0.25">
      <c r="A88" s="90" t="s">
        <v>6</v>
      </c>
      <c r="B88" s="95">
        <v>2098</v>
      </c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  <c r="IX88" s="96"/>
      <c r="IY88" s="96"/>
      <c r="IZ88" s="96"/>
      <c r="JA88" s="96"/>
      <c r="JB88" s="96"/>
      <c r="JC88" s="96"/>
      <c r="JD88" s="96"/>
      <c r="JE88" s="96"/>
      <c r="JF88" s="96"/>
      <c r="JG88" s="96"/>
      <c r="JH88" s="96"/>
      <c r="JI88" s="96"/>
      <c r="JJ88" s="96"/>
      <c r="JK88" s="96"/>
      <c r="JL88" s="96"/>
      <c r="JM88" s="96"/>
      <c r="JN88" s="96"/>
      <c r="JO88" s="96"/>
      <c r="JP88" s="96"/>
      <c r="JQ88" s="96"/>
      <c r="JR88" s="96"/>
      <c r="JS88" s="96"/>
      <c r="JT88" s="96"/>
      <c r="JU88" s="96"/>
      <c r="JV88" s="96"/>
      <c r="JW88" s="96"/>
      <c r="JX88" s="96"/>
      <c r="JY88" s="96"/>
      <c r="JZ88" s="96"/>
      <c r="KA88" s="96"/>
      <c r="KB88" s="96"/>
      <c r="KC88" s="96"/>
      <c r="KD88" s="96"/>
      <c r="KE88" s="96"/>
      <c r="KF88" s="96"/>
      <c r="KG88" s="96"/>
      <c r="KH88" s="96"/>
      <c r="KI88" s="96"/>
      <c r="KJ88" s="96"/>
      <c r="KK88" s="96"/>
      <c r="KL88" s="96"/>
      <c r="KM88" s="96"/>
      <c r="KN88" s="96"/>
      <c r="KO88" s="96"/>
      <c r="KP88" s="96"/>
      <c r="KQ88" s="96"/>
      <c r="KR88" s="96"/>
      <c r="KS88" s="96"/>
      <c r="KT88" s="96"/>
      <c r="KU88" s="96"/>
      <c r="KV88" s="96"/>
      <c r="KW88" s="96"/>
      <c r="KX88" s="96"/>
      <c r="KY88" s="96"/>
      <c r="KZ88" s="96"/>
      <c r="LA88" s="96"/>
      <c r="LB88" s="96"/>
      <c r="LC88" s="96"/>
    </row>
    <row r="89" spans="1:315" ht="15.75" x14ac:dyDescent="0.25">
      <c r="A89" s="90" t="s">
        <v>6</v>
      </c>
      <c r="B89" s="95">
        <v>2099</v>
      </c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  <c r="GP89" s="96"/>
      <c r="GQ89" s="96"/>
      <c r="GR89" s="96"/>
      <c r="GS89" s="96"/>
      <c r="GT89" s="96"/>
      <c r="GU89" s="96"/>
      <c r="GV89" s="96"/>
      <c r="GW89" s="96"/>
      <c r="GX89" s="96"/>
      <c r="GY89" s="96"/>
      <c r="GZ89" s="96"/>
      <c r="HA89" s="96"/>
      <c r="HB89" s="96"/>
      <c r="HC89" s="96"/>
      <c r="HD89" s="96"/>
      <c r="HE89" s="96"/>
      <c r="HF89" s="96"/>
      <c r="HG89" s="96"/>
      <c r="HH89" s="96"/>
      <c r="HI89" s="96"/>
      <c r="HJ89" s="96"/>
      <c r="HK89" s="96"/>
      <c r="HL89" s="96"/>
      <c r="HM89" s="96"/>
      <c r="HN89" s="96"/>
      <c r="HO89" s="96"/>
      <c r="HP89" s="96"/>
      <c r="HQ89" s="96"/>
      <c r="HR89" s="96"/>
      <c r="HS89" s="96"/>
      <c r="HT89" s="96"/>
      <c r="HU89" s="96"/>
      <c r="HV89" s="96"/>
      <c r="HW89" s="96"/>
      <c r="HX89" s="96"/>
      <c r="HY89" s="96"/>
      <c r="HZ89" s="96"/>
      <c r="IA89" s="96"/>
      <c r="IB89" s="96"/>
      <c r="IC89" s="96"/>
      <c r="ID89" s="96"/>
      <c r="IE89" s="96"/>
      <c r="IF89" s="96"/>
      <c r="IG89" s="96"/>
      <c r="IH89" s="96"/>
      <c r="II89" s="96"/>
      <c r="IJ89" s="96"/>
      <c r="IK89" s="96"/>
      <c r="IL89" s="96"/>
      <c r="IM89" s="96"/>
      <c r="IN89" s="96"/>
      <c r="IO89" s="96"/>
      <c r="IP89" s="96"/>
      <c r="IQ89" s="96"/>
      <c r="IR89" s="96"/>
      <c r="IS89" s="96"/>
      <c r="IT89" s="96"/>
      <c r="IU89" s="96"/>
      <c r="IV89" s="96"/>
      <c r="IW89" s="96"/>
      <c r="IX89" s="96"/>
      <c r="IY89" s="96"/>
      <c r="IZ89" s="96"/>
      <c r="JA89" s="96"/>
      <c r="JB89" s="96"/>
      <c r="JC89" s="96"/>
      <c r="JD89" s="96"/>
      <c r="JE89" s="96"/>
      <c r="JF89" s="96"/>
      <c r="JG89" s="96"/>
      <c r="JH89" s="96"/>
      <c r="JI89" s="96"/>
      <c r="JJ89" s="96"/>
      <c r="JK89" s="96"/>
      <c r="JL89" s="96"/>
      <c r="JM89" s="96"/>
      <c r="JN89" s="96"/>
      <c r="JO89" s="96"/>
      <c r="JP89" s="96"/>
      <c r="JQ89" s="96"/>
      <c r="JR89" s="96"/>
      <c r="JS89" s="96"/>
      <c r="JT89" s="96"/>
      <c r="JU89" s="96"/>
      <c r="JV89" s="96"/>
      <c r="JW89" s="96"/>
      <c r="JX89" s="96"/>
      <c r="JY89" s="96"/>
      <c r="JZ89" s="96"/>
      <c r="KA89" s="96"/>
      <c r="KB89" s="96"/>
      <c r="KC89" s="96"/>
      <c r="KD89" s="96"/>
      <c r="KE89" s="96"/>
      <c r="KF89" s="96"/>
      <c r="KG89" s="96"/>
      <c r="KH89" s="96"/>
      <c r="KI89" s="96"/>
      <c r="KJ89" s="96"/>
      <c r="KK89" s="96"/>
      <c r="KL89" s="96"/>
      <c r="KM89" s="96"/>
      <c r="KN89" s="96"/>
      <c r="KO89" s="96"/>
      <c r="KP89" s="96"/>
      <c r="KQ89" s="96"/>
      <c r="KR89" s="96"/>
      <c r="KS89" s="96"/>
      <c r="KT89" s="96"/>
      <c r="KU89" s="96"/>
      <c r="KV89" s="96"/>
      <c r="KW89" s="96"/>
      <c r="KX89" s="96"/>
      <c r="KY89" s="96"/>
      <c r="KZ89" s="96"/>
      <c r="LA89" s="96"/>
      <c r="LB89" s="96"/>
      <c r="LC89" s="96"/>
    </row>
    <row r="90" spans="1:315" ht="16.5" thickBot="1" x14ac:dyDescent="0.3">
      <c r="A90" s="90" t="s">
        <v>6</v>
      </c>
      <c r="B90" s="91">
        <v>2100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  <c r="GP90" s="96"/>
      <c r="GQ90" s="96"/>
      <c r="GR90" s="96"/>
      <c r="GS90" s="96"/>
      <c r="GT90" s="96"/>
      <c r="GU90" s="96"/>
      <c r="GV90" s="96"/>
      <c r="GW90" s="96"/>
      <c r="GX90" s="96"/>
      <c r="GY90" s="96"/>
      <c r="GZ90" s="96"/>
      <c r="HA90" s="96"/>
      <c r="HB90" s="96"/>
      <c r="HC90" s="96"/>
      <c r="HD90" s="96"/>
      <c r="HE90" s="96"/>
      <c r="HF90" s="96"/>
      <c r="HG90" s="96"/>
      <c r="HH90" s="96"/>
      <c r="HI90" s="96"/>
      <c r="HJ90" s="96"/>
      <c r="HK90" s="96"/>
      <c r="HL90" s="96"/>
      <c r="HM90" s="96"/>
      <c r="HN90" s="96"/>
      <c r="HO90" s="96"/>
      <c r="HP90" s="96"/>
      <c r="HQ90" s="96"/>
      <c r="HR90" s="96"/>
      <c r="HS90" s="96"/>
      <c r="HT90" s="96"/>
      <c r="HU90" s="96"/>
      <c r="HV90" s="96"/>
      <c r="HW90" s="96"/>
      <c r="HX90" s="96"/>
      <c r="HY90" s="96"/>
      <c r="HZ90" s="96"/>
      <c r="IA90" s="96"/>
      <c r="IB90" s="96"/>
      <c r="IC90" s="96"/>
      <c r="ID90" s="96"/>
      <c r="IE90" s="96"/>
      <c r="IF90" s="96"/>
      <c r="IG90" s="96"/>
      <c r="IH90" s="96"/>
      <c r="II90" s="96"/>
      <c r="IJ90" s="96"/>
      <c r="IK90" s="96"/>
      <c r="IL90" s="96"/>
      <c r="IM90" s="96"/>
      <c r="IN90" s="96"/>
      <c r="IO90" s="96"/>
      <c r="IP90" s="96"/>
      <c r="IQ90" s="96"/>
      <c r="IR90" s="96"/>
      <c r="IS90" s="96"/>
      <c r="IT90" s="96"/>
      <c r="IU90" s="96"/>
      <c r="IV90" s="96"/>
      <c r="IW90" s="96"/>
      <c r="IX90" s="96"/>
      <c r="IY90" s="96"/>
      <c r="IZ90" s="96"/>
      <c r="JA90" s="96"/>
      <c r="JB90" s="96"/>
      <c r="JC90" s="96"/>
      <c r="JD90" s="96"/>
      <c r="JE90" s="96"/>
      <c r="JF90" s="96"/>
      <c r="JG90" s="96"/>
      <c r="JH90" s="96"/>
      <c r="JI90" s="96"/>
      <c r="JJ90" s="96"/>
      <c r="JK90" s="96"/>
      <c r="JL90" s="96"/>
      <c r="JM90" s="96"/>
      <c r="JN90" s="96"/>
      <c r="JO90" s="96"/>
      <c r="JP90" s="96"/>
      <c r="JQ90" s="96"/>
      <c r="JR90" s="96"/>
      <c r="JS90" s="96"/>
      <c r="JT90" s="96"/>
      <c r="JU90" s="96"/>
      <c r="JV90" s="96"/>
      <c r="JW90" s="96"/>
      <c r="JX90" s="96"/>
      <c r="JY90" s="96"/>
      <c r="JZ90" s="96"/>
      <c r="KA90" s="96"/>
      <c r="KB90" s="96"/>
      <c r="KC90" s="96"/>
      <c r="KD90" s="96"/>
      <c r="KE90" s="96"/>
      <c r="KF90" s="96"/>
      <c r="KG90" s="96"/>
      <c r="KH90" s="96"/>
      <c r="KI90" s="96"/>
      <c r="KJ90" s="96"/>
      <c r="KK90" s="96"/>
      <c r="KL90" s="96"/>
      <c r="KM90" s="96"/>
      <c r="KN90" s="96"/>
      <c r="KO90" s="96"/>
      <c r="KP90" s="96"/>
      <c r="KQ90" s="96"/>
      <c r="KR90" s="96"/>
      <c r="KS90" s="96"/>
      <c r="KT90" s="96"/>
      <c r="KU90" s="96"/>
      <c r="KV90" s="96"/>
      <c r="KW90" s="96"/>
      <c r="KX90" s="96"/>
      <c r="KY90" s="96"/>
      <c r="KZ90" s="96"/>
      <c r="LA90" s="96"/>
      <c r="LB90" s="96"/>
      <c r="LC90" s="96"/>
    </row>
  </sheetData>
  <mergeCells count="1">
    <mergeCell ref="B1:B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sPremissas"/>
  <dimension ref="B2:U65"/>
  <sheetViews>
    <sheetView workbookViewId="0">
      <selection activeCell="L32" sqref="L32"/>
    </sheetView>
  </sheetViews>
  <sheetFormatPr defaultRowHeight="15" x14ac:dyDescent="0.25"/>
  <cols>
    <col min="2" max="2" width="32.42578125" customWidth="1"/>
    <col min="3" max="3" width="16.140625" customWidth="1"/>
    <col min="4" max="5" width="12.28515625" customWidth="1"/>
    <col min="6" max="6" width="2" customWidth="1"/>
    <col min="7" max="7" width="26.5703125" bestFit="1" customWidth="1"/>
    <col min="8" max="9" width="11.140625" customWidth="1"/>
    <col min="10" max="10" width="5.7109375" customWidth="1"/>
    <col min="21" max="21" width="17.7109375" bestFit="1" customWidth="1"/>
  </cols>
  <sheetData>
    <row r="2" spans="2:21" x14ac:dyDescent="0.25">
      <c r="B2" s="6" t="s">
        <v>27</v>
      </c>
      <c r="C2" s="6"/>
      <c r="D2" s="6"/>
      <c r="E2" s="6"/>
      <c r="U2" s="10" t="s">
        <v>6</v>
      </c>
    </row>
    <row r="3" spans="2:21" x14ac:dyDescent="0.25">
      <c r="B3" s="1" t="s">
        <v>4</v>
      </c>
      <c r="C3" s="2">
        <f ca="1">RESULTADOS!C3</f>
        <v>43550</v>
      </c>
      <c r="D3" s="6"/>
      <c r="E3" s="6"/>
      <c r="U3" s="11" t="s">
        <v>7</v>
      </c>
    </row>
    <row r="5" spans="2:21" x14ac:dyDescent="0.25">
      <c r="B5" s="6" t="s">
        <v>25</v>
      </c>
      <c r="C5" s="6"/>
      <c r="D5" s="6"/>
      <c r="E5" s="6"/>
      <c r="U5" s="10" t="s">
        <v>18</v>
      </c>
    </row>
    <row r="6" spans="2:21" x14ac:dyDescent="0.25">
      <c r="B6" s="9" t="s">
        <v>83</v>
      </c>
      <c r="C6" s="30" t="s">
        <v>84</v>
      </c>
      <c r="D6" s="30" t="s">
        <v>85</v>
      </c>
      <c r="E6" s="6"/>
      <c r="U6" s="11" t="s">
        <v>19</v>
      </c>
    </row>
    <row r="7" spans="2:21" x14ac:dyDescent="0.25">
      <c r="B7" s="1" t="s">
        <v>88</v>
      </c>
      <c r="C7" s="36"/>
      <c r="D7" s="2">
        <v>34546</v>
      </c>
      <c r="E7" s="6"/>
    </row>
    <row r="8" spans="2:21" x14ac:dyDescent="0.25">
      <c r="B8" s="1" t="s">
        <v>61</v>
      </c>
      <c r="C8" s="2">
        <v>36145</v>
      </c>
      <c r="D8" s="2">
        <v>36145</v>
      </c>
      <c r="E8" s="6"/>
      <c r="U8" s="73">
        <v>7.4999999999999997E-2</v>
      </c>
    </row>
    <row r="9" spans="2:21" x14ac:dyDescent="0.25">
      <c r="B9" s="1" t="s">
        <v>11</v>
      </c>
      <c r="C9" s="2">
        <v>37974</v>
      </c>
      <c r="D9" s="2">
        <v>37987</v>
      </c>
      <c r="E9" s="6"/>
      <c r="U9" s="73">
        <v>0.08</v>
      </c>
    </row>
    <row r="10" spans="2:21" x14ac:dyDescent="0.25">
      <c r="B10" s="1" t="s">
        <v>109</v>
      </c>
      <c r="C10" s="2">
        <v>41309</v>
      </c>
      <c r="D10" s="2">
        <v>41309</v>
      </c>
      <c r="E10" s="6"/>
      <c r="U10" s="73">
        <v>8.5000000000000006E-2</v>
      </c>
    </row>
    <row r="12" spans="2:21" x14ac:dyDescent="0.25">
      <c r="B12" s="6" t="s">
        <v>26</v>
      </c>
      <c r="C12" s="6"/>
      <c r="D12" s="6"/>
      <c r="E12" s="6"/>
      <c r="U12" s="1" t="s">
        <v>166</v>
      </c>
    </row>
    <row r="13" spans="2:21" x14ac:dyDescent="0.25">
      <c r="B13" s="1" t="s">
        <v>13</v>
      </c>
      <c r="C13" s="4">
        <v>5839.45</v>
      </c>
      <c r="D13" s="6"/>
      <c r="E13" s="6"/>
      <c r="U13" s="1" t="s">
        <v>167</v>
      </c>
    </row>
    <row r="14" spans="2:21" x14ac:dyDescent="0.25">
      <c r="B14" s="1" t="s">
        <v>14</v>
      </c>
      <c r="C14" s="4">
        <v>998</v>
      </c>
      <c r="D14" s="6"/>
      <c r="E14" s="6"/>
    </row>
    <row r="15" spans="2:21" x14ac:dyDescent="0.25">
      <c r="B15" s="171" t="s">
        <v>158</v>
      </c>
      <c r="C15" s="172">
        <v>0.04</v>
      </c>
      <c r="D15" s="6" t="s">
        <v>264</v>
      </c>
      <c r="E15" s="6"/>
      <c r="U15" s="139" t="s">
        <v>244</v>
      </c>
    </row>
    <row r="16" spans="2:21" x14ac:dyDescent="0.25">
      <c r="B16" s="171" t="s">
        <v>157</v>
      </c>
      <c r="C16" s="172">
        <f>(1+C15)^(1/12)-1</f>
        <v>3.2737397821989145E-3</v>
      </c>
      <c r="D16" s="6" t="s">
        <v>264</v>
      </c>
      <c r="E16" s="6"/>
      <c r="U16" s="139" t="s">
        <v>245</v>
      </c>
    </row>
    <row r="17" spans="2:21" x14ac:dyDescent="0.25">
      <c r="B17" s="1" t="s">
        <v>158</v>
      </c>
      <c r="C17" s="102">
        <f>Painel!I70</f>
        <v>0.03</v>
      </c>
      <c r="D17" s="6" t="s">
        <v>265</v>
      </c>
      <c r="E17" s="6"/>
      <c r="G17">
        <v>0</v>
      </c>
      <c r="U17" s="155"/>
    </row>
    <row r="18" spans="2:21" x14ac:dyDescent="0.25">
      <c r="B18" s="1" t="s">
        <v>157</v>
      </c>
      <c r="C18" s="102">
        <f>(1+C17)^(1/12)-1</f>
        <v>2.4662697723036864E-3</v>
      </c>
      <c r="D18" s="6" t="s">
        <v>265</v>
      </c>
      <c r="E18" s="6"/>
      <c r="U18" s="155"/>
    </row>
    <row r="20" spans="2:21" x14ac:dyDescent="0.25">
      <c r="B20" s="6" t="s">
        <v>28</v>
      </c>
      <c r="C20" s="7"/>
      <c r="D20" s="7"/>
      <c r="E20" s="7"/>
    </row>
    <row r="21" spans="2:21" x14ac:dyDescent="0.25">
      <c r="B21" s="7" t="s">
        <v>61</v>
      </c>
      <c r="C21" s="7"/>
      <c r="D21" s="7"/>
      <c r="E21" s="7"/>
      <c r="G21" s="7" t="s">
        <v>11</v>
      </c>
      <c r="H21" s="7"/>
      <c r="I21" s="7"/>
    </row>
    <row r="22" spans="2:21" x14ac:dyDescent="0.25">
      <c r="B22" s="258" t="s">
        <v>9</v>
      </c>
      <c r="C22" s="258"/>
      <c r="D22" s="258"/>
      <c r="E22" s="258"/>
      <c r="G22" s="258" t="s">
        <v>9</v>
      </c>
      <c r="H22" s="258"/>
      <c r="I22" s="258"/>
    </row>
    <row r="23" spans="2:21" x14ac:dyDescent="0.25">
      <c r="B23" s="7"/>
      <c r="C23" s="3" t="s">
        <v>6</v>
      </c>
      <c r="D23" s="3" t="s">
        <v>7</v>
      </c>
      <c r="E23" s="6"/>
      <c r="G23" s="7"/>
      <c r="H23" s="3" t="s">
        <v>6</v>
      </c>
      <c r="I23" s="3" t="s">
        <v>7</v>
      </c>
    </row>
    <row r="24" spans="2:21" x14ac:dyDescent="0.25">
      <c r="B24" s="1" t="s">
        <v>5</v>
      </c>
      <c r="C24" s="3">
        <v>60</v>
      </c>
      <c r="D24" s="3">
        <v>55</v>
      </c>
      <c r="E24" s="6"/>
      <c r="G24" s="1" t="s">
        <v>5</v>
      </c>
      <c r="H24" s="3">
        <v>60</v>
      </c>
      <c r="I24" s="3">
        <v>55</v>
      </c>
    </row>
    <row r="25" spans="2:21" x14ac:dyDescent="0.25">
      <c r="B25" s="1" t="s">
        <v>8</v>
      </c>
      <c r="C25" s="3">
        <v>35</v>
      </c>
      <c r="D25" s="3">
        <v>30</v>
      </c>
      <c r="E25" s="6"/>
      <c r="G25" s="1" t="s">
        <v>8</v>
      </c>
      <c r="H25" s="3">
        <v>35</v>
      </c>
      <c r="I25" s="3">
        <v>30</v>
      </c>
    </row>
    <row r="26" spans="2:21" x14ac:dyDescent="0.25">
      <c r="B26" s="6"/>
      <c r="C26" s="6"/>
      <c r="D26" s="6"/>
      <c r="E26" s="6"/>
      <c r="G26" s="1" t="s">
        <v>106</v>
      </c>
      <c r="H26" s="3">
        <v>10</v>
      </c>
      <c r="I26" s="3">
        <v>10</v>
      </c>
    </row>
    <row r="27" spans="2:21" x14ac:dyDescent="0.25">
      <c r="B27" s="6"/>
      <c r="C27" s="6"/>
      <c r="D27" s="6"/>
      <c r="E27" s="6"/>
      <c r="G27" s="1" t="s">
        <v>107</v>
      </c>
      <c r="H27" s="3">
        <v>5</v>
      </c>
      <c r="I27" s="3">
        <v>5</v>
      </c>
    </row>
    <row r="28" spans="2:21" ht="7.5" customHeight="1" x14ac:dyDescent="0.25">
      <c r="B28" s="7"/>
      <c r="C28" s="8"/>
      <c r="D28" s="8"/>
      <c r="E28" s="6"/>
      <c r="G28" s="7"/>
      <c r="H28" s="8"/>
      <c r="I28" s="8"/>
    </row>
    <row r="29" spans="2:21" x14ac:dyDescent="0.25">
      <c r="B29" s="258" t="s">
        <v>10</v>
      </c>
      <c r="C29" s="258"/>
      <c r="D29" s="258"/>
      <c r="E29" s="258"/>
      <c r="G29" s="258" t="s">
        <v>10</v>
      </c>
      <c r="H29" s="258"/>
      <c r="I29" s="258"/>
    </row>
    <row r="30" spans="2:21" x14ac:dyDescent="0.25">
      <c r="B30" s="7"/>
      <c r="C30" s="3" t="s">
        <v>6</v>
      </c>
      <c r="D30" s="3" t="s">
        <v>7</v>
      </c>
      <c r="E30" s="6"/>
      <c r="G30" s="7"/>
      <c r="H30" s="3" t="s">
        <v>6</v>
      </c>
      <c r="I30" s="3" t="s">
        <v>7</v>
      </c>
    </row>
    <row r="31" spans="2:21" x14ac:dyDescent="0.25">
      <c r="B31" s="1" t="s">
        <v>5</v>
      </c>
      <c r="C31" s="3">
        <v>65</v>
      </c>
      <c r="D31" s="3">
        <v>60</v>
      </c>
      <c r="E31" s="6"/>
      <c r="G31" s="1" t="s">
        <v>5</v>
      </c>
      <c r="H31" s="3">
        <v>65</v>
      </c>
      <c r="I31" s="3">
        <v>60</v>
      </c>
    </row>
    <row r="32" spans="2:21" x14ac:dyDescent="0.25">
      <c r="B32" s="6"/>
      <c r="C32" s="6"/>
      <c r="D32" s="6"/>
      <c r="E32" s="6"/>
      <c r="G32" s="1" t="s">
        <v>106</v>
      </c>
      <c r="H32" s="3">
        <v>10</v>
      </c>
      <c r="I32" s="3">
        <v>10</v>
      </c>
    </row>
    <row r="33" spans="2:9" x14ac:dyDescent="0.25">
      <c r="B33" s="6"/>
      <c r="C33" s="6"/>
      <c r="D33" s="6"/>
      <c r="E33" s="6"/>
      <c r="G33" s="1" t="s">
        <v>107</v>
      </c>
      <c r="H33" s="3">
        <v>5</v>
      </c>
      <c r="I33" s="3">
        <v>5</v>
      </c>
    </row>
    <row r="35" spans="2:9" x14ac:dyDescent="0.25">
      <c r="B35" s="6" t="s">
        <v>181</v>
      </c>
      <c r="C35" s="7"/>
      <c r="D35" s="7"/>
      <c r="E35" s="7"/>
    </row>
    <row r="36" spans="2:9" x14ac:dyDescent="0.25">
      <c r="B36" s="258" t="s">
        <v>9</v>
      </c>
      <c r="C36" s="258"/>
      <c r="D36" s="258"/>
      <c r="E36" s="258"/>
    </row>
    <row r="37" spans="2:9" x14ac:dyDescent="0.25">
      <c r="B37" s="1" t="s">
        <v>8</v>
      </c>
      <c r="C37" s="3">
        <v>0</v>
      </c>
      <c r="D37" s="6"/>
      <c r="E37" s="6"/>
    </row>
    <row r="38" spans="2:9" x14ac:dyDescent="0.25">
      <c r="B38" s="1" t="s">
        <v>184</v>
      </c>
      <c r="C38" s="37">
        <v>140.28</v>
      </c>
      <c r="D38" s="6"/>
      <c r="E38" s="6"/>
    </row>
    <row r="39" spans="2:9" x14ac:dyDescent="0.25">
      <c r="B39" s="6" t="s">
        <v>29</v>
      </c>
      <c r="C39" s="6"/>
      <c r="D39" s="6"/>
      <c r="E39" s="6"/>
    </row>
    <row r="40" spans="2:9" x14ac:dyDescent="0.25">
      <c r="B40" s="258" t="s">
        <v>31</v>
      </c>
      <c r="C40" s="258"/>
      <c r="D40" s="258"/>
      <c r="E40" s="258"/>
    </row>
    <row r="41" spans="2:9" ht="45" x14ac:dyDescent="0.25">
      <c r="B41" s="17" t="s">
        <v>32</v>
      </c>
      <c r="C41" s="17" t="s">
        <v>33</v>
      </c>
      <c r="D41" s="17" t="s">
        <v>34</v>
      </c>
      <c r="E41" s="17" t="s">
        <v>58</v>
      </c>
    </row>
    <row r="42" spans="2:9" x14ac:dyDescent="0.25">
      <c r="B42" s="12">
        <v>22847.759999999998</v>
      </c>
      <c r="C42" s="13">
        <f>B42/12</f>
        <v>1903.9799999999998</v>
      </c>
      <c r="D42" s="16">
        <v>0</v>
      </c>
      <c r="E42" s="13">
        <v>0</v>
      </c>
    </row>
    <row r="43" spans="2:9" x14ac:dyDescent="0.25">
      <c r="B43" s="12">
        <v>33919.800000000003</v>
      </c>
      <c r="C43" s="13">
        <f>B43/12</f>
        <v>2826.65</v>
      </c>
      <c r="D43" s="16">
        <v>7.4999999999999997E-2</v>
      </c>
      <c r="E43" s="13">
        <v>142.80000000000001</v>
      </c>
    </row>
    <row r="44" spans="2:9" x14ac:dyDescent="0.25">
      <c r="B44" s="12">
        <v>45012.6</v>
      </c>
      <c r="C44" s="13">
        <f>B44/12</f>
        <v>3751.0499999999997</v>
      </c>
      <c r="D44" s="16">
        <v>0.15</v>
      </c>
      <c r="E44" s="13">
        <v>354.8</v>
      </c>
    </row>
    <row r="45" spans="2:9" x14ac:dyDescent="0.25">
      <c r="B45" s="14">
        <v>55976.160000000003</v>
      </c>
      <c r="C45" s="13">
        <f>B45/12</f>
        <v>4664.68</v>
      </c>
      <c r="D45" s="16">
        <v>0.22500000000000001</v>
      </c>
      <c r="E45" s="13">
        <v>636.13</v>
      </c>
    </row>
    <row r="46" spans="2:9" x14ac:dyDescent="0.25">
      <c r="B46" s="15" t="s">
        <v>35</v>
      </c>
      <c r="C46" s="15" t="s">
        <v>36</v>
      </c>
      <c r="D46" s="16">
        <v>0.27500000000000002</v>
      </c>
      <c r="E46" s="13">
        <v>869.36</v>
      </c>
    </row>
    <row r="47" spans="2:9" ht="7.5" customHeight="1" x14ac:dyDescent="0.25">
      <c r="B47" s="7"/>
      <c r="C47" s="8"/>
      <c r="D47" s="8"/>
      <c r="E47" s="8"/>
    </row>
    <row r="48" spans="2:9" x14ac:dyDescent="0.25">
      <c r="B48" s="258" t="s">
        <v>30</v>
      </c>
      <c r="C48" s="258"/>
      <c r="D48" s="258"/>
      <c r="E48" s="258"/>
    </row>
    <row r="49" spans="2:7" x14ac:dyDescent="0.25">
      <c r="B49" s="17" t="s">
        <v>37</v>
      </c>
      <c r="C49" s="17" t="s">
        <v>34</v>
      </c>
      <c r="D49" s="8"/>
      <c r="E49" s="8"/>
    </row>
    <row r="50" spans="2:7" x14ac:dyDescent="0.25">
      <c r="B50" s="18">
        <v>2</v>
      </c>
      <c r="C50" s="16">
        <v>0.35</v>
      </c>
      <c r="D50" s="8"/>
      <c r="E50" s="8"/>
    </row>
    <row r="51" spans="2:7" x14ac:dyDescent="0.25">
      <c r="B51" s="18">
        <v>4</v>
      </c>
      <c r="C51" s="16">
        <v>0.3</v>
      </c>
      <c r="D51" s="8"/>
      <c r="E51" s="8"/>
    </row>
    <row r="52" spans="2:7" x14ac:dyDescent="0.25">
      <c r="B52" s="18">
        <v>6</v>
      </c>
      <c r="C52" s="16">
        <v>0.25</v>
      </c>
      <c r="D52" s="8"/>
      <c r="E52" s="8"/>
    </row>
    <row r="53" spans="2:7" x14ac:dyDescent="0.25">
      <c r="B53" s="19">
        <v>8</v>
      </c>
      <c r="C53" s="16">
        <v>0.2</v>
      </c>
      <c r="D53" s="8"/>
      <c r="E53" s="8"/>
    </row>
    <row r="54" spans="2:7" x14ac:dyDescent="0.25">
      <c r="B54" s="20">
        <v>10</v>
      </c>
      <c r="C54" s="16">
        <v>0.15</v>
      </c>
      <c r="D54" s="8"/>
      <c r="E54" s="8"/>
    </row>
    <row r="55" spans="2:7" x14ac:dyDescent="0.25">
      <c r="B55" s="20" t="s">
        <v>198</v>
      </c>
      <c r="C55" s="16">
        <v>0.1</v>
      </c>
      <c r="D55" s="8"/>
      <c r="E55" s="8"/>
    </row>
    <row r="56" spans="2:7" x14ac:dyDescent="0.25">
      <c r="B56" s="6" t="s">
        <v>38</v>
      </c>
      <c r="C56" s="6"/>
      <c r="D56" s="6"/>
      <c r="E56" s="6"/>
    </row>
    <row r="57" spans="2:7" x14ac:dyDescent="0.25">
      <c r="B57" s="18" t="s">
        <v>39</v>
      </c>
      <c r="C57" s="16">
        <f>Painel!I25</f>
        <v>0</v>
      </c>
      <c r="D57" s="6"/>
      <c r="E57" s="6"/>
    </row>
    <row r="59" spans="2:7" x14ac:dyDescent="0.25">
      <c r="B59" s="6" t="s">
        <v>180</v>
      </c>
      <c r="C59" s="6"/>
      <c r="D59" s="6"/>
      <c r="E59" s="6"/>
    </row>
    <row r="60" spans="2:7" x14ac:dyDescent="0.25">
      <c r="B60" s="83" t="s">
        <v>171</v>
      </c>
      <c r="C60" s="16">
        <v>7.0000000000000007E-2</v>
      </c>
      <c r="D60" s="43" t="s">
        <v>141</v>
      </c>
      <c r="E60" s="43"/>
    </row>
    <row r="61" spans="2:7" x14ac:dyDescent="0.25">
      <c r="B61" s="83" t="s">
        <v>172</v>
      </c>
      <c r="C61" s="16">
        <v>0</v>
      </c>
      <c r="D61" s="43" t="s">
        <v>182</v>
      </c>
      <c r="E61" s="43"/>
    </row>
    <row r="62" spans="2:7" x14ac:dyDescent="0.25">
      <c r="B62" s="83" t="s">
        <v>140</v>
      </c>
      <c r="C62" s="16">
        <v>3.0499999999999999E-2</v>
      </c>
      <c r="D62" s="43" t="s">
        <v>142</v>
      </c>
      <c r="E62" s="43"/>
      <c r="G62" s="142"/>
    </row>
    <row r="64" spans="2:7" x14ac:dyDescent="0.25">
      <c r="B64" s="6" t="s">
        <v>179</v>
      </c>
      <c r="C64" s="6"/>
      <c r="D64" s="6"/>
      <c r="E64" s="6"/>
    </row>
    <row r="65" spans="2:5" x14ac:dyDescent="0.25">
      <c r="B65" s="83" t="s">
        <v>178</v>
      </c>
      <c r="C65" s="16">
        <v>0.11</v>
      </c>
      <c r="D65" s="43" t="s">
        <v>141</v>
      </c>
      <c r="E65" s="43"/>
    </row>
  </sheetData>
  <mergeCells count="7">
    <mergeCell ref="B40:E40"/>
    <mergeCell ref="B48:E48"/>
    <mergeCell ref="G22:I22"/>
    <mergeCell ref="G29:I29"/>
    <mergeCell ref="B22:E22"/>
    <mergeCell ref="B29:E29"/>
    <mergeCell ref="B36:E36"/>
  </mergeCells>
  <conditionalFormatting sqref="K31:L31">
    <cfRule type="expression" priority="1">
      <formula>"RESULTADOS!$C$15=PREMISSAS!$U$12"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B3:O25"/>
  <sheetViews>
    <sheetView workbookViewId="0">
      <selection activeCell="L32" sqref="L32"/>
    </sheetView>
  </sheetViews>
  <sheetFormatPr defaultRowHeight="15" x14ac:dyDescent="0.25"/>
  <cols>
    <col min="1" max="1" width="3.5703125" customWidth="1"/>
    <col min="2" max="2" width="44.28515625" bestFit="1" customWidth="1"/>
    <col min="3" max="3" width="22.7109375" bestFit="1" customWidth="1"/>
    <col min="4" max="4" width="18" customWidth="1"/>
    <col min="5" max="5" width="10.7109375" bestFit="1" customWidth="1"/>
    <col min="8" max="8" width="2.85546875" customWidth="1"/>
    <col min="9" max="9" width="37.28515625" customWidth="1"/>
    <col min="10" max="10" width="15" customWidth="1"/>
    <col min="11" max="11" width="11.5703125" customWidth="1"/>
  </cols>
  <sheetData>
    <row r="3" spans="2:15" ht="15.75" thickBot="1" x14ac:dyDescent="0.3"/>
    <row r="4" spans="2:15" ht="15.75" thickBot="1" x14ac:dyDescent="0.3">
      <c r="B4" s="262" t="s">
        <v>163</v>
      </c>
      <c r="C4" s="263"/>
      <c r="I4" s="259" t="s">
        <v>123</v>
      </c>
      <c r="J4" s="261"/>
    </row>
    <row r="5" spans="2:15" x14ac:dyDescent="0.25">
      <c r="B5" s="110" t="s">
        <v>110</v>
      </c>
      <c r="C5" s="111">
        <f ca="1">C6/12</f>
        <v>44.166666666666664</v>
      </c>
      <c r="D5" s="45"/>
      <c r="I5" s="266" t="s">
        <v>127</v>
      </c>
      <c r="J5" s="267"/>
    </row>
    <row r="6" spans="2:15" x14ac:dyDescent="0.25">
      <c r="B6" s="53" t="s">
        <v>20</v>
      </c>
      <c r="C6" s="112">
        <f ca="1">INT(YEARFRAC(RESULTADOS!C5,PREMISSAS!$C$3,1)*12)</f>
        <v>530</v>
      </c>
      <c r="I6" s="53" t="s">
        <v>148</v>
      </c>
      <c r="J6" s="68">
        <f ca="1">VLOOKUP(EOMONTH(J17,0),'CÁLCULO FUNPRESP'!$B$5:$L$700,10,FALSE)</f>
        <v>0</v>
      </c>
      <c r="K6" s="138"/>
    </row>
    <row r="7" spans="2:15" x14ac:dyDescent="0.25">
      <c r="B7" s="113" t="s">
        <v>111</v>
      </c>
      <c r="C7" s="114">
        <f ca="1">C8/12</f>
        <v>16.666666666666668</v>
      </c>
      <c r="D7" s="45"/>
      <c r="E7" s="45"/>
      <c r="I7" s="53" t="s">
        <v>149</v>
      </c>
      <c r="J7" s="68">
        <f ca="1">VLOOKUP(EOMONTH(J17,0),'CÁLCULO FUNPRESP'!$B$5:$L$700,11,FALSE)</f>
        <v>0</v>
      </c>
    </row>
    <row r="8" spans="2:15" x14ac:dyDescent="0.25">
      <c r="B8" s="53" t="s">
        <v>21</v>
      </c>
      <c r="C8" s="112">
        <f ca="1">INT(YEARFRAC(RESULTADOS!C8,PREMISSAS!$C$3,1)*12)+IF(RESULTADOS!C13="SIM",RESULTADOS!C14*12+RESULTADOS!C15,0)</f>
        <v>200</v>
      </c>
      <c r="I8" s="53" t="s">
        <v>150</v>
      </c>
      <c r="J8" s="68">
        <f ca="1">J6*(35/(IF(RESULTADOS!C6="M",PREMISSAS!C25,PREMISSAS!D25)-IF(RESULTADOS!C12="SIM",5,0))-1)</f>
        <v>0</v>
      </c>
    </row>
    <row r="9" spans="2:15" x14ac:dyDescent="0.25">
      <c r="B9" s="113" t="s">
        <v>112</v>
      </c>
      <c r="C9" s="114">
        <f ca="1">C10/12</f>
        <v>16.666666666666668</v>
      </c>
      <c r="I9" s="53" t="s">
        <v>153</v>
      </c>
      <c r="J9" s="68">
        <f ca="1">VLOOKUP(YEAR(C20),IF(RESULTADOS!$C$6="M",'Tabua(masc)'!$B$3:$MY$90,'Tabua(fem)'!$B$3:$MY$90),C19-540+2,FALSE)</f>
        <v>281.33999999999997</v>
      </c>
      <c r="K9" s="138"/>
    </row>
    <row r="10" spans="2:15" x14ac:dyDescent="0.25">
      <c r="B10" s="53" t="s">
        <v>113</v>
      </c>
      <c r="C10" s="112">
        <f ca="1">INT(YEARFRAC(RESULTADOS!C8,PREMISSAS!$C$3,1)*12)</f>
        <v>200</v>
      </c>
      <c r="I10" s="53" t="s">
        <v>154</v>
      </c>
      <c r="J10" s="68">
        <f ca="1">((1-(1+PREMISSAS!$C$16)^(-INT(J9)))/PREMISSAS!$C$16)*(13/12)</f>
        <v>198.83101227432167</v>
      </c>
      <c r="K10" s="138"/>
    </row>
    <row r="11" spans="2:15" x14ac:dyDescent="0.25">
      <c r="B11" s="113" t="s">
        <v>114</v>
      </c>
      <c r="C11" s="114">
        <f ca="1">C12/12</f>
        <v>16.666666666666668</v>
      </c>
      <c r="I11" s="53" t="s">
        <v>155</v>
      </c>
      <c r="J11" s="68">
        <f ca="1">IF(J7&gt;0,J10,0)</f>
        <v>0</v>
      </c>
      <c r="K11" s="168"/>
    </row>
    <row r="12" spans="2:15" ht="15.75" thickBot="1" x14ac:dyDescent="0.3">
      <c r="B12" s="55" t="s">
        <v>115</v>
      </c>
      <c r="C12" s="58">
        <f ca="1">INT(YEARFRAC(RESULTADOS!C10,PREMISSAS!$C$3,1)*12)</f>
        <v>200</v>
      </c>
      <c r="I12" s="74" t="s">
        <v>128</v>
      </c>
      <c r="J12" s="255">
        <f ca="1">(J6+J8)/J10</f>
        <v>0</v>
      </c>
      <c r="L12" s="45"/>
    </row>
    <row r="13" spans="2:15" ht="15.75" thickBot="1" x14ac:dyDescent="0.3">
      <c r="I13" s="85" t="s">
        <v>147</v>
      </c>
      <c r="J13" s="86">
        <f ca="1">IF(J7=0,0,J7/J11)</f>
        <v>0</v>
      </c>
      <c r="K13" s="45"/>
      <c r="L13" s="45"/>
      <c r="N13" s="45"/>
      <c r="O13" s="46"/>
    </row>
    <row r="14" spans="2:15" ht="15.75" thickBot="1" x14ac:dyDescent="0.3">
      <c r="B14" s="259" t="s">
        <v>23</v>
      </c>
      <c r="C14" s="260"/>
      <c r="D14" s="261"/>
      <c r="O14" s="46"/>
    </row>
    <row r="15" spans="2:15" ht="15.75" thickBot="1" x14ac:dyDescent="0.3">
      <c r="B15" s="49" t="s">
        <v>121</v>
      </c>
      <c r="C15" s="48" t="str">
        <f>IF(RESULTADOS!$C$8&lt;=PREMISSAS!$D$8,"Cai nesta","")</f>
        <v/>
      </c>
      <c r="D15" s="50" t="str">
        <f>IF(RESULTADOS!$C$8&gt;PREMISSAS!$D$8,"Cai nesta","")</f>
        <v>Cai nesta</v>
      </c>
      <c r="E15" s="45"/>
      <c r="I15" s="259" t="s">
        <v>130</v>
      </c>
      <c r="J15" s="261"/>
    </row>
    <row r="16" spans="2:15" x14ac:dyDescent="0.25">
      <c r="B16" s="51" t="s">
        <v>89</v>
      </c>
      <c r="C16" s="44" t="s">
        <v>299</v>
      </c>
      <c r="D16" s="52" t="s">
        <v>118</v>
      </c>
      <c r="I16" s="75" t="s">
        <v>132</v>
      </c>
      <c r="J16" s="76">
        <f ca="1">MAX(C6+PREMISSAS!$C$37*12,HLOOKUP("Cai nesta",C15:$D$20,5,FALSE))</f>
        <v>750</v>
      </c>
    </row>
    <row r="17" spans="2:11" ht="15.75" thickBot="1" x14ac:dyDescent="0.3">
      <c r="B17" s="53" t="s">
        <v>119</v>
      </c>
      <c r="C17" s="3">
        <f ca="1">C6+MAX(IF(RESULTADOS!$C$6="M",PREMISSAS!C24,PREMISSAS!D24)*12-IF(RESULTADOS!C12="SIM",5,0)*12-C6,IF(RESULTADOS!$C$6="M",PREMISSAS!C25,PREMISSAS!D25)*12-IF(RESULTADOS!C12="SIM",5,0)*12-C8,0)</f>
        <v>750</v>
      </c>
      <c r="D17" s="54">
        <f ca="1">C6+MAX(IF(RESULTADOS!$C$6="M",PREMISSAS!C24,PREMISSAS!D24)*12-IF(RESULTADOS!C12="SIM",5,0)*12-C6,IF(RESULTADOS!$C$6="M",PREMISSAS!C25,PREMISSAS!D25)*12-IF(RESULTADOS!C12="SIM",5,0)*12-C8,PREMISSAS!H26*12-C10,PREMISSAS!H27*12-C12,0)</f>
        <v>750</v>
      </c>
      <c r="E17" s="45">
        <f ca="1">IF(D15="Cai nesta",MIN(D17:D18),MIN(C17:C18))</f>
        <v>750</v>
      </c>
      <c r="F17">
        <v>548</v>
      </c>
      <c r="I17" s="77" t="s">
        <v>133</v>
      </c>
      <c r="J17" s="79">
        <f ca="1">MAX(EDATE(RESULTADOS!C5,J16),PREMISSAS!$C$3)</f>
        <v>50241</v>
      </c>
    </row>
    <row r="18" spans="2:11" x14ac:dyDescent="0.25">
      <c r="B18" s="53"/>
      <c r="C18" s="3"/>
      <c r="D18" s="54"/>
    </row>
    <row r="19" spans="2:11" ht="15.75" thickBot="1" x14ac:dyDescent="0.3">
      <c r="B19" s="75" t="s">
        <v>120</v>
      </c>
      <c r="C19" s="23">
        <f ca="1">MIN(75*12,IF(RESULTADOS!L15="SIM",RESULTADOS!$L$16*12,MAX(C17:C18)))</f>
        <v>750</v>
      </c>
      <c r="D19" s="76">
        <f ca="1">MIN(75*12,IF(RESULTADOS!L15="SIM",RESULTADOS!$L$16*12,MAX(D17:D18)))</f>
        <v>750</v>
      </c>
      <c r="E19" s="45">
        <f ca="1">MAX(E17:F17)/12</f>
        <v>62.5</v>
      </c>
    </row>
    <row r="20" spans="2:11" ht="15.75" thickBot="1" x14ac:dyDescent="0.3">
      <c r="B20" s="77" t="s">
        <v>131</v>
      </c>
      <c r="C20" s="78">
        <f ca="1">MAX(EDATE(RESULTADOS!C5,C19),PREMISSAS!$C$3)</f>
        <v>50241</v>
      </c>
      <c r="D20" s="79">
        <f ca="1">MAX(EDATE(RESULTADOS!C5,D19),PREMISSAS!$C$3)</f>
        <v>50241</v>
      </c>
      <c r="I20" s="259" t="s">
        <v>124</v>
      </c>
      <c r="J20" s="261"/>
    </row>
    <row r="21" spans="2:11" ht="15.75" thickBot="1" x14ac:dyDescent="0.3">
      <c r="I21" s="264" t="s">
        <v>127</v>
      </c>
      <c r="J21" s="265"/>
    </row>
    <row r="22" spans="2:11" ht="15.75" thickBot="1" x14ac:dyDescent="0.3">
      <c r="B22" s="259" t="s">
        <v>122</v>
      </c>
      <c r="C22" s="260"/>
      <c r="D22" s="261"/>
      <c r="I22" s="55" t="s">
        <v>122</v>
      </c>
      <c r="J22" s="60">
        <f ca="1">MAX((VLOOKUP(EOMONTH(PREMISSAS!$C$3,-1),'CÁLCULO RPPS ESPECIAL'!$C$5:$F$654,4,FALSE)-VLOOKUP(EOMONTH(PREMISSAS!$C$3,0),'CÁLCULO RPPS'!$Q$5:$R$628,2,FALSE))*MIN(COUNTIF('CÁLCULO RPPS ESPECIAL'!$D$5:$D$654,"&gt;"&amp;0)/(IF(RESULTADOS!C6="M",455,390)-IF(RESULTADOS!C12="SIM",65,0)),1),0)</f>
        <v>0</v>
      </c>
      <c r="K22" s="163"/>
    </row>
    <row r="23" spans="2:11" x14ac:dyDescent="0.25">
      <c r="B23" s="56" t="s">
        <v>121</v>
      </c>
      <c r="C23" s="47" t="str">
        <f>IF(RESULTADOS!$C$8&lt;=PREMISSAS!$D$9,"Cai nesta","")</f>
        <v>Cai nesta</v>
      </c>
      <c r="D23" s="57" t="str">
        <f>IF(AND(RESULTADOS!$C$8&lt;=PREMISSAS!$D$10,RESULTADOS!$C$8&gt;PREMISSAS!$D$9),"Cai nesta","")</f>
        <v/>
      </c>
    </row>
    <row r="24" spans="2:11" x14ac:dyDescent="0.25">
      <c r="B24" s="61" t="s">
        <v>89</v>
      </c>
      <c r="C24" s="62" t="s">
        <v>101</v>
      </c>
      <c r="D24" s="63" t="s">
        <v>11</v>
      </c>
    </row>
    <row r="25" spans="2:11" ht="15.75" thickBot="1" x14ac:dyDescent="0.3">
      <c r="B25" s="55" t="s">
        <v>122</v>
      </c>
      <c r="C25" s="59">
        <f ca="1">VLOOKUP(EOMONTH($C$20,0),'CÁLCULO RPPS'!$J$5:$K$724,2,FALSE)</f>
        <v>0</v>
      </c>
      <c r="D25" s="60">
        <f ca="1">VLOOKUP(EOMONTH($D$20,0),'CÁLCULO RPPS'!$M$5:$O$724,3,FALSE)</f>
        <v>0</v>
      </c>
      <c r="F25" t="e">
        <f ca="1">D25/C25-1</f>
        <v>#DIV/0!</v>
      </c>
    </row>
  </sheetData>
  <mergeCells count="8">
    <mergeCell ref="B22:D22"/>
    <mergeCell ref="I20:J20"/>
    <mergeCell ref="B4:C4"/>
    <mergeCell ref="I21:J21"/>
    <mergeCell ref="I4:J4"/>
    <mergeCell ref="I5:J5"/>
    <mergeCell ref="I15:J15"/>
    <mergeCell ref="B14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V724"/>
  <sheetViews>
    <sheetView topLeftCell="I1" workbookViewId="0">
      <selection activeCell="R4" sqref="R4"/>
    </sheetView>
  </sheetViews>
  <sheetFormatPr defaultRowHeight="15" x14ac:dyDescent="0.25"/>
  <cols>
    <col min="1" max="1" width="5" customWidth="1"/>
    <col min="2" max="2" width="11.7109375" customWidth="1"/>
    <col min="3" max="3" width="17.42578125" customWidth="1"/>
    <col min="4" max="4" width="2.85546875" customWidth="1"/>
    <col min="5" max="5" width="9.28515625" customWidth="1"/>
    <col min="6" max="6" width="12.140625" customWidth="1"/>
    <col min="7" max="7" width="21.140625" customWidth="1"/>
    <col min="8" max="8" width="27.42578125" bestFit="1" customWidth="1"/>
    <col min="9" max="9" width="2.85546875" customWidth="1"/>
    <col min="10" max="10" width="10" customWidth="1"/>
    <col min="11" max="11" width="16.140625" customWidth="1"/>
    <col min="12" max="12" width="2" customWidth="1"/>
    <col min="13" max="13" width="10" customWidth="1"/>
    <col min="14" max="14" width="27.42578125" bestFit="1" customWidth="1"/>
    <col min="15" max="15" width="20" customWidth="1"/>
    <col min="16" max="16" width="2" customWidth="1"/>
    <col min="18" max="18" width="28.42578125" bestFit="1" customWidth="1"/>
    <col min="19" max="19" width="12" bestFit="1" customWidth="1"/>
    <col min="20" max="21" width="10.5703125" bestFit="1" customWidth="1"/>
  </cols>
  <sheetData>
    <row r="1" spans="2:20" x14ac:dyDescent="0.25">
      <c r="F1" s="141">
        <f ca="1">HLOOKUP("cai nesta",ELEGIBILIDADE!$C$15:$D$20,6,FALSE)</f>
        <v>50241</v>
      </c>
      <c r="G1" s="163"/>
    </row>
    <row r="2" spans="2:20" x14ac:dyDescent="0.25">
      <c r="J2" s="271" t="s">
        <v>90</v>
      </c>
      <c r="K2" s="271"/>
      <c r="L2" s="271"/>
      <c r="M2" s="271"/>
      <c r="N2" s="271"/>
      <c r="O2" s="271"/>
      <c r="P2" s="271"/>
      <c r="Q2" s="271"/>
      <c r="R2" s="271"/>
    </row>
    <row r="3" spans="2:20" x14ac:dyDescent="0.25">
      <c r="B3" s="268" t="s">
        <v>40</v>
      </c>
      <c r="C3" s="268"/>
      <c r="E3" s="269" t="s">
        <v>41</v>
      </c>
      <c r="F3" s="269"/>
      <c r="G3" s="269"/>
      <c r="H3" s="269"/>
      <c r="J3" s="42" t="s">
        <v>89</v>
      </c>
      <c r="K3" s="42" t="s">
        <v>101</v>
      </c>
      <c r="M3" s="42" t="s">
        <v>89</v>
      </c>
      <c r="N3" s="270" t="s">
        <v>11</v>
      </c>
      <c r="O3" s="270"/>
      <c r="Q3" s="42" t="s">
        <v>89</v>
      </c>
      <c r="R3" s="42" t="s">
        <v>102</v>
      </c>
    </row>
    <row r="4" spans="2:20" x14ac:dyDescent="0.25">
      <c r="B4" s="27" t="s">
        <v>24</v>
      </c>
      <c r="C4" s="27" t="s">
        <v>3</v>
      </c>
      <c r="E4" s="35" t="s">
        <v>87</v>
      </c>
      <c r="F4" s="35" t="s">
        <v>24</v>
      </c>
      <c r="G4" s="35" t="s">
        <v>3</v>
      </c>
      <c r="H4" s="35" t="s">
        <v>42</v>
      </c>
      <c r="J4" s="27" t="s">
        <v>24</v>
      </c>
      <c r="K4" s="27" t="s">
        <v>54</v>
      </c>
      <c r="M4" s="27" t="s">
        <v>24</v>
      </c>
      <c r="N4" s="27" t="s">
        <v>42</v>
      </c>
      <c r="O4" s="27" t="s">
        <v>46</v>
      </c>
      <c r="Q4" s="27" t="s">
        <v>24</v>
      </c>
      <c r="R4" s="27" t="s">
        <v>103</v>
      </c>
    </row>
    <row r="5" spans="2:20" x14ac:dyDescent="0.25">
      <c r="B5" s="21">
        <f ca="1">EOMONTH(PREMISSAS!C3,0)</f>
        <v>43555</v>
      </c>
      <c r="C5" s="22">
        <f ca="1">RESULTADOS!C7</f>
        <v>0</v>
      </c>
      <c r="E5" s="18">
        <v>1</v>
      </c>
      <c r="F5" s="21">
        <f>EOMONTH(RESULTADOS!C9,0)</f>
        <v>37468</v>
      </c>
      <c r="G5" s="22">
        <f>IFERROR(VLOOKUP(F5,RESULTADOS!$O$5:$P$543,2,FALSE),VLOOKUP(F5,$B$5:$C$724,2,FALSE))</f>
        <v>0</v>
      </c>
      <c r="H5" s="4">
        <f>IF(F5&lt;PREMISSAS!$D$7,0,IFERROR(VLOOKUP(F5,IPCA!$A$3:$D$284,4,FALSE),1)*G5)</f>
        <v>0</v>
      </c>
      <c r="J5" s="21">
        <f t="shared" ref="J5:J68" si="0">F5</f>
        <v>37468</v>
      </c>
      <c r="K5" s="4">
        <f t="shared" ref="K5:K68" si="1">G5</f>
        <v>0</v>
      </c>
      <c r="M5" s="21">
        <f>MAX(PREMISSAS!$D$7,EOMONTH(RESULTADOS!C9,0))</f>
        <v>37468</v>
      </c>
      <c r="N5" s="37">
        <f>IFERROR(VLOOKUP(M5,$F$5:$H$628,3,FALSE),0)</f>
        <v>0</v>
      </c>
      <c r="O5" s="4">
        <f>IFERROR(AVERAGEIF(N$5:$N5,"&gt;="&amp;_xlfn.PERCENTILE.EXC(N$5:$N5,0.2)),0)</f>
        <v>0</v>
      </c>
      <c r="Q5" s="21">
        <f>M5</f>
        <v>37468</v>
      </c>
      <c r="R5" s="4">
        <f>MIN(O5,PREMISSAS!$C$13)</f>
        <v>0</v>
      </c>
      <c r="S5" s="240"/>
    </row>
    <row r="6" spans="2:20" x14ac:dyDescent="0.25">
      <c r="B6" s="21">
        <f ca="1">IFERROR(IF(LEFT(B5,2)="13",DATE(RIGHT(B5,4),12,31),IF(EOMONTH(B5,0)&gt;$F$1,"",IF(MONTH(B5)=11,"13º "&amp;YEAR(B5),EOMONTH(B5,1)))),"")</f>
        <v>43585</v>
      </c>
      <c r="C6" s="22">
        <f ca="1">IF(B6="","",IF(LEFT(B6,2)="13",C5,IF(MONTH(B6)=1,C5*(1+PREMISSAS!$C$57),C5)))</f>
        <v>0</v>
      </c>
      <c r="E6" s="18">
        <v>2</v>
      </c>
      <c r="F6" s="21">
        <f ca="1">IFERROR(IF(LEFT(F5,2)="13",DATE(RIGHT(F5,4),12,31),IF(EOMONTH(F5,0)&gt;$F$1,"",IF(MONTH(F5)=11,"13º "&amp;YEAR(F5),EOMONTH(F5,1)))),"")</f>
        <v>37499</v>
      </c>
      <c r="G6" s="22">
        <f ca="1">IFERROR(VLOOKUP(F6,RESULTADOS!$O$5:$P$543,2,FALSE),VLOOKUP(F6,$B$5:$C$724,2,FALSE))</f>
        <v>0</v>
      </c>
      <c r="H6" s="4">
        <f ca="1">IF(F6&lt;PREMISSAS!$D$7,0,IFERROR(VLOOKUP(IF(LEFT(F6,2)="13",DATE(YEAR(F5),12,31),F6),IPCA!$A$3:$D$284,4,FALSE),1)*G6)</f>
        <v>0</v>
      </c>
      <c r="J6" s="21">
        <f t="shared" ca="1" si="0"/>
        <v>37499</v>
      </c>
      <c r="K6" s="4">
        <f t="shared" ca="1" si="1"/>
        <v>0</v>
      </c>
      <c r="M6" s="21">
        <f ca="1">IFERROR(IF(LEFT(M5,2)="13",DATE(RIGHT(M5,4),12,31),IF(EOMONTH(M5,0)&gt;$F$1,"",IF(MONTH(M5)=11,"13º "&amp;YEAR(M5),EOMONTH(M5,1)))),"")</f>
        <v>37499</v>
      </c>
      <c r="N6" s="37">
        <f t="shared" ref="N6:N69" ca="1" si="2">IFERROR(VLOOKUP(M6,$F$5:$H$628,3,FALSE),0)</f>
        <v>0</v>
      </c>
      <c r="O6" s="4">
        <f ca="1">IFERROR(AVERAGEIF(N$5:$N6,"&gt;="&amp;_xlfn.PERCENTILE.EXC(N$5:$N6,0.2)),0)</f>
        <v>0</v>
      </c>
      <c r="Q6" s="21">
        <f t="shared" ref="Q6:Q69" ca="1" si="3">M6</f>
        <v>37499</v>
      </c>
      <c r="R6" s="4">
        <f ca="1">MIN(O6,PREMISSAS!$C$13)</f>
        <v>0</v>
      </c>
      <c r="S6" s="240"/>
    </row>
    <row r="7" spans="2:20" x14ac:dyDescent="0.25">
      <c r="B7" s="21">
        <f t="shared" ref="B7:B70" ca="1" si="4">IFERROR(IF(LEFT(B6,2)="13",DATE(RIGHT(B6,4),12,31),IF(EOMONTH(B6,0)&gt;$F$1,"",IF(MONTH(B6)=11,"13º "&amp;YEAR(B6),EOMONTH(B6,1)))),"")</f>
        <v>43616</v>
      </c>
      <c r="C7" s="22">
        <f ca="1">IF(B7="","",IF(LEFT(B7,2)="13",C6,IF(MONTH(B7)=1,C6*(1+PREMISSAS!$C$57),C6)))</f>
        <v>0</v>
      </c>
      <c r="E7" s="18">
        <v>3</v>
      </c>
      <c r="F7" s="21">
        <f t="shared" ref="F7:F70" ca="1" si="5">IFERROR(IF(LEFT(F6,2)="13",DATE(RIGHT(F6,4),12,31),IF(EOMONTH(F6,0)&gt;$F$1,"",IF(MONTH(F6)=11,"13º "&amp;YEAR(F6),EOMONTH(F6,1)))),"")</f>
        <v>37529</v>
      </c>
      <c r="G7" s="22">
        <f ca="1">IFERROR(VLOOKUP(F7,RESULTADOS!$O$5:$P$543,2,FALSE),VLOOKUP(F7,$B$5:$C$724,2,FALSE))</f>
        <v>0</v>
      </c>
      <c r="H7" s="4">
        <f ca="1">IF(F7&lt;PREMISSAS!$D$7,0,IFERROR(VLOOKUP(IF(LEFT(F7,2)="13",DATE(YEAR(F6),12,31),F7),IPCA!$A$3:$D$284,4,FALSE),1)*G7)</f>
        <v>0</v>
      </c>
      <c r="J7" s="21">
        <f t="shared" ca="1" si="0"/>
        <v>37529</v>
      </c>
      <c r="K7" s="4">
        <f t="shared" ca="1" si="1"/>
        <v>0</v>
      </c>
      <c r="M7" s="21">
        <f t="shared" ref="M7:M70" ca="1" si="6">IFERROR(IF(LEFT(M6,2)="13",DATE(RIGHT(M6,4),12,31),IF(EOMONTH(M6,0)&gt;$F$1,"",IF(MONTH(M6)=11,"13º "&amp;YEAR(M6),EOMONTH(M6,1)))),"")</f>
        <v>37529</v>
      </c>
      <c r="N7" s="37">
        <f t="shared" ca="1" si="2"/>
        <v>0</v>
      </c>
      <c r="O7" s="4">
        <f ca="1">IFERROR(AVERAGEIF(N$5:$N7,"&gt;="&amp;_xlfn.PERCENTILE.EXC(N$5:$N7,0.2)),0)</f>
        <v>0</v>
      </c>
      <c r="Q7" s="21">
        <f t="shared" ca="1" si="3"/>
        <v>37529</v>
      </c>
      <c r="R7" s="4">
        <f ca="1">MIN(O7,PREMISSAS!$C$13)</f>
        <v>0</v>
      </c>
      <c r="S7" s="240"/>
    </row>
    <row r="8" spans="2:20" x14ac:dyDescent="0.25">
      <c r="B8" s="21">
        <f t="shared" ca="1" si="4"/>
        <v>43646</v>
      </c>
      <c r="C8" s="22">
        <f ca="1">IF(B8="","",IF(LEFT(B8,2)="13",C7,IF(MONTH(B8)=1,C7*(1+PREMISSAS!$C$57),C7)))</f>
        <v>0</v>
      </c>
      <c r="E8" s="18">
        <v>4</v>
      </c>
      <c r="F8" s="21">
        <f t="shared" ca="1" si="5"/>
        <v>37560</v>
      </c>
      <c r="G8" s="22">
        <f ca="1">IFERROR(VLOOKUP(F8,RESULTADOS!$O$5:$P$543,2,FALSE),VLOOKUP(F8,$B$5:$C$724,2,FALSE))</f>
        <v>0</v>
      </c>
      <c r="H8" s="4">
        <f ca="1">IF(F8&lt;PREMISSAS!$D$7,0,IFERROR(VLOOKUP(IF(LEFT(F8,2)="13",DATE(YEAR(F7),12,31),F8),IPCA!$A$3:$D$284,4,FALSE),1)*G8)</f>
        <v>0</v>
      </c>
      <c r="J8" s="21">
        <f t="shared" ca="1" si="0"/>
        <v>37560</v>
      </c>
      <c r="K8" s="4">
        <f t="shared" ca="1" si="1"/>
        <v>0</v>
      </c>
      <c r="M8" s="21">
        <f t="shared" ca="1" si="6"/>
        <v>37560</v>
      </c>
      <c r="N8" s="37">
        <f t="shared" ca="1" si="2"/>
        <v>0</v>
      </c>
      <c r="O8" s="4">
        <f ca="1">IFERROR(AVERAGEIF(N$5:$N8,"&gt;="&amp;_xlfn.PERCENTILE.EXC(N$5:$N8,0.2)),0)</f>
        <v>0</v>
      </c>
      <c r="Q8" s="21">
        <f t="shared" ca="1" si="3"/>
        <v>37560</v>
      </c>
      <c r="R8" s="4">
        <f ca="1">MIN(O8,PREMISSAS!$C$13)</f>
        <v>0</v>
      </c>
      <c r="S8" s="240"/>
      <c r="T8" s="240"/>
    </row>
    <row r="9" spans="2:20" x14ac:dyDescent="0.25">
      <c r="B9" s="21">
        <f t="shared" ca="1" si="4"/>
        <v>43677</v>
      </c>
      <c r="C9" s="22">
        <f ca="1">IF(B9="","",IF(LEFT(B9,2)="13",C8,IF(MONTH(B9)=1,C8*(1+PREMISSAS!$C$57),C8)))</f>
        <v>0</v>
      </c>
      <c r="E9" s="18">
        <v>5</v>
      </c>
      <c r="F9" s="21">
        <f t="shared" ca="1" si="5"/>
        <v>37590</v>
      </c>
      <c r="G9" s="22">
        <f ca="1">IFERROR(VLOOKUP(F9,RESULTADOS!$O$5:$P$543,2,FALSE),VLOOKUP(F9,$B$5:$C$724,2,FALSE))</f>
        <v>0</v>
      </c>
      <c r="H9" s="4">
        <f ca="1">IF(F9&lt;PREMISSAS!$D$7,0,IFERROR(VLOOKUP(IF(LEFT(F9,2)="13",DATE(YEAR(F8),12,31),F9),IPCA!$A$3:$D$284,4,FALSE),1)*G9)</f>
        <v>0</v>
      </c>
      <c r="J9" s="21">
        <f t="shared" ca="1" si="0"/>
        <v>37590</v>
      </c>
      <c r="K9" s="4">
        <f t="shared" ca="1" si="1"/>
        <v>0</v>
      </c>
      <c r="M9" s="21">
        <f t="shared" ca="1" si="6"/>
        <v>37590</v>
      </c>
      <c r="N9" s="37">
        <f t="shared" ca="1" si="2"/>
        <v>0</v>
      </c>
      <c r="O9" s="4">
        <f ca="1">IFERROR(AVERAGEIF(N$5:$N9,"&gt;="&amp;_xlfn.PERCENTILE.EXC(N$5:$N9,0.2)),0)</f>
        <v>0</v>
      </c>
      <c r="Q9" s="21">
        <f t="shared" ca="1" si="3"/>
        <v>37590</v>
      </c>
      <c r="R9" s="4">
        <f ca="1">MIN(O9,PREMISSAS!$C$13)</f>
        <v>0</v>
      </c>
      <c r="S9" s="240"/>
      <c r="T9" s="240"/>
    </row>
    <row r="10" spans="2:20" x14ac:dyDescent="0.25">
      <c r="B10" s="21">
        <f t="shared" ca="1" si="4"/>
        <v>43708</v>
      </c>
      <c r="C10" s="22">
        <f ca="1">IF(B10="","",IF(LEFT(B10,2)="13",C9,IF(MONTH(B10)=1,C9*(1+PREMISSAS!$C$57),C9)))</f>
        <v>0</v>
      </c>
      <c r="E10" s="18">
        <v>6</v>
      </c>
      <c r="F10" s="21" t="str">
        <f t="shared" ca="1" si="5"/>
        <v>13º 2002</v>
      </c>
      <c r="G10" s="22">
        <f ca="1">IFERROR(VLOOKUP(F10,RESULTADOS!$O$5:$P$543,2,FALSE),VLOOKUP(F10,$B$5:$C$724,2,FALSE))</f>
        <v>0</v>
      </c>
      <c r="H10" s="4">
        <f ca="1">IF(F10&lt;PREMISSAS!$D$7,0,IFERROR(VLOOKUP(IF(LEFT(F10,2)="13",DATE(YEAR(F9),12,31),F10),IPCA!$A$3:$D$284,4,FALSE),1)*G10)</f>
        <v>0</v>
      </c>
      <c r="J10" s="21" t="str">
        <f t="shared" ca="1" si="0"/>
        <v>13º 2002</v>
      </c>
      <c r="K10" s="4">
        <f t="shared" ca="1" si="1"/>
        <v>0</v>
      </c>
      <c r="M10" s="21" t="str">
        <f t="shared" ca="1" si="6"/>
        <v>13º 2002</v>
      </c>
      <c r="N10" s="37">
        <f t="shared" ca="1" si="2"/>
        <v>0</v>
      </c>
      <c r="O10" s="4">
        <f ca="1">IFERROR(AVERAGEIF(N$5:$N10,"&gt;="&amp;_xlfn.PERCENTILE.EXC(N$5:$N10,0.2)),0)</f>
        <v>0</v>
      </c>
      <c r="Q10" s="21" t="str">
        <f t="shared" ca="1" si="3"/>
        <v>13º 2002</v>
      </c>
      <c r="R10" s="4">
        <f ca="1">MIN(O10,PREMISSAS!$C$13)</f>
        <v>0</v>
      </c>
      <c r="S10" s="240"/>
      <c r="T10" s="240"/>
    </row>
    <row r="11" spans="2:20" x14ac:dyDescent="0.25">
      <c r="B11" s="21">
        <f t="shared" ca="1" si="4"/>
        <v>43738</v>
      </c>
      <c r="C11" s="22">
        <f ca="1">IF(B11="","",IF(LEFT(B11,2)="13",C10,IF(MONTH(B11)=1,C10*(1+PREMISSAS!$C$57),C10)))</f>
        <v>0</v>
      </c>
      <c r="E11" s="18">
        <v>7</v>
      </c>
      <c r="F11" s="21">
        <f t="shared" ca="1" si="5"/>
        <v>37621</v>
      </c>
      <c r="G11" s="22">
        <f ca="1">IFERROR(VLOOKUP(F11,RESULTADOS!$O$5:$P$543,2,FALSE),VLOOKUP(F11,$B$5:$C$724,2,FALSE))</f>
        <v>0</v>
      </c>
      <c r="H11" s="4">
        <f ca="1">IF(F11&lt;PREMISSAS!$D$7,0,IFERROR(VLOOKUP(IF(LEFT(F11,2)="13",DATE(YEAR(F10),12,31),F11),IPCA!$A$3:$D$284,4,FALSE),1)*G11)</f>
        <v>0</v>
      </c>
      <c r="J11" s="21">
        <f t="shared" ca="1" si="0"/>
        <v>37621</v>
      </c>
      <c r="K11" s="4">
        <f t="shared" ca="1" si="1"/>
        <v>0</v>
      </c>
      <c r="M11" s="21">
        <f t="shared" ca="1" si="6"/>
        <v>37621</v>
      </c>
      <c r="N11" s="37">
        <f t="shared" ca="1" si="2"/>
        <v>0</v>
      </c>
      <c r="O11" s="4">
        <f ca="1">IFERROR(AVERAGEIF(N$5:$N11,"&gt;="&amp;_xlfn.PERCENTILE.EXC(N$5:$N11,0.2)),0)</f>
        <v>0</v>
      </c>
      <c r="Q11" s="21">
        <f t="shared" ca="1" si="3"/>
        <v>37621</v>
      </c>
      <c r="R11" s="4">
        <f ca="1">MIN(O11,PREMISSAS!$C$13)</f>
        <v>0</v>
      </c>
      <c r="S11" s="240"/>
      <c r="T11" s="240"/>
    </row>
    <row r="12" spans="2:20" x14ac:dyDescent="0.25">
      <c r="B12" s="21">
        <f t="shared" ca="1" si="4"/>
        <v>43769</v>
      </c>
      <c r="C12" s="22">
        <f ca="1">IF(B12="","",IF(LEFT(B12,2)="13",C11,IF(MONTH(B12)=1,C11*(1+PREMISSAS!$C$57),C11)))</f>
        <v>0</v>
      </c>
      <c r="E12" s="18">
        <v>8</v>
      </c>
      <c r="F12" s="21">
        <f t="shared" ca="1" si="5"/>
        <v>37652</v>
      </c>
      <c r="G12" s="22">
        <f ca="1">IFERROR(VLOOKUP(F12,RESULTADOS!$O$5:$P$543,2,FALSE),VLOOKUP(F12,$B$5:$C$724,2,FALSE))</f>
        <v>0</v>
      </c>
      <c r="H12" s="4">
        <f ca="1">IF(F12&lt;PREMISSAS!$D$7,0,IFERROR(VLOOKUP(IF(LEFT(F12,2)="13",DATE(YEAR(F11),12,31),F12),IPCA!$A$3:$D$284,4,FALSE),1)*G12)</f>
        <v>0</v>
      </c>
      <c r="J12" s="21">
        <f t="shared" ca="1" si="0"/>
        <v>37652</v>
      </c>
      <c r="K12" s="4">
        <f t="shared" ca="1" si="1"/>
        <v>0</v>
      </c>
      <c r="M12" s="21">
        <f t="shared" ca="1" si="6"/>
        <v>37652</v>
      </c>
      <c r="N12" s="37">
        <f t="shared" ca="1" si="2"/>
        <v>0</v>
      </c>
      <c r="O12" s="4">
        <f ca="1">IFERROR(AVERAGEIF(N$5:$N12,"&gt;="&amp;_xlfn.PERCENTILE.EXC(N$5:$N12,0.2)),0)</f>
        <v>0</v>
      </c>
      <c r="Q12" s="21">
        <f t="shared" ca="1" si="3"/>
        <v>37652</v>
      </c>
      <c r="R12" s="4">
        <f ca="1">MIN(O12,PREMISSAS!$C$13)</f>
        <v>0</v>
      </c>
      <c r="S12" s="240"/>
      <c r="T12" s="240"/>
    </row>
    <row r="13" spans="2:20" x14ac:dyDescent="0.25">
      <c r="B13" s="21">
        <f t="shared" ca="1" si="4"/>
        <v>43799</v>
      </c>
      <c r="C13" s="22">
        <f ca="1">IF(B13="","",IF(LEFT(B13,2)="13",C12,IF(MONTH(B13)=1,C12*(1+PREMISSAS!$C$57),C12)))</f>
        <v>0</v>
      </c>
      <c r="E13" s="18">
        <v>9</v>
      </c>
      <c r="F13" s="21">
        <f t="shared" ca="1" si="5"/>
        <v>37680</v>
      </c>
      <c r="G13" s="22">
        <f ca="1">IFERROR(VLOOKUP(F13,RESULTADOS!$O$5:$P$543,2,FALSE),VLOOKUP(F13,$B$5:$C$724,2,FALSE))</f>
        <v>0</v>
      </c>
      <c r="H13" s="4">
        <f ca="1">IF(F13&lt;PREMISSAS!$D$7,0,IFERROR(VLOOKUP(IF(LEFT(F13,2)="13",DATE(YEAR(F12),12,31),F13),IPCA!$A$3:$D$284,4,FALSE),1)*G13)</f>
        <v>0</v>
      </c>
      <c r="J13" s="21">
        <f t="shared" ca="1" si="0"/>
        <v>37680</v>
      </c>
      <c r="K13" s="4">
        <f t="shared" ca="1" si="1"/>
        <v>0</v>
      </c>
      <c r="M13" s="21">
        <f t="shared" ca="1" si="6"/>
        <v>37680</v>
      </c>
      <c r="N13" s="37">
        <f t="shared" ca="1" si="2"/>
        <v>0</v>
      </c>
      <c r="O13" s="4">
        <f ca="1">IFERROR(AVERAGEIF(N$5:$N13,"&gt;="&amp;_xlfn.PERCENTILE.EXC(N$5:$N13,0.2)),0)</f>
        <v>0</v>
      </c>
      <c r="Q13" s="21">
        <f t="shared" ca="1" si="3"/>
        <v>37680</v>
      </c>
      <c r="R13" s="4">
        <f ca="1">MIN(O13,PREMISSAS!$C$13)</f>
        <v>0</v>
      </c>
      <c r="S13" s="240"/>
      <c r="T13" s="240"/>
    </row>
    <row r="14" spans="2:20" x14ac:dyDescent="0.25">
      <c r="B14" s="21" t="str">
        <f t="shared" ca="1" si="4"/>
        <v>13º 2019</v>
      </c>
      <c r="C14" s="22">
        <f ca="1">IF(B14="","",IF(LEFT(B14,2)="13",C13,IF(MONTH(B14)=1,C13*(1+PREMISSAS!$C$57),C13)))</f>
        <v>0</v>
      </c>
      <c r="E14" s="18">
        <v>10</v>
      </c>
      <c r="F14" s="21">
        <f t="shared" ca="1" si="5"/>
        <v>37711</v>
      </c>
      <c r="G14" s="22">
        <f ca="1">IFERROR(VLOOKUP(F14,RESULTADOS!$O$5:$P$543,2,FALSE),VLOOKUP(F14,$B$5:$C$724,2,FALSE))</f>
        <v>0</v>
      </c>
      <c r="H14" s="4">
        <f ca="1">IF(F14&lt;PREMISSAS!$D$7,0,IFERROR(VLOOKUP(IF(LEFT(F14,2)="13",DATE(YEAR(F13),12,31),F14),IPCA!$A$3:$D$284,4,FALSE),1)*G14)</f>
        <v>0</v>
      </c>
      <c r="J14" s="21">
        <f t="shared" ca="1" si="0"/>
        <v>37711</v>
      </c>
      <c r="K14" s="4">
        <f t="shared" ca="1" si="1"/>
        <v>0</v>
      </c>
      <c r="M14" s="21">
        <f t="shared" ca="1" si="6"/>
        <v>37711</v>
      </c>
      <c r="N14" s="37">
        <f t="shared" ca="1" si="2"/>
        <v>0</v>
      </c>
      <c r="O14" s="4">
        <f ca="1">IFERROR(AVERAGEIF(N$5:$N14,"&gt;="&amp;_xlfn.PERCENTILE.EXC(N$5:$N14,0.2)),0)</f>
        <v>0</v>
      </c>
      <c r="Q14" s="21">
        <f t="shared" ca="1" si="3"/>
        <v>37711</v>
      </c>
      <c r="R14" s="4">
        <f ca="1">MIN(O14,PREMISSAS!$C$13)</f>
        <v>0</v>
      </c>
      <c r="S14" s="240"/>
      <c r="T14" s="240"/>
    </row>
    <row r="15" spans="2:20" x14ac:dyDescent="0.25">
      <c r="B15" s="21">
        <f t="shared" ca="1" si="4"/>
        <v>43830</v>
      </c>
      <c r="C15" s="22">
        <f ca="1">IF(B15="","",IF(LEFT(B15,2)="13",C14,IF(MONTH(B15)=1,C14*(1+PREMISSAS!$C$57),C14)))</f>
        <v>0</v>
      </c>
      <c r="E15" s="18">
        <v>11</v>
      </c>
      <c r="F15" s="21">
        <f t="shared" ca="1" si="5"/>
        <v>37741</v>
      </c>
      <c r="G15" s="22">
        <f ca="1">IFERROR(VLOOKUP(F15,RESULTADOS!$O$5:$P$543,2,FALSE),VLOOKUP(F15,$B$5:$C$724,2,FALSE))</f>
        <v>0</v>
      </c>
      <c r="H15" s="4">
        <f ca="1">IF(F15&lt;PREMISSAS!$D$7,0,IFERROR(VLOOKUP(IF(LEFT(F15,2)="13",DATE(YEAR(F14),12,31),F15),IPCA!$A$3:$D$284,4,FALSE),1)*G15)</f>
        <v>0</v>
      </c>
      <c r="J15" s="21">
        <f t="shared" ca="1" si="0"/>
        <v>37741</v>
      </c>
      <c r="K15" s="4">
        <f t="shared" ca="1" si="1"/>
        <v>0</v>
      </c>
      <c r="M15" s="21">
        <f t="shared" ca="1" si="6"/>
        <v>37741</v>
      </c>
      <c r="N15" s="37">
        <f t="shared" ca="1" si="2"/>
        <v>0</v>
      </c>
      <c r="O15" s="4">
        <f ca="1">IFERROR(AVERAGEIF(N$5:$N15,"&gt;="&amp;_xlfn.PERCENTILE.EXC(N$5:$N15,0.2)),0)</f>
        <v>0</v>
      </c>
      <c r="Q15" s="21">
        <f t="shared" ca="1" si="3"/>
        <v>37741</v>
      </c>
      <c r="R15" s="4">
        <f ca="1">MIN(O15,PREMISSAS!$C$13)</f>
        <v>0</v>
      </c>
      <c r="S15" s="240"/>
      <c r="T15" s="240"/>
    </row>
    <row r="16" spans="2:20" x14ac:dyDescent="0.25">
      <c r="B16" s="21">
        <f t="shared" ca="1" si="4"/>
        <v>43861</v>
      </c>
      <c r="C16" s="22">
        <f ca="1">IF(B16="","",IF(LEFT(B16,2)="13",C15,IF(MONTH(B16)=1,C15*(1+PREMISSAS!$C$57),C15)))</f>
        <v>0</v>
      </c>
      <c r="E16" s="18">
        <v>12</v>
      </c>
      <c r="F16" s="21">
        <f t="shared" ca="1" si="5"/>
        <v>37772</v>
      </c>
      <c r="G16" s="22">
        <f ca="1">IFERROR(VLOOKUP(F16,RESULTADOS!$O$5:$P$543,2,FALSE),VLOOKUP(F16,$B$5:$C$724,2,FALSE))</f>
        <v>0</v>
      </c>
      <c r="H16" s="4">
        <f ca="1">IF(F16&lt;PREMISSAS!$D$7,0,IFERROR(VLOOKUP(IF(LEFT(F16,2)="13",DATE(YEAR(F15),12,31),F16),IPCA!$A$3:$D$284,4,FALSE),1)*G16)</f>
        <v>0</v>
      </c>
      <c r="J16" s="21">
        <f t="shared" ca="1" si="0"/>
        <v>37772</v>
      </c>
      <c r="K16" s="4">
        <f t="shared" ca="1" si="1"/>
        <v>0</v>
      </c>
      <c r="M16" s="21">
        <f t="shared" ca="1" si="6"/>
        <v>37772</v>
      </c>
      <c r="N16" s="37">
        <f t="shared" ca="1" si="2"/>
        <v>0</v>
      </c>
      <c r="O16" s="4">
        <f ca="1">IFERROR(AVERAGEIF(N$5:$N16,"&gt;="&amp;_xlfn.PERCENTILE.EXC(N$5:$N16,0.2)),0)</f>
        <v>0</v>
      </c>
      <c r="Q16" s="21">
        <f t="shared" ca="1" si="3"/>
        <v>37772</v>
      </c>
      <c r="R16" s="4">
        <f ca="1">MIN(O16,PREMISSAS!$C$13)</f>
        <v>0</v>
      </c>
      <c r="S16" s="240"/>
      <c r="T16" s="240"/>
    </row>
    <row r="17" spans="2:20" x14ac:dyDescent="0.25">
      <c r="B17" s="21">
        <f t="shared" ca="1" si="4"/>
        <v>43890</v>
      </c>
      <c r="C17" s="22">
        <f ca="1">IF(B17="","",IF(LEFT(B17,2)="13",C16,IF(MONTH(B17)=1,C16*(1+PREMISSAS!$C$57),C16)))</f>
        <v>0</v>
      </c>
      <c r="E17" s="18">
        <v>13</v>
      </c>
      <c r="F17" s="21">
        <f t="shared" ca="1" si="5"/>
        <v>37802</v>
      </c>
      <c r="G17" s="22">
        <f ca="1">IFERROR(VLOOKUP(F17,RESULTADOS!$O$5:$P$543,2,FALSE),VLOOKUP(F17,$B$5:$C$724,2,FALSE))</f>
        <v>0</v>
      </c>
      <c r="H17" s="4">
        <f ca="1">IF(F17&lt;PREMISSAS!$D$7,0,IFERROR(VLOOKUP(IF(LEFT(F17,2)="13",DATE(YEAR(F16),12,31),F17),IPCA!$A$3:$D$284,4,FALSE),1)*G17)</f>
        <v>0</v>
      </c>
      <c r="J17" s="21">
        <f t="shared" ca="1" si="0"/>
        <v>37802</v>
      </c>
      <c r="K17" s="4">
        <f t="shared" ca="1" si="1"/>
        <v>0</v>
      </c>
      <c r="M17" s="21">
        <f t="shared" ca="1" si="6"/>
        <v>37802</v>
      </c>
      <c r="N17" s="37">
        <f t="shared" ca="1" si="2"/>
        <v>0</v>
      </c>
      <c r="O17" s="4">
        <f ca="1">IFERROR(AVERAGEIF(N$5:$N17,"&gt;="&amp;_xlfn.PERCENTILE.EXC(N$5:$N17,0.2)),0)</f>
        <v>0</v>
      </c>
      <c r="Q17" s="21">
        <f t="shared" ca="1" si="3"/>
        <v>37802</v>
      </c>
      <c r="R17" s="4">
        <f ca="1">MIN(O17,PREMISSAS!$C$13)</f>
        <v>0</v>
      </c>
      <c r="S17" s="240"/>
      <c r="T17" s="240"/>
    </row>
    <row r="18" spans="2:20" x14ac:dyDescent="0.25">
      <c r="B18" s="21">
        <f t="shared" ca="1" si="4"/>
        <v>43921</v>
      </c>
      <c r="C18" s="22">
        <f ca="1">IF(B18="","",IF(LEFT(B18,2)="13",C17,IF(MONTH(B18)=1,C17*(1+PREMISSAS!$C$57),C17)))</f>
        <v>0</v>
      </c>
      <c r="E18" s="18">
        <v>14</v>
      </c>
      <c r="F18" s="21">
        <f t="shared" ca="1" si="5"/>
        <v>37833</v>
      </c>
      <c r="G18" s="22">
        <f ca="1">IFERROR(VLOOKUP(F18,RESULTADOS!$O$5:$P$543,2,FALSE),VLOOKUP(F18,$B$5:$C$724,2,FALSE))</f>
        <v>0</v>
      </c>
      <c r="H18" s="4">
        <f ca="1">IF(F18&lt;PREMISSAS!$D$7,0,IFERROR(VLOOKUP(IF(LEFT(F18,2)="13",DATE(YEAR(F17),12,31),F18),IPCA!$A$3:$D$284,4,FALSE),1)*G18)</f>
        <v>0</v>
      </c>
      <c r="J18" s="21">
        <f t="shared" ca="1" si="0"/>
        <v>37833</v>
      </c>
      <c r="K18" s="4">
        <f t="shared" ca="1" si="1"/>
        <v>0</v>
      </c>
      <c r="M18" s="21">
        <f t="shared" ca="1" si="6"/>
        <v>37833</v>
      </c>
      <c r="N18" s="37">
        <f t="shared" ca="1" si="2"/>
        <v>0</v>
      </c>
      <c r="O18" s="4">
        <f ca="1">IFERROR(AVERAGEIF(N$5:$N18,"&gt;="&amp;_xlfn.PERCENTILE.EXC(N$5:$N18,0.2)),0)</f>
        <v>0</v>
      </c>
      <c r="Q18" s="21">
        <f t="shared" ca="1" si="3"/>
        <v>37833</v>
      </c>
      <c r="R18" s="4">
        <f ca="1">MIN(O18,PREMISSAS!$C$13)</f>
        <v>0</v>
      </c>
      <c r="S18" s="240"/>
      <c r="T18" s="240"/>
    </row>
    <row r="19" spans="2:20" x14ac:dyDescent="0.25">
      <c r="B19" s="21">
        <f t="shared" ca="1" si="4"/>
        <v>43951</v>
      </c>
      <c r="C19" s="22">
        <f ca="1">IF(B19="","",IF(LEFT(B19,2)="13",C18,IF(MONTH(B19)=1,C18*(1+PREMISSAS!$C$57),C18)))</f>
        <v>0</v>
      </c>
      <c r="E19" s="18">
        <v>15</v>
      </c>
      <c r="F19" s="21">
        <f t="shared" ca="1" si="5"/>
        <v>37864</v>
      </c>
      <c r="G19" s="22">
        <f ca="1">IFERROR(VLOOKUP(F19,RESULTADOS!$O$5:$P$543,2,FALSE),VLOOKUP(F19,$B$5:$C$724,2,FALSE))</f>
        <v>0</v>
      </c>
      <c r="H19" s="4">
        <f ca="1">IF(F19&lt;PREMISSAS!$D$7,0,IFERROR(VLOOKUP(IF(LEFT(F19,2)="13",DATE(YEAR(F18),12,31),F19),IPCA!$A$3:$D$284,4,FALSE),1)*G19)</f>
        <v>0</v>
      </c>
      <c r="J19" s="21">
        <f t="shared" ca="1" si="0"/>
        <v>37864</v>
      </c>
      <c r="K19" s="4">
        <f t="shared" ca="1" si="1"/>
        <v>0</v>
      </c>
      <c r="M19" s="21">
        <f t="shared" ca="1" si="6"/>
        <v>37864</v>
      </c>
      <c r="N19" s="37">
        <f t="shared" ca="1" si="2"/>
        <v>0</v>
      </c>
      <c r="O19" s="4">
        <f ca="1">IFERROR(AVERAGEIF(N$5:$N19,"&gt;="&amp;_xlfn.PERCENTILE.EXC(N$5:$N19,0.2)),0)</f>
        <v>0</v>
      </c>
      <c r="Q19" s="21">
        <f t="shared" ca="1" si="3"/>
        <v>37864</v>
      </c>
      <c r="R19" s="4">
        <f ca="1">MIN(O19,PREMISSAS!$C$13)</f>
        <v>0</v>
      </c>
      <c r="S19" s="240"/>
      <c r="T19" s="240"/>
    </row>
    <row r="20" spans="2:20" x14ac:dyDescent="0.25">
      <c r="B20" s="21">
        <f t="shared" ca="1" si="4"/>
        <v>43982</v>
      </c>
      <c r="C20" s="22">
        <f ca="1">IF(B20="","",IF(LEFT(B20,2)="13",C19,IF(MONTH(B20)=1,C19*(1+PREMISSAS!$C$57),C19)))</f>
        <v>0</v>
      </c>
      <c r="E20" s="18">
        <v>16</v>
      </c>
      <c r="F20" s="21">
        <f t="shared" ca="1" si="5"/>
        <v>37894</v>
      </c>
      <c r="G20" s="22">
        <f ca="1">IFERROR(VLOOKUP(F20,RESULTADOS!$O$5:$P$543,2,FALSE),VLOOKUP(F20,$B$5:$C$724,2,FALSE))</f>
        <v>0</v>
      </c>
      <c r="H20" s="4">
        <f ca="1">IF(F20&lt;PREMISSAS!$D$7,0,IFERROR(VLOOKUP(IF(LEFT(F20,2)="13",DATE(YEAR(F19),12,31),F20),IPCA!$A$3:$D$284,4,FALSE),1)*G20)</f>
        <v>0</v>
      </c>
      <c r="J20" s="21">
        <f t="shared" ca="1" si="0"/>
        <v>37894</v>
      </c>
      <c r="K20" s="4">
        <f t="shared" ca="1" si="1"/>
        <v>0</v>
      </c>
      <c r="M20" s="21">
        <f t="shared" ca="1" si="6"/>
        <v>37894</v>
      </c>
      <c r="N20" s="37">
        <f t="shared" ca="1" si="2"/>
        <v>0</v>
      </c>
      <c r="O20" s="4">
        <f ca="1">IFERROR(AVERAGEIF(N$5:$N20,"&gt;="&amp;_xlfn.PERCENTILE.EXC(N$5:$N20,0.2)),0)</f>
        <v>0</v>
      </c>
      <c r="Q20" s="21">
        <f t="shared" ca="1" si="3"/>
        <v>37894</v>
      </c>
      <c r="R20" s="4">
        <f ca="1">MIN(O20,PREMISSAS!$C$13)</f>
        <v>0</v>
      </c>
      <c r="S20" s="240"/>
      <c r="T20" s="240"/>
    </row>
    <row r="21" spans="2:20" x14ac:dyDescent="0.25">
      <c r="B21" s="21">
        <f t="shared" ca="1" si="4"/>
        <v>44012</v>
      </c>
      <c r="C21" s="22">
        <f ca="1">IF(B21="","",IF(LEFT(B21,2)="13",C20,IF(MONTH(B21)=1,C20*(1+PREMISSAS!$C$57),C20)))</f>
        <v>0</v>
      </c>
      <c r="E21" s="18">
        <v>17</v>
      </c>
      <c r="F21" s="21">
        <f t="shared" ca="1" si="5"/>
        <v>37925</v>
      </c>
      <c r="G21" s="22">
        <f ca="1">IFERROR(VLOOKUP(F21,RESULTADOS!$O$5:$P$543,2,FALSE),VLOOKUP(F21,$B$5:$C$724,2,FALSE))</f>
        <v>0</v>
      </c>
      <c r="H21" s="4">
        <f ca="1">IF(F21&lt;PREMISSAS!$D$7,0,IFERROR(VLOOKUP(IF(LEFT(F21,2)="13",DATE(YEAR(F20),12,31),F21),IPCA!$A$3:$D$284,4,FALSE),1)*G21)</f>
        <v>0</v>
      </c>
      <c r="J21" s="21">
        <f t="shared" ca="1" si="0"/>
        <v>37925</v>
      </c>
      <c r="K21" s="4">
        <f t="shared" ca="1" si="1"/>
        <v>0</v>
      </c>
      <c r="M21" s="21">
        <f t="shared" ca="1" si="6"/>
        <v>37925</v>
      </c>
      <c r="N21" s="37">
        <f t="shared" ca="1" si="2"/>
        <v>0</v>
      </c>
      <c r="O21" s="4">
        <f ca="1">IFERROR(AVERAGEIF(N$5:$N21,"&gt;="&amp;_xlfn.PERCENTILE.EXC(N$5:$N21,0.2)),0)</f>
        <v>0</v>
      </c>
      <c r="Q21" s="21">
        <f t="shared" ca="1" si="3"/>
        <v>37925</v>
      </c>
      <c r="R21" s="4">
        <f ca="1">MIN(O21,PREMISSAS!$C$13)</f>
        <v>0</v>
      </c>
      <c r="S21" s="240"/>
      <c r="T21" s="240"/>
    </row>
    <row r="22" spans="2:20" x14ac:dyDescent="0.25">
      <c r="B22" s="21">
        <f t="shared" ca="1" si="4"/>
        <v>44043</v>
      </c>
      <c r="C22" s="22">
        <f ca="1">IF(B22="","",IF(LEFT(B22,2)="13",C21,IF(MONTH(B22)=1,C21*(1+PREMISSAS!$C$57),C21)))</f>
        <v>0</v>
      </c>
      <c r="E22" s="18">
        <v>18</v>
      </c>
      <c r="F22" s="21">
        <f t="shared" ca="1" si="5"/>
        <v>37955</v>
      </c>
      <c r="G22" s="22">
        <f ca="1">IFERROR(VLOOKUP(F22,RESULTADOS!$O$5:$P$543,2,FALSE),VLOOKUP(F22,$B$5:$C$724,2,FALSE))</f>
        <v>0</v>
      </c>
      <c r="H22" s="4">
        <f ca="1">IF(F22&lt;PREMISSAS!$D$7,0,IFERROR(VLOOKUP(IF(LEFT(F22,2)="13",DATE(YEAR(F21),12,31),F22),IPCA!$A$3:$D$284,4,FALSE),1)*G22)</f>
        <v>0</v>
      </c>
      <c r="J22" s="21">
        <f t="shared" ca="1" si="0"/>
        <v>37955</v>
      </c>
      <c r="K22" s="4">
        <f t="shared" ca="1" si="1"/>
        <v>0</v>
      </c>
      <c r="M22" s="21">
        <f t="shared" ca="1" si="6"/>
        <v>37955</v>
      </c>
      <c r="N22" s="37">
        <f t="shared" ca="1" si="2"/>
        <v>0</v>
      </c>
      <c r="O22" s="4">
        <f ca="1">IFERROR(AVERAGEIF(N$5:$N22,"&gt;="&amp;_xlfn.PERCENTILE.EXC(N$5:$N22,0.2)),0)</f>
        <v>0</v>
      </c>
      <c r="Q22" s="21">
        <f t="shared" ca="1" si="3"/>
        <v>37955</v>
      </c>
      <c r="R22" s="4">
        <f ca="1">MIN(O22,PREMISSAS!$C$13)</f>
        <v>0</v>
      </c>
      <c r="S22" s="240"/>
      <c r="T22" s="240"/>
    </row>
    <row r="23" spans="2:20" x14ac:dyDescent="0.25">
      <c r="B23" s="21">
        <f t="shared" ca="1" si="4"/>
        <v>44074</v>
      </c>
      <c r="C23" s="22">
        <f ca="1">IF(B23="","",IF(LEFT(B23,2)="13",C22,IF(MONTH(B23)=1,C22*(1+PREMISSAS!$C$57),C22)))</f>
        <v>0</v>
      </c>
      <c r="E23" s="18">
        <v>19</v>
      </c>
      <c r="F23" s="21" t="str">
        <f t="shared" ca="1" si="5"/>
        <v>13º 2003</v>
      </c>
      <c r="G23" s="22">
        <f ca="1">IFERROR(VLOOKUP(F23,RESULTADOS!$O$5:$P$543,2,FALSE),VLOOKUP(F23,$B$5:$C$724,2,FALSE))</f>
        <v>0</v>
      </c>
      <c r="H23" s="4">
        <f ca="1">IF(F23&lt;PREMISSAS!$D$7,0,IFERROR(VLOOKUP(IF(LEFT(F23,2)="13",DATE(YEAR(F22),12,31),F23),IPCA!$A$3:$D$284,4,FALSE),1)*G23)</f>
        <v>0</v>
      </c>
      <c r="J23" s="21" t="str">
        <f t="shared" ca="1" si="0"/>
        <v>13º 2003</v>
      </c>
      <c r="K23" s="4">
        <f t="shared" ca="1" si="1"/>
        <v>0</v>
      </c>
      <c r="M23" s="21" t="str">
        <f t="shared" ca="1" si="6"/>
        <v>13º 2003</v>
      </c>
      <c r="N23" s="37">
        <f t="shared" ca="1" si="2"/>
        <v>0</v>
      </c>
      <c r="O23" s="4">
        <f ca="1">IFERROR(AVERAGEIF(N$5:$N23,"&gt;="&amp;_xlfn.PERCENTILE.EXC(N$5:$N23,0.2)),0)</f>
        <v>0</v>
      </c>
      <c r="Q23" s="21" t="str">
        <f t="shared" ca="1" si="3"/>
        <v>13º 2003</v>
      </c>
      <c r="R23" s="4">
        <f ca="1">MIN(O23,PREMISSAS!$C$13)</f>
        <v>0</v>
      </c>
      <c r="S23" s="240"/>
      <c r="T23" s="240"/>
    </row>
    <row r="24" spans="2:20" x14ac:dyDescent="0.25">
      <c r="B24" s="21">
        <f t="shared" ca="1" si="4"/>
        <v>44104</v>
      </c>
      <c r="C24" s="22">
        <f ca="1">IF(B24="","",IF(LEFT(B24,2)="13",C23,IF(MONTH(B24)=1,C23*(1+PREMISSAS!$C$57),C23)))</f>
        <v>0</v>
      </c>
      <c r="E24" s="18">
        <v>20</v>
      </c>
      <c r="F24" s="21">
        <f t="shared" ca="1" si="5"/>
        <v>37986</v>
      </c>
      <c r="G24" s="22">
        <f ca="1">IFERROR(VLOOKUP(F24,RESULTADOS!$O$5:$P$543,2,FALSE),VLOOKUP(F24,$B$5:$C$724,2,FALSE))</f>
        <v>0</v>
      </c>
      <c r="H24" s="4">
        <f ca="1">IF(F24&lt;PREMISSAS!$D$7,0,IFERROR(VLOOKUP(IF(LEFT(F24,2)="13",DATE(YEAR(F23),12,31),F24),IPCA!$A$3:$D$284,4,FALSE),1)*G24)</f>
        <v>0</v>
      </c>
      <c r="J24" s="21">
        <f t="shared" ca="1" si="0"/>
        <v>37986</v>
      </c>
      <c r="K24" s="4">
        <f t="shared" ca="1" si="1"/>
        <v>0</v>
      </c>
      <c r="M24" s="21">
        <f t="shared" ca="1" si="6"/>
        <v>37986</v>
      </c>
      <c r="N24" s="37">
        <f t="shared" ca="1" si="2"/>
        <v>0</v>
      </c>
      <c r="O24" s="4">
        <f ca="1">IFERROR(AVERAGEIF(N$5:$N24,"&gt;="&amp;_xlfn.PERCENTILE.EXC(N$5:$N24,0.2)),0)</f>
        <v>0</v>
      </c>
      <c r="Q24" s="21">
        <f t="shared" ca="1" si="3"/>
        <v>37986</v>
      </c>
      <c r="R24" s="4">
        <f ca="1">MIN(O24,PREMISSAS!$C$13)</f>
        <v>0</v>
      </c>
      <c r="S24" s="240"/>
      <c r="T24" s="240"/>
    </row>
    <row r="25" spans="2:20" x14ac:dyDescent="0.25">
      <c r="B25" s="21">
        <f t="shared" ca="1" si="4"/>
        <v>44135</v>
      </c>
      <c r="C25" s="22">
        <f ca="1">IF(B25="","",IF(LEFT(B25,2)="13",C24,IF(MONTH(B25)=1,C24*(1+PREMISSAS!$C$57),C24)))</f>
        <v>0</v>
      </c>
      <c r="E25" s="18">
        <v>21</v>
      </c>
      <c r="F25" s="21">
        <f t="shared" ca="1" si="5"/>
        <v>38017</v>
      </c>
      <c r="G25" s="22">
        <f ca="1">IFERROR(VLOOKUP(F25,RESULTADOS!$O$5:$P$543,2,FALSE),VLOOKUP(F25,$B$5:$C$724,2,FALSE))</f>
        <v>0</v>
      </c>
      <c r="H25" s="4">
        <f ca="1">IF(F25&lt;PREMISSAS!$D$7,0,IFERROR(VLOOKUP(IF(LEFT(F25,2)="13",DATE(YEAR(F24),12,31),F25),IPCA!$A$3:$D$284,4,FALSE),1)*G25)</f>
        <v>0</v>
      </c>
      <c r="J25" s="21">
        <f t="shared" ca="1" si="0"/>
        <v>38017</v>
      </c>
      <c r="K25" s="4">
        <f t="shared" ca="1" si="1"/>
        <v>0</v>
      </c>
      <c r="M25" s="21">
        <f t="shared" ca="1" si="6"/>
        <v>38017</v>
      </c>
      <c r="N25" s="37">
        <f t="shared" ca="1" si="2"/>
        <v>0</v>
      </c>
      <c r="O25" s="4">
        <f ca="1">IFERROR(AVERAGEIF(N$5:$N25,"&gt;="&amp;_xlfn.PERCENTILE.EXC(N$5:$N25,0.2)),0)</f>
        <v>0</v>
      </c>
      <c r="Q25" s="21">
        <f t="shared" ca="1" si="3"/>
        <v>38017</v>
      </c>
      <c r="R25" s="4">
        <f ca="1">MIN(O25,PREMISSAS!$C$13)</f>
        <v>0</v>
      </c>
      <c r="S25" s="240"/>
      <c r="T25" s="240"/>
    </row>
    <row r="26" spans="2:20" x14ac:dyDescent="0.25">
      <c r="B26" s="21">
        <f t="shared" ca="1" si="4"/>
        <v>44165</v>
      </c>
      <c r="C26" s="22">
        <f ca="1">IF(B26="","",IF(LEFT(B26,2)="13",C25,IF(MONTH(B26)=1,C25*(1+PREMISSAS!$C$57),C25)))</f>
        <v>0</v>
      </c>
      <c r="E26" s="18">
        <v>22</v>
      </c>
      <c r="F26" s="21">
        <f t="shared" ca="1" si="5"/>
        <v>38046</v>
      </c>
      <c r="G26" s="22">
        <f ca="1">IFERROR(VLOOKUP(F26,RESULTADOS!$O$5:$P$543,2,FALSE),VLOOKUP(F26,$B$5:$C$724,2,FALSE))</f>
        <v>0</v>
      </c>
      <c r="H26" s="4">
        <f ca="1">IF(F26&lt;PREMISSAS!$D$7,0,IFERROR(VLOOKUP(IF(LEFT(F26,2)="13",DATE(YEAR(F25),12,31),F26),IPCA!$A$3:$D$284,4,FALSE),1)*G26)</f>
        <v>0</v>
      </c>
      <c r="J26" s="21">
        <f t="shared" ca="1" si="0"/>
        <v>38046</v>
      </c>
      <c r="K26" s="4">
        <f t="shared" ca="1" si="1"/>
        <v>0</v>
      </c>
      <c r="M26" s="21">
        <f t="shared" ca="1" si="6"/>
        <v>38046</v>
      </c>
      <c r="N26" s="37">
        <f t="shared" ca="1" si="2"/>
        <v>0</v>
      </c>
      <c r="O26" s="4">
        <f ca="1">IFERROR(AVERAGEIF(N$5:$N26,"&gt;="&amp;_xlfn.PERCENTILE.EXC(N$5:$N26,0.2)),0)</f>
        <v>0</v>
      </c>
      <c r="Q26" s="21">
        <f t="shared" ca="1" si="3"/>
        <v>38046</v>
      </c>
      <c r="R26" s="4">
        <f ca="1">MIN(O26,PREMISSAS!$C$13)</f>
        <v>0</v>
      </c>
      <c r="S26" s="240"/>
      <c r="T26" s="240"/>
    </row>
    <row r="27" spans="2:20" x14ac:dyDescent="0.25">
      <c r="B27" s="21" t="str">
        <f t="shared" ca="1" si="4"/>
        <v>13º 2020</v>
      </c>
      <c r="C27" s="22">
        <f ca="1">IF(B27="","",IF(LEFT(B27,2)="13",C26,IF(MONTH(B27)=1,C26*(1+PREMISSAS!$C$57),C26)))</f>
        <v>0</v>
      </c>
      <c r="E27" s="18">
        <v>23</v>
      </c>
      <c r="F27" s="21">
        <f t="shared" ca="1" si="5"/>
        <v>38077</v>
      </c>
      <c r="G27" s="22">
        <f ca="1">IFERROR(VLOOKUP(F27,RESULTADOS!$O$5:$P$543,2,FALSE),VLOOKUP(F27,$B$5:$C$724,2,FALSE))</f>
        <v>0</v>
      </c>
      <c r="H27" s="4">
        <f ca="1">IF(F27&lt;PREMISSAS!$D$7,0,IFERROR(VLOOKUP(IF(LEFT(F27,2)="13",DATE(YEAR(F26),12,31),F27),IPCA!$A$3:$D$284,4,FALSE),1)*G27)</f>
        <v>0</v>
      </c>
      <c r="J27" s="21">
        <f t="shared" ca="1" si="0"/>
        <v>38077</v>
      </c>
      <c r="K27" s="4">
        <f t="shared" ca="1" si="1"/>
        <v>0</v>
      </c>
      <c r="M27" s="21">
        <f t="shared" ca="1" si="6"/>
        <v>38077</v>
      </c>
      <c r="N27" s="37">
        <f t="shared" ca="1" si="2"/>
        <v>0</v>
      </c>
      <c r="O27" s="4">
        <f ca="1">IFERROR(AVERAGEIF(N$5:$N27,"&gt;="&amp;_xlfn.PERCENTILE.EXC(N$5:$N27,0.2)),0)</f>
        <v>0</v>
      </c>
      <c r="Q27" s="21">
        <f t="shared" ca="1" si="3"/>
        <v>38077</v>
      </c>
      <c r="R27" s="4">
        <f ca="1">MIN(O27,PREMISSAS!$C$13)</f>
        <v>0</v>
      </c>
      <c r="S27" s="240"/>
      <c r="T27" s="240"/>
    </row>
    <row r="28" spans="2:20" x14ac:dyDescent="0.25">
      <c r="B28" s="21">
        <f t="shared" ca="1" si="4"/>
        <v>44196</v>
      </c>
      <c r="C28" s="22">
        <f ca="1">IF(B28="","",IF(LEFT(B28,2)="13",C27,IF(MONTH(B28)=1,C27*(1+PREMISSAS!$C$57),C27)))</f>
        <v>0</v>
      </c>
      <c r="E28" s="18">
        <v>24</v>
      </c>
      <c r="F28" s="21">
        <f t="shared" ca="1" si="5"/>
        <v>38107</v>
      </c>
      <c r="G28" s="22">
        <f ca="1">IFERROR(VLOOKUP(F28,RESULTADOS!$O$5:$P$543,2,FALSE),VLOOKUP(F28,$B$5:$C$724,2,FALSE))</f>
        <v>0</v>
      </c>
      <c r="H28" s="4">
        <f ca="1">IF(F28&lt;PREMISSAS!$D$7,0,IFERROR(VLOOKUP(IF(LEFT(F28,2)="13",DATE(YEAR(F27),12,31),F28),IPCA!$A$3:$D$284,4,FALSE),1)*G28)</f>
        <v>0</v>
      </c>
      <c r="J28" s="21">
        <f t="shared" ca="1" si="0"/>
        <v>38107</v>
      </c>
      <c r="K28" s="4">
        <f t="shared" ca="1" si="1"/>
        <v>0</v>
      </c>
      <c r="M28" s="21">
        <f t="shared" ca="1" si="6"/>
        <v>38107</v>
      </c>
      <c r="N28" s="37">
        <f t="shared" ca="1" si="2"/>
        <v>0</v>
      </c>
      <c r="O28" s="4">
        <f ca="1">IFERROR(AVERAGEIF(N$5:$N28,"&gt;="&amp;_xlfn.PERCENTILE.EXC(N$5:$N28,0.2)),0)</f>
        <v>0</v>
      </c>
      <c r="Q28" s="21">
        <f t="shared" ca="1" si="3"/>
        <v>38107</v>
      </c>
      <c r="R28" s="4">
        <f ca="1">MIN(O28,PREMISSAS!$C$13)</f>
        <v>0</v>
      </c>
      <c r="S28" s="240"/>
      <c r="T28" s="240"/>
    </row>
    <row r="29" spans="2:20" x14ac:dyDescent="0.25">
      <c r="B29" s="21">
        <f t="shared" ca="1" si="4"/>
        <v>44227</v>
      </c>
      <c r="C29" s="22">
        <f ca="1">IF(B29="","",IF(LEFT(B29,2)="13",C28,IF(MONTH(B29)=1,C28*(1+PREMISSAS!$C$57),C28)))</f>
        <v>0</v>
      </c>
      <c r="E29" s="18">
        <v>25</v>
      </c>
      <c r="F29" s="21">
        <f t="shared" ca="1" si="5"/>
        <v>38138</v>
      </c>
      <c r="G29" s="22">
        <f ca="1">IFERROR(VLOOKUP(F29,RESULTADOS!$O$5:$P$543,2,FALSE),VLOOKUP(F29,$B$5:$C$724,2,FALSE))</f>
        <v>0</v>
      </c>
      <c r="H29" s="4">
        <f ca="1">IF(F29&lt;PREMISSAS!$D$7,0,IFERROR(VLOOKUP(IF(LEFT(F29,2)="13",DATE(YEAR(F28),12,31),F29),IPCA!$A$3:$D$284,4,FALSE),1)*G29)</f>
        <v>0</v>
      </c>
      <c r="J29" s="21">
        <f t="shared" ca="1" si="0"/>
        <v>38138</v>
      </c>
      <c r="K29" s="4">
        <f t="shared" ca="1" si="1"/>
        <v>0</v>
      </c>
      <c r="M29" s="21">
        <f t="shared" ca="1" si="6"/>
        <v>38138</v>
      </c>
      <c r="N29" s="37">
        <f t="shared" ca="1" si="2"/>
        <v>0</v>
      </c>
      <c r="O29" s="4">
        <f ca="1">IFERROR(AVERAGEIF(N$5:$N29,"&gt;="&amp;_xlfn.PERCENTILE.EXC(N$5:$N29,0.2)),0)</f>
        <v>0</v>
      </c>
      <c r="Q29" s="21">
        <f t="shared" ca="1" si="3"/>
        <v>38138</v>
      </c>
      <c r="R29" s="4">
        <f ca="1">MIN(O29,PREMISSAS!$C$13)</f>
        <v>0</v>
      </c>
      <c r="S29" s="240"/>
      <c r="T29" s="240"/>
    </row>
    <row r="30" spans="2:20" x14ac:dyDescent="0.25">
      <c r="B30" s="21">
        <f t="shared" ca="1" si="4"/>
        <v>44255</v>
      </c>
      <c r="C30" s="22">
        <f ca="1">IF(B30="","",IF(LEFT(B30,2)="13",C29,IF(MONTH(B30)=1,C29*(1+PREMISSAS!$C$57),C29)))</f>
        <v>0</v>
      </c>
      <c r="E30" s="18">
        <v>26</v>
      </c>
      <c r="F30" s="21">
        <f t="shared" ca="1" si="5"/>
        <v>38168</v>
      </c>
      <c r="G30" s="22">
        <f ca="1">IFERROR(VLOOKUP(F30,RESULTADOS!$O$5:$P$543,2,FALSE),VLOOKUP(F30,$B$5:$C$724,2,FALSE))</f>
        <v>0</v>
      </c>
      <c r="H30" s="4">
        <f ca="1">IF(F30&lt;PREMISSAS!$D$7,0,IFERROR(VLOOKUP(IF(LEFT(F30,2)="13",DATE(YEAR(F29),12,31),F30),IPCA!$A$3:$D$284,4,FALSE),1)*G30)</f>
        <v>0</v>
      </c>
      <c r="J30" s="21">
        <f t="shared" ca="1" si="0"/>
        <v>38168</v>
      </c>
      <c r="K30" s="4">
        <f t="shared" ca="1" si="1"/>
        <v>0</v>
      </c>
      <c r="M30" s="21">
        <f t="shared" ca="1" si="6"/>
        <v>38168</v>
      </c>
      <c r="N30" s="37">
        <f t="shared" ca="1" si="2"/>
        <v>0</v>
      </c>
      <c r="O30" s="4">
        <f ca="1">IFERROR(AVERAGEIF(N$5:$N30,"&gt;="&amp;_xlfn.PERCENTILE.EXC(N$5:$N30,0.2)),0)</f>
        <v>0</v>
      </c>
      <c r="Q30" s="21">
        <f t="shared" ca="1" si="3"/>
        <v>38168</v>
      </c>
      <c r="R30" s="4">
        <f ca="1">MIN(O30,PREMISSAS!$C$13)</f>
        <v>0</v>
      </c>
      <c r="S30" s="240"/>
      <c r="T30" s="240"/>
    </row>
    <row r="31" spans="2:20" x14ac:dyDescent="0.25">
      <c r="B31" s="21">
        <f t="shared" ca="1" si="4"/>
        <v>44286</v>
      </c>
      <c r="C31" s="22">
        <f ca="1">IF(B31="","",IF(LEFT(B31,2)="13",C30,IF(MONTH(B31)=1,C30*(1+PREMISSAS!$C$57),C30)))</f>
        <v>0</v>
      </c>
      <c r="E31" s="18">
        <v>27</v>
      </c>
      <c r="F31" s="21">
        <f t="shared" ca="1" si="5"/>
        <v>38199</v>
      </c>
      <c r="G31" s="22">
        <f ca="1">IFERROR(VLOOKUP(F31,RESULTADOS!$O$5:$P$543,2,FALSE),VLOOKUP(F31,$B$5:$C$724,2,FALSE))</f>
        <v>0</v>
      </c>
      <c r="H31" s="4">
        <f ca="1">IF(F31&lt;PREMISSAS!$D$7,0,IFERROR(VLOOKUP(IF(LEFT(F31,2)="13",DATE(YEAR(F30),12,31),F31),IPCA!$A$3:$D$284,4,FALSE),1)*G31)</f>
        <v>0</v>
      </c>
      <c r="J31" s="21">
        <f t="shared" ca="1" si="0"/>
        <v>38199</v>
      </c>
      <c r="K31" s="4">
        <f t="shared" ca="1" si="1"/>
        <v>0</v>
      </c>
      <c r="M31" s="21">
        <f t="shared" ca="1" si="6"/>
        <v>38199</v>
      </c>
      <c r="N31" s="37">
        <f t="shared" ca="1" si="2"/>
        <v>0</v>
      </c>
      <c r="O31" s="4">
        <f ca="1">IFERROR(AVERAGEIF(N$5:$N31,"&gt;="&amp;_xlfn.PERCENTILE.EXC(N$5:$N31,0.2)),0)</f>
        <v>0</v>
      </c>
      <c r="Q31" s="21">
        <f t="shared" ca="1" si="3"/>
        <v>38199</v>
      </c>
      <c r="R31" s="4">
        <f ca="1">MIN(O31,PREMISSAS!$C$13)</f>
        <v>0</v>
      </c>
      <c r="S31" s="240"/>
      <c r="T31" s="240"/>
    </row>
    <row r="32" spans="2:20" x14ac:dyDescent="0.25">
      <c r="B32" s="21">
        <f t="shared" ca="1" si="4"/>
        <v>44316</v>
      </c>
      <c r="C32" s="22">
        <f ca="1">IF(B32="","",IF(LEFT(B32,2)="13",C31,IF(MONTH(B32)=1,C31*(1+PREMISSAS!$C$57),C31)))</f>
        <v>0</v>
      </c>
      <c r="E32" s="18">
        <v>28</v>
      </c>
      <c r="F32" s="21">
        <f t="shared" ca="1" si="5"/>
        <v>38230</v>
      </c>
      <c r="G32" s="22">
        <f ca="1">IFERROR(VLOOKUP(F32,RESULTADOS!$O$5:$P$543,2,FALSE),VLOOKUP(F32,$B$5:$C$724,2,FALSE))</f>
        <v>0</v>
      </c>
      <c r="H32" s="4">
        <f ca="1">IF(F32&lt;PREMISSAS!$D$7,0,IFERROR(VLOOKUP(IF(LEFT(F32,2)="13",DATE(YEAR(F31),12,31),F32),IPCA!$A$3:$D$284,4,FALSE),1)*G32)</f>
        <v>0</v>
      </c>
      <c r="J32" s="21">
        <f t="shared" ca="1" si="0"/>
        <v>38230</v>
      </c>
      <c r="K32" s="4">
        <f t="shared" ca="1" si="1"/>
        <v>0</v>
      </c>
      <c r="M32" s="21">
        <f t="shared" ca="1" si="6"/>
        <v>38230</v>
      </c>
      <c r="N32" s="37">
        <f t="shared" ca="1" si="2"/>
        <v>0</v>
      </c>
      <c r="O32" s="4">
        <f ca="1">IFERROR(AVERAGEIF(N$5:$N32,"&gt;="&amp;_xlfn.PERCENTILE.EXC(N$5:$N32,0.2)),0)</f>
        <v>0</v>
      </c>
      <c r="Q32" s="21">
        <f t="shared" ca="1" si="3"/>
        <v>38230</v>
      </c>
      <c r="R32" s="4">
        <f ca="1">MIN(O32,PREMISSAS!$C$13)</f>
        <v>0</v>
      </c>
      <c r="S32" s="240"/>
      <c r="T32" s="240"/>
    </row>
    <row r="33" spans="2:20" x14ac:dyDescent="0.25">
      <c r="B33" s="21">
        <f t="shared" ca="1" si="4"/>
        <v>44347</v>
      </c>
      <c r="C33" s="22">
        <f ca="1">IF(B33="","",IF(LEFT(B33,2)="13",C32,IF(MONTH(B33)=1,C32*(1+PREMISSAS!$C$57),C32)))</f>
        <v>0</v>
      </c>
      <c r="E33" s="18">
        <v>29</v>
      </c>
      <c r="F33" s="21">
        <f t="shared" ca="1" si="5"/>
        <v>38260</v>
      </c>
      <c r="G33" s="22">
        <f ca="1">IFERROR(VLOOKUP(F33,RESULTADOS!$O$5:$P$543,2,FALSE),VLOOKUP(F33,$B$5:$C$724,2,FALSE))</f>
        <v>0</v>
      </c>
      <c r="H33" s="4">
        <f ca="1">IF(F33&lt;PREMISSAS!$D$7,0,IFERROR(VLOOKUP(IF(LEFT(F33,2)="13",DATE(YEAR(F32),12,31),F33),IPCA!$A$3:$D$284,4,FALSE),1)*G33)</f>
        <v>0</v>
      </c>
      <c r="J33" s="21">
        <f t="shared" ca="1" si="0"/>
        <v>38260</v>
      </c>
      <c r="K33" s="4">
        <f t="shared" ca="1" si="1"/>
        <v>0</v>
      </c>
      <c r="M33" s="21">
        <f t="shared" ca="1" si="6"/>
        <v>38260</v>
      </c>
      <c r="N33" s="37">
        <f t="shared" ca="1" si="2"/>
        <v>0</v>
      </c>
      <c r="O33" s="4">
        <f ca="1">IFERROR(AVERAGEIF(N$5:$N33,"&gt;="&amp;_xlfn.PERCENTILE.EXC(N$5:$N33,0.2)),0)</f>
        <v>0</v>
      </c>
      <c r="Q33" s="21">
        <f t="shared" ca="1" si="3"/>
        <v>38260</v>
      </c>
      <c r="R33" s="4">
        <f ca="1">MIN(O33,PREMISSAS!$C$13)</f>
        <v>0</v>
      </c>
      <c r="S33" s="240"/>
      <c r="T33" s="240"/>
    </row>
    <row r="34" spans="2:20" x14ac:dyDescent="0.25">
      <c r="B34" s="21">
        <f t="shared" ca="1" si="4"/>
        <v>44377</v>
      </c>
      <c r="C34" s="22">
        <f ca="1">IF(B34="","",IF(LEFT(B34,2)="13",C33,IF(MONTH(B34)=1,C33*(1+PREMISSAS!$C$57),C33)))</f>
        <v>0</v>
      </c>
      <c r="E34" s="18">
        <v>30</v>
      </c>
      <c r="F34" s="21">
        <f t="shared" ca="1" si="5"/>
        <v>38291</v>
      </c>
      <c r="G34" s="22">
        <f ca="1">IFERROR(VLOOKUP(F34,RESULTADOS!$O$5:$P$543,2,FALSE),VLOOKUP(F34,$B$5:$C$724,2,FALSE))</f>
        <v>0</v>
      </c>
      <c r="H34" s="4">
        <f ca="1">IF(F34&lt;PREMISSAS!$D$7,0,IFERROR(VLOOKUP(IF(LEFT(F34,2)="13",DATE(YEAR(F33),12,31),F34),IPCA!$A$3:$D$284,4,FALSE),1)*G34)</f>
        <v>0</v>
      </c>
      <c r="J34" s="21">
        <f t="shared" ca="1" si="0"/>
        <v>38291</v>
      </c>
      <c r="K34" s="4">
        <f t="shared" ca="1" si="1"/>
        <v>0</v>
      </c>
      <c r="M34" s="21">
        <f t="shared" ca="1" si="6"/>
        <v>38291</v>
      </c>
      <c r="N34" s="37">
        <f t="shared" ca="1" si="2"/>
        <v>0</v>
      </c>
      <c r="O34" s="4">
        <f ca="1">IFERROR(AVERAGEIF(N$5:$N34,"&gt;="&amp;_xlfn.PERCENTILE.EXC(N$5:$N34,0.2)),0)</f>
        <v>0</v>
      </c>
      <c r="Q34" s="21">
        <f t="shared" ca="1" si="3"/>
        <v>38291</v>
      </c>
      <c r="R34" s="4">
        <f ca="1">MIN(O34,PREMISSAS!$C$13)</f>
        <v>0</v>
      </c>
      <c r="S34" s="240"/>
      <c r="T34" s="240"/>
    </row>
    <row r="35" spans="2:20" x14ac:dyDescent="0.25">
      <c r="B35" s="21">
        <f t="shared" ca="1" si="4"/>
        <v>44408</v>
      </c>
      <c r="C35" s="22">
        <f ca="1">IF(B35="","",IF(LEFT(B35,2)="13",C34,IF(MONTH(B35)=1,C34*(1+PREMISSAS!$C$57),C34)))</f>
        <v>0</v>
      </c>
      <c r="E35" s="18">
        <v>31</v>
      </c>
      <c r="F35" s="21">
        <f t="shared" ca="1" si="5"/>
        <v>38321</v>
      </c>
      <c r="G35" s="22">
        <f ca="1">IFERROR(VLOOKUP(F35,RESULTADOS!$O$5:$P$543,2,FALSE),VLOOKUP(F35,$B$5:$C$724,2,FALSE))</f>
        <v>0</v>
      </c>
      <c r="H35" s="4">
        <f ca="1">IF(F35&lt;PREMISSAS!$D$7,0,IFERROR(VLOOKUP(IF(LEFT(F35,2)="13",DATE(YEAR(F34),12,31),F35),IPCA!$A$3:$D$284,4,FALSE),1)*G35)</f>
        <v>0</v>
      </c>
      <c r="J35" s="21">
        <f t="shared" ca="1" si="0"/>
        <v>38321</v>
      </c>
      <c r="K35" s="4">
        <f t="shared" ca="1" si="1"/>
        <v>0</v>
      </c>
      <c r="M35" s="21">
        <f t="shared" ca="1" si="6"/>
        <v>38321</v>
      </c>
      <c r="N35" s="37">
        <f t="shared" ca="1" si="2"/>
        <v>0</v>
      </c>
      <c r="O35" s="4">
        <f ca="1">IFERROR(AVERAGEIF(N$5:$N35,"&gt;="&amp;_xlfn.PERCENTILE.EXC(N$5:$N35,0.2)),0)</f>
        <v>0</v>
      </c>
      <c r="Q35" s="21">
        <f t="shared" ca="1" si="3"/>
        <v>38321</v>
      </c>
      <c r="R35" s="4">
        <f ca="1">MIN(O35,PREMISSAS!$C$13)</f>
        <v>0</v>
      </c>
      <c r="S35" s="240"/>
      <c r="T35" s="240"/>
    </row>
    <row r="36" spans="2:20" x14ac:dyDescent="0.25">
      <c r="B36" s="21">
        <f t="shared" ca="1" si="4"/>
        <v>44439</v>
      </c>
      <c r="C36" s="22">
        <f ca="1">IF(B36="","",IF(LEFT(B36,2)="13",C35,IF(MONTH(B36)=1,C35*(1+PREMISSAS!$C$57),C35)))</f>
        <v>0</v>
      </c>
      <c r="E36" s="18">
        <v>32</v>
      </c>
      <c r="F36" s="21" t="str">
        <f t="shared" ca="1" si="5"/>
        <v>13º 2004</v>
      </c>
      <c r="G36" s="22">
        <f ca="1">IFERROR(VLOOKUP(F36,RESULTADOS!$O$5:$P$543,2,FALSE),VLOOKUP(F36,$B$5:$C$724,2,FALSE))</f>
        <v>0</v>
      </c>
      <c r="H36" s="4">
        <f ca="1">IF(F36&lt;PREMISSAS!$D$7,0,IFERROR(VLOOKUP(IF(LEFT(F36,2)="13",DATE(YEAR(F35),12,31),F36),IPCA!$A$3:$D$284,4,FALSE),1)*G36)</f>
        <v>0</v>
      </c>
      <c r="J36" s="21" t="str">
        <f t="shared" ca="1" si="0"/>
        <v>13º 2004</v>
      </c>
      <c r="K36" s="4">
        <f t="shared" ca="1" si="1"/>
        <v>0</v>
      </c>
      <c r="M36" s="21" t="str">
        <f t="shared" ca="1" si="6"/>
        <v>13º 2004</v>
      </c>
      <c r="N36" s="37">
        <f t="shared" ca="1" si="2"/>
        <v>0</v>
      </c>
      <c r="O36" s="4">
        <f ca="1">IFERROR(AVERAGEIF(N$5:$N36,"&gt;="&amp;_xlfn.PERCENTILE.EXC(N$5:$N36,0.2)),0)</f>
        <v>0</v>
      </c>
      <c r="Q36" s="21" t="str">
        <f t="shared" ca="1" si="3"/>
        <v>13º 2004</v>
      </c>
      <c r="R36" s="4">
        <f ca="1">MIN(O36,PREMISSAS!$C$13)</f>
        <v>0</v>
      </c>
      <c r="S36" s="240"/>
      <c r="T36" s="240"/>
    </row>
    <row r="37" spans="2:20" x14ac:dyDescent="0.25">
      <c r="B37" s="21">
        <f t="shared" ca="1" si="4"/>
        <v>44469</v>
      </c>
      <c r="C37" s="22">
        <f ca="1">IF(B37="","",IF(LEFT(B37,2)="13",C36,IF(MONTH(B37)=1,C36*(1+PREMISSAS!$C$57),C36)))</f>
        <v>0</v>
      </c>
      <c r="E37" s="18">
        <v>33</v>
      </c>
      <c r="F37" s="21">
        <f t="shared" ca="1" si="5"/>
        <v>38352</v>
      </c>
      <c r="G37" s="22">
        <f ca="1">IFERROR(VLOOKUP(F37,RESULTADOS!$O$5:$P$543,2,FALSE),VLOOKUP(F37,$B$5:$C$724,2,FALSE))</f>
        <v>0</v>
      </c>
      <c r="H37" s="4">
        <f ca="1">IF(F37&lt;PREMISSAS!$D$7,0,IFERROR(VLOOKUP(IF(LEFT(F37,2)="13",DATE(YEAR(F36),12,31),F37),IPCA!$A$3:$D$284,4,FALSE),1)*G37)</f>
        <v>0</v>
      </c>
      <c r="J37" s="21">
        <f t="shared" ca="1" si="0"/>
        <v>38352</v>
      </c>
      <c r="K37" s="4">
        <f t="shared" ca="1" si="1"/>
        <v>0</v>
      </c>
      <c r="M37" s="21">
        <f t="shared" ca="1" si="6"/>
        <v>38352</v>
      </c>
      <c r="N37" s="37">
        <f t="shared" ca="1" si="2"/>
        <v>0</v>
      </c>
      <c r="O37" s="4">
        <f ca="1">IFERROR(AVERAGEIF(N$5:$N37,"&gt;="&amp;_xlfn.PERCENTILE.EXC(N$5:$N37,0.2)),0)</f>
        <v>0</v>
      </c>
      <c r="Q37" s="21">
        <f t="shared" ca="1" si="3"/>
        <v>38352</v>
      </c>
      <c r="R37" s="4">
        <f ca="1">MIN(O37,PREMISSAS!$C$13)</f>
        <v>0</v>
      </c>
      <c r="S37" s="240"/>
      <c r="T37" s="240"/>
    </row>
    <row r="38" spans="2:20" x14ac:dyDescent="0.25">
      <c r="B38" s="21">
        <f t="shared" ca="1" si="4"/>
        <v>44500</v>
      </c>
      <c r="C38" s="22">
        <f ca="1">IF(B38="","",IF(LEFT(B38,2)="13",C37,IF(MONTH(B38)=1,C37*(1+PREMISSAS!$C$57),C37)))</f>
        <v>0</v>
      </c>
      <c r="E38" s="18">
        <v>34</v>
      </c>
      <c r="F38" s="21">
        <f t="shared" ca="1" si="5"/>
        <v>38383</v>
      </c>
      <c r="G38" s="22">
        <f ca="1">IFERROR(VLOOKUP(F38,RESULTADOS!$O$5:$P$543,2,FALSE),VLOOKUP(F38,$B$5:$C$724,2,FALSE))</f>
        <v>0</v>
      </c>
      <c r="H38" s="4">
        <f ca="1">IF(F38&lt;PREMISSAS!$D$7,0,IFERROR(VLOOKUP(IF(LEFT(F38,2)="13",DATE(YEAR(F37),12,31),F38),IPCA!$A$3:$D$284,4,FALSE),1)*G38)</f>
        <v>0</v>
      </c>
      <c r="J38" s="21">
        <f t="shared" ca="1" si="0"/>
        <v>38383</v>
      </c>
      <c r="K38" s="4">
        <f t="shared" ca="1" si="1"/>
        <v>0</v>
      </c>
      <c r="M38" s="21">
        <f t="shared" ca="1" si="6"/>
        <v>38383</v>
      </c>
      <c r="N38" s="37">
        <f t="shared" ca="1" si="2"/>
        <v>0</v>
      </c>
      <c r="O38" s="4">
        <f ca="1">IFERROR(AVERAGEIF(N$5:$N38,"&gt;="&amp;_xlfn.PERCENTILE.EXC(N$5:$N38,0.2)),0)</f>
        <v>0</v>
      </c>
      <c r="Q38" s="21">
        <f t="shared" ca="1" si="3"/>
        <v>38383</v>
      </c>
      <c r="R38" s="4">
        <f ca="1">MIN(O38,PREMISSAS!$C$13)</f>
        <v>0</v>
      </c>
      <c r="S38" s="240"/>
      <c r="T38" s="240"/>
    </row>
    <row r="39" spans="2:20" x14ac:dyDescent="0.25">
      <c r="B39" s="21">
        <f t="shared" ca="1" si="4"/>
        <v>44530</v>
      </c>
      <c r="C39" s="22">
        <f ca="1">IF(B39="","",IF(LEFT(B39,2)="13",C38,IF(MONTH(B39)=1,C38*(1+PREMISSAS!$C$57),C38)))</f>
        <v>0</v>
      </c>
      <c r="E39" s="18">
        <v>35</v>
      </c>
      <c r="F39" s="21">
        <f t="shared" ca="1" si="5"/>
        <v>38411</v>
      </c>
      <c r="G39" s="22">
        <f ca="1">IFERROR(VLOOKUP(F39,RESULTADOS!$O$5:$P$543,2,FALSE),VLOOKUP(F39,$B$5:$C$724,2,FALSE))</f>
        <v>0</v>
      </c>
      <c r="H39" s="4">
        <f ca="1">IF(F39&lt;PREMISSAS!$D$7,0,IFERROR(VLOOKUP(IF(LEFT(F39,2)="13",DATE(YEAR(F38),12,31),F39),IPCA!$A$3:$D$284,4,FALSE),1)*G39)</f>
        <v>0</v>
      </c>
      <c r="J39" s="21">
        <f t="shared" ca="1" si="0"/>
        <v>38411</v>
      </c>
      <c r="K39" s="4">
        <f t="shared" ca="1" si="1"/>
        <v>0</v>
      </c>
      <c r="M39" s="21">
        <f t="shared" ca="1" si="6"/>
        <v>38411</v>
      </c>
      <c r="N39" s="37">
        <f t="shared" ca="1" si="2"/>
        <v>0</v>
      </c>
      <c r="O39" s="4">
        <f ca="1">IFERROR(AVERAGEIF(N$5:$N39,"&gt;="&amp;_xlfn.PERCENTILE.EXC(N$5:$N39,0.2)),0)</f>
        <v>0</v>
      </c>
      <c r="Q39" s="21">
        <f t="shared" ca="1" si="3"/>
        <v>38411</v>
      </c>
      <c r="R39" s="4">
        <f ca="1">MIN(O39,PREMISSAS!$C$13)</f>
        <v>0</v>
      </c>
      <c r="S39" s="240"/>
      <c r="T39" s="240"/>
    </row>
    <row r="40" spans="2:20" x14ac:dyDescent="0.25">
      <c r="B40" s="21" t="str">
        <f t="shared" ca="1" si="4"/>
        <v>13º 2021</v>
      </c>
      <c r="C40" s="22">
        <f ca="1">IF(B40="","",IF(LEFT(B40,2)="13",C39,IF(MONTH(B40)=1,C39*(1+PREMISSAS!$C$57),C39)))</f>
        <v>0</v>
      </c>
      <c r="E40" s="18">
        <v>36</v>
      </c>
      <c r="F40" s="21">
        <f t="shared" ca="1" si="5"/>
        <v>38442</v>
      </c>
      <c r="G40" s="22">
        <f ca="1">IFERROR(VLOOKUP(F40,RESULTADOS!$O$5:$P$543,2,FALSE),VLOOKUP(F40,$B$5:$C$724,2,FALSE))</f>
        <v>0</v>
      </c>
      <c r="H40" s="4">
        <f ca="1">IF(F40&lt;PREMISSAS!$D$7,0,IFERROR(VLOOKUP(IF(LEFT(F40,2)="13",DATE(YEAR(F39),12,31),F40),IPCA!$A$3:$D$284,4,FALSE),1)*G40)</f>
        <v>0</v>
      </c>
      <c r="J40" s="21">
        <f t="shared" ca="1" si="0"/>
        <v>38442</v>
      </c>
      <c r="K40" s="4">
        <f t="shared" ca="1" si="1"/>
        <v>0</v>
      </c>
      <c r="M40" s="21">
        <f t="shared" ca="1" si="6"/>
        <v>38442</v>
      </c>
      <c r="N40" s="37">
        <f t="shared" ca="1" si="2"/>
        <v>0</v>
      </c>
      <c r="O40" s="4">
        <f ca="1">IFERROR(AVERAGEIF(N$5:$N40,"&gt;="&amp;_xlfn.PERCENTILE.EXC(N$5:$N40,0.2)),0)</f>
        <v>0</v>
      </c>
      <c r="Q40" s="21">
        <f t="shared" ca="1" si="3"/>
        <v>38442</v>
      </c>
      <c r="R40" s="4">
        <f ca="1">MIN(O40,PREMISSAS!$C$13)</f>
        <v>0</v>
      </c>
      <c r="S40" s="240"/>
      <c r="T40" s="240"/>
    </row>
    <row r="41" spans="2:20" x14ac:dyDescent="0.25">
      <c r="B41" s="21">
        <f t="shared" ca="1" si="4"/>
        <v>44561</v>
      </c>
      <c r="C41" s="22">
        <f ca="1">IF(B41="","",IF(LEFT(B41,2)="13",C40,IF(MONTH(B41)=1,C40*(1+PREMISSAS!$C$57),C40)))</f>
        <v>0</v>
      </c>
      <c r="E41" s="18">
        <v>37</v>
      </c>
      <c r="F41" s="21">
        <f t="shared" ca="1" si="5"/>
        <v>38472</v>
      </c>
      <c r="G41" s="22">
        <f ca="1">IFERROR(VLOOKUP(F41,RESULTADOS!$O$5:$P$543,2,FALSE),VLOOKUP(F41,$B$5:$C$724,2,FALSE))</f>
        <v>0</v>
      </c>
      <c r="H41" s="4">
        <f ca="1">IF(F41&lt;PREMISSAS!$D$7,0,IFERROR(VLOOKUP(IF(LEFT(F41,2)="13",DATE(YEAR(F40),12,31),F41),IPCA!$A$3:$D$284,4,FALSE),1)*G41)</f>
        <v>0</v>
      </c>
      <c r="J41" s="21">
        <f t="shared" ca="1" si="0"/>
        <v>38472</v>
      </c>
      <c r="K41" s="4">
        <f t="shared" ca="1" si="1"/>
        <v>0</v>
      </c>
      <c r="M41" s="21">
        <f t="shared" ca="1" si="6"/>
        <v>38472</v>
      </c>
      <c r="N41" s="37">
        <f t="shared" ca="1" si="2"/>
        <v>0</v>
      </c>
      <c r="O41" s="4">
        <f ca="1">IFERROR(AVERAGEIF(N$5:$N41,"&gt;="&amp;_xlfn.PERCENTILE.EXC(N$5:$N41,0.2)),0)</f>
        <v>0</v>
      </c>
      <c r="Q41" s="21">
        <f t="shared" ca="1" si="3"/>
        <v>38472</v>
      </c>
      <c r="R41" s="4">
        <f ca="1">MIN(O41,PREMISSAS!$C$13)</f>
        <v>0</v>
      </c>
      <c r="S41" s="240"/>
      <c r="T41" s="240"/>
    </row>
    <row r="42" spans="2:20" x14ac:dyDescent="0.25">
      <c r="B42" s="21">
        <f t="shared" ca="1" si="4"/>
        <v>44592</v>
      </c>
      <c r="C42" s="22">
        <f ca="1">IF(B42="","",IF(LEFT(B42,2)="13",C41,IF(MONTH(B42)=1,C41*(1+PREMISSAS!$C$57),C41)))</f>
        <v>0</v>
      </c>
      <c r="E42" s="18">
        <v>38</v>
      </c>
      <c r="F42" s="21">
        <f t="shared" ca="1" si="5"/>
        <v>38503</v>
      </c>
      <c r="G42" s="22">
        <f ca="1">IFERROR(VLOOKUP(F42,RESULTADOS!$O$5:$P$543,2,FALSE),VLOOKUP(F42,$B$5:$C$724,2,FALSE))</f>
        <v>0</v>
      </c>
      <c r="H42" s="4">
        <f ca="1">IF(F42&lt;PREMISSAS!$D$7,0,IFERROR(VLOOKUP(IF(LEFT(F42,2)="13",DATE(YEAR(F41),12,31),F42),IPCA!$A$3:$D$284,4,FALSE),1)*G42)</f>
        <v>0</v>
      </c>
      <c r="J42" s="21">
        <f t="shared" ca="1" si="0"/>
        <v>38503</v>
      </c>
      <c r="K42" s="4">
        <f t="shared" ca="1" si="1"/>
        <v>0</v>
      </c>
      <c r="M42" s="21">
        <f t="shared" ca="1" si="6"/>
        <v>38503</v>
      </c>
      <c r="N42" s="37">
        <f t="shared" ca="1" si="2"/>
        <v>0</v>
      </c>
      <c r="O42" s="4">
        <f ca="1">IFERROR(AVERAGEIF(N$5:$N42,"&gt;="&amp;_xlfn.PERCENTILE.EXC(N$5:$N42,0.2)),0)</f>
        <v>0</v>
      </c>
      <c r="Q42" s="21">
        <f t="shared" ca="1" si="3"/>
        <v>38503</v>
      </c>
      <c r="R42" s="4">
        <f ca="1">MIN(O42,PREMISSAS!$C$13)</f>
        <v>0</v>
      </c>
      <c r="S42" s="240"/>
      <c r="T42" s="240"/>
    </row>
    <row r="43" spans="2:20" x14ac:dyDescent="0.25">
      <c r="B43" s="21">
        <f t="shared" ca="1" si="4"/>
        <v>44620</v>
      </c>
      <c r="C43" s="22">
        <f ca="1">IF(B43="","",IF(LEFT(B43,2)="13",C42,IF(MONTH(B43)=1,C42*(1+PREMISSAS!$C$57),C42)))</f>
        <v>0</v>
      </c>
      <c r="E43" s="18">
        <v>39</v>
      </c>
      <c r="F43" s="21">
        <f t="shared" ca="1" si="5"/>
        <v>38533</v>
      </c>
      <c r="G43" s="22">
        <f ca="1">IFERROR(VLOOKUP(F43,RESULTADOS!$O$5:$P$543,2,FALSE),VLOOKUP(F43,$B$5:$C$724,2,FALSE))</f>
        <v>0</v>
      </c>
      <c r="H43" s="4">
        <f ca="1">IF(F43&lt;PREMISSAS!$D$7,0,IFERROR(VLOOKUP(IF(LEFT(F43,2)="13",DATE(YEAR(F42),12,31),F43),IPCA!$A$3:$D$284,4,FALSE),1)*G43)</f>
        <v>0</v>
      </c>
      <c r="J43" s="21">
        <f t="shared" ca="1" si="0"/>
        <v>38533</v>
      </c>
      <c r="K43" s="4">
        <f t="shared" ca="1" si="1"/>
        <v>0</v>
      </c>
      <c r="M43" s="21">
        <f t="shared" ca="1" si="6"/>
        <v>38533</v>
      </c>
      <c r="N43" s="37">
        <f t="shared" ca="1" si="2"/>
        <v>0</v>
      </c>
      <c r="O43" s="4">
        <f ca="1">IFERROR(AVERAGEIF(N$5:$N43,"&gt;="&amp;_xlfn.PERCENTILE.EXC(N$5:$N43,0.2)),0)</f>
        <v>0</v>
      </c>
      <c r="Q43" s="21">
        <f t="shared" ca="1" si="3"/>
        <v>38533</v>
      </c>
      <c r="R43" s="4">
        <f ca="1">MIN(O43,PREMISSAS!$C$13)</f>
        <v>0</v>
      </c>
      <c r="S43" s="240"/>
      <c r="T43" s="240"/>
    </row>
    <row r="44" spans="2:20" x14ac:dyDescent="0.25">
      <c r="B44" s="21">
        <f t="shared" ca="1" si="4"/>
        <v>44651</v>
      </c>
      <c r="C44" s="22">
        <f ca="1">IF(B44="","",IF(LEFT(B44,2)="13",C43,IF(MONTH(B44)=1,C43*(1+PREMISSAS!$C$57),C43)))</f>
        <v>0</v>
      </c>
      <c r="E44" s="18">
        <v>40</v>
      </c>
      <c r="F44" s="21">
        <f t="shared" ca="1" si="5"/>
        <v>38564</v>
      </c>
      <c r="G44" s="22">
        <f ca="1">IFERROR(VLOOKUP(F44,RESULTADOS!$O$5:$P$543,2,FALSE),VLOOKUP(F44,$B$5:$C$724,2,FALSE))</f>
        <v>0</v>
      </c>
      <c r="H44" s="4">
        <f ca="1">IF(F44&lt;PREMISSAS!$D$7,0,IFERROR(VLOOKUP(IF(LEFT(F44,2)="13",DATE(YEAR(F43),12,31),F44),IPCA!$A$3:$D$284,4,FALSE),1)*G44)</f>
        <v>0</v>
      </c>
      <c r="J44" s="21">
        <f t="shared" ca="1" si="0"/>
        <v>38564</v>
      </c>
      <c r="K44" s="4">
        <f t="shared" ca="1" si="1"/>
        <v>0</v>
      </c>
      <c r="M44" s="21">
        <f t="shared" ca="1" si="6"/>
        <v>38564</v>
      </c>
      <c r="N44" s="37">
        <f t="shared" ca="1" si="2"/>
        <v>0</v>
      </c>
      <c r="O44" s="4">
        <f ca="1">IFERROR(AVERAGEIF(N$5:$N44,"&gt;="&amp;_xlfn.PERCENTILE.EXC(N$5:$N44,0.2)),0)</f>
        <v>0</v>
      </c>
      <c r="Q44" s="21">
        <f t="shared" ca="1" si="3"/>
        <v>38564</v>
      </c>
      <c r="R44" s="4">
        <f ca="1">MIN(O44,PREMISSAS!$C$13)</f>
        <v>0</v>
      </c>
      <c r="S44" s="240"/>
      <c r="T44" s="240"/>
    </row>
    <row r="45" spans="2:20" x14ac:dyDescent="0.25">
      <c r="B45" s="21">
        <f t="shared" ca="1" si="4"/>
        <v>44681</v>
      </c>
      <c r="C45" s="22">
        <f ca="1">IF(B45="","",IF(LEFT(B45,2)="13",C44,IF(MONTH(B45)=1,C44*(1+PREMISSAS!$C$57),C44)))</f>
        <v>0</v>
      </c>
      <c r="E45" s="18">
        <v>41</v>
      </c>
      <c r="F45" s="21">
        <f t="shared" ca="1" si="5"/>
        <v>38595</v>
      </c>
      <c r="G45" s="22">
        <f ca="1">IFERROR(VLOOKUP(F45,RESULTADOS!$O$5:$P$543,2,FALSE),VLOOKUP(F45,$B$5:$C$724,2,FALSE))</f>
        <v>0</v>
      </c>
      <c r="H45" s="4">
        <f ca="1">IF(F45&lt;PREMISSAS!$D$7,0,IFERROR(VLOOKUP(IF(LEFT(F45,2)="13",DATE(YEAR(F44),12,31),F45),IPCA!$A$3:$D$284,4,FALSE),1)*G45)</f>
        <v>0</v>
      </c>
      <c r="J45" s="21">
        <f t="shared" ca="1" si="0"/>
        <v>38595</v>
      </c>
      <c r="K45" s="4">
        <f t="shared" ca="1" si="1"/>
        <v>0</v>
      </c>
      <c r="M45" s="21">
        <f t="shared" ca="1" si="6"/>
        <v>38595</v>
      </c>
      <c r="N45" s="37">
        <f t="shared" ca="1" si="2"/>
        <v>0</v>
      </c>
      <c r="O45" s="4">
        <f ca="1">IFERROR(AVERAGEIF(N$5:$N45,"&gt;="&amp;_xlfn.PERCENTILE.EXC(N$5:$N45,0.2)),0)</f>
        <v>0</v>
      </c>
      <c r="Q45" s="21">
        <f t="shared" ca="1" si="3"/>
        <v>38595</v>
      </c>
      <c r="R45" s="4">
        <f ca="1">MIN(O45,PREMISSAS!$C$13)</f>
        <v>0</v>
      </c>
      <c r="S45" s="240"/>
      <c r="T45" s="240"/>
    </row>
    <row r="46" spans="2:20" x14ac:dyDescent="0.25">
      <c r="B46" s="21">
        <f t="shared" ca="1" si="4"/>
        <v>44712</v>
      </c>
      <c r="C46" s="22">
        <f ca="1">IF(B46="","",IF(LEFT(B46,2)="13",C45,IF(MONTH(B46)=1,C45*(1+PREMISSAS!$C$57),C45)))</f>
        <v>0</v>
      </c>
      <c r="E46" s="18">
        <v>42</v>
      </c>
      <c r="F46" s="21">
        <f t="shared" ca="1" si="5"/>
        <v>38625</v>
      </c>
      <c r="G46" s="22">
        <f ca="1">IFERROR(VLOOKUP(F46,RESULTADOS!$O$5:$P$543,2,FALSE),VLOOKUP(F46,$B$5:$C$724,2,FALSE))</f>
        <v>0</v>
      </c>
      <c r="H46" s="4">
        <f ca="1">IF(F46&lt;PREMISSAS!$D$7,0,IFERROR(VLOOKUP(IF(LEFT(F46,2)="13",DATE(YEAR(F45),12,31),F46),IPCA!$A$3:$D$284,4,FALSE),1)*G46)</f>
        <v>0</v>
      </c>
      <c r="J46" s="21">
        <f t="shared" ca="1" si="0"/>
        <v>38625</v>
      </c>
      <c r="K46" s="4">
        <f t="shared" ca="1" si="1"/>
        <v>0</v>
      </c>
      <c r="M46" s="21">
        <f t="shared" ca="1" si="6"/>
        <v>38625</v>
      </c>
      <c r="N46" s="37">
        <f t="shared" ca="1" si="2"/>
        <v>0</v>
      </c>
      <c r="O46" s="4">
        <f ca="1">IFERROR(AVERAGEIF(N$5:$N46,"&gt;="&amp;_xlfn.PERCENTILE.EXC(N$5:$N46,0.2)),0)</f>
        <v>0</v>
      </c>
      <c r="Q46" s="21">
        <f t="shared" ca="1" si="3"/>
        <v>38625</v>
      </c>
      <c r="R46" s="4">
        <f ca="1">MIN(O46,PREMISSAS!$C$13)</f>
        <v>0</v>
      </c>
      <c r="S46" s="240"/>
      <c r="T46" s="240"/>
    </row>
    <row r="47" spans="2:20" x14ac:dyDescent="0.25">
      <c r="B47" s="21">
        <f t="shared" ca="1" si="4"/>
        <v>44742</v>
      </c>
      <c r="C47" s="22">
        <f ca="1">IF(B47="","",IF(LEFT(B47,2)="13",C46,IF(MONTH(B47)=1,C46*(1+PREMISSAS!$C$57),C46)))</f>
        <v>0</v>
      </c>
      <c r="E47" s="18">
        <v>43</v>
      </c>
      <c r="F47" s="21">
        <f t="shared" ca="1" si="5"/>
        <v>38656</v>
      </c>
      <c r="G47" s="22">
        <f ca="1">IFERROR(VLOOKUP(F47,RESULTADOS!$O$5:$P$543,2,FALSE),VLOOKUP(F47,$B$5:$C$724,2,FALSE))</f>
        <v>0</v>
      </c>
      <c r="H47" s="4">
        <f ca="1">IF(F47&lt;PREMISSAS!$D$7,0,IFERROR(VLOOKUP(IF(LEFT(F47,2)="13",DATE(YEAR(F46),12,31),F47),IPCA!$A$3:$D$284,4,FALSE),1)*G47)</f>
        <v>0</v>
      </c>
      <c r="J47" s="21">
        <f t="shared" ca="1" si="0"/>
        <v>38656</v>
      </c>
      <c r="K47" s="4">
        <f t="shared" ca="1" si="1"/>
        <v>0</v>
      </c>
      <c r="M47" s="21">
        <f t="shared" ca="1" si="6"/>
        <v>38656</v>
      </c>
      <c r="N47" s="37">
        <f t="shared" ca="1" si="2"/>
        <v>0</v>
      </c>
      <c r="O47" s="4">
        <f ca="1">IFERROR(AVERAGEIF(N$5:$N47,"&gt;="&amp;_xlfn.PERCENTILE.EXC(N$5:$N47,0.2)),0)</f>
        <v>0</v>
      </c>
      <c r="Q47" s="21">
        <f t="shared" ca="1" si="3"/>
        <v>38656</v>
      </c>
      <c r="R47" s="4">
        <f ca="1">MIN(O47,PREMISSAS!$C$13)</f>
        <v>0</v>
      </c>
      <c r="S47" s="240"/>
      <c r="T47" s="240"/>
    </row>
    <row r="48" spans="2:20" x14ac:dyDescent="0.25">
      <c r="B48" s="21">
        <f t="shared" ca="1" si="4"/>
        <v>44773</v>
      </c>
      <c r="C48" s="22">
        <f ca="1">IF(B48="","",IF(LEFT(B48,2)="13",C47,IF(MONTH(B48)=1,C47*(1+PREMISSAS!$C$57),C47)))</f>
        <v>0</v>
      </c>
      <c r="E48" s="18">
        <v>44</v>
      </c>
      <c r="F48" s="21">
        <f t="shared" ca="1" si="5"/>
        <v>38686</v>
      </c>
      <c r="G48" s="22">
        <f ca="1">IFERROR(VLOOKUP(F48,RESULTADOS!$O$5:$P$543,2,FALSE),VLOOKUP(F48,$B$5:$C$724,2,FALSE))</f>
        <v>0</v>
      </c>
      <c r="H48" s="4">
        <f ca="1">IF(F48&lt;PREMISSAS!$D$7,0,IFERROR(VLOOKUP(IF(LEFT(F48,2)="13",DATE(YEAR(F47),12,31),F48),IPCA!$A$3:$D$284,4,FALSE),1)*G48)</f>
        <v>0</v>
      </c>
      <c r="J48" s="21">
        <f t="shared" ca="1" si="0"/>
        <v>38686</v>
      </c>
      <c r="K48" s="4">
        <f t="shared" ca="1" si="1"/>
        <v>0</v>
      </c>
      <c r="M48" s="21">
        <f t="shared" ca="1" si="6"/>
        <v>38686</v>
      </c>
      <c r="N48" s="37">
        <f t="shared" ca="1" si="2"/>
        <v>0</v>
      </c>
      <c r="O48" s="4">
        <f ca="1">IFERROR(AVERAGEIF(N$5:$N48,"&gt;="&amp;_xlfn.PERCENTILE.EXC(N$5:$N48,0.2)),0)</f>
        <v>0</v>
      </c>
      <c r="Q48" s="21">
        <f t="shared" ca="1" si="3"/>
        <v>38686</v>
      </c>
      <c r="R48" s="4">
        <f ca="1">MIN(O48,PREMISSAS!$C$13)</f>
        <v>0</v>
      </c>
      <c r="S48" s="240"/>
      <c r="T48" s="240"/>
    </row>
    <row r="49" spans="2:20" x14ac:dyDescent="0.25">
      <c r="B49" s="21">
        <f t="shared" ca="1" si="4"/>
        <v>44804</v>
      </c>
      <c r="C49" s="22">
        <f ca="1">IF(B49="","",IF(LEFT(B49,2)="13",C48,IF(MONTH(B49)=1,C48*(1+PREMISSAS!$C$57),C48)))</f>
        <v>0</v>
      </c>
      <c r="E49" s="18">
        <v>45</v>
      </c>
      <c r="F49" s="21" t="str">
        <f t="shared" ca="1" si="5"/>
        <v>13º 2005</v>
      </c>
      <c r="G49" s="22">
        <f ca="1">IFERROR(VLOOKUP(F49,RESULTADOS!$O$5:$P$543,2,FALSE),VLOOKUP(F49,$B$5:$C$724,2,FALSE))</f>
        <v>0</v>
      </c>
      <c r="H49" s="4">
        <f ca="1">IF(F49&lt;PREMISSAS!$D$7,0,IFERROR(VLOOKUP(IF(LEFT(F49,2)="13",DATE(YEAR(F48),12,31),F49),IPCA!$A$3:$D$284,4,FALSE),1)*G49)</f>
        <v>0</v>
      </c>
      <c r="J49" s="21" t="str">
        <f t="shared" ca="1" si="0"/>
        <v>13º 2005</v>
      </c>
      <c r="K49" s="4">
        <f t="shared" ca="1" si="1"/>
        <v>0</v>
      </c>
      <c r="M49" s="21" t="str">
        <f t="shared" ca="1" si="6"/>
        <v>13º 2005</v>
      </c>
      <c r="N49" s="37">
        <f t="shared" ca="1" si="2"/>
        <v>0</v>
      </c>
      <c r="O49" s="4">
        <f ca="1">IFERROR(AVERAGEIF(N$5:$N49,"&gt;="&amp;_xlfn.PERCENTILE.EXC(N$5:$N49,0.2)),0)</f>
        <v>0</v>
      </c>
      <c r="Q49" s="21" t="str">
        <f t="shared" ca="1" si="3"/>
        <v>13º 2005</v>
      </c>
      <c r="R49" s="4">
        <f ca="1">MIN(O49,PREMISSAS!$C$13)</f>
        <v>0</v>
      </c>
      <c r="S49" s="240"/>
      <c r="T49" s="240"/>
    </row>
    <row r="50" spans="2:20" x14ac:dyDescent="0.25">
      <c r="B50" s="21">
        <f t="shared" ca="1" si="4"/>
        <v>44834</v>
      </c>
      <c r="C50" s="22">
        <f ca="1">IF(B50="","",IF(LEFT(B50,2)="13",C49,IF(MONTH(B50)=1,C49*(1+PREMISSAS!$C$57),C49)))</f>
        <v>0</v>
      </c>
      <c r="E50" s="18">
        <v>46</v>
      </c>
      <c r="F50" s="21">
        <f t="shared" ca="1" si="5"/>
        <v>38717</v>
      </c>
      <c r="G50" s="22">
        <f ca="1">IFERROR(VLOOKUP(F50,RESULTADOS!$O$5:$P$543,2,FALSE),VLOOKUP(F50,$B$5:$C$724,2,FALSE))</f>
        <v>0</v>
      </c>
      <c r="H50" s="4">
        <f ca="1">IF(F50&lt;PREMISSAS!$D$7,0,IFERROR(VLOOKUP(IF(LEFT(F50,2)="13",DATE(YEAR(F49),12,31),F50),IPCA!$A$3:$D$284,4,FALSE),1)*G50)</f>
        <v>0</v>
      </c>
      <c r="J50" s="21">
        <f t="shared" ca="1" si="0"/>
        <v>38717</v>
      </c>
      <c r="K50" s="4">
        <f t="shared" ca="1" si="1"/>
        <v>0</v>
      </c>
      <c r="M50" s="21">
        <f t="shared" ca="1" si="6"/>
        <v>38717</v>
      </c>
      <c r="N50" s="37">
        <f t="shared" ca="1" si="2"/>
        <v>0</v>
      </c>
      <c r="O50" s="4">
        <f ca="1">IFERROR(AVERAGEIF(N$5:$N50,"&gt;="&amp;_xlfn.PERCENTILE.EXC(N$5:$N50,0.2)),0)</f>
        <v>0</v>
      </c>
      <c r="Q50" s="21">
        <f t="shared" ca="1" si="3"/>
        <v>38717</v>
      </c>
      <c r="R50" s="4">
        <f ca="1">MIN(O50,PREMISSAS!$C$13)</f>
        <v>0</v>
      </c>
      <c r="S50" s="240"/>
      <c r="T50" s="240"/>
    </row>
    <row r="51" spans="2:20" x14ac:dyDescent="0.25">
      <c r="B51" s="21">
        <f t="shared" ca="1" si="4"/>
        <v>44865</v>
      </c>
      <c r="C51" s="22">
        <f ca="1">IF(B51="","",IF(LEFT(B51,2)="13",C50,IF(MONTH(B51)=1,C50*(1+PREMISSAS!$C$57),C50)))</f>
        <v>0</v>
      </c>
      <c r="E51" s="18">
        <v>47</v>
      </c>
      <c r="F51" s="21">
        <f t="shared" ca="1" si="5"/>
        <v>38748</v>
      </c>
      <c r="G51" s="22">
        <f ca="1">IFERROR(VLOOKUP(F51,RESULTADOS!$O$5:$P$543,2,FALSE),VLOOKUP(F51,$B$5:$C$724,2,FALSE))</f>
        <v>0</v>
      </c>
      <c r="H51" s="4">
        <f ca="1">IF(F51&lt;PREMISSAS!$D$7,0,IFERROR(VLOOKUP(IF(LEFT(F51,2)="13",DATE(YEAR(F50),12,31),F51),IPCA!$A$3:$D$284,4,FALSE),1)*G51)</f>
        <v>0</v>
      </c>
      <c r="J51" s="21">
        <f t="shared" ca="1" si="0"/>
        <v>38748</v>
      </c>
      <c r="K51" s="4">
        <f t="shared" ca="1" si="1"/>
        <v>0</v>
      </c>
      <c r="M51" s="21">
        <f t="shared" ca="1" si="6"/>
        <v>38748</v>
      </c>
      <c r="N51" s="37">
        <f t="shared" ca="1" si="2"/>
        <v>0</v>
      </c>
      <c r="O51" s="4">
        <f ca="1">IFERROR(AVERAGEIF(N$5:$N51,"&gt;="&amp;_xlfn.PERCENTILE.EXC(N$5:$N51,0.2)),0)</f>
        <v>0</v>
      </c>
      <c r="Q51" s="21">
        <f t="shared" ca="1" si="3"/>
        <v>38748</v>
      </c>
      <c r="R51" s="4">
        <f ca="1">MIN(O51,PREMISSAS!$C$13)</f>
        <v>0</v>
      </c>
      <c r="S51" s="240"/>
      <c r="T51" s="240"/>
    </row>
    <row r="52" spans="2:20" x14ac:dyDescent="0.25">
      <c r="B52" s="21">
        <f t="shared" ca="1" si="4"/>
        <v>44895</v>
      </c>
      <c r="C52" s="22">
        <f ca="1">IF(B52="","",IF(LEFT(B52,2)="13",C51,IF(MONTH(B52)=1,C51*(1+PREMISSAS!$C$57),C51)))</f>
        <v>0</v>
      </c>
      <c r="E52" s="18">
        <v>48</v>
      </c>
      <c r="F52" s="21">
        <f t="shared" ca="1" si="5"/>
        <v>38776</v>
      </c>
      <c r="G52" s="22">
        <f ca="1">IFERROR(VLOOKUP(F52,RESULTADOS!$O$5:$P$543,2,FALSE),VLOOKUP(F52,$B$5:$C$724,2,FALSE))</f>
        <v>0</v>
      </c>
      <c r="H52" s="4">
        <f ca="1">IF(F52&lt;PREMISSAS!$D$7,0,IFERROR(VLOOKUP(IF(LEFT(F52,2)="13",DATE(YEAR(F51),12,31),F52),IPCA!$A$3:$D$284,4,FALSE),1)*G52)</f>
        <v>0</v>
      </c>
      <c r="J52" s="21">
        <f t="shared" ca="1" si="0"/>
        <v>38776</v>
      </c>
      <c r="K52" s="4">
        <f t="shared" ca="1" si="1"/>
        <v>0</v>
      </c>
      <c r="M52" s="21">
        <f t="shared" ca="1" si="6"/>
        <v>38776</v>
      </c>
      <c r="N52" s="37">
        <f t="shared" ca="1" si="2"/>
        <v>0</v>
      </c>
      <c r="O52" s="4">
        <f ca="1">IFERROR(AVERAGEIF(N$5:$N52,"&gt;="&amp;_xlfn.PERCENTILE.EXC(N$5:$N52,0.2)),0)</f>
        <v>0</v>
      </c>
      <c r="Q52" s="21">
        <f t="shared" ca="1" si="3"/>
        <v>38776</v>
      </c>
      <c r="R52" s="4">
        <f ca="1">MIN(O52,PREMISSAS!$C$13)</f>
        <v>0</v>
      </c>
      <c r="S52" s="240"/>
      <c r="T52" s="240"/>
    </row>
    <row r="53" spans="2:20" x14ac:dyDescent="0.25">
      <c r="B53" s="21" t="str">
        <f t="shared" ca="1" si="4"/>
        <v>13º 2022</v>
      </c>
      <c r="C53" s="22">
        <f ca="1">IF(B53="","",IF(LEFT(B53,2)="13",C52,IF(MONTH(B53)=1,C52*(1+PREMISSAS!$C$57),C52)))</f>
        <v>0</v>
      </c>
      <c r="E53" s="18">
        <v>49</v>
      </c>
      <c r="F53" s="21">
        <f t="shared" ca="1" si="5"/>
        <v>38807</v>
      </c>
      <c r="G53" s="22">
        <f ca="1">IFERROR(VLOOKUP(F53,RESULTADOS!$O$5:$P$543,2,FALSE),VLOOKUP(F53,$B$5:$C$724,2,FALSE))</f>
        <v>0</v>
      </c>
      <c r="H53" s="4">
        <f ca="1">IF(F53&lt;PREMISSAS!$D$7,0,IFERROR(VLOOKUP(IF(LEFT(F53,2)="13",DATE(YEAR(F52),12,31),F53),IPCA!$A$3:$D$284,4,FALSE),1)*G53)</f>
        <v>0</v>
      </c>
      <c r="J53" s="21">
        <f t="shared" ca="1" si="0"/>
        <v>38807</v>
      </c>
      <c r="K53" s="4">
        <f t="shared" ca="1" si="1"/>
        <v>0</v>
      </c>
      <c r="M53" s="21">
        <f t="shared" ca="1" si="6"/>
        <v>38807</v>
      </c>
      <c r="N53" s="37">
        <f t="shared" ca="1" si="2"/>
        <v>0</v>
      </c>
      <c r="O53" s="4">
        <f ca="1">IFERROR(AVERAGEIF(N$5:$N53,"&gt;="&amp;_xlfn.PERCENTILE.EXC(N$5:$N53,0.2)),0)</f>
        <v>0</v>
      </c>
      <c r="Q53" s="21">
        <f t="shared" ca="1" si="3"/>
        <v>38807</v>
      </c>
      <c r="R53" s="4">
        <f ca="1">MIN(O53,PREMISSAS!$C$13)</f>
        <v>0</v>
      </c>
      <c r="S53" s="240"/>
      <c r="T53" s="240"/>
    </row>
    <row r="54" spans="2:20" x14ac:dyDescent="0.25">
      <c r="B54" s="21">
        <f t="shared" ca="1" si="4"/>
        <v>44926</v>
      </c>
      <c r="C54" s="22">
        <f ca="1">IF(B54="","",IF(LEFT(B54,2)="13",C53,IF(MONTH(B54)=1,C53*(1+PREMISSAS!$C$57),C53)))</f>
        <v>0</v>
      </c>
      <c r="E54" s="18">
        <v>50</v>
      </c>
      <c r="F54" s="21">
        <f t="shared" ca="1" si="5"/>
        <v>38837</v>
      </c>
      <c r="G54" s="22">
        <f ca="1">IFERROR(VLOOKUP(F54,RESULTADOS!$O$5:$P$543,2,FALSE),VLOOKUP(F54,$B$5:$C$724,2,FALSE))</f>
        <v>0</v>
      </c>
      <c r="H54" s="4">
        <f ca="1">IF(F54&lt;PREMISSAS!$D$7,0,IFERROR(VLOOKUP(IF(LEFT(F54,2)="13",DATE(YEAR(F53),12,31),F54),IPCA!$A$3:$D$284,4,FALSE),1)*G54)</f>
        <v>0</v>
      </c>
      <c r="J54" s="21">
        <f t="shared" ca="1" si="0"/>
        <v>38837</v>
      </c>
      <c r="K54" s="4">
        <f t="shared" ca="1" si="1"/>
        <v>0</v>
      </c>
      <c r="M54" s="21">
        <f t="shared" ca="1" si="6"/>
        <v>38837</v>
      </c>
      <c r="N54" s="37">
        <f t="shared" ca="1" si="2"/>
        <v>0</v>
      </c>
      <c r="O54" s="4">
        <f ca="1">IFERROR(AVERAGEIF(N$5:$N54,"&gt;="&amp;_xlfn.PERCENTILE.EXC(N$5:$N54,0.2)),0)</f>
        <v>0</v>
      </c>
      <c r="Q54" s="21">
        <f t="shared" ca="1" si="3"/>
        <v>38837</v>
      </c>
      <c r="R54" s="4">
        <f ca="1">MIN(O54,PREMISSAS!$C$13)</f>
        <v>0</v>
      </c>
      <c r="S54" s="240"/>
      <c r="T54" s="240"/>
    </row>
    <row r="55" spans="2:20" x14ac:dyDescent="0.25">
      <c r="B55" s="21">
        <f t="shared" ca="1" si="4"/>
        <v>44957</v>
      </c>
      <c r="C55" s="22">
        <f ca="1">IF(B55="","",IF(LEFT(B55,2)="13",C54,IF(MONTH(B55)=1,C54*(1+PREMISSAS!$C$57),C54)))</f>
        <v>0</v>
      </c>
      <c r="E55" s="18">
        <v>51</v>
      </c>
      <c r="F55" s="21">
        <f t="shared" ca="1" si="5"/>
        <v>38868</v>
      </c>
      <c r="G55" s="22">
        <f ca="1">IFERROR(VLOOKUP(F55,RESULTADOS!$O$5:$P$543,2,FALSE),VLOOKUP(F55,$B$5:$C$724,2,FALSE))</f>
        <v>0</v>
      </c>
      <c r="H55" s="4">
        <f ca="1">IF(F55&lt;PREMISSAS!$D$7,0,IFERROR(VLOOKUP(IF(LEFT(F55,2)="13",DATE(YEAR(F54),12,31),F55),IPCA!$A$3:$D$284,4,FALSE),1)*G55)</f>
        <v>0</v>
      </c>
      <c r="J55" s="21">
        <f t="shared" ca="1" si="0"/>
        <v>38868</v>
      </c>
      <c r="K55" s="4">
        <f t="shared" ca="1" si="1"/>
        <v>0</v>
      </c>
      <c r="M55" s="21">
        <f t="shared" ca="1" si="6"/>
        <v>38868</v>
      </c>
      <c r="N55" s="37">
        <f t="shared" ca="1" si="2"/>
        <v>0</v>
      </c>
      <c r="O55" s="4">
        <f ca="1">IFERROR(AVERAGEIF(N$5:$N55,"&gt;="&amp;_xlfn.PERCENTILE.EXC(N$5:$N55,0.2)),0)</f>
        <v>0</v>
      </c>
      <c r="Q55" s="21">
        <f t="shared" ca="1" si="3"/>
        <v>38868</v>
      </c>
      <c r="R55" s="4">
        <f ca="1">MIN(O55,PREMISSAS!$C$13)</f>
        <v>0</v>
      </c>
      <c r="S55" s="240"/>
      <c r="T55" s="240"/>
    </row>
    <row r="56" spans="2:20" x14ac:dyDescent="0.25">
      <c r="B56" s="21">
        <f t="shared" ca="1" si="4"/>
        <v>44985</v>
      </c>
      <c r="C56" s="22">
        <f ca="1">IF(B56="","",IF(LEFT(B56,2)="13",C55,IF(MONTH(B56)=1,C55*(1+PREMISSAS!$C$57),C55)))</f>
        <v>0</v>
      </c>
      <c r="E56" s="18">
        <v>52</v>
      </c>
      <c r="F56" s="21">
        <f t="shared" ca="1" si="5"/>
        <v>38898</v>
      </c>
      <c r="G56" s="22">
        <f ca="1">IFERROR(VLOOKUP(F56,RESULTADOS!$O$5:$P$543,2,FALSE),VLOOKUP(F56,$B$5:$C$724,2,FALSE))</f>
        <v>0</v>
      </c>
      <c r="H56" s="4">
        <f ca="1">IF(F56&lt;PREMISSAS!$D$7,0,IFERROR(VLOOKUP(IF(LEFT(F56,2)="13",DATE(YEAR(F55),12,31),F56),IPCA!$A$3:$D$284,4,FALSE),1)*G56)</f>
        <v>0</v>
      </c>
      <c r="J56" s="21">
        <f t="shared" ca="1" si="0"/>
        <v>38898</v>
      </c>
      <c r="K56" s="4">
        <f t="shared" ca="1" si="1"/>
        <v>0</v>
      </c>
      <c r="M56" s="21">
        <f t="shared" ca="1" si="6"/>
        <v>38898</v>
      </c>
      <c r="N56" s="37">
        <f t="shared" ca="1" si="2"/>
        <v>0</v>
      </c>
      <c r="O56" s="4">
        <f ca="1">IFERROR(AVERAGEIF(N$5:$N56,"&gt;="&amp;_xlfn.PERCENTILE.EXC(N$5:$N56,0.2)),0)</f>
        <v>0</v>
      </c>
      <c r="Q56" s="21">
        <f t="shared" ca="1" si="3"/>
        <v>38898</v>
      </c>
      <c r="R56" s="4">
        <f ca="1">MIN(O56,PREMISSAS!$C$13)</f>
        <v>0</v>
      </c>
      <c r="S56" s="240"/>
      <c r="T56" s="240"/>
    </row>
    <row r="57" spans="2:20" x14ac:dyDescent="0.25">
      <c r="B57" s="21">
        <f t="shared" ca="1" si="4"/>
        <v>45016</v>
      </c>
      <c r="C57" s="22">
        <f ca="1">IF(B57="","",IF(LEFT(B57,2)="13",C56,IF(MONTH(B57)=1,C56*(1+PREMISSAS!$C$57),C56)))</f>
        <v>0</v>
      </c>
      <c r="E57" s="18">
        <v>53</v>
      </c>
      <c r="F57" s="21">
        <f t="shared" ca="1" si="5"/>
        <v>38929</v>
      </c>
      <c r="G57" s="22">
        <f ca="1">IFERROR(VLOOKUP(F57,RESULTADOS!$O$5:$P$543,2,FALSE),VLOOKUP(F57,$B$5:$C$724,2,FALSE))</f>
        <v>0</v>
      </c>
      <c r="H57" s="4">
        <f ca="1">IF(F57&lt;PREMISSAS!$D$7,0,IFERROR(VLOOKUP(IF(LEFT(F57,2)="13",DATE(YEAR(F56),12,31),F57),IPCA!$A$3:$D$284,4,FALSE),1)*G57)</f>
        <v>0</v>
      </c>
      <c r="J57" s="21">
        <f t="shared" ca="1" si="0"/>
        <v>38929</v>
      </c>
      <c r="K57" s="4">
        <f t="shared" ca="1" si="1"/>
        <v>0</v>
      </c>
      <c r="M57" s="21">
        <f t="shared" ca="1" si="6"/>
        <v>38929</v>
      </c>
      <c r="N57" s="37">
        <f t="shared" ca="1" si="2"/>
        <v>0</v>
      </c>
      <c r="O57" s="4">
        <f ca="1">IFERROR(AVERAGEIF(N$5:$N57,"&gt;="&amp;_xlfn.PERCENTILE.EXC(N$5:$N57,0.2)),0)</f>
        <v>0</v>
      </c>
      <c r="Q57" s="21">
        <f t="shared" ca="1" si="3"/>
        <v>38929</v>
      </c>
      <c r="R57" s="4">
        <f ca="1">MIN(O57,PREMISSAS!$C$13)</f>
        <v>0</v>
      </c>
      <c r="S57" s="240"/>
      <c r="T57" s="240"/>
    </row>
    <row r="58" spans="2:20" x14ac:dyDescent="0.25">
      <c r="B58" s="21">
        <f t="shared" ca="1" si="4"/>
        <v>45046</v>
      </c>
      <c r="C58" s="22">
        <f ca="1">IF(B58="","",IF(LEFT(B58,2)="13",C57,IF(MONTH(B58)=1,C57*(1+PREMISSAS!$C$57),C57)))</f>
        <v>0</v>
      </c>
      <c r="E58" s="18">
        <v>54</v>
      </c>
      <c r="F58" s="21">
        <f t="shared" ca="1" si="5"/>
        <v>38960</v>
      </c>
      <c r="G58" s="22">
        <f ca="1">IFERROR(VLOOKUP(F58,RESULTADOS!$O$5:$P$543,2,FALSE),VLOOKUP(F58,$B$5:$C$724,2,FALSE))</f>
        <v>0</v>
      </c>
      <c r="H58" s="4">
        <f ca="1">IF(F58&lt;PREMISSAS!$D$7,0,IFERROR(VLOOKUP(IF(LEFT(F58,2)="13",DATE(YEAR(F57),12,31),F58),IPCA!$A$3:$D$284,4,FALSE),1)*G58)</f>
        <v>0</v>
      </c>
      <c r="J58" s="21">
        <f t="shared" ca="1" si="0"/>
        <v>38960</v>
      </c>
      <c r="K58" s="4">
        <f t="shared" ca="1" si="1"/>
        <v>0</v>
      </c>
      <c r="M58" s="21">
        <f t="shared" ca="1" si="6"/>
        <v>38960</v>
      </c>
      <c r="N58" s="37">
        <f t="shared" ca="1" si="2"/>
        <v>0</v>
      </c>
      <c r="O58" s="4">
        <f ca="1">IFERROR(AVERAGEIF(N$5:$N58,"&gt;="&amp;_xlfn.PERCENTILE.EXC(N$5:$N58,0.2)),0)</f>
        <v>0</v>
      </c>
      <c r="Q58" s="21">
        <f t="shared" ca="1" si="3"/>
        <v>38960</v>
      </c>
      <c r="R58" s="4">
        <f ca="1">MIN(O58,PREMISSAS!$C$13)</f>
        <v>0</v>
      </c>
      <c r="S58" s="240"/>
      <c r="T58" s="240"/>
    </row>
    <row r="59" spans="2:20" x14ac:dyDescent="0.25">
      <c r="B59" s="21">
        <f t="shared" ca="1" si="4"/>
        <v>45077</v>
      </c>
      <c r="C59" s="22">
        <f ca="1">IF(B59="","",IF(LEFT(B59,2)="13",C58,IF(MONTH(B59)=1,C58*(1+PREMISSAS!$C$57),C58)))</f>
        <v>0</v>
      </c>
      <c r="E59" s="18">
        <v>55</v>
      </c>
      <c r="F59" s="21">
        <f t="shared" ca="1" si="5"/>
        <v>38990</v>
      </c>
      <c r="G59" s="22">
        <f ca="1">IFERROR(VLOOKUP(F59,RESULTADOS!$O$5:$P$543,2,FALSE),VLOOKUP(F59,$B$5:$C$724,2,FALSE))</f>
        <v>0</v>
      </c>
      <c r="H59" s="4">
        <f ca="1">IF(F59&lt;PREMISSAS!$D$7,0,IFERROR(VLOOKUP(IF(LEFT(F59,2)="13",DATE(YEAR(F58),12,31),F59),IPCA!$A$3:$D$284,4,FALSE),1)*G59)</f>
        <v>0</v>
      </c>
      <c r="J59" s="21">
        <f t="shared" ca="1" si="0"/>
        <v>38990</v>
      </c>
      <c r="K59" s="4">
        <f t="shared" ca="1" si="1"/>
        <v>0</v>
      </c>
      <c r="M59" s="21">
        <f t="shared" ca="1" si="6"/>
        <v>38990</v>
      </c>
      <c r="N59" s="37">
        <f t="shared" ca="1" si="2"/>
        <v>0</v>
      </c>
      <c r="O59" s="4">
        <f ca="1">IFERROR(AVERAGEIF(N$5:$N59,"&gt;="&amp;_xlfn.PERCENTILE.EXC(N$5:$N59,0.2)),0)</f>
        <v>0</v>
      </c>
      <c r="Q59" s="21">
        <f t="shared" ca="1" si="3"/>
        <v>38990</v>
      </c>
      <c r="R59" s="4">
        <f ca="1">MIN(O59,PREMISSAS!$C$13)</f>
        <v>0</v>
      </c>
      <c r="S59" s="240"/>
      <c r="T59" s="240"/>
    </row>
    <row r="60" spans="2:20" x14ac:dyDescent="0.25">
      <c r="B60" s="21">
        <f t="shared" ca="1" si="4"/>
        <v>45107</v>
      </c>
      <c r="C60" s="22">
        <f ca="1">IF(B60="","",IF(LEFT(B60,2)="13",C59,IF(MONTH(B60)=1,C59*(1+PREMISSAS!$C$57),C59)))</f>
        <v>0</v>
      </c>
      <c r="E60" s="18">
        <v>56</v>
      </c>
      <c r="F60" s="21">
        <f t="shared" ca="1" si="5"/>
        <v>39021</v>
      </c>
      <c r="G60" s="22">
        <f ca="1">IFERROR(VLOOKUP(F60,RESULTADOS!$O$5:$P$543,2,FALSE),VLOOKUP(F60,$B$5:$C$724,2,FALSE))</f>
        <v>0</v>
      </c>
      <c r="H60" s="4">
        <f ca="1">IF(F60&lt;PREMISSAS!$D$7,0,IFERROR(VLOOKUP(IF(LEFT(F60,2)="13",DATE(YEAR(F59),12,31),F60),IPCA!$A$3:$D$284,4,FALSE),1)*G60)</f>
        <v>0</v>
      </c>
      <c r="J60" s="21">
        <f t="shared" ca="1" si="0"/>
        <v>39021</v>
      </c>
      <c r="K60" s="4">
        <f t="shared" ca="1" si="1"/>
        <v>0</v>
      </c>
      <c r="M60" s="21">
        <f t="shared" ca="1" si="6"/>
        <v>39021</v>
      </c>
      <c r="N60" s="37">
        <f t="shared" ca="1" si="2"/>
        <v>0</v>
      </c>
      <c r="O60" s="4">
        <f ca="1">IFERROR(AVERAGEIF(N$5:$N60,"&gt;="&amp;_xlfn.PERCENTILE.EXC(N$5:$N60,0.2)),0)</f>
        <v>0</v>
      </c>
      <c r="Q60" s="21">
        <f t="shared" ca="1" si="3"/>
        <v>39021</v>
      </c>
      <c r="R60" s="4">
        <f ca="1">MIN(O60,PREMISSAS!$C$13)</f>
        <v>0</v>
      </c>
      <c r="S60" s="240"/>
      <c r="T60" s="240"/>
    </row>
    <row r="61" spans="2:20" x14ac:dyDescent="0.25">
      <c r="B61" s="21">
        <f t="shared" ca="1" si="4"/>
        <v>45138</v>
      </c>
      <c r="C61" s="22">
        <f ca="1">IF(B61="","",IF(LEFT(B61,2)="13",C60,IF(MONTH(B61)=1,C60*(1+PREMISSAS!$C$57),C60)))</f>
        <v>0</v>
      </c>
      <c r="E61" s="18">
        <v>57</v>
      </c>
      <c r="F61" s="21">
        <f t="shared" ca="1" si="5"/>
        <v>39051</v>
      </c>
      <c r="G61" s="22">
        <f ca="1">IFERROR(VLOOKUP(F61,RESULTADOS!$O$5:$P$543,2,FALSE),VLOOKUP(F61,$B$5:$C$724,2,FALSE))</f>
        <v>0</v>
      </c>
      <c r="H61" s="4">
        <f ca="1">IF(F61&lt;PREMISSAS!$D$7,0,IFERROR(VLOOKUP(IF(LEFT(F61,2)="13",DATE(YEAR(F60),12,31),F61),IPCA!$A$3:$D$284,4,FALSE),1)*G61)</f>
        <v>0</v>
      </c>
      <c r="J61" s="21">
        <f t="shared" ca="1" si="0"/>
        <v>39051</v>
      </c>
      <c r="K61" s="4">
        <f t="shared" ca="1" si="1"/>
        <v>0</v>
      </c>
      <c r="M61" s="21">
        <f t="shared" ca="1" si="6"/>
        <v>39051</v>
      </c>
      <c r="N61" s="37">
        <f t="shared" ca="1" si="2"/>
        <v>0</v>
      </c>
      <c r="O61" s="4">
        <f ca="1">IFERROR(AVERAGEIF(N$5:$N61,"&gt;="&amp;_xlfn.PERCENTILE.EXC(N$5:$N61,0.2)),0)</f>
        <v>0</v>
      </c>
      <c r="Q61" s="21">
        <f t="shared" ca="1" si="3"/>
        <v>39051</v>
      </c>
      <c r="R61" s="4">
        <f ca="1">MIN(O61,PREMISSAS!$C$13)</f>
        <v>0</v>
      </c>
      <c r="S61" s="240"/>
      <c r="T61" s="240"/>
    </row>
    <row r="62" spans="2:20" x14ac:dyDescent="0.25">
      <c r="B62" s="21">
        <f t="shared" ca="1" si="4"/>
        <v>45169</v>
      </c>
      <c r="C62" s="22">
        <f ca="1">IF(B62="","",IF(LEFT(B62,2)="13",C61,IF(MONTH(B62)=1,C61*(1+PREMISSAS!$C$57),C61)))</f>
        <v>0</v>
      </c>
      <c r="E62" s="18">
        <v>58</v>
      </c>
      <c r="F62" s="21" t="str">
        <f t="shared" ca="1" si="5"/>
        <v>13º 2006</v>
      </c>
      <c r="G62" s="22">
        <f ca="1">IFERROR(VLOOKUP(F62,RESULTADOS!$O$5:$P$543,2,FALSE),VLOOKUP(F62,$B$5:$C$724,2,FALSE))</f>
        <v>0</v>
      </c>
      <c r="H62" s="4">
        <f ca="1">IF(F62&lt;PREMISSAS!$D$7,0,IFERROR(VLOOKUP(IF(LEFT(F62,2)="13",DATE(YEAR(F61),12,31),F62),IPCA!$A$3:$D$284,4,FALSE),1)*G62)</f>
        <v>0</v>
      </c>
      <c r="J62" s="21" t="str">
        <f t="shared" ca="1" si="0"/>
        <v>13º 2006</v>
      </c>
      <c r="K62" s="4">
        <f t="shared" ca="1" si="1"/>
        <v>0</v>
      </c>
      <c r="M62" s="21" t="str">
        <f t="shared" ca="1" si="6"/>
        <v>13º 2006</v>
      </c>
      <c r="N62" s="37">
        <f t="shared" ca="1" si="2"/>
        <v>0</v>
      </c>
      <c r="O62" s="4">
        <f ca="1">IFERROR(AVERAGEIF(N$5:$N62,"&gt;="&amp;_xlfn.PERCENTILE.EXC(N$5:$N62,0.2)),0)</f>
        <v>0</v>
      </c>
      <c r="Q62" s="21" t="str">
        <f t="shared" ca="1" si="3"/>
        <v>13º 2006</v>
      </c>
      <c r="R62" s="4">
        <f ca="1">MIN(O62,PREMISSAS!$C$13)</f>
        <v>0</v>
      </c>
      <c r="S62" s="240"/>
      <c r="T62" s="240"/>
    </row>
    <row r="63" spans="2:20" x14ac:dyDescent="0.25">
      <c r="B63" s="21">
        <f t="shared" ca="1" si="4"/>
        <v>45199</v>
      </c>
      <c r="C63" s="22">
        <f ca="1">IF(B63="","",IF(LEFT(B63,2)="13",C62,IF(MONTH(B63)=1,C62*(1+PREMISSAS!$C$57),C62)))</f>
        <v>0</v>
      </c>
      <c r="E63" s="18">
        <v>59</v>
      </c>
      <c r="F63" s="21">
        <f t="shared" ca="1" si="5"/>
        <v>39082</v>
      </c>
      <c r="G63" s="22">
        <f ca="1">IFERROR(VLOOKUP(F63,RESULTADOS!$O$5:$P$543,2,FALSE),VLOOKUP(F63,$B$5:$C$724,2,FALSE))</f>
        <v>0</v>
      </c>
      <c r="H63" s="4">
        <f ca="1">IF(F63&lt;PREMISSAS!$D$7,0,IFERROR(VLOOKUP(IF(LEFT(F63,2)="13",DATE(YEAR(F62),12,31),F63),IPCA!$A$3:$D$284,4,FALSE),1)*G63)</f>
        <v>0</v>
      </c>
      <c r="J63" s="21">
        <f t="shared" ca="1" si="0"/>
        <v>39082</v>
      </c>
      <c r="K63" s="4">
        <f t="shared" ca="1" si="1"/>
        <v>0</v>
      </c>
      <c r="M63" s="21">
        <f t="shared" ca="1" si="6"/>
        <v>39082</v>
      </c>
      <c r="N63" s="37">
        <f t="shared" ca="1" si="2"/>
        <v>0</v>
      </c>
      <c r="O63" s="4">
        <f ca="1">IFERROR(AVERAGEIF(N$5:$N63,"&gt;="&amp;_xlfn.PERCENTILE.EXC(N$5:$N63,0.2)),0)</f>
        <v>0</v>
      </c>
      <c r="Q63" s="21">
        <f t="shared" ca="1" si="3"/>
        <v>39082</v>
      </c>
      <c r="R63" s="4">
        <f ca="1">MIN(O63,PREMISSAS!$C$13)</f>
        <v>0</v>
      </c>
      <c r="S63" s="240"/>
      <c r="T63" s="240"/>
    </row>
    <row r="64" spans="2:20" x14ac:dyDescent="0.25">
      <c r="B64" s="21">
        <f t="shared" ca="1" si="4"/>
        <v>45230</v>
      </c>
      <c r="C64" s="22">
        <f ca="1">IF(B64="","",IF(LEFT(B64,2)="13",C63,IF(MONTH(B64)=1,C63*(1+PREMISSAS!$C$57),C63)))</f>
        <v>0</v>
      </c>
      <c r="E64" s="18">
        <v>60</v>
      </c>
      <c r="F64" s="21">
        <f t="shared" ca="1" si="5"/>
        <v>39113</v>
      </c>
      <c r="G64" s="22">
        <f ca="1">IFERROR(VLOOKUP(F64,RESULTADOS!$O$5:$P$543,2,FALSE),VLOOKUP(F64,$B$5:$C$724,2,FALSE))</f>
        <v>0</v>
      </c>
      <c r="H64" s="4">
        <f ca="1">IF(F64&lt;PREMISSAS!$D$7,0,IFERROR(VLOOKUP(IF(LEFT(F64,2)="13",DATE(YEAR(F63),12,31),F64),IPCA!$A$3:$D$284,4,FALSE),1)*G64)</f>
        <v>0</v>
      </c>
      <c r="J64" s="21">
        <f t="shared" ca="1" si="0"/>
        <v>39113</v>
      </c>
      <c r="K64" s="4">
        <f t="shared" ca="1" si="1"/>
        <v>0</v>
      </c>
      <c r="M64" s="21">
        <f t="shared" ca="1" si="6"/>
        <v>39113</v>
      </c>
      <c r="N64" s="37">
        <f t="shared" ca="1" si="2"/>
        <v>0</v>
      </c>
      <c r="O64" s="4">
        <f ca="1">IFERROR(AVERAGEIF(N$5:$N64,"&gt;="&amp;_xlfn.PERCENTILE.EXC(N$5:$N64,0.2)),0)</f>
        <v>0</v>
      </c>
      <c r="Q64" s="21">
        <f t="shared" ca="1" si="3"/>
        <v>39113</v>
      </c>
      <c r="R64" s="4">
        <f ca="1">MIN(O64,PREMISSAS!$C$13)</f>
        <v>0</v>
      </c>
      <c r="S64" s="240"/>
      <c r="T64" s="240"/>
    </row>
    <row r="65" spans="2:20" x14ac:dyDescent="0.25">
      <c r="B65" s="21">
        <f t="shared" ca="1" si="4"/>
        <v>45260</v>
      </c>
      <c r="C65" s="22">
        <f ca="1">IF(B65="","",IF(LEFT(B65,2)="13",C64,IF(MONTH(B65)=1,C64*(1+PREMISSAS!$C$57),C64)))</f>
        <v>0</v>
      </c>
      <c r="E65" s="18">
        <v>61</v>
      </c>
      <c r="F65" s="21">
        <f t="shared" ca="1" si="5"/>
        <v>39141</v>
      </c>
      <c r="G65" s="22">
        <f ca="1">IFERROR(VLOOKUP(F65,RESULTADOS!$O$5:$P$543,2,FALSE),VLOOKUP(F65,$B$5:$C$724,2,FALSE))</f>
        <v>0</v>
      </c>
      <c r="H65" s="4">
        <f ca="1">IF(F65&lt;PREMISSAS!$D$7,0,IFERROR(VLOOKUP(IF(LEFT(F65,2)="13",DATE(YEAR(F64),12,31),F65),IPCA!$A$3:$D$284,4,FALSE),1)*G65)</f>
        <v>0</v>
      </c>
      <c r="J65" s="21">
        <f t="shared" ca="1" si="0"/>
        <v>39141</v>
      </c>
      <c r="K65" s="4">
        <f t="shared" ca="1" si="1"/>
        <v>0</v>
      </c>
      <c r="M65" s="21">
        <f t="shared" ca="1" si="6"/>
        <v>39141</v>
      </c>
      <c r="N65" s="37">
        <f t="shared" ca="1" si="2"/>
        <v>0</v>
      </c>
      <c r="O65" s="4">
        <f ca="1">IFERROR(AVERAGEIF(N$5:$N65,"&gt;="&amp;_xlfn.PERCENTILE.EXC(N$5:$N65,0.2)),0)</f>
        <v>0</v>
      </c>
      <c r="Q65" s="21">
        <f t="shared" ca="1" si="3"/>
        <v>39141</v>
      </c>
      <c r="R65" s="4">
        <f ca="1">MIN(O65,PREMISSAS!$C$13)</f>
        <v>0</v>
      </c>
      <c r="S65" s="240"/>
      <c r="T65" s="240"/>
    </row>
    <row r="66" spans="2:20" x14ac:dyDescent="0.25">
      <c r="B66" s="21" t="str">
        <f t="shared" ca="1" si="4"/>
        <v>13º 2023</v>
      </c>
      <c r="C66" s="22">
        <f ca="1">IF(B66="","",IF(LEFT(B66,2)="13",C65,IF(MONTH(B66)=1,C65*(1+PREMISSAS!$C$57),C65)))</f>
        <v>0</v>
      </c>
      <c r="E66" s="18">
        <v>62</v>
      </c>
      <c r="F66" s="21">
        <f t="shared" ca="1" si="5"/>
        <v>39172</v>
      </c>
      <c r="G66" s="22">
        <f ca="1">IFERROR(VLOOKUP(F66,RESULTADOS!$O$5:$P$543,2,FALSE),VLOOKUP(F66,$B$5:$C$724,2,FALSE))</f>
        <v>0</v>
      </c>
      <c r="H66" s="4">
        <f ca="1">IF(F66&lt;PREMISSAS!$D$7,0,IFERROR(VLOOKUP(IF(LEFT(F66,2)="13",DATE(YEAR(F65),12,31),F66),IPCA!$A$3:$D$284,4,FALSE),1)*G66)</f>
        <v>0</v>
      </c>
      <c r="J66" s="21">
        <f t="shared" ca="1" si="0"/>
        <v>39172</v>
      </c>
      <c r="K66" s="4">
        <f t="shared" ca="1" si="1"/>
        <v>0</v>
      </c>
      <c r="M66" s="21">
        <f t="shared" ca="1" si="6"/>
        <v>39172</v>
      </c>
      <c r="N66" s="37">
        <f t="shared" ca="1" si="2"/>
        <v>0</v>
      </c>
      <c r="O66" s="4">
        <f ca="1">IFERROR(AVERAGEIF(N$5:$N66,"&gt;="&amp;_xlfn.PERCENTILE.EXC(N$5:$N66,0.2)),0)</f>
        <v>0</v>
      </c>
      <c r="Q66" s="21">
        <f t="shared" ca="1" si="3"/>
        <v>39172</v>
      </c>
      <c r="R66" s="4">
        <f ca="1">MIN(O66,PREMISSAS!$C$13)</f>
        <v>0</v>
      </c>
      <c r="S66" s="240"/>
      <c r="T66" s="240"/>
    </row>
    <row r="67" spans="2:20" x14ac:dyDescent="0.25">
      <c r="B67" s="21">
        <f t="shared" ca="1" si="4"/>
        <v>45291</v>
      </c>
      <c r="C67" s="22">
        <f ca="1">IF(B67="","",IF(LEFT(B67,2)="13",C66,IF(MONTH(B67)=1,C66*(1+PREMISSAS!$C$57),C66)))</f>
        <v>0</v>
      </c>
      <c r="E67" s="18">
        <v>63</v>
      </c>
      <c r="F67" s="21">
        <f t="shared" ca="1" si="5"/>
        <v>39202</v>
      </c>
      <c r="G67" s="22">
        <f ca="1">IFERROR(VLOOKUP(F67,RESULTADOS!$O$5:$P$543,2,FALSE),VLOOKUP(F67,$B$5:$C$724,2,FALSE))</f>
        <v>0</v>
      </c>
      <c r="H67" s="4">
        <f ca="1">IF(F67&lt;PREMISSAS!$D$7,0,IFERROR(VLOOKUP(IF(LEFT(F67,2)="13",DATE(YEAR(F66),12,31),F67),IPCA!$A$3:$D$284,4,FALSE),1)*G67)</f>
        <v>0</v>
      </c>
      <c r="J67" s="21">
        <f t="shared" ca="1" si="0"/>
        <v>39202</v>
      </c>
      <c r="K67" s="4">
        <f t="shared" ca="1" si="1"/>
        <v>0</v>
      </c>
      <c r="M67" s="21">
        <f t="shared" ca="1" si="6"/>
        <v>39202</v>
      </c>
      <c r="N67" s="37">
        <f t="shared" ca="1" si="2"/>
        <v>0</v>
      </c>
      <c r="O67" s="4">
        <f ca="1">IFERROR(AVERAGEIF(N$5:$N67,"&gt;="&amp;_xlfn.PERCENTILE.EXC(N$5:$N67,0.2)),0)</f>
        <v>0</v>
      </c>
      <c r="Q67" s="21">
        <f t="shared" ca="1" si="3"/>
        <v>39202</v>
      </c>
      <c r="R67" s="4">
        <f ca="1">MIN(O67,PREMISSAS!$C$13)</f>
        <v>0</v>
      </c>
      <c r="S67" s="240"/>
      <c r="T67" s="240"/>
    </row>
    <row r="68" spans="2:20" x14ac:dyDescent="0.25">
      <c r="B68" s="21">
        <f t="shared" ca="1" si="4"/>
        <v>45322</v>
      </c>
      <c r="C68" s="22">
        <f ca="1">IF(B68="","",IF(LEFT(B68,2)="13",C67,IF(MONTH(B68)=1,C67*(1+PREMISSAS!$C$57),C67)))</f>
        <v>0</v>
      </c>
      <c r="E68" s="18">
        <v>64</v>
      </c>
      <c r="F68" s="21">
        <f t="shared" ca="1" si="5"/>
        <v>39233</v>
      </c>
      <c r="G68" s="22">
        <f ca="1">IFERROR(VLOOKUP(F68,RESULTADOS!$O$5:$P$543,2,FALSE),VLOOKUP(F68,$B$5:$C$724,2,FALSE))</f>
        <v>0</v>
      </c>
      <c r="H68" s="4">
        <f ca="1">IF(F68&lt;PREMISSAS!$D$7,0,IFERROR(VLOOKUP(IF(LEFT(F68,2)="13",DATE(YEAR(F67),12,31),F68),IPCA!$A$3:$D$284,4,FALSE),1)*G68)</f>
        <v>0</v>
      </c>
      <c r="J68" s="21">
        <f t="shared" ca="1" si="0"/>
        <v>39233</v>
      </c>
      <c r="K68" s="4">
        <f t="shared" ca="1" si="1"/>
        <v>0</v>
      </c>
      <c r="M68" s="21">
        <f t="shared" ca="1" si="6"/>
        <v>39233</v>
      </c>
      <c r="N68" s="37">
        <f t="shared" ca="1" si="2"/>
        <v>0</v>
      </c>
      <c r="O68" s="4">
        <f ca="1">IFERROR(AVERAGEIF(N$5:$N68,"&gt;="&amp;_xlfn.PERCENTILE.EXC(N$5:$N68,0.2)),0)</f>
        <v>0</v>
      </c>
      <c r="Q68" s="21">
        <f t="shared" ca="1" si="3"/>
        <v>39233</v>
      </c>
      <c r="R68" s="4">
        <f ca="1">MIN(O68,PREMISSAS!$C$13)</f>
        <v>0</v>
      </c>
      <c r="S68" s="240"/>
      <c r="T68" s="240"/>
    </row>
    <row r="69" spans="2:20" x14ac:dyDescent="0.25">
      <c r="B69" s="21">
        <f t="shared" ca="1" si="4"/>
        <v>45351</v>
      </c>
      <c r="C69" s="22">
        <f ca="1">IF(B69="","",IF(LEFT(B69,2)="13",C68,IF(MONTH(B69)=1,C68*(1+PREMISSAS!$C$57),C68)))</f>
        <v>0</v>
      </c>
      <c r="E69" s="18">
        <v>65</v>
      </c>
      <c r="F69" s="21">
        <f t="shared" ca="1" si="5"/>
        <v>39263</v>
      </c>
      <c r="G69" s="22">
        <f ca="1">IFERROR(VLOOKUP(F69,RESULTADOS!$O$5:$P$543,2,FALSE),VLOOKUP(F69,$B$5:$C$724,2,FALSE))</f>
        <v>0</v>
      </c>
      <c r="H69" s="4">
        <f ca="1">IF(F69&lt;PREMISSAS!$D$7,0,IFERROR(VLOOKUP(IF(LEFT(F69,2)="13",DATE(YEAR(F68),12,31),F69),IPCA!$A$3:$D$284,4,FALSE),1)*G69)</f>
        <v>0</v>
      </c>
      <c r="J69" s="21">
        <f t="shared" ref="J69:J132" ca="1" si="7">F69</f>
        <v>39263</v>
      </c>
      <c r="K69" s="4">
        <f t="shared" ref="K69:K132" ca="1" si="8">G69</f>
        <v>0</v>
      </c>
      <c r="M69" s="21">
        <f t="shared" ca="1" si="6"/>
        <v>39263</v>
      </c>
      <c r="N69" s="37">
        <f t="shared" ca="1" si="2"/>
        <v>0</v>
      </c>
      <c r="O69" s="4">
        <f ca="1">IFERROR(AVERAGEIF(N$5:$N69,"&gt;="&amp;_xlfn.PERCENTILE.EXC(N$5:$N69,0.2)),0)</f>
        <v>0</v>
      </c>
      <c r="Q69" s="21">
        <f t="shared" ca="1" si="3"/>
        <v>39263</v>
      </c>
      <c r="R69" s="4">
        <f ca="1">MIN(O69,PREMISSAS!$C$13)</f>
        <v>0</v>
      </c>
      <c r="S69" s="240"/>
      <c r="T69" s="240"/>
    </row>
    <row r="70" spans="2:20" x14ac:dyDescent="0.25">
      <c r="B70" s="21">
        <f t="shared" ca="1" si="4"/>
        <v>45382</v>
      </c>
      <c r="C70" s="22">
        <f ca="1">IF(B70="","",IF(LEFT(B70,2)="13",C69,IF(MONTH(B70)=1,C69*(1+PREMISSAS!$C$57),C69)))</f>
        <v>0</v>
      </c>
      <c r="E70" s="18">
        <v>66</v>
      </c>
      <c r="F70" s="21">
        <f t="shared" ca="1" si="5"/>
        <v>39294</v>
      </c>
      <c r="G70" s="22">
        <f ca="1">IFERROR(VLOOKUP(F70,RESULTADOS!$O$5:$P$543,2,FALSE),VLOOKUP(F70,$B$5:$C$724,2,FALSE))</f>
        <v>0</v>
      </c>
      <c r="H70" s="4">
        <f ca="1">IF(F70&lt;PREMISSAS!$D$7,0,IFERROR(VLOOKUP(IF(LEFT(F70,2)="13",DATE(YEAR(F69),12,31),F70),IPCA!$A$3:$D$284,4,FALSE),1)*G70)</f>
        <v>0</v>
      </c>
      <c r="J70" s="21">
        <f t="shared" ca="1" si="7"/>
        <v>39294</v>
      </c>
      <c r="K70" s="4">
        <f t="shared" ca="1" si="8"/>
        <v>0</v>
      </c>
      <c r="M70" s="21">
        <f t="shared" ca="1" si="6"/>
        <v>39294</v>
      </c>
      <c r="N70" s="37">
        <f t="shared" ref="N70:N133" ca="1" si="9">IFERROR(VLOOKUP(M70,$F$5:$H$628,3,FALSE),0)</f>
        <v>0</v>
      </c>
      <c r="O70" s="4">
        <f ca="1">IFERROR(AVERAGEIF(N$5:$N70,"&gt;="&amp;_xlfn.PERCENTILE.EXC(N$5:$N70,0.2)),0)</f>
        <v>0</v>
      </c>
      <c r="Q70" s="21">
        <f t="shared" ref="Q70:Q133" ca="1" si="10">M70</f>
        <v>39294</v>
      </c>
      <c r="R70" s="4">
        <f ca="1">MIN(O70,PREMISSAS!$C$13)</f>
        <v>0</v>
      </c>
      <c r="S70" s="240"/>
      <c r="T70" s="240"/>
    </row>
    <row r="71" spans="2:20" x14ac:dyDescent="0.25">
      <c r="B71" s="21">
        <f t="shared" ref="B71:B134" ca="1" si="11">IFERROR(IF(LEFT(B70,2)="13",DATE(RIGHT(B70,4),12,31),IF(EOMONTH(B70,0)&gt;$F$1,"",IF(MONTH(B70)=11,"13º "&amp;YEAR(B70),EOMONTH(B70,1)))),"")</f>
        <v>45412</v>
      </c>
      <c r="C71" s="22">
        <f ca="1">IF(B71="","",IF(LEFT(B71,2)="13",C70,IF(MONTH(B71)=1,C70*(1+PREMISSAS!$C$57),C70)))</f>
        <v>0</v>
      </c>
      <c r="E71" s="18">
        <v>67</v>
      </c>
      <c r="F71" s="21">
        <f t="shared" ref="F71:F134" ca="1" si="12">IFERROR(IF(LEFT(F70,2)="13",DATE(RIGHT(F70,4),12,31),IF(EOMONTH(F70,0)&gt;$F$1,"",IF(MONTH(F70)=11,"13º "&amp;YEAR(F70),EOMONTH(F70,1)))),"")</f>
        <v>39325</v>
      </c>
      <c r="G71" s="22">
        <f ca="1">IFERROR(VLOOKUP(F71,RESULTADOS!$O$5:$P$543,2,FALSE),VLOOKUP(F71,$B$5:$C$724,2,FALSE))</f>
        <v>0</v>
      </c>
      <c r="H71" s="4">
        <f ca="1">IF(F71&lt;PREMISSAS!$D$7,0,IFERROR(VLOOKUP(IF(LEFT(F71,2)="13",DATE(YEAR(F70),12,31),F71),IPCA!$A$3:$D$284,4,FALSE),1)*G71)</f>
        <v>0</v>
      </c>
      <c r="J71" s="21">
        <f t="shared" ca="1" si="7"/>
        <v>39325</v>
      </c>
      <c r="K71" s="4">
        <f t="shared" ca="1" si="8"/>
        <v>0</v>
      </c>
      <c r="M71" s="21">
        <f t="shared" ref="M71:M134" ca="1" si="13">IFERROR(IF(LEFT(M70,2)="13",DATE(RIGHT(M70,4),12,31),IF(EOMONTH(M70,0)&gt;$F$1,"",IF(MONTH(M70)=11,"13º "&amp;YEAR(M70),EOMONTH(M70,1)))),"")</f>
        <v>39325</v>
      </c>
      <c r="N71" s="37">
        <f t="shared" ca="1" si="9"/>
        <v>0</v>
      </c>
      <c r="O71" s="4">
        <f ca="1">IFERROR(AVERAGEIF(N$5:$N71,"&gt;="&amp;_xlfn.PERCENTILE.EXC(N$5:$N71,0.2)),0)</f>
        <v>0</v>
      </c>
      <c r="Q71" s="21">
        <f t="shared" ca="1" si="10"/>
        <v>39325</v>
      </c>
      <c r="R71" s="4">
        <f ca="1">MIN(O71,PREMISSAS!$C$13)</f>
        <v>0</v>
      </c>
      <c r="S71" s="240"/>
      <c r="T71" s="240"/>
    </row>
    <row r="72" spans="2:20" x14ac:dyDescent="0.25">
      <c r="B72" s="21">
        <f t="shared" ca="1" si="11"/>
        <v>45443</v>
      </c>
      <c r="C72" s="22">
        <f ca="1">IF(B72="","",IF(LEFT(B72,2)="13",C71,IF(MONTH(B72)=1,C71*(1+PREMISSAS!$C$57),C71)))</f>
        <v>0</v>
      </c>
      <c r="E72" s="18">
        <v>68</v>
      </c>
      <c r="F72" s="21">
        <f t="shared" ca="1" si="12"/>
        <v>39355</v>
      </c>
      <c r="G72" s="22">
        <f ca="1">IFERROR(VLOOKUP(F72,RESULTADOS!$O$5:$P$543,2,FALSE),VLOOKUP(F72,$B$5:$C$724,2,FALSE))</f>
        <v>0</v>
      </c>
      <c r="H72" s="4">
        <f ca="1">IF(F72&lt;PREMISSAS!$D$7,0,IFERROR(VLOOKUP(IF(LEFT(F72,2)="13",DATE(YEAR(F71),12,31),F72),IPCA!$A$3:$D$284,4,FALSE),1)*G72)</f>
        <v>0</v>
      </c>
      <c r="J72" s="21">
        <f t="shared" ca="1" si="7"/>
        <v>39355</v>
      </c>
      <c r="K72" s="4">
        <f t="shared" ca="1" si="8"/>
        <v>0</v>
      </c>
      <c r="M72" s="21">
        <f t="shared" ca="1" si="13"/>
        <v>39355</v>
      </c>
      <c r="N72" s="37">
        <f t="shared" ca="1" si="9"/>
        <v>0</v>
      </c>
      <c r="O72" s="4">
        <f ca="1">IFERROR(AVERAGEIF(N$5:$N72,"&gt;="&amp;_xlfn.PERCENTILE.EXC(N$5:$N72,0.2)),0)</f>
        <v>0</v>
      </c>
      <c r="Q72" s="21">
        <f t="shared" ca="1" si="10"/>
        <v>39355</v>
      </c>
      <c r="R72" s="4">
        <f ca="1">MIN(O72,PREMISSAS!$C$13)</f>
        <v>0</v>
      </c>
      <c r="S72" s="240"/>
      <c r="T72" s="240"/>
    </row>
    <row r="73" spans="2:20" x14ac:dyDescent="0.25">
      <c r="B73" s="21">
        <f t="shared" ca="1" si="11"/>
        <v>45473</v>
      </c>
      <c r="C73" s="22">
        <f ca="1">IF(B73="","",IF(LEFT(B73,2)="13",C72,IF(MONTH(B73)=1,C72*(1+PREMISSAS!$C$57),C72)))</f>
        <v>0</v>
      </c>
      <c r="E73" s="18">
        <v>69</v>
      </c>
      <c r="F73" s="21">
        <f t="shared" ca="1" si="12"/>
        <v>39386</v>
      </c>
      <c r="G73" s="22">
        <f ca="1">IFERROR(VLOOKUP(F73,RESULTADOS!$O$5:$P$543,2,FALSE),VLOOKUP(F73,$B$5:$C$724,2,FALSE))</f>
        <v>0</v>
      </c>
      <c r="H73" s="4">
        <f ca="1">IF(F73&lt;PREMISSAS!$D$7,0,IFERROR(VLOOKUP(IF(LEFT(F73,2)="13",DATE(YEAR(F72),12,31),F73),IPCA!$A$3:$D$284,4,FALSE),1)*G73)</f>
        <v>0</v>
      </c>
      <c r="J73" s="21">
        <f t="shared" ca="1" si="7"/>
        <v>39386</v>
      </c>
      <c r="K73" s="4">
        <f t="shared" ca="1" si="8"/>
        <v>0</v>
      </c>
      <c r="M73" s="21">
        <f t="shared" ca="1" si="13"/>
        <v>39386</v>
      </c>
      <c r="N73" s="37">
        <f t="shared" ca="1" si="9"/>
        <v>0</v>
      </c>
      <c r="O73" s="4">
        <f ca="1">IFERROR(AVERAGEIF(N$5:$N73,"&gt;="&amp;_xlfn.PERCENTILE.EXC(N$5:$N73,0.2)),0)</f>
        <v>0</v>
      </c>
      <c r="Q73" s="21">
        <f t="shared" ca="1" si="10"/>
        <v>39386</v>
      </c>
      <c r="R73" s="4">
        <f ca="1">MIN(O73,PREMISSAS!$C$13)</f>
        <v>0</v>
      </c>
      <c r="S73" s="240"/>
      <c r="T73" s="240"/>
    </row>
    <row r="74" spans="2:20" x14ac:dyDescent="0.25">
      <c r="B74" s="21">
        <f t="shared" ca="1" si="11"/>
        <v>45504</v>
      </c>
      <c r="C74" s="22">
        <f ca="1">IF(B74="","",IF(LEFT(B74,2)="13",C73,IF(MONTH(B74)=1,C73*(1+PREMISSAS!$C$57),C73)))</f>
        <v>0</v>
      </c>
      <c r="E74" s="18">
        <v>70</v>
      </c>
      <c r="F74" s="21">
        <f t="shared" ca="1" si="12"/>
        <v>39416</v>
      </c>
      <c r="G74" s="22">
        <f ca="1">IFERROR(VLOOKUP(F74,RESULTADOS!$O$5:$P$543,2,FALSE),VLOOKUP(F74,$B$5:$C$724,2,FALSE))</f>
        <v>0</v>
      </c>
      <c r="H74" s="4">
        <f ca="1">IF(F74&lt;PREMISSAS!$D$7,0,IFERROR(VLOOKUP(IF(LEFT(F74,2)="13",DATE(YEAR(F73),12,31),F74),IPCA!$A$3:$D$284,4,FALSE),1)*G74)</f>
        <v>0</v>
      </c>
      <c r="J74" s="21">
        <f t="shared" ca="1" si="7"/>
        <v>39416</v>
      </c>
      <c r="K74" s="4">
        <f t="shared" ca="1" si="8"/>
        <v>0</v>
      </c>
      <c r="M74" s="21">
        <f t="shared" ca="1" si="13"/>
        <v>39416</v>
      </c>
      <c r="N74" s="37">
        <f t="shared" ca="1" si="9"/>
        <v>0</v>
      </c>
      <c r="O74" s="4">
        <f ca="1">IFERROR(AVERAGEIF(N$5:$N74,"&gt;="&amp;_xlfn.PERCENTILE.EXC(N$5:$N74,0.2)),0)</f>
        <v>0</v>
      </c>
      <c r="Q74" s="21">
        <f t="shared" ca="1" si="10"/>
        <v>39416</v>
      </c>
      <c r="R74" s="4">
        <f ca="1">MIN(O74,PREMISSAS!$C$13)</f>
        <v>0</v>
      </c>
      <c r="S74" s="240"/>
      <c r="T74" s="240"/>
    </row>
    <row r="75" spans="2:20" x14ac:dyDescent="0.25">
      <c r="B75" s="21">
        <f t="shared" ca="1" si="11"/>
        <v>45535</v>
      </c>
      <c r="C75" s="22">
        <f ca="1">IF(B75="","",IF(LEFT(B75,2)="13",C74,IF(MONTH(B75)=1,C74*(1+PREMISSAS!$C$57),C74)))</f>
        <v>0</v>
      </c>
      <c r="E75" s="18">
        <v>71</v>
      </c>
      <c r="F75" s="21" t="str">
        <f t="shared" ca="1" si="12"/>
        <v>13º 2007</v>
      </c>
      <c r="G75" s="22">
        <f ca="1">IFERROR(VLOOKUP(F75,RESULTADOS!$O$5:$P$543,2,FALSE),VLOOKUP(F75,$B$5:$C$724,2,FALSE))</f>
        <v>0</v>
      </c>
      <c r="H75" s="4">
        <f ca="1">IF(F75&lt;PREMISSAS!$D$7,0,IFERROR(VLOOKUP(IF(LEFT(F75,2)="13",DATE(YEAR(F74),12,31),F75),IPCA!$A$3:$D$284,4,FALSE),1)*G75)</f>
        <v>0</v>
      </c>
      <c r="J75" s="21" t="str">
        <f t="shared" ca="1" si="7"/>
        <v>13º 2007</v>
      </c>
      <c r="K75" s="4">
        <f t="shared" ca="1" si="8"/>
        <v>0</v>
      </c>
      <c r="M75" s="21" t="str">
        <f t="shared" ca="1" si="13"/>
        <v>13º 2007</v>
      </c>
      <c r="N75" s="37">
        <f t="shared" ca="1" si="9"/>
        <v>0</v>
      </c>
      <c r="O75" s="4">
        <f ca="1">IFERROR(AVERAGEIF(N$5:$N75,"&gt;="&amp;_xlfn.PERCENTILE.EXC(N$5:$N75,0.2)),0)</f>
        <v>0</v>
      </c>
      <c r="Q75" s="21" t="str">
        <f t="shared" ca="1" si="10"/>
        <v>13º 2007</v>
      </c>
      <c r="R75" s="4">
        <f ca="1">MIN(O75,PREMISSAS!$C$13)</f>
        <v>0</v>
      </c>
      <c r="S75" s="240"/>
      <c r="T75" s="240"/>
    </row>
    <row r="76" spans="2:20" x14ac:dyDescent="0.25">
      <c r="B76" s="21">
        <f t="shared" ca="1" si="11"/>
        <v>45565</v>
      </c>
      <c r="C76" s="22">
        <f ca="1">IF(B76="","",IF(LEFT(B76,2)="13",C75,IF(MONTH(B76)=1,C75*(1+PREMISSAS!$C$57),C75)))</f>
        <v>0</v>
      </c>
      <c r="E76" s="18">
        <v>72</v>
      </c>
      <c r="F76" s="21">
        <f t="shared" ca="1" si="12"/>
        <v>39447</v>
      </c>
      <c r="G76" s="22">
        <f ca="1">IFERROR(VLOOKUP(F76,RESULTADOS!$O$5:$P$543,2,FALSE),VLOOKUP(F76,$B$5:$C$724,2,FALSE))</f>
        <v>0</v>
      </c>
      <c r="H76" s="4">
        <f ca="1">IF(F76&lt;PREMISSAS!$D$7,0,IFERROR(VLOOKUP(IF(LEFT(F76,2)="13",DATE(YEAR(F75),12,31),F76),IPCA!$A$3:$D$284,4,FALSE),1)*G76)</f>
        <v>0</v>
      </c>
      <c r="J76" s="21">
        <f t="shared" ca="1" si="7"/>
        <v>39447</v>
      </c>
      <c r="K76" s="4">
        <f t="shared" ca="1" si="8"/>
        <v>0</v>
      </c>
      <c r="M76" s="21">
        <f t="shared" ca="1" si="13"/>
        <v>39447</v>
      </c>
      <c r="N76" s="37">
        <f t="shared" ca="1" si="9"/>
        <v>0</v>
      </c>
      <c r="O76" s="4">
        <f ca="1">IFERROR(AVERAGEIF(N$5:$N76,"&gt;="&amp;_xlfn.PERCENTILE.EXC(N$5:$N76,0.2)),0)</f>
        <v>0</v>
      </c>
      <c r="Q76" s="21">
        <f t="shared" ca="1" si="10"/>
        <v>39447</v>
      </c>
      <c r="R76" s="4">
        <f ca="1">MIN(O76,PREMISSAS!$C$13)</f>
        <v>0</v>
      </c>
      <c r="S76" s="240"/>
      <c r="T76" s="240"/>
    </row>
    <row r="77" spans="2:20" x14ac:dyDescent="0.25">
      <c r="B77" s="21">
        <f t="shared" ca="1" si="11"/>
        <v>45596</v>
      </c>
      <c r="C77" s="22">
        <f ca="1">IF(B77="","",IF(LEFT(B77,2)="13",C76,IF(MONTH(B77)=1,C76*(1+PREMISSAS!$C$57),C76)))</f>
        <v>0</v>
      </c>
      <c r="E77" s="18">
        <v>73</v>
      </c>
      <c r="F77" s="21">
        <f t="shared" ca="1" si="12"/>
        <v>39478</v>
      </c>
      <c r="G77" s="22">
        <f ca="1">IFERROR(VLOOKUP(F77,RESULTADOS!$O$5:$P$543,2,FALSE),VLOOKUP(F77,$B$5:$C$724,2,FALSE))</f>
        <v>0</v>
      </c>
      <c r="H77" s="4">
        <f ca="1">IF(F77&lt;PREMISSAS!$D$7,0,IFERROR(VLOOKUP(IF(LEFT(F77,2)="13",DATE(YEAR(F76),12,31),F77),IPCA!$A$3:$D$284,4,FALSE),1)*G77)</f>
        <v>0</v>
      </c>
      <c r="J77" s="21">
        <f t="shared" ca="1" si="7"/>
        <v>39478</v>
      </c>
      <c r="K77" s="4">
        <f t="shared" ca="1" si="8"/>
        <v>0</v>
      </c>
      <c r="M77" s="21">
        <f t="shared" ca="1" si="13"/>
        <v>39478</v>
      </c>
      <c r="N77" s="37">
        <f t="shared" ca="1" si="9"/>
        <v>0</v>
      </c>
      <c r="O77" s="4">
        <f ca="1">IFERROR(AVERAGEIF(N$5:$N77,"&gt;="&amp;_xlfn.PERCENTILE.EXC(N$5:$N77,0.2)),0)</f>
        <v>0</v>
      </c>
      <c r="Q77" s="21">
        <f t="shared" ca="1" si="10"/>
        <v>39478</v>
      </c>
      <c r="R77" s="4">
        <f ca="1">MIN(O77,PREMISSAS!$C$13)</f>
        <v>0</v>
      </c>
      <c r="S77" s="240"/>
      <c r="T77" s="240"/>
    </row>
    <row r="78" spans="2:20" x14ac:dyDescent="0.25">
      <c r="B78" s="21">
        <f t="shared" ca="1" si="11"/>
        <v>45626</v>
      </c>
      <c r="C78" s="22">
        <f ca="1">IF(B78="","",IF(LEFT(B78,2)="13",C77,IF(MONTH(B78)=1,C77*(1+PREMISSAS!$C$57),C77)))</f>
        <v>0</v>
      </c>
      <c r="E78" s="18">
        <v>74</v>
      </c>
      <c r="F78" s="21">
        <f t="shared" ca="1" si="12"/>
        <v>39507</v>
      </c>
      <c r="G78" s="22">
        <f ca="1">IFERROR(VLOOKUP(F78,RESULTADOS!$O$5:$P$543,2,FALSE),VLOOKUP(F78,$B$5:$C$724,2,FALSE))</f>
        <v>0</v>
      </c>
      <c r="H78" s="4">
        <f ca="1">IF(F78&lt;PREMISSAS!$D$7,0,IFERROR(VLOOKUP(IF(LEFT(F78,2)="13",DATE(YEAR(F77),12,31),F78),IPCA!$A$3:$D$284,4,FALSE),1)*G78)</f>
        <v>0</v>
      </c>
      <c r="J78" s="21">
        <f t="shared" ca="1" si="7"/>
        <v>39507</v>
      </c>
      <c r="K78" s="4">
        <f t="shared" ca="1" si="8"/>
        <v>0</v>
      </c>
      <c r="M78" s="21">
        <f t="shared" ca="1" si="13"/>
        <v>39507</v>
      </c>
      <c r="N78" s="37">
        <f t="shared" ca="1" si="9"/>
        <v>0</v>
      </c>
      <c r="O78" s="4">
        <f ca="1">IFERROR(AVERAGEIF(N$5:$N78,"&gt;="&amp;_xlfn.PERCENTILE.EXC(N$5:$N78,0.2)),0)</f>
        <v>0</v>
      </c>
      <c r="Q78" s="21">
        <f t="shared" ca="1" si="10"/>
        <v>39507</v>
      </c>
      <c r="R78" s="4">
        <f ca="1">MIN(O78,PREMISSAS!$C$13)</f>
        <v>0</v>
      </c>
      <c r="S78" s="240"/>
      <c r="T78" s="240"/>
    </row>
    <row r="79" spans="2:20" x14ac:dyDescent="0.25">
      <c r="B79" s="21" t="str">
        <f t="shared" ca="1" si="11"/>
        <v>13º 2024</v>
      </c>
      <c r="C79" s="22">
        <f ca="1">IF(B79="","",IF(LEFT(B79,2)="13",C78,IF(MONTH(B79)=1,C78*(1+PREMISSAS!$C$57),C78)))</f>
        <v>0</v>
      </c>
      <c r="E79" s="18">
        <v>75</v>
      </c>
      <c r="F79" s="21">
        <f t="shared" ca="1" si="12"/>
        <v>39538</v>
      </c>
      <c r="G79" s="22">
        <f ca="1">IFERROR(VLOOKUP(F79,RESULTADOS!$O$5:$P$543,2,FALSE),VLOOKUP(F79,$B$5:$C$724,2,FALSE))</f>
        <v>0</v>
      </c>
      <c r="H79" s="4">
        <f ca="1">IF(F79&lt;PREMISSAS!$D$7,0,IFERROR(VLOOKUP(IF(LEFT(F79,2)="13",DATE(YEAR(F78),12,31),F79),IPCA!$A$3:$D$284,4,FALSE),1)*G79)</f>
        <v>0</v>
      </c>
      <c r="J79" s="21">
        <f t="shared" ca="1" si="7"/>
        <v>39538</v>
      </c>
      <c r="K79" s="4">
        <f t="shared" ca="1" si="8"/>
        <v>0</v>
      </c>
      <c r="M79" s="21">
        <f t="shared" ca="1" si="13"/>
        <v>39538</v>
      </c>
      <c r="N79" s="37">
        <f t="shared" ca="1" si="9"/>
        <v>0</v>
      </c>
      <c r="O79" s="4">
        <f ca="1">IFERROR(AVERAGEIF(N$5:$N79,"&gt;="&amp;_xlfn.PERCENTILE.EXC(N$5:$N79,0.2)),0)</f>
        <v>0</v>
      </c>
      <c r="Q79" s="21">
        <f t="shared" ca="1" si="10"/>
        <v>39538</v>
      </c>
      <c r="R79" s="4">
        <f ca="1">MIN(O79,PREMISSAS!$C$13)</f>
        <v>0</v>
      </c>
      <c r="S79" s="240"/>
      <c r="T79" s="240"/>
    </row>
    <row r="80" spans="2:20" x14ac:dyDescent="0.25">
      <c r="B80" s="21">
        <f t="shared" ca="1" si="11"/>
        <v>45657</v>
      </c>
      <c r="C80" s="22">
        <f ca="1">IF(B80="","",IF(LEFT(B80,2)="13",C79,IF(MONTH(B80)=1,C79*(1+PREMISSAS!$C$57),C79)))</f>
        <v>0</v>
      </c>
      <c r="E80" s="18">
        <v>76</v>
      </c>
      <c r="F80" s="21">
        <f t="shared" ca="1" si="12"/>
        <v>39568</v>
      </c>
      <c r="G80" s="22">
        <f ca="1">IFERROR(VLOOKUP(F80,RESULTADOS!$O$5:$P$543,2,FALSE),VLOOKUP(F80,$B$5:$C$724,2,FALSE))</f>
        <v>0</v>
      </c>
      <c r="H80" s="4">
        <f ca="1">IF(F80&lt;PREMISSAS!$D$7,0,IFERROR(VLOOKUP(IF(LEFT(F80,2)="13",DATE(YEAR(F79),12,31),F80),IPCA!$A$3:$D$284,4,FALSE),1)*G80)</f>
        <v>0</v>
      </c>
      <c r="J80" s="21">
        <f t="shared" ca="1" si="7"/>
        <v>39568</v>
      </c>
      <c r="K80" s="4">
        <f t="shared" ca="1" si="8"/>
        <v>0</v>
      </c>
      <c r="M80" s="21">
        <f t="shared" ca="1" si="13"/>
        <v>39568</v>
      </c>
      <c r="N80" s="37">
        <f t="shared" ca="1" si="9"/>
        <v>0</v>
      </c>
      <c r="O80" s="4">
        <f ca="1">IFERROR(AVERAGEIF(N$5:$N80,"&gt;="&amp;_xlfn.PERCENTILE.EXC(N$5:$N80,0.2)),0)</f>
        <v>0</v>
      </c>
      <c r="Q80" s="21">
        <f t="shared" ca="1" si="10"/>
        <v>39568</v>
      </c>
      <c r="R80" s="4">
        <f ca="1">MIN(O80,PREMISSAS!$C$13)</f>
        <v>0</v>
      </c>
      <c r="S80" s="240"/>
      <c r="T80" s="240"/>
    </row>
    <row r="81" spans="2:20" x14ac:dyDescent="0.25">
      <c r="B81" s="21">
        <f t="shared" ca="1" si="11"/>
        <v>45688</v>
      </c>
      <c r="C81" s="22">
        <f ca="1">IF(B81="","",IF(LEFT(B81,2)="13",C80,IF(MONTH(B81)=1,C80*(1+PREMISSAS!$C$57),C80)))</f>
        <v>0</v>
      </c>
      <c r="E81" s="18">
        <v>77</v>
      </c>
      <c r="F81" s="21">
        <f t="shared" ca="1" si="12"/>
        <v>39599</v>
      </c>
      <c r="G81" s="22">
        <f ca="1">IFERROR(VLOOKUP(F81,RESULTADOS!$O$5:$P$543,2,FALSE),VLOOKUP(F81,$B$5:$C$724,2,FALSE))</f>
        <v>0</v>
      </c>
      <c r="H81" s="4">
        <f ca="1">IF(F81&lt;PREMISSAS!$D$7,0,IFERROR(VLOOKUP(IF(LEFT(F81,2)="13",DATE(YEAR(F80),12,31),F81),IPCA!$A$3:$D$284,4,FALSE),1)*G81)</f>
        <v>0</v>
      </c>
      <c r="J81" s="21">
        <f t="shared" ca="1" si="7"/>
        <v>39599</v>
      </c>
      <c r="K81" s="4">
        <f t="shared" ca="1" si="8"/>
        <v>0</v>
      </c>
      <c r="M81" s="21">
        <f t="shared" ca="1" si="13"/>
        <v>39599</v>
      </c>
      <c r="N81" s="37">
        <f t="shared" ca="1" si="9"/>
        <v>0</v>
      </c>
      <c r="O81" s="4">
        <f ca="1">IFERROR(AVERAGEIF(N$5:$N81,"&gt;="&amp;_xlfn.PERCENTILE.EXC(N$5:$N81,0.2)),0)</f>
        <v>0</v>
      </c>
      <c r="Q81" s="21">
        <f t="shared" ca="1" si="10"/>
        <v>39599</v>
      </c>
      <c r="R81" s="4">
        <f ca="1">MIN(O81,PREMISSAS!$C$13)</f>
        <v>0</v>
      </c>
      <c r="S81" s="240"/>
      <c r="T81" s="240"/>
    </row>
    <row r="82" spans="2:20" x14ac:dyDescent="0.25">
      <c r="B82" s="21">
        <f t="shared" ca="1" si="11"/>
        <v>45716</v>
      </c>
      <c r="C82" s="22">
        <f ca="1">IF(B82="","",IF(LEFT(B82,2)="13",C81,IF(MONTH(B82)=1,C81*(1+PREMISSAS!$C$57),C81)))</f>
        <v>0</v>
      </c>
      <c r="E82" s="18">
        <v>78</v>
      </c>
      <c r="F82" s="21">
        <f t="shared" ca="1" si="12"/>
        <v>39629</v>
      </c>
      <c r="G82" s="22">
        <f ca="1">IFERROR(VLOOKUP(F82,RESULTADOS!$O$5:$P$543,2,FALSE),VLOOKUP(F82,$B$5:$C$724,2,FALSE))</f>
        <v>0</v>
      </c>
      <c r="H82" s="4">
        <f ca="1">IF(F82&lt;PREMISSAS!$D$7,0,IFERROR(VLOOKUP(IF(LEFT(F82,2)="13",DATE(YEAR(F81),12,31),F82),IPCA!$A$3:$D$284,4,FALSE),1)*G82)</f>
        <v>0</v>
      </c>
      <c r="J82" s="21">
        <f t="shared" ca="1" si="7"/>
        <v>39629</v>
      </c>
      <c r="K82" s="4">
        <f t="shared" ca="1" si="8"/>
        <v>0</v>
      </c>
      <c r="M82" s="21">
        <f t="shared" ca="1" si="13"/>
        <v>39629</v>
      </c>
      <c r="N82" s="37">
        <f t="shared" ca="1" si="9"/>
        <v>0</v>
      </c>
      <c r="O82" s="4">
        <f ca="1">IFERROR(AVERAGEIF(N$5:$N82,"&gt;="&amp;_xlfn.PERCENTILE.EXC(N$5:$N82,0.2)),0)</f>
        <v>0</v>
      </c>
      <c r="Q82" s="21">
        <f t="shared" ca="1" si="10"/>
        <v>39629</v>
      </c>
      <c r="R82" s="4">
        <f ca="1">MIN(O82,PREMISSAS!$C$13)</f>
        <v>0</v>
      </c>
      <c r="S82" s="240"/>
      <c r="T82" s="240"/>
    </row>
    <row r="83" spans="2:20" x14ac:dyDescent="0.25">
      <c r="B83" s="21">
        <f t="shared" ca="1" si="11"/>
        <v>45747</v>
      </c>
      <c r="C83" s="22">
        <f ca="1">IF(B83="","",IF(LEFT(B83,2)="13",C82,IF(MONTH(B83)=1,C82*(1+PREMISSAS!$C$57),C82)))</f>
        <v>0</v>
      </c>
      <c r="E83" s="18">
        <v>79</v>
      </c>
      <c r="F83" s="21">
        <f t="shared" ca="1" si="12"/>
        <v>39660</v>
      </c>
      <c r="G83" s="22">
        <f ca="1">IFERROR(VLOOKUP(F83,RESULTADOS!$O$5:$P$543,2,FALSE),VLOOKUP(F83,$B$5:$C$724,2,FALSE))</f>
        <v>0</v>
      </c>
      <c r="H83" s="4">
        <f ca="1">IF(F83&lt;PREMISSAS!$D$7,0,IFERROR(VLOOKUP(IF(LEFT(F83,2)="13",DATE(YEAR(F82),12,31),F83),IPCA!$A$3:$D$284,4,FALSE),1)*G83)</f>
        <v>0</v>
      </c>
      <c r="J83" s="21">
        <f t="shared" ca="1" si="7"/>
        <v>39660</v>
      </c>
      <c r="K83" s="4">
        <f t="shared" ca="1" si="8"/>
        <v>0</v>
      </c>
      <c r="M83" s="21">
        <f t="shared" ca="1" si="13"/>
        <v>39660</v>
      </c>
      <c r="N83" s="37">
        <f t="shared" ca="1" si="9"/>
        <v>0</v>
      </c>
      <c r="O83" s="4">
        <f ca="1">IFERROR(AVERAGEIF(N$5:$N83,"&gt;="&amp;_xlfn.PERCENTILE.EXC(N$5:$N83,0.2)),0)</f>
        <v>0</v>
      </c>
      <c r="Q83" s="21">
        <f t="shared" ca="1" si="10"/>
        <v>39660</v>
      </c>
      <c r="R83" s="4">
        <f ca="1">MIN(O83,PREMISSAS!$C$13)</f>
        <v>0</v>
      </c>
      <c r="S83" s="240"/>
      <c r="T83" s="240"/>
    </row>
    <row r="84" spans="2:20" x14ac:dyDescent="0.25">
      <c r="B84" s="21">
        <f t="shared" ca="1" si="11"/>
        <v>45777</v>
      </c>
      <c r="C84" s="22">
        <f ca="1">IF(B84="","",IF(LEFT(B84,2)="13",C83,IF(MONTH(B84)=1,C83*(1+PREMISSAS!$C$57),C83)))</f>
        <v>0</v>
      </c>
      <c r="E84" s="18">
        <v>80</v>
      </c>
      <c r="F84" s="21">
        <f t="shared" ca="1" si="12"/>
        <v>39691</v>
      </c>
      <c r="G84" s="22">
        <f ca="1">IFERROR(VLOOKUP(F84,RESULTADOS!$O$5:$P$543,2,FALSE),VLOOKUP(F84,$B$5:$C$724,2,FALSE))</f>
        <v>0</v>
      </c>
      <c r="H84" s="4">
        <f ca="1">IF(F84&lt;PREMISSAS!$D$7,0,IFERROR(VLOOKUP(IF(LEFT(F84,2)="13",DATE(YEAR(F83),12,31),F84),IPCA!$A$3:$D$284,4,FALSE),1)*G84)</f>
        <v>0</v>
      </c>
      <c r="J84" s="21">
        <f t="shared" ca="1" si="7"/>
        <v>39691</v>
      </c>
      <c r="K84" s="4">
        <f t="shared" ca="1" si="8"/>
        <v>0</v>
      </c>
      <c r="M84" s="21">
        <f t="shared" ca="1" si="13"/>
        <v>39691</v>
      </c>
      <c r="N84" s="37">
        <f t="shared" ca="1" si="9"/>
        <v>0</v>
      </c>
      <c r="O84" s="4">
        <f ca="1">IFERROR(AVERAGEIF(N$5:$N84,"&gt;="&amp;_xlfn.PERCENTILE.EXC(N$5:$N84,0.2)),0)</f>
        <v>0</v>
      </c>
      <c r="Q84" s="21">
        <f t="shared" ca="1" si="10"/>
        <v>39691</v>
      </c>
      <c r="R84" s="4">
        <f ca="1">MIN(O84,PREMISSAS!$C$13)</f>
        <v>0</v>
      </c>
      <c r="S84" s="240"/>
      <c r="T84" s="240"/>
    </row>
    <row r="85" spans="2:20" x14ac:dyDescent="0.25">
      <c r="B85" s="21">
        <f t="shared" ca="1" si="11"/>
        <v>45808</v>
      </c>
      <c r="C85" s="22">
        <f ca="1">IF(B85="","",IF(LEFT(B85,2)="13",C84,IF(MONTH(B85)=1,C84*(1+PREMISSAS!$C$57),C84)))</f>
        <v>0</v>
      </c>
      <c r="E85" s="18">
        <v>81</v>
      </c>
      <c r="F85" s="21">
        <f t="shared" ca="1" si="12"/>
        <v>39721</v>
      </c>
      <c r="G85" s="22">
        <f ca="1">IFERROR(VLOOKUP(F85,RESULTADOS!$O$5:$P$543,2,FALSE),VLOOKUP(F85,$B$5:$C$724,2,FALSE))</f>
        <v>0</v>
      </c>
      <c r="H85" s="4">
        <f ca="1">IF(F85&lt;PREMISSAS!$D$7,0,IFERROR(VLOOKUP(IF(LEFT(F85,2)="13",DATE(YEAR(F84),12,31),F85),IPCA!$A$3:$D$284,4,FALSE),1)*G85)</f>
        <v>0</v>
      </c>
      <c r="J85" s="21">
        <f t="shared" ca="1" si="7"/>
        <v>39721</v>
      </c>
      <c r="K85" s="4">
        <f t="shared" ca="1" si="8"/>
        <v>0</v>
      </c>
      <c r="M85" s="21">
        <f t="shared" ca="1" si="13"/>
        <v>39721</v>
      </c>
      <c r="N85" s="37">
        <f t="shared" ca="1" si="9"/>
        <v>0</v>
      </c>
      <c r="O85" s="4">
        <f ca="1">IFERROR(AVERAGEIF(N$5:$N85,"&gt;="&amp;_xlfn.PERCENTILE.EXC(N$5:$N85,0.2)),0)</f>
        <v>0</v>
      </c>
      <c r="Q85" s="21">
        <f t="shared" ca="1" si="10"/>
        <v>39721</v>
      </c>
      <c r="R85" s="4">
        <f ca="1">MIN(O85,PREMISSAS!$C$13)</f>
        <v>0</v>
      </c>
      <c r="S85" s="240"/>
      <c r="T85" s="240"/>
    </row>
    <row r="86" spans="2:20" x14ac:dyDescent="0.25">
      <c r="B86" s="21">
        <f t="shared" ca="1" si="11"/>
        <v>45838</v>
      </c>
      <c r="C86" s="22">
        <f ca="1">IF(B86="","",IF(LEFT(B86,2)="13",C85,IF(MONTH(B86)=1,C85*(1+PREMISSAS!$C$57),C85)))</f>
        <v>0</v>
      </c>
      <c r="E86" s="18">
        <v>82</v>
      </c>
      <c r="F86" s="21">
        <f t="shared" ca="1" si="12"/>
        <v>39752</v>
      </c>
      <c r="G86" s="22">
        <f ca="1">IFERROR(VLOOKUP(F86,RESULTADOS!$O$5:$P$543,2,FALSE),VLOOKUP(F86,$B$5:$C$724,2,FALSE))</f>
        <v>0</v>
      </c>
      <c r="H86" s="4">
        <f ca="1">IF(F86&lt;PREMISSAS!$D$7,0,IFERROR(VLOOKUP(IF(LEFT(F86,2)="13",DATE(YEAR(F85),12,31),F86),IPCA!$A$3:$D$284,4,FALSE),1)*G86)</f>
        <v>0</v>
      </c>
      <c r="J86" s="21">
        <f t="shared" ca="1" si="7"/>
        <v>39752</v>
      </c>
      <c r="K86" s="4">
        <f t="shared" ca="1" si="8"/>
        <v>0</v>
      </c>
      <c r="M86" s="21">
        <f t="shared" ca="1" si="13"/>
        <v>39752</v>
      </c>
      <c r="N86" s="37">
        <f t="shared" ca="1" si="9"/>
        <v>0</v>
      </c>
      <c r="O86" s="4">
        <f ca="1">IFERROR(AVERAGEIF(N$5:$N86,"&gt;="&amp;_xlfn.PERCENTILE.EXC(N$5:$N86,0.2)),0)</f>
        <v>0</v>
      </c>
      <c r="Q86" s="21">
        <f t="shared" ca="1" si="10"/>
        <v>39752</v>
      </c>
      <c r="R86" s="4">
        <f ca="1">MIN(O86,PREMISSAS!$C$13)</f>
        <v>0</v>
      </c>
      <c r="S86" s="240"/>
      <c r="T86" s="240"/>
    </row>
    <row r="87" spans="2:20" x14ac:dyDescent="0.25">
      <c r="B87" s="21">
        <f t="shared" ca="1" si="11"/>
        <v>45869</v>
      </c>
      <c r="C87" s="22">
        <f ca="1">IF(B87="","",IF(LEFT(B87,2)="13",C86,IF(MONTH(B87)=1,C86*(1+PREMISSAS!$C$57),C86)))</f>
        <v>0</v>
      </c>
      <c r="E87" s="18">
        <v>83</v>
      </c>
      <c r="F87" s="21">
        <f t="shared" ca="1" si="12"/>
        <v>39782</v>
      </c>
      <c r="G87" s="22">
        <f ca="1">IFERROR(VLOOKUP(F87,RESULTADOS!$O$5:$P$543,2,FALSE),VLOOKUP(F87,$B$5:$C$724,2,FALSE))</f>
        <v>0</v>
      </c>
      <c r="H87" s="4">
        <f ca="1">IF(F87&lt;PREMISSAS!$D$7,0,IFERROR(VLOOKUP(IF(LEFT(F87,2)="13",DATE(YEAR(F86),12,31),F87),IPCA!$A$3:$D$284,4,FALSE),1)*G87)</f>
        <v>0</v>
      </c>
      <c r="J87" s="21">
        <f t="shared" ca="1" si="7"/>
        <v>39782</v>
      </c>
      <c r="K87" s="4">
        <f t="shared" ca="1" si="8"/>
        <v>0</v>
      </c>
      <c r="M87" s="21">
        <f t="shared" ca="1" si="13"/>
        <v>39782</v>
      </c>
      <c r="N87" s="37">
        <f t="shared" ca="1" si="9"/>
        <v>0</v>
      </c>
      <c r="O87" s="4">
        <f ca="1">IFERROR(AVERAGEIF(N$5:$N87,"&gt;="&amp;_xlfn.PERCENTILE.EXC(N$5:$N87,0.2)),0)</f>
        <v>0</v>
      </c>
      <c r="Q87" s="21">
        <f t="shared" ca="1" si="10"/>
        <v>39782</v>
      </c>
      <c r="R87" s="4">
        <f ca="1">MIN(O87,PREMISSAS!$C$13)</f>
        <v>0</v>
      </c>
      <c r="S87" s="240"/>
      <c r="T87" s="240"/>
    </row>
    <row r="88" spans="2:20" x14ac:dyDescent="0.25">
      <c r="B88" s="21">
        <f t="shared" ca="1" si="11"/>
        <v>45900</v>
      </c>
      <c r="C88" s="22">
        <f ca="1">IF(B88="","",IF(LEFT(B88,2)="13",C87,IF(MONTH(B88)=1,C87*(1+PREMISSAS!$C$57),C87)))</f>
        <v>0</v>
      </c>
      <c r="E88" s="18">
        <v>84</v>
      </c>
      <c r="F88" s="21" t="str">
        <f t="shared" ca="1" si="12"/>
        <v>13º 2008</v>
      </c>
      <c r="G88" s="22">
        <f ca="1">IFERROR(VLOOKUP(F88,RESULTADOS!$O$5:$P$543,2,FALSE),VLOOKUP(F88,$B$5:$C$724,2,FALSE))</f>
        <v>0</v>
      </c>
      <c r="H88" s="4">
        <f ca="1">IF(F88&lt;PREMISSAS!$D$7,0,IFERROR(VLOOKUP(IF(LEFT(F88,2)="13",DATE(YEAR(F87),12,31),F88),IPCA!$A$3:$D$284,4,FALSE),1)*G88)</f>
        <v>0</v>
      </c>
      <c r="J88" s="21" t="str">
        <f t="shared" ca="1" si="7"/>
        <v>13º 2008</v>
      </c>
      <c r="K88" s="4">
        <f t="shared" ca="1" si="8"/>
        <v>0</v>
      </c>
      <c r="M88" s="21" t="str">
        <f t="shared" ca="1" si="13"/>
        <v>13º 2008</v>
      </c>
      <c r="N88" s="37">
        <f t="shared" ca="1" si="9"/>
        <v>0</v>
      </c>
      <c r="O88" s="4">
        <f ca="1">IFERROR(AVERAGEIF(N$5:$N88,"&gt;="&amp;_xlfn.PERCENTILE.EXC(N$5:$N88,0.2)),0)</f>
        <v>0</v>
      </c>
      <c r="Q88" s="21" t="str">
        <f t="shared" ca="1" si="10"/>
        <v>13º 2008</v>
      </c>
      <c r="R88" s="4">
        <f ca="1">MIN(O88,PREMISSAS!$C$13)</f>
        <v>0</v>
      </c>
      <c r="S88" s="240"/>
      <c r="T88" s="240"/>
    </row>
    <row r="89" spans="2:20" x14ac:dyDescent="0.25">
      <c r="B89" s="21">
        <f t="shared" ca="1" si="11"/>
        <v>45930</v>
      </c>
      <c r="C89" s="22">
        <f ca="1">IF(B89="","",IF(LEFT(B89,2)="13",C88,IF(MONTH(B89)=1,C88*(1+PREMISSAS!$C$57),C88)))</f>
        <v>0</v>
      </c>
      <c r="E89" s="18">
        <v>85</v>
      </c>
      <c r="F89" s="21">
        <f t="shared" ca="1" si="12"/>
        <v>39813</v>
      </c>
      <c r="G89" s="22">
        <f ca="1">IFERROR(VLOOKUP(F89,RESULTADOS!$O$5:$P$543,2,FALSE),VLOOKUP(F89,$B$5:$C$724,2,FALSE))</f>
        <v>0</v>
      </c>
      <c r="H89" s="4">
        <f ca="1">IF(F89&lt;PREMISSAS!$D$7,0,IFERROR(VLOOKUP(IF(LEFT(F89,2)="13",DATE(YEAR(F88),12,31),F89),IPCA!$A$3:$D$284,4,FALSE),1)*G89)</f>
        <v>0</v>
      </c>
      <c r="J89" s="21">
        <f t="shared" ca="1" si="7"/>
        <v>39813</v>
      </c>
      <c r="K89" s="4">
        <f t="shared" ca="1" si="8"/>
        <v>0</v>
      </c>
      <c r="M89" s="21">
        <f t="shared" ca="1" si="13"/>
        <v>39813</v>
      </c>
      <c r="N89" s="37">
        <f t="shared" ca="1" si="9"/>
        <v>0</v>
      </c>
      <c r="O89" s="4">
        <f ca="1">IFERROR(AVERAGEIF(N$5:$N89,"&gt;="&amp;_xlfn.PERCENTILE.EXC(N$5:$N89,0.2)),0)</f>
        <v>0</v>
      </c>
      <c r="Q89" s="21">
        <f t="shared" ca="1" si="10"/>
        <v>39813</v>
      </c>
      <c r="R89" s="4">
        <f ca="1">MIN(O89,PREMISSAS!$C$13)</f>
        <v>0</v>
      </c>
      <c r="S89" s="240"/>
      <c r="T89" s="240"/>
    </row>
    <row r="90" spans="2:20" x14ac:dyDescent="0.25">
      <c r="B90" s="21">
        <f t="shared" ca="1" si="11"/>
        <v>45961</v>
      </c>
      <c r="C90" s="22">
        <f ca="1">IF(B90="","",IF(LEFT(B90,2)="13",C89,IF(MONTH(B90)=1,C89*(1+PREMISSAS!$C$57),C89)))</f>
        <v>0</v>
      </c>
      <c r="E90" s="18">
        <v>86</v>
      </c>
      <c r="F90" s="21">
        <f t="shared" ca="1" si="12"/>
        <v>39844</v>
      </c>
      <c r="G90" s="22">
        <f ca="1">IFERROR(VLOOKUP(F90,RESULTADOS!$O$5:$P$543,2,FALSE),VLOOKUP(F90,$B$5:$C$724,2,FALSE))</f>
        <v>0</v>
      </c>
      <c r="H90" s="4">
        <f ca="1">IF(F90&lt;PREMISSAS!$D$7,0,IFERROR(VLOOKUP(IF(LEFT(F90,2)="13",DATE(YEAR(F89),12,31),F90),IPCA!$A$3:$D$284,4,FALSE),1)*G90)</f>
        <v>0</v>
      </c>
      <c r="J90" s="21">
        <f t="shared" ca="1" si="7"/>
        <v>39844</v>
      </c>
      <c r="K90" s="4">
        <f t="shared" ca="1" si="8"/>
        <v>0</v>
      </c>
      <c r="M90" s="21">
        <f t="shared" ca="1" si="13"/>
        <v>39844</v>
      </c>
      <c r="N90" s="37">
        <f t="shared" ca="1" si="9"/>
        <v>0</v>
      </c>
      <c r="O90" s="4">
        <f ca="1">IFERROR(AVERAGEIF(N$5:$N90,"&gt;="&amp;_xlfn.PERCENTILE.EXC(N$5:$N90,0.2)),0)</f>
        <v>0</v>
      </c>
      <c r="Q90" s="21">
        <f t="shared" ca="1" si="10"/>
        <v>39844</v>
      </c>
      <c r="R90" s="4">
        <f ca="1">MIN(O90,PREMISSAS!$C$13)</f>
        <v>0</v>
      </c>
      <c r="S90" s="240"/>
      <c r="T90" s="240"/>
    </row>
    <row r="91" spans="2:20" x14ac:dyDescent="0.25">
      <c r="B91" s="21">
        <f t="shared" ca="1" si="11"/>
        <v>45991</v>
      </c>
      <c r="C91" s="22">
        <f ca="1">IF(B91="","",IF(LEFT(B91,2)="13",C90,IF(MONTH(B91)=1,C90*(1+PREMISSAS!$C$57),C90)))</f>
        <v>0</v>
      </c>
      <c r="E91" s="18">
        <v>87</v>
      </c>
      <c r="F91" s="21">
        <f t="shared" ca="1" si="12"/>
        <v>39872</v>
      </c>
      <c r="G91" s="22">
        <f ca="1">IFERROR(VLOOKUP(F91,RESULTADOS!$O$5:$P$543,2,FALSE),VLOOKUP(F91,$B$5:$C$724,2,FALSE))</f>
        <v>0</v>
      </c>
      <c r="H91" s="4">
        <f ca="1">IF(F91&lt;PREMISSAS!$D$7,0,IFERROR(VLOOKUP(IF(LEFT(F91,2)="13",DATE(YEAR(F90),12,31),F91),IPCA!$A$3:$D$284,4,FALSE),1)*G91)</f>
        <v>0</v>
      </c>
      <c r="J91" s="21">
        <f t="shared" ca="1" si="7"/>
        <v>39872</v>
      </c>
      <c r="K91" s="4">
        <f t="shared" ca="1" si="8"/>
        <v>0</v>
      </c>
      <c r="M91" s="21">
        <f t="shared" ca="1" si="13"/>
        <v>39872</v>
      </c>
      <c r="N91" s="37">
        <f t="shared" ca="1" si="9"/>
        <v>0</v>
      </c>
      <c r="O91" s="4">
        <f ca="1">IFERROR(AVERAGEIF(N$5:$N91,"&gt;="&amp;_xlfn.PERCENTILE.EXC(N$5:$N91,0.2)),0)</f>
        <v>0</v>
      </c>
      <c r="Q91" s="21">
        <f t="shared" ca="1" si="10"/>
        <v>39872</v>
      </c>
      <c r="R91" s="4">
        <f ca="1">MIN(O91,PREMISSAS!$C$13)</f>
        <v>0</v>
      </c>
      <c r="S91" s="240"/>
      <c r="T91" s="240"/>
    </row>
    <row r="92" spans="2:20" x14ac:dyDescent="0.25">
      <c r="B92" s="21" t="str">
        <f t="shared" ca="1" si="11"/>
        <v>13º 2025</v>
      </c>
      <c r="C92" s="22">
        <f ca="1">IF(B92="","",IF(LEFT(B92,2)="13",C91,IF(MONTH(B92)=1,C91*(1+PREMISSAS!$C$57),C91)))</f>
        <v>0</v>
      </c>
      <c r="E92" s="18">
        <v>88</v>
      </c>
      <c r="F92" s="21">
        <f t="shared" ca="1" si="12"/>
        <v>39903</v>
      </c>
      <c r="G92" s="22">
        <f ca="1">IFERROR(VLOOKUP(F92,RESULTADOS!$O$5:$P$543,2,FALSE),VLOOKUP(F92,$B$5:$C$724,2,FALSE))</f>
        <v>0</v>
      </c>
      <c r="H92" s="4">
        <f ca="1">IF(F92&lt;PREMISSAS!$D$7,0,IFERROR(VLOOKUP(IF(LEFT(F92,2)="13",DATE(YEAR(F91),12,31),F92),IPCA!$A$3:$D$284,4,FALSE),1)*G92)</f>
        <v>0</v>
      </c>
      <c r="J92" s="21">
        <f t="shared" ca="1" si="7"/>
        <v>39903</v>
      </c>
      <c r="K92" s="4">
        <f t="shared" ca="1" si="8"/>
        <v>0</v>
      </c>
      <c r="M92" s="21">
        <f t="shared" ca="1" si="13"/>
        <v>39903</v>
      </c>
      <c r="N92" s="37">
        <f t="shared" ca="1" si="9"/>
        <v>0</v>
      </c>
      <c r="O92" s="4">
        <f ca="1">IFERROR(AVERAGEIF(N$5:$N92,"&gt;="&amp;_xlfn.PERCENTILE.EXC(N$5:$N92,0.2)),0)</f>
        <v>0</v>
      </c>
      <c r="Q92" s="21">
        <f t="shared" ca="1" si="10"/>
        <v>39903</v>
      </c>
      <c r="R92" s="4">
        <f ca="1">MIN(O92,PREMISSAS!$C$13)</f>
        <v>0</v>
      </c>
      <c r="S92" s="240"/>
      <c r="T92" s="240"/>
    </row>
    <row r="93" spans="2:20" x14ac:dyDescent="0.25">
      <c r="B93" s="21">
        <f t="shared" ca="1" si="11"/>
        <v>46022</v>
      </c>
      <c r="C93" s="22">
        <f ca="1">IF(B93="","",IF(LEFT(B93,2)="13",C92,IF(MONTH(B93)=1,C92*(1+PREMISSAS!$C$57),C92)))</f>
        <v>0</v>
      </c>
      <c r="E93" s="18">
        <v>89</v>
      </c>
      <c r="F93" s="21">
        <f t="shared" ca="1" si="12"/>
        <v>39933</v>
      </c>
      <c r="G93" s="22">
        <f ca="1">IFERROR(VLOOKUP(F93,RESULTADOS!$O$5:$P$543,2,FALSE),VLOOKUP(F93,$B$5:$C$724,2,FALSE))</f>
        <v>0</v>
      </c>
      <c r="H93" s="4">
        <f ca="1">IF(F93&lt;PREMISSAS!$D$7,0,IFERROR(VLOOKUP(IF(LEFT(F93,2)="13",DATE(YEAR(F92),12,31),F93),IPCA!$A$3:$D$284,4,FALSE),1)*G93)</f>
        <v>0</v>
      </c>
      <c r="J93" s="21">
        <f t="shared" ca="1" si="7"/>
        <v>39933</v>
      </c>
      <c r="K93" s="4">
        <f t="shared" ca="1" si="8"/>
        <v>0</v>
      </c>
      <c r="M93" s="21">
        <f t="shared" ca="1" si="13"/>
        <v>39933</v>
      </c>
      <c r="N93" s="37">
        <f t="shared" ca="1" si="9"/>
        <v>0</v>
      </c>
      <c r="O93" s="4">
        <f ca="1">IFERROR(AVERAGEIF(N$5:$N93,"&gt;="&amp;_xlfn.PERCENTILE.EXC(N$5:$N93,0.2)),0)</f>
        <v>0</v>
      </c>
      <c r="Q93" s="21">
        <f t="shared" ca="1" si="10"/>
        <v>39933</v>
      </c>
      <c r="R93" s="4">
        <f ca="1">MIN(O93,PREMISSAS!$C$13)</f>
        <v>0</v>
      </c>
      <c r="S93" s="240"/>
      <c r="T93" s="240"/>
    </row>
    <row r="94" spans="2:20" x14ac:dyDescent="0.25">
      <c r="B94" s="21">
        <f t="shared" ca="1" si="11"/>
        <v>46053</v>
      </c>
      <c r="C94" s="22">
        <f ca="1">IF(B94="","",IF(LEFT(B94,2)="13",C93,IF(MONTH(B94)=1,C93*(1+PREMISSAS!$C$57),C93)))</f>
        <v>0</v>
      </c>
      <c r="E94" s="18">
        <v>90</v>
      </c>
      <c r="F94" s="21">
        <f t="shared" ca="1" si="12"/>
        <v>39964</v>
      </c>
      <c r="G94" s="22">
        <f ca="1">IFERROR(VLOOKUP(F94,RESULTADOS!$O$5:$P$543,2,FALSE),VLOOKUP(F94,$B$5:$C$724,2,FALSE))</f>
        <v>0</v>
      </c>
      <c r="H94" s="4">
        <f ca="1">IF(F94&lt;PREMISSAS!$D$7,0,IFERROR(VLOOKUP(IF(LEFT(F94,2)="13",DATE(YEAR(F93),12,31),F94),IPCA!$A$3:$D$284,4,FALSE),1)*G94)</f>
        <v>0</v>
      </c>
      <c r="J94" s="21">
        <f t="shared" ca="1" si="7"/>
        <v>39964</v>
      </c>
      <c r="K94" s="4">
        <f t="shared" ca="1" si="8"/>
        <v>0</v>
      </c>
      <c r="M94" s="21">
        <f t="shared" ca="1" si="13"/>
        <v>39964</v>
      </c>
      <c r="N94" s="37">
        <f t="shared" ca="1" si="9"/>
        <v>0</v>
      </c>
      <c r="O94" s="4">
        <f ca="1">IFERROR(AVERAGEIF(N$5:$N94,"&gt;="&amp;_xlfn.PERCENTILE.EXC(N$5:$N94,0.2)),0)</f>
        <v>0</v>
      </c>
      <c r="Q94" s="21">
        <f t="shared" ca="1" si="10"/>
        <v>39964</v>
      </c>
      <c r="R94" s="4">
        <f ca="1">MIN(O94,PREMISSAS!$C$13)</f>
        <v>0</v>
      </c>
      <c r="S94" s="240"/>
      <c r="T94" s="240"/>
    </row>
    <row r="95" spans="2:20" x14ac:dyDescent="0.25">
      <c r="B95" s="21">
        <f t="shared" ca="1" si="11"/>
        <v>46081</v>
      </c>
      <c r="C95" s="22">
        <f ca="1">IF(B95="","",IF(LEFT(B95,2)="13",C94,IF(MONTH(B95)=1,C94*(1+PREMISSAS!$C$57),C94)))</f>
        <v>0</v>
      </c>
      <c r="E95" s="18">
        <v>91</v>
      </c>
      <c r="F95" s="21">
        <f t="shared" ca="1" si="12"/>
        <v>39994</v>
      </c>
      <c r="G95" s="22">
        <f ca="1">IFERROR(VLOOKUP(F95,RESULTADOS!$O$5:$P$543,2,FALSE),VLOOKUP(F95,$B$5:$C$724,2,FALSE))</f>
        <v>0</v>
      </c>
      <c r="H95" s="4">
        <f ca="1">IF(F95&lt;PREMISSAS!$D$7,0,IFERROR(VLOOKUP(IF(LEFT(F95,2)="13",DATE(YEAR(F94),12,31),F95),IPCA!$A$3:$D$284,4,FALSE),1)*G95)</f>
        <v>0</v>
      </c>
      <c r="J95" s="21">
        <f t="shared" ca="1" si="7"/>
        <v>39994</v>
      </c>
      <c r="K95" s="4">
        <f t="shared" ca="1" si="8"/>
        <v>0</v>
      </c>
      <c r="M95" s="21">
        <f t="shared" ca="1" si="13"/>
        <v>39994</v>
      </c>
      <c r="N95" s="37">
        <f t="shared" ca="1" si="9"/>
        <v>0</v>
      </c>
      <c r="O95" s="4">
        <f ca="1">IFERROR(AVERAGEIF(N$5:$N95,"&gt;="&amp;_xlfn.PERCENTILE.EXC(N$5:$N95,0.2)),0)</f>
        <v>0</v>
      </c>
      <c r="Q95" s="21">
        <f t="shared" ca="1" si="10"/>
        <v>39994</v>
      </c>
      <c r="R95" s="4">
        <f ca="1">MIN(O95,PREMISSAS!$C$13)</f>
        <v>0</v>
      </c>
      <c r="S95" s="240"/>
      <c r="T95" s="240"/>
    </row>
    <row r="96" spans="2:20" x14ac:dyDescent="0.25">
      <c r="B96" s="21">
        <f t="shared" ca="1" si="11"/>
        <v>46112</v>
      </c>
      <c r="C96" s="22">
        <f ca="1">IF(B96="","",IF(LEFT(B96,2)="13",C95,IF(MONTH(B96)=1,C95*(1+PREMISSAS!$C$57),C95)))</f>
        <v>0</v>
      </c>
      <c r="E96" s="18">
        <v>92</v>
      </c>
      <c r="F96" s="21">
        <f t="shared" ca="1" si="12"/>
        <v>40025</v>
      </c>
      <c r="G96" s="22">
        <f ca="1">IFERROR(VLOOKUP(F96,RESULTADOS!$O$5:$P$543,2,FALSE),VLOOKUP(F96,$B$5:$C$724,2,FALSE))</f>
        <v>0</v>
      </c>
      <c r="H96" s="4">
        <f ca="1">IF(F96&lt;PREMISSAS!$D$7,0,IFERROR(VLOOKUP(IF(LEFT(F96,2)="13",DATE(YEAR(F95),12,31),F96),IPCA!$A$3:$D$284,4,FALSE),1)*G96)</f>
        <v>0</v>
      </c>
      <c r="J96" s="21">
        <f t="shared" ca="1" si="7"/>
        <v>40025</v>
      </c>
      <c r="K96" s="4">
        <f t="shared" ca="1" si="8"/>
        <v>0</v>
      </c>
      <c r="M96" s="21">
        <f t="shared" ca="1" si="13"/>
        <v>40025</v>
      </c>
      <c r="N96" s="37">
        <f t="shared" ca="1" si="9"/>
        <v>0</v>
      </c>
      <c r="O96" s="4">
        <f ca="1">IFERROR(AVERAGEIF(N$5:$N96,"&gt;="&amp;_xlfn.PERCENTILE.EXC(N$5:$N96,0.2)),0)</f>
        <v>0</v>
      </c>
      <c r="Q96" s="21">
        <f t="shared" ca="1" si="10"/>
        <v>40025</v>
      </c>
      <c r="R96" s="4">
        <f ca="1">MIN(O96,PREMISSAS!$C$13)</f>
        <v>0</v>
      </c>
      <c r="S96" s="240"/>
      <c r="T96" s="240"/>
    </row>
    <row r="97" spans="2:20" x14ac:dyDescent="0.25">
      <c r="B97" s="21">
        <f t="shared" ca="1" si="11"/>
        <v>46142</v>
      </c>
      <c r="C97" s="22">
        <f ca="1">IF(B97="","",IF(LEFT(B97,2)="13",C96,IF(MONTH(B97)=1,C96*(1+PREMISSAS!$C$57),C96)))</f>
        <v>0</v>
      </c>
      <c r="E97" s="18">
        <v>93</v>
      </c>
      <c r="F97" s="21">
        <f t="shared" ca="1" si="12"/>
        <v>40056</v>
      </c>
      <c r="G97" s="22">
        <f ca="1">IFERROR(VLOOKUP(F97,RESULTADOS!$O$5:$P$543,2,FALSE),VLOOKUP(F97,$B$5:$C$724,2,FALSE))</f>
        <v>0</v>
      </c>
      <c r="H97" s="4">
        <f ca="1">IF(F97&lt;PREMISSAS!$D$7,0,IFERROR(VLOOKUP(IF(LEFT(F97,2)="13",DATE(YEAR(F96),12,31),F97),IPCA!$A$3:$D$284,4,FALSE),1)*G97)</f>
        <v>0</v>
      </c>
      <c r="J97" s="21">
        <f t="shared" ca="1" si="7"/>
        <v>40056</v>
      </c>
      <c r="K97" s="4">
        <f t="shared" ca="1" si="8"/>
        <v>0</v>
      </c>
      <c r="M97" s="21">
        <f t="shared" ca="1" si="13"/>
        <v>40056</v>
      </c>
      <c r="N97" s="37">
        <f t="shared" ca="1" si="9"/>
        <v>0</v>
      </c>
      <c r="O97" s="4">
        <f ca="1">IFERROR(AVERAGEIF(N$5:$N97,"&gt;="&amp;_xlfn.PERCENTILE.EXC(N$5:$N97,0.2)),0)</f>
        <v>0</v>
      </c>
      <c r="Q97" s="21">
        <f t="shared" ca="1" si="10"/>
        <v>40056</v>
      </c>
      <c r="R97" s="4">
        <f ca="1">MIN(O97,PREMISSAS!$C$13)</f>
        <v>0</v>
      </c>
      <c r="S97" s="240"/>
      <c r="T97" s="240"/>
    </row>
    <row r="98" spans="2:20" x14ac:dyDescent="0.25">
      <c r="B98" s="21">
        <f t="shared" ca="1" si="11"/>
        <v>46173</v>
      </c>
      <c r="C98" s="22">
        <f ca="1">IF(B98="","",IF(LEFT(B98,2)="13",C97,IF(MONTH(B98)=1,C97*(1+PREMISSAS!$C$57),C97)))</f>
        <v>0</v>
      </c>
      <c r="E98" s="18">
        <v>94</v>
      </c>
      <c r="F98" s="21">
        <f t="shared" ca="1" si="12"/>
        <v>40086</v>
      </c>
      <c r="G98" s="22">
        <f ca="1">IFERROR(VLOOKUP(F98,RESULTADOS!$O$5:$P$543,2,FALSE),VLOOKUP(F98,$B$5:$C$724,2,FALSE))</f>
        <v>0</v>
      </c>
      <c r="H98" s="4">
        <f ca="1">IF(F98&lt;PREMISSAS!$D$7,0,IFERROR(VLOOKUP(IF(LEFT(F98,2)="13",DATE(YEAR(F97),12,31),F98),IPCA!$A$3:$D$284,4,FALSE),1)*G98)</f>
        <v>0</v>
      </c>
      <c r="J98" s="21">
        <f t="shared" ca="1" si="7"/>
        <v>40086</v>
      </c>
      <c r="K98" s="4">
        <f t="shared" ca="1" si="8"/>
        <v>0</v>
      </c>
      <c r="M98" s="21">
        <f t="shared" ca="1" si="13"/>
        <v>40086</v>
      </c>
      <c r="N98" s="37">
        <f t="shared" ca="1" si="9"/>
        <v>0</v>
      </c>
      <c r="O98" s="4">
        <f ca="1">IFERROR(AVERAGEIF(N$5:$N98,"&gt;="&amp;_xlfn.PERCENTILE.EXC(N$5:$N98,0.2)),0)</f>
        <v>0</v>
      </c>
      <c r="Q98" s="21">
        <f t="shared" ca="1" si="10"/>
        <v>40086</v>
      </c>
      <c r="R98" s="4">
        <f ca="1">MIN(O98,PREMISSAS!$C$13)</f>
        <v>0</v>
      </c>
      <c r="S98" s="240"/>
      <c r="T98" s="240"/>
    </row>
    <row r="99" spans="2:20" x14ac:dyDescent="0.25">
      <c r="B99" s="21">
        <f t="shared" ca="1" si="11"/>
        <v>46203</v>
      </c>
      <c r="C99" s="22">
        <f ca="1">IF(B99="","",IF(LEFT(B99,2)="13",C98,IF(MONTH(B99)=1,C98*(1+PREMISSAS!$C$57),C98)))</f>
        <v>0</v>
      </c>
      <c r="E99" s="18">
        <v>95</v>
      </c>
      <c r="F99" s="21">
        <f t="shared" ca="1" si="12"/>
        <v>40117</v>
      </c>
      <c r="G99" s="22">
        <f ca="1">IFERROR(VLOOKUP(F99,RESULTADOS!$O$5:$P$543,2,FALSE),VLOOKUP(F99,$B$5:$C$724,2,FALSE))</f>
        <v>0</v>
      </c>
      <c r="H99" s="4">
        <f ca="1">IF(F99&lt;PREMISSAS!$D$7,0,IFERROR(VLOOKUP(IF(LEFT(F99,2)="13",DATE(YEAR(F98),12,31),F99),IPCA!$A$3:$D$284,4,FALSE),1)*G99)</f>
        <v>0</v>
      </c>
      <c r="J99" s="21">
        <f t="shared" ca="1" si="7"/>
        <v>40117</v>
      </c>
      <c r="K99" s="4">
        <f t="shared" ca="1" si="8"/>
        <v>0</v>
      </c>
      <c r="M99" s="21">
        <f t="shared" ca="1" si="13"/>
        <v>40117</v>
      </c>
      <c r="N99" s="37">
        <f t="shared" ca="1" si="9"/>
        <v>0</v>
      </c>
      <c r="O99" s="4">
        <f ca="1">IFERROR(AVERAGEIF(N$5:$N99,"&gt;="&amp;_xlfn.PERCENTILE.EXC(N$5:$N99,0.2)),0)</f>
        <v>0</v>
      </c>
      <c r="Q99" s="21">
        <f t="shared" ca="1" si="10"/>
        <v>40117</v>
      </c>
      <c r="R99" s="4">
        <f ca="1">MIN(O99,PREMISSAS!$C$13)</f>
        <v>0</v>
      </c>
      <c r="S99" s="240"/>
      <c r="T99" s="240"/>
    </row>
    <row r="100" spans="2:20" x14ac:dyDescent="0.25">
      <c r="B100" s="21">
        <f t="shared" ca="1" si="11"/>
        <v>46234</v>
      </c>
      <c r="C100" s="22">
        <f ca="1">IF(B100="","",IF(LEFT(B100,2)="13",C99,IF(MONTH(B100)=1,C99*(1+PREMISSAS!$C$57),C99)))</f>
        <v>0</v>
      </c>
      <c r="E100" s="18">
        <v>96</v>
      </c>
      <c r="F100" s="21">
        <f t="shared" ca="1" si="12"/>
        <v>40147</v>
      </c>
      <c r="G100" s="22">
        <f ca="1">IFERROR(VLOOKUP(F100,RESULTADOS!$O$5:$P$543,2,FALSE),VLOOKUP(F100,$B$5:$C$724,2,FALSE))</f>
        <v>0</v>
      </c>
      <c r="H100" s="4">
        <f ca="1">IF(F100&lt;PREMISSAS!$D$7,0,IFERROR(VLOOKUP(IF(LEFT(F100,2)="13",DATE(YEAR(F99),12,31),F100),IPCA!$A$3:$D$284,4,FALSE),1)*G100)</f>
        <v>0</v>
      </c>
      <c r="J100" s="21">
        <f t="shared" ca="1" si="7"/>
        <v>40147</v>
      </c>
      <c r="K100" s="4">
        <f t="shared" ca="1" si="8"/>
        <v>0</v>
      </c>
      <c r="M100" s="21">
        <f t="shared" ca="1" si="13"/>
        <v>40147</v>
      </c>
      <c r="N100" s="37">
        <f t="shared" ca="1" si="9"/>
        <v>0</v>
      </c>
      <c r="O100" s="4">
        <f ca="1">IFERROR(AVERAGEIF(N$5:$N100,"&gt;="&amp;_xlfn.PERCENTILE.EXC(N$5:$N100,0.2)),0)</f>
        <v>0</v>
      </c>
      <c r="Q100" s="21">
        <f t="shared" ca="1" si="10"/>
        <v>40147</v>
      </c>
      <c r="R100" s="4">
        <f ca="1">MIN(O100,PREMISSAS!$C$13)</f>
        <v>0</v>
      </c>
      <c r="S100" s="240"/>
      <c r="T100" s="240"/>
    </row>
    <row r="101" spans="2:20" x14ac:dyDescent="0.25">
      <c r="B101" s="21">
        <f t="shared" ca="1" si="11"/>
        <v>46265</v>
      </c>
      <c r="C101" s="22">
        <f ca="1">IF(B101="","",IF(LEFT(B101,2)="13",C100,IF(MONTH(B101)=1,C100*(1+PREMISSAS!$C$57),C100)))</f>
        <v>0</v>
      </c>
      <c r="E101" s="18">
        <v>97</v>
      </c>
      <c r="F101" s="21" t="str">
        <f t="shared" ca="1" si="12"/>
        <v>13º 2009</v>
      </c>
      <c r="G101" s="22">
        <f ca="1">IFERROR(VLOOKUP(F101,RESULTADOS!$O$5:$P$543,2,FALSE),VLOOKUP(F101,$B$5:$C$724,2,FALSE))</f>
        <v>0</v>
      </c>
      <c r="H101" s="4">
        <f ca="1">IF(F101&lt;PREMISSAS!$D$7,0,IFERROR(VLOOKUP(IF(LEFT(F101,2)="13",DATE(YEAR(F100),12,31),F101),IPCA!$A$3:$D$284,4,FALSE),1)*G101)</f>
        <v>0</v>
      </c>
      <c r="J101" s="21" t="str">
        <f t="shared" ca="1" si="7"/>
        <v>13º 2009</v>
      </c>
      <c r="K101" s="4">
        <f t="shared" ca="1" si="8"/>
        <v>0</v>
      </c>
      <c r="M101" s="21" t="str">
        <f t="shared" ca="1" si="13"/>
        <v>13º 2009</v>
      </c>
      <c r="N101" s="37">
        <f t="shared" ca="1" si="9"/>
        <v>0</v>
      </c>
      <c r="O101" s="4">
        <f ca="1">IFERROR(AVERAGEIF(N$5:$N101,"&gt;="&amp;_xlfn.PERCENTILE.EXC(N$5:$N101,0.2)),0)</f>
        <v>0</v>
      </c>
      <c r="Q101" s="21" t="str">
        <f t="shared" ca="1" si="10"/>
        <v>13º 2009</v>
      </c>
      <c r="R101" s="4">
        <f ca="1">MIN(O101,PREMISSAS!$C$13)</f>
        <v>0</v>
      </c>
      <c r="S101" s="240"/>
      <c r="T101" s="240"/>
    </row>
    <row r="102" spans="2:20" x14ac:dyDescent="0.25">
      <c r="B102" s="21">
        <f t="shared" ca="1" si="11"/>
        <v>46295</v>
      </c>
      <c r="C102" s="22">
        <f ca="1">IF(B102="","",IF(LEFT(B102,2)="13",C101,IF(MONTH(B102)=1,C101*(1+PREMISSAS!$C$57),C101)))</f>
        <v>0</v>
      </c>
      <c r="E102" s="18">
        <v>98</v>
      </c>
      <c r="F102" s="21">
        <f t="shared" ca="1" si="12"/>
        <v>40178</v>
      </c>
      <c r="G102" s="22">
        <f ca="1">IFERROR(VLOOKUP(F102,RESULTADOS!$O$5:$P$543,2,FALSE),VLOOKUP(F102,$B$5:$C$724,2,FALSE))</f>
        <v>0</v>
      </c>
      <c r="H102" s="4">
        <f ca="1">IF(F102&lt;PREMISSAS!$D$7,0,IFERROR(VLOOKUP(IF(LEFT(F102,2)="13",DATE(YEAR(F101),12,31),F102),IPCA!$A$3:$D$284,4,FALSE),1)*G102)</f>
        <v>0</v>
      </c>
      <c r="J102" s="21">
        <f t="shared" ca="1" si="7"/>
        <v>40178</v>
      </c>
      <c r="K102" s="4">
        <f t="shared" ca="1" si="8"/>
        <v>0</v>
      </c>
      <c r="M102" s="21">
        <f t="shared" ca="1" si="13"/>
        <v>40178</v>
      </c>
      <c r="N102" s="37">
        <f t="shared" ca="1" si="9"/>
        <v>0</v>
      </c>
      <c r="O102" s="4">
        <f ca="1">IFERROR(AVERAGEIF(N$5:$N102,"&gt;="&amp;_xlfn.PERCENTILE.EXC(N$5:$N102,0.2)),0)</f>
        <v>0</v>
      </c>
      <c r="Q102" s="21">
        <f t="shared" ca="1" si="10"/>
        <v>40178</v>
      </c>
      <c r="R102" s="4">
        <f ca="1">MIN(O102,PREMISSAS!$C$13)</f>
        <v>0</v>
      </c>
      <c r="S102" s="240"/>
      <c r="T102" s="240"/>
    </row>
    <row r="103" spans="2:20" x14ac:dyDescent="0.25">
      <c r="B103" s="21">
        <f t="shared" ca="1" si="11"/>
        <v>46326</v>
      </c>
      <c r="C103" s="22">
        <f ca="1">IF(B103="","",IF(LEFT(B103,2)="13",C102,IF(MONTH(B103)=1,C102*(1+PREMISSAS!$C$57),C102)))</f>
        <v>0</v>
      </c>
      <c r="E103" s="18">
        <v>99</v>
      </c>
      <c r="F103" s="21">
        <f t="shared" ca="1" si="12"/>
        <v>40209</v>
      </c>
      <c r="G103" s="22">
        <f ca="1">IFERROR(VLOOKUP(F103,RESULTADOS!$O$5:$P$543,2,FALSE),VLOOKUP(F103,$B$5:$C$724,2,FALSE))</f>
        <v>0</v>
      </c>
      <c r="H103" s="4">
        <f ca="1">IF(F103&lt;PREMISSAS!$D$7,0,IFERROR(VLOOKUP(IF(LEFT(F103,2)="13",DATE(YEAR(F102),12,31),F103),IPCA!$A$3:$D$284,4,FALSE),1)*G103)</f>
        <v>0</v>
      </c>
      <c r="J103" s="21">
        <f t="shared" ca="1" si="7"/>
        <v>40209</v>
      </c>
      <c r="K103" s="4">
        <f t="shared" ca="1" si="8"/>
        <v>0</v>
      </c>
      <c r="M103" s="21">
        <f t="shared" ca="1" si="13"/>
        <v>40209</v>
      </c>
      <c r="N103" s="37">
        <f t="shared" ca="1" si="9"/>
        <v>0</v>
      </c>
      <c r="O103" s="4">
        <f ca="1">IFERROR(AVERAGEIF(N$5:$N103,"&gt;="&amp;_xlfn.PERCENTILE.EXC(N$5:$N103,0.2)),0)</f>
        <v>0</v>
      </c>
      <c r="Q103" s="21">
        <f t="shared" ca="1" si="10"/>
        <v>40209</v>
      </c>
      <c r="R103" s="4">
        <f ca="1">MIN(O103,PREMISSAS!$C$13)</f>
        <v>0</v>
      </c>
      <c r="S103" s="240"/>
      <c r="T103" s="240"/>
    </row>
    <row r="104" spans="2:20" x14ac:dyDescent="0.25">
      <c r="B104" s="21">
        <f t="shared" ca="1" si="11"/>
        <v>46356</v>
      </c>
      <c r="C104" s="22">
        <f ca="1">IF(B104="","",IF(LEFT(B104,2)="13",C103,IF(MONTH(B104)=1,C103*(1+PREMISSAS!$C$57),C103)))</f>
        <v>0</v>
      </c>
      <c r="E104" s="18">
        <v>100</v>
      </c>
      <c r="F104" s="21">
        <f t="shared" ca="1" si="12"/>
        <v>40237</v>
      </c>
      <c r="G104" s="22">
        <f ca="1">IFERROR(VLOOKUP(F104,RESULTADOS!$O$5:$P$543,2,FALSE),VLOOKUP(F104,$B$5:$C$724,2,FALSE))</f>
        <v>0</v>
      </c>
      <c r="H104" s="4">
        <f ca="1">IF(F104&lt;PREMISSAS!$D$7,0,IFERROR(VLOOKUP(IF(LEFT(F104,2)="13",DATE(YEAR(F103),12,31),F104),IPCA!$A$3:$D$284,4,FALSE),1)*G104)</f>
        <v>0</v>
      </c>
      <c r="J104" s="21">
        <f t="shared" ca="1" si="7"/>
        <v>40237</v>
      </c>
      <c r="K104" s="4">
        <f t="shared" ca="1" si="8"/>
        <v>0</v>
      </c>
      <c r="M104" s="21">
        <f t="shared" ca="1" si="13"/>
        <v>40237</v>
      </c>
      <c r="N104" s="37">
        <f t="shared" ca="1" si="9"/>
        <v>0</v>
      </c>
      <c r="O104" s="4">
        <f ca="1">IFERROR(AVERAGEIF(N$5:$N104,"&gt;="&amp;_xlfn.PERCENTILE.EXC(N$5:$N104,0.2)),0)</f>
        <v>0</v>
      </c>
      <c r="Q104" s="21">
        <f t="shared" ca="1" si="10"/>
        <v>40237</v>
      </c>
      <c r="R104" s="4">
        <f ca="1">MIN(O104,PREMISSAS!$C$13)</f>
        <v>0</v>
      </c>
      <c r="S104" s="240"/>
      <c r="T104" s="240"/>
    </row>
    <row r="105" spans="2:20" x14ac:dyDescent="0.25">
      <c r="B105" s="21" t="str">
        <f t="shared" ca="1" si="11"/>
        <v>13º 2026</v>
      </c>
      <c r="C105" s="22">
        <f ca="1">IF(B105="","",IF(LEFT(B105,2)="13",C104,IF(MONTH(B105)=1,C104*(1+PREMISSAS!$C$57),C104)))</f>
        <v>0</v>
      </c>
      <c r="E105" s="18">
        <v>101</v>
      </c>
      <c r="F105" s="21">
        <f t="shared" ca="1" si="12"/>
        <v>40268</v>
      </c>
      <c r="G105" s="22">
        <f ca="1">IFERROR(VLOOKUP(F105,RESULTADOS!$O$5:$P$543,2,FALSE),VLOOKUP(F105,$B$5:$C$724,2,FALSE))</f>
        <v>0</v>
      </c>
      <c r="H105" s="4">
        <f ca="1">IF(F105&lt;PREMISSAS!$D$7,0,IFERROR(VLOOKUP(IF(LEFT(F105,2)="13",DATE(YEAR(F104),12,31),F105),IPCA!$A$3:$D$284,4,FALSE),1)*G105)</f>
        <v>0</v>
      </c>
      <c r="J105" s="21">
        <f t="shared" ca="1" si="7"/>
        <v>40268</v>
      </c>
      <c r="K105" s="4">
        <f t="shared" ca="1" si="8"/>
        <v>0</v>
      </c>
      <c r="M105" s="21">
        <f t="shared" ca="1" si="13"/>
        <v>40268</v>
      </c>
      <c r="N105" s="37">
        <f t="shared" ca="1" si="9"/>
        <v>0</v>
      </c>
      <c r="O105" s="4">
        <f ca="1">IFERROR(AVERAGEIF(N$5:$N105,"&gt;="&amp;_xlfn.PERCENTILE.EXC(N$5:$N105,0.2)),0)</f>
        <v>0</v>
      </c>
      <c r="Q105" s="21">
        <f t="shared" ca="1" si="10"/>
        <v>40268</v>
      </c>
      <c r="R105" s="4">
        <f ca="1">MIN(O105,PREMISSAS!$C$13)</f>
        <v>0</v>
      </c>
      <c r="S105" s="240"/>
      <c r="T105" s="240"/>
    </row>
    <row r="106" spans="2:20" x14ac:dyDescent="0.25">
      <c r="B106" s="21">
        <f t="shared" ca="1" si="11"/>
        <v>46387</v>
      </c>
      <c r="C106" s="22">
        <f ca="1">IF(B106="","",IF(LEFT(B106,2)="13",C105,IF(MONTH(B106)=1,C105*(1+PREMISSAS!$C$57),C105)))</f>
        <v>0</v>
      </c>
      <c r="E106" s="18">
        <v>102</v>
      </c>
      <c r="F106" s="21">
        <f t="shared" ca="1" si="12"/>
        <v>40298</v>
      </c>
      <c r="G106" s="22">
        <f ca="1">IFERROR(VLOOKUP(F106,RESULTADOS!$O$5:$P$543,2,FALSE),VLOOKUP(F106,$B$5:$C$724,2,FALSE))</f>
        <v>0</v>
      </c>
      <c r="H106" s="4">
        <f ca="1">IF(F106&lt;PREMISSAS!$D$7,0,IFERROR(VLOOKUP(IF(LEFT(F106,2)="13",DATE(YEAR(F105),12,31),F106),IPCA!$A$3:$D$284,4,FALSE),1)*G106)</f>
        <v>0</v>
      </c>
      <c r="J106" s="21">
        <f t="shared" ca="1" si="7"/>
        <v>40298</v>
      </c>
      <c r="K106" s="4">
        <f t="shared" ca="1" si="8"/>
        <v>0</v>
      </c>
      <c r="M106" s="21">
        <f t="shared" ca="1" si="13"/>
        <v>40298</v>
      </c>
      <c r="N106" s="37">
        <f t="shared" ca="1" si="9"/>
        <v>0</v>
      </c>
      <c r="O106" s="4">
        <f ca="1">IFERROR(AVERAGEIF(N$5:$N106,"&gt;="&amp;_xlfn.PERCENTILE.EXC(N$5:$N106,0.2)),0)</f>
        <v>0</v>
      </c>
      <c r="Q106" s="21">
        <f t="shared" ca="1" si="10"/>
        <v>40298</v>
      </c>
      <c r="R106" s="4">
        <f ca="1">MIN(O106,PREMISSAS!$C$13)</f>
        <v>0</v>
      </c>
      <c r="S106" s="240"/>
      <c r="T106" s="240"/>
    </row>
    <row r="107" spans="2:20" x14ac:dyDescent="0.25">
      <c r="B107" s="21">
        <f t="shared" ca="1" si="11"/>
        <v>46418</v>
      </c>
      <c r="C107" s="22">
        <f ca="1">IF(B107="","",IF(LEFT(B107,2)="13",C106,IF(MONTH(B107)=1,C106*(1+PREMISSAS!$C$57),C106)))</f>
        <v>0</v>
      </c>
      <c r="E107" s="18">
        <v>103</v>
      </c>
      <c r="F107" s="21">
        <f t="shared" ca="1" si="12"/>
        <v>40329</v>
      </c>
      <c r="G107" s="22">
        <f ca="1">IFERROR(VLOOKUP(F107,RESULTADOS!$O$5:$P$543,2,FALSE),VLOOKUP(F107,$B$5:$C$724,2,FALSE))</f>
        <v>0</v>
      </c>
      <c r="H107" s="4">
        <f ca="1">IF(F107&lt;PREMISSAS!$D$7,0,IFERROR(VLOOKUP(IF(LEFT(F107,2)="13",DATE(YEAR(F106),12,31),F107),IPCA!$A$3:$D$284,4,FALSE),1)*G107)</f>
        <v>0</v>
      </c>
      <c r="J107" s="21">
        <f t="shared" ca="1" si="7"/>
        <v>40329</v>
      </c>
      <c r="K107" s="4">
        <f t="shared" ca="1" si="8"/>
        <v>0</v>
      </c>
      <c r="M107" s="21">
        <f t="shared" ca="1" si="13"/>
        <v>40329</v>
      </c>
      <c r="N107" s="37">
        <f t="shared" ca="1" si="9"/>
        <v>0</v>
      </c>
      <c r="O107" s="4">
        <f ca="1">IFERROR(AVERAGEIF(N$5:$N107,"&gt;="&amp;_xlfn.PERCENTILE.EXC(N$5:$N107,0.2)),0)</f>
        <v>0</v>
      </c>
      <c r="Q107" s="21">
        <f t="shared" ca="1" si="10"/>
        <v>40329</v>
      </c>
      <c r="R107" s="4">
        <f ca="1">MIN(O107,PREMISSAS!$C$13)</f>
        <v>0</v>
      </c>
      <c r="S107" s="240"/>
      <c r="T107" s="240"/>
    </row>
    <row r="108" spans="2:20" x14ac:dyDescent="0.25">
      <c r="B108" s="21">
        <f t="shared" ca="1" si="11"/>
        <v>46446</v>
      </c>
      <c r="C108" s="22">
        <f ca="1">IF(B108="","",IF(LEFT(B108,2)="13",C107,IF(MONTH(B108)=1,C107*(1+PREMISSAS!$C$57),C107)))</f>
        <v>0</v>
      </c>
      <c r="E108" s="18">
        <v>104</v>
      </c>
      <c r="F108" s="21">
        <f t="shared" ca="1" si="12"/>
        <v>40359</v>
      </c>
      <c r="G108" s="22">
        <f ca="1">IFERROR(VLOOKUP(F108,RESULTADOS!$O$5:$P$543,2,FALSE),VLOOKUP(F108,$B$5:$C$724,2,FALSE))</f>
        <v>0</v>
      </c>
      <c r="H108" s="4">
        <f ca="1">IF(F108&lt;PREMISSAS!$D$7,0,IFERROR(VLOOKUP(IF(LEFT(F108,2)="13",DATE(YEAR(F107),12,31),F108),IPCA!$A$3:$D$284,4,FALSE),1)*G108)</f>
        <v>0</v>
      </c>
      <c r="J108" s="21">
        <f t="shared" ca="1" si="7"/>
        <v>40359</v>
      </c>
      <c r="K108" s="4">
        <f t="shared" ca="1" si="8"/>
        <v>0</v>
      </c>
      <c r="M108" s="21">
        <f t="shared" ca="1" si="13"/>
        <v>40359</v>
      </c>
      <c r="N108" s="37">
        <f t="shared" ca="1" si="9"/>
        <v>0</v>
      </c>
      <c r="O108" s="4">
        <f ca="1">IFERROR(AVERAGEIF(N$5:$N108,"&gt;="&amp;_xlfn.PERCENTILE.EXC(N$5:$N108,0.2)),0)</f>
        <v>0</v>
      </c>
      <c r="Q108" s="21">
        <f t="shared" ca="1" si="10"/>
        <v>40359</v>
      </c>
      <c r="R108" s="4">
        <f ca="1">MIN(O108,PREMISSAS!$C$13)</f>
        <v>0</v>
      </c>
      <c r="S108" s="240"/>
      <c r="T108" s="240"/>
    </row>
    <row r="109" spans="2:20" x14ac:dyDescent="0.25">
      <c r="B109" s="21">
        <f t="shared" ca="1" si="11"/>
        <v>46477</v>
      </c>
      <c r="C109" s="22">
        <f ca="1">IF(B109="","",IF(LEFT(B109,2)="13",C108,IF(MONTH(B109)=1,C108*(1+PREMISSAS!$C$57),C108)))</f>
        <v>0</v>
      </c>
      <c r="E109" s="18">
        <v>105</v>
      </c>
      <c r="F109" s="21">
        <f t="shared" ca="1" si="12"/>
        <v>40390</v>
      </c>
      <c r="G109" s="22">
        <f ca="1">IFERROR(VLOOKUP(F109,RESULTADOS!$O$5:$P$543,2,FALSE),VLOOKUP(F109,$B$5:$C$724,2,FALSE))</f>
        <v>0</v>
      </c>
      <c r="H109" s="4">
        <f ca="1">IF(F109&lt;PREMISSAS!$D$7,0,IFERROR(VLOOKUP(IF(LEFT(F109,2)="13",DATE(YEAR(F108),12,31),F109),IPCA!$A$3:$D$284,4,FALSE),1)*G109)</f>
        <v>0</v>
      </c>
      <c r="J109" s="21">
        <f t="shared" ca="1" si="7"/>
        <v>40390</v>
      </c>
      <c r="K109" s="4">
        <f t="shared" ca="1" si="8"/>
        <v>0</v>
      </c>
      <c r="M109" s="21">
        <f t="shared" ca="1" si="13"/>
        <v>40390</v>
      </c>
      <c r="N109" s="37">
        <f t="shared" ca="1" si="9"/>
        <v>0</v>
      </c>
      <c r="O109" s="4">
        <f ca="1">IFERROR(AVERAGEIF(N$5:$N109,"&gt;="&amp;_xlfn.PERCENTILE.EXC(N$5:$N109,0.2)),0)</f>
        <v>0</v>
      </c>
      <c r="Q109" s="21">
        <f t="shared" ca="1" si="10"/>
        <v>40390</v>
      </c>
      <c r="R109" s="4">
        <f ca="1">MIN(O109,PREMISSAS!$C$13)</f>
        <v>0</v>
      </c>
      <c r="S109" s="240"/>
      <c r="T109" s="240"/>
    </row>
    <row r="110" spans="2:20" x14ac:dyDescent="0.25">
      <c r="B110" s="21">
        <f t="shared" ca="1" si="11"/>
        <v>46507</v>
      </c>
      <c r="C110" s="22">
        <f ca="1">IF(B110="","",IF(LEFT(B110,2)="13",C109,IF(MONTH(B110)=1,C109*(1+PREMISSAS!$C$57),C109)))</f>
        <v>0</v>
      </c>
      <c r="E110" s="18">
        <v>106</v>
      </c>
      <c r="F110" s="21">
        <f t="shared" ca="1" si="12"/>
        <v>40421</v>
      </c>
      <c r="G110" s="22">
        <f ca="1">IFERROR(VLOOKUP(F110,RESULTADOS!$O$5:$P$543,2,FALSE),VLOOKUP(F110,$B$5:$C$724,2,FALSE))</f>
        <v>0</v>
      </c>
      <c r="H110" s="4">
        <f ca="1">IF(F110&lt;PREMISSAS!$D$7,0,IFERROR(VLOOKUP(IF(LEFT(F110,2)="13",DATE(YEAR(F109),12,31),F110),IPCA!$A$3:$D$284,4,FALSE),1)*G110)</f>
        <v>0</v>
      </c>
      <c r="J110" s="21">
        <f t="shared" ca="1" si="7"/>
        <v>40421</v>
      </c>
      <c r="K110" s="4">
        <f t="shared" ca="1" si="8"/>
        <v>0</v>
      </c>
      <c r="M110" s="21">
        <f t="shared" ca="1" si="13"/>
        <v>40421</v>
      </c>
      <c r="N110" s="37">
        <f t="shared" ca="1" si="9"/>
        <v>0</v>
      </c>
      <c r="O110" s="4">
        <f ca="1">IFERROR(AVERAGEIF(N$5:$N110,"&gt;="&amp;_xlfn.PERCENTILE.EXC(N$5:$N110,0.2)),0)</f>
        <v>0</v>
      </c>
      <c r="Q110" s="21">
        <f t="shared" ca="1" si="10"/>
        <v>40421</v>
      </c>
      <c r="R110" s="4">
        <f ca="1">MIN(O110,PREMISSAS!$C$13)</f>
        <v>0</v>
      </c>
      <c r="S110" s="240"/>
      <c r="T110" s="240"/>
    </row>
    <row r="111" spans="2:20" x14ac:dyDescent="0.25">
      <c r="B111" s="21">
        <f t="shared" ca="1" si="11"/>
        <v>46538</v>
      </c>
      <c r="C111" s="22">
        <f ca="1">IF(B111="","",IF(LEFT(B111,2)="13",C110,IF(MONTH(B111)=1,C110*(1+PREMISSAS!$C$57),C110)))</f>
        <v>0</v>
      </c>
      <c r="E111" s="18">
        <v>107</v>
      </c>
      <c r="F111" s="21">
        <f t="shared" ca="1" si="12"/>
        <v>40451</v>
      </c>
      <c r="G111" s="22">
        <f ca="1">IFERROR(VLOOKUP(F111,RESULTADOS!$O$5:$P$543,2,FALSE),VLOOKUP(F111,$B$5:$C$724,2,FALSE))</f>
        <v>0</v>
      </c>
      <c r="H111" s="4">
        <f ca="1">IF(F111&lt;PREMISSAS!$D$7,0,IFERROR(VLOOKUP(IF(LEFT(F111,2)="13",DATE(YEAR(F110),12,31),F111),IPCA!$A$3:$D$284,4,FALSE),1)*G111)</f>
        <v>0</v>
      </c>
      <c r="J111" s="21">
        <f t="shared" ca="1" si="7"/>
        <v>40451</v>
      </c>
      <c r="K111" s="4">
        <f t="shared" ca="1" si="8"/>
        <v>0</v>
      </c>
      <c r="M111" s="21">
        <f t="shared" ca="1" si="13"/>
        <v>40451</v>
      </c>
      <c r="N111" s="37">
        <f t="shared" ca="1" si="9"/>
        <v>0</v>
      </c>
      <c r="O111" s="4">
        <f ca="1">IFERROR(AVERAGEIF(N$5:$N111,"&gt;="&amp;_xlfn.PERCENTILE.EXC(N$5:$N111,0.2)),0)</f>
        <v>0</v>
      </c>
      <c r="Q111" s="21">
        <f t="shared" ca="1" si="10"/>
        <v>40451</v>
      </c>
      <c r="R111" s="4">
        <f ca="1">MIN(O111,PREMISSAS!$C$13)</f>
        <v>0</v>
      </c>
      <c r="S111" s="240"/>
      <c r="T111" s="240"/>
    </row>
    <row r="112" spans="2:20" x14ac:dyDescent="0.25">
      <c r="B112" s="21">
        <f t="shared" ca="1" si="11"/>
        <v>46568</v>
      </c>
      <c r="C112" s="22">
        <f ca="1">IF(B112="","",IF(LEFT(B112,2)="13",C111,IF(MONTH(B112)=1,C111*(1+PREMISSAS!$C$57),C111)))</f>
        <v>0</v>
      </c>
      <c r="E112" s="18">
        <v>108</v>
      </c>
      <c r="F112" s="21">
        <f t="shared" ca="1" si="12"/>
        <v>40482</v>
      </c>
      <c r="G112" s="22">
        <f ca="1">IFERROR(VLOOKUP(F112,RESULTADOS!$O$5:$P$543,2,FALSE),VLOOKUP(F112,$B$5:$C$724,2,FALSE))</f>
        <v>0</v>
      </c>
      <c r="H112" s="4">
        <f ca="1">IF(F112&lt;PREMISSAS!$D$7,0,IFERROR(VLOOKUP(IF(LEFT(F112,2)="13",DATE(YEAR(F111),12,31),F112),IPCA!$A$3:$D$284,4,FALSE),1)*G112)</f>
        <v>0</v>
      </c>
      <c r="J112" s="21">
        <f t="shared" ca="1" si="7"/>
        <v>40482</v>
      </c>
      <c r="K112" s="4">
        <f t="shared" ca="1" si="8"/>
        <v>0</v>
      </c>
      <c r="M112" s="21">
        <f t="shared" ca="1" si="13"/>
        <v>40482</v>
      </c>
      <c r="N112" s="37">
        <f t="shared" ca="1" si="9"/>
        <v>0</v>
      </c>
      <c r="O112" s="4">
        <f ca="1">IFERROR(AVERAGEIF(N$5:$N112,"&gt;="&amp;_xlfn.PERCENTILE.EXC(N$5:$N112,0.2)),0)</f>
        <v>0</v>
      </c>
      <c r="Q112" s="21">
        <f t="shared" ca="1" si="10"/>
        <v>40482</v>
      </c>
      <c r="R112" s="4">
        <f ca="1">MIN(O112,PREMISSAS!$C$13)</f>
        <v>0</v>
      </c>
      <c r="S112" s="240"/>
      <c r="T112" s="240"/>
    </row>
    <row r="113" spans="2:20" x14ac:dyDescent="0.25">
      <c r="B113" s="21">
        <f t="shared" ca="1" si="11"/>
        <v>46599</v>
      </c>
      <c r="C113" s="22">
        <f ca="1">IF(B113="","",IF(LEFT(B113,2)="13",C112,IF(MONTH(B113)=1,C112*(1+PREMISSAS!$C$57),C112)))</f>
        <v>0</v>
      </c>
      <c r="E113" s="18">
        <v>109</v>
      </c>
      <c r="F113" s="21">
        <f t="shared" ca="1" si="12"/>
        <v>40512</v>
      </c>
      <c r="G113" s="22">
        <f ca="1">IFERROR(VLOOKUP(F113,RESULTADOS!$O$5:$P$543,2,FALSE),VLOOKUP(F113,$B$5:$C$724,2,FALSE))</f>
        <v>0</v>
      </c>
      <c r="H113" s="4">
        <f ca="1">IF(F113&lt;PREMISSAS!$D$7,0,IFERROR(VLOOKUP(IF(LEFT(F113,2)="13",DATE(YEAR(F112),12,31),F113),IPCA!$A$3:$D$284,4,FALSE),1)*G113)</f>
        <v>0</v>
      </c>
      <c r="J113" s="21">
        <f t="shared" ca="1" si="7"/>
        <v>40512</v>
      </c>
      <c r="K113" s="4">
        <f t="shared" ca="1" si="8"/>
        <v>0</v>
      </c>
      <c r="M113" s="21">
        <f t="shared" ca="1" si="13"/>
        <v>40512</v>
      </c>
      <c r="N113" s="37">
        <f t="shared" ca="1" si="9"/>
        <v>0</v>
      </c>
      <c r="O113" s="4">
        <f ca="1">IFERROR(AVERAGEIF(N$5:$N113,"&gt;="&amp;_xlfn.PERCENTILE.EXC(N$5:$N113,0.2)),0)</f>
        <v>0</v>
      </c>
      <c r="Q113" s="21">
        <f t="shared" ca="1" si="10"/>
        <v>40512</v>
      </c>
      <c r="R113" s="4">
        <f ca="1">MIN(O113,PREMISSAS!$C$13)</f>
        <v>0</v>
      </c>
      <c r="S113" s="240"/>
      <c r="T113" s="240"/>
    </row>
    <row r="114" spans="2:20" x14ac:dyDescent="0.25">
      <c r="B114" s="21">
        <f t="shared" ca="1" si="11"/>
        <v>46630</v>
      </c>
      <c r="C114" s="22">
        <f ca="1">IF(B114="","",IF(LEFT(B114,2)="13",C113,IF(MONTH(B114)=1,C113*(1+PREMISSAS!$C$57),C113)))</f>
        <v>0</v>
      </c>
      <c r="E114" s="18">
        <v>110</v>
      </c>
      <c r="F114" s="21" t="str">
        <f t="shared" ca="1" si="12"/>
        <v>13º 2010</v>
      </c>
      <c r="G114" s="22">
        <f ca="1">IFERROR(VLOOKUP(F114,RESULTADOS!$O$5:$P$543,2,FALSE),VLOOKUP(F114,$B$5:$C$724,2,FALSE))</f>
        <v>0</v>
      </c>
      <c r="H114" s="4">
        <f ca="1">IF(F114&lt;PREMISSAS!$D$7,0,IFERROR(VLOOKUP(IF(LEFT(F114,2)="13",DATE(YEAR(F113),12,31),F114),IPCA!$A$3:$D$284,4,FALSE),1)*G114)</f>
        <v>0</v>
      </c>
      <c r="J114" s="21" t="str">
        <f t="shared" ca="1" si="7"/>
        <v>13º 2010</v>
      </c>
      <c r="K114" s="4">
        <f t="shared" ca="1" si="8"/>
        <v>0</v>
      </c>
      <c r="M114" s="21" t="str">
        <f t="shared" ca="1" si="13"/>
        <v>13º 2010</v>
      </c>
      <c r="N114" s="37">
        <f t="shared" ca="1" si="9"/>
        <v>0</v>
      </c>
      <c r="O114" s="4">
        <f ca="1">IFERROR(AVERAGEIF(N$5:$N114,"&gt;="&amp;_xlfn.PERCENTILE.EXC(N$5:$N114,0.2)),0)</f>
        <v>0</v>
      </c>
      <c r="Q114" s="21" t="str">
        <f t="shared" ca="1" si="10"/>
        <v>13º 2010</v>
      </c>
      <c r="R114" s="4">
        <f ca="1">MIN(O114,PREMISSAS!$C$13)</f>
        <v>0</v>
      </c>
      <c r="S114" s="240"/>
      <c r="T114" s="240"/>
    </row>
    <row r="115" spans="2:20" x14ac:dyDescent="0.25">
      <c r="B115" s="21">
        <f t="shared" ca="1" si="11"/>
        <v>46660</v>
      </c>
      <c r="C115" s="22">
        <f ca="1">IF(B115="","",IF(LEFT(B115,2)="13",C114,IF(MONTH(B115)=1,C114*(1+PREMISSAS!$C$57),C114)))</f>
        <v>0</v>
      </c>
      <c r="E115" s="18">
        <v>111</v>
      </c>
      <c r="F115" s="21">
        <f t="shared" ca="1" si="12"/>
        <v>40543</v>
      </c>
      <c r="G115" s="22">
        <f ca="1">IFERROR(VLOOKUP(F115,RESULTADOS!$O$5:$P$543,2,FALSE),VLOOKUP(F115,$B$5:$C$724,2,FALSE))</f>
        <v>0</v>
      </c>
      <c r="H115" s="4">
        <f ca="1">IF(F115&lt;PREMISSAS!$D$7,0,IFERROR(VLOOKUP(IF(LEFT(F115,2)="13",DATE(YEAR(F114),12,31),F115),IPCA!$A$3:$D$284,4,FALSE),1)*G115)</f>
        <v>0</v>
      </c>
      <c r="J115" s="21">
        <f t="shared" ca="1" si="7"/>
        <v>40543</v>
      </c>
      <c r="K115" s="4">
        <f t="shared" ca="1" si="8"/>
        <v>0</v>
      </c>
      <c r="M115" s="21">
        <f t="shared" ca="1" si="13"/>
        <v>40543</v>
      </c>
      <c r="N115" s="37">
        <f t="shared" ca="1" si="9"/>
        <v>0</v>
      </c>
      <c r="O115" s="4">
        <f ca="1">IFERROR(AVERAGEIF(N$5:$N115,"&gt;="&amp;_xlfn.PERCENTILE.EXC(N$5:$N115,0.2)),0)</f>
        <v>0</v>
      </c>
      <c r="Q115" s="21">
        <f t="shared" ca="1" si="10"/>
        <v>40543</v>
      </c>
      <c r="R115" s="4">
        <f ca="1">MIN(O115,PREMISSAS!$C$13)</f>
        <v>0</v>
      </c>
      <c r="S115" s="240"/>
      <c r="T115" s="240"/>
    </row>
    <row r="116" spans="2:20" x14ac:dyDescent="0.25">
      <c r="B116" s="21">
        <f t="shared" ca="1" si="11"/>
        <v>46691</v>
      </c>
      <c r="C116" s="22">
        <f ca="1">IF(B116="","",IF(LEFT(B116,2)="13",C115,IF(MONTH(B116)=1,C115*(1+PREMISSAS!$C$57),C115)))</f>
        <v>0</v>
      </c>
      <c r="E116" s="18">
        <v>112</v>
      </c>
      <c r="F116" s="21">
        <f t="shared" ca="1" si="12"/>
        <v>40574</v>
      </c>
      <c r="G116" s="22">
        <f ca="1">IFERROR(VLOOKUP(F116,RESULTADOS!$O$5:$P$543,2,FALSE),VLOOKUP(F116,$B$5:$C$724,2,FALSE))</f>
        <v>0</v>
      </c>
      <c r="H116" s="4">
        <f ca="1">IF(F116&lt;PREMISSAS!$D$7,0,IFERROR(VLOOKUP(IF(LEFT(F116,2)="13",DATE(YEAR(F115),12,31),F116),IPCA!$A$3:$D$284,4,FALSE),1)*G116)</f>
        <v>0</v>
      </c>
      <c r="J116" s="21">
        <f t="shared" ca="1" si="7"/>
        <v>40574</v>
      </c>
      <c r="K116" s="4">
        <f t="shared" ca="1" si="8"/>
        <v>0</v>
      </c>
      <c r="M116" s="21">
        <f t="shared" ca="1" si="13"/>
        <v>40574</v>
      </c>
      <c r="N116" s="37">
        <f t="shared" ca="1" si="9"/>
        <v>0</v>
      </c>
      <c r="O116" s="4">
        <f ca="1">IFERROR(AVERAGEIF(N$5:$N116,"&gt;="&amp;_xlfn.PERCENTILE.EXC(N$5:$N116,0.2)),0)</f>
        <v>0</v>
      </c>
      <c r="Q116" s="21">
        <f t="shared" ca="1" si="10"/>
        <v>40574</v>
      </c>
      <c r="R116" s="4">
        <f ca="1">MIN(O116,PREMISSAS!$C$13)</f>
        <v>0</v>
      </c>
      <c r="S116" s="240"/>
      <c r="T116" s="240"/>
    </row>
    <row r="117" spans="2:20" x14ac:dyDescent="0.25">
      <c r="B117" s="21">
        <f t="shared" ca="1" si="11"/>
        <v>46721</v>
      </c>
      <c r="C117" s="22">
        <f ca="1">IF(B117="","",IF(LEFT(B117,2)="13",C116,IF(MONTH(B117)=1,C116*(1+PREMISSAS!$C$57),C116)))</f>
        <v>0</v>
      </c>
      <c r="E117" s="18">
        <v>113</v>
      </c>
      <c r="F117" s="21">
        <f t="shared" ca="1" si="12"/>
        <v>40602</v>
      </c>
      <c r="G117" s="22">
        <f ca="1">IFERROR(VLOOKUP(F117,RESULTADOS!$O$5:$P$543,2,FALSE),VLOOKUP(F117,$B$5:$C$724,2,FALSE))</f>
        <v>0</v>
      </c>
      <c r="H117" s="4">
        <f ca="1">IF(F117&lt;PREMISSAS!$D$7,0,IFERROR(VLOOKUP(IF(LEFT(F117,2)="13",DATE(YEAR(F116),12,31),F117),IPCA!$A$3:$D$284,4,FALSE),1)*G117)</f>
        <v>0</v>
      </c>
      <c r="J117" s="21">
        <f t="shared" ca="1" si="7"/>
        <v>40602</v>
      </c>
      <c r="K117" s="4">
        <f t="shared" ca="1" si="8"/>
        <v>0</v>
      </c>
      <c r="M117" s="21">
        <f t="shared" ca="1" si="13"/>
        <v>40602</v>
      </c>
      <c r="N117" s="37">
        <f t="shared" ca="1" si="9"/>
        <v>0</v>
      </c>
      <c r="O117" s="4">
        <f ca="1">IFERROR(AVERAGEIF(N$5:$N117,"&gt;="&amp;_xlfn.PERCENTILE.EXC(N$5:$N117,0.2)),0)</f>
        <v>0</v>
      </c>
      <c r="Q117" s="21">
        <f t="shared" ca="1" si="10"/>
        <v>40602</v>
      </c>
      <c r="R117" s="4">
        <f ca="1">MIN(O117,PREMISSAS!$C$13)</f>
        <v>0</v>
      </c>
      <c r="S117" s="240"/>
      <c r="T117" s="240"/>
    </row>
    <row r="118" spans="2:20" x14ac:dyDescent="0.25">
      <c r="B118" s="21" t="str">
        <f t="shared" ca="1" si="11"/>
        <v>13º 2027</v>
      </c>
      <c r="C118" s="22">
        <f ca="1">IF(B118="","",IF(LEFT(B118,2)="13",C117,IF(MONTH(B118)=1,C117*(1+PREMISSAS!$C$57),C117)))</f>
        <v>0</v>
      </c>
      <c r="E118" s="18">
        <v>114</v>
      </c>
      <c r="F118" s="21">
        <f t="shared" ca="1" si="12"/>
        <v>40633</v>
      </c>
      <c r="G118" s="22">
        <f ca="1">IFERROR(VLOOKUP(F118,RESULTADOS!$O$5:$P$543,2,FALSE),VLOOKUP(F118,$B$5:$C$724,2,FALSE))</f>
        <v>0</v>
      </c>
      <c r="H118" s="4">
        <f ca="1">IF(F118&lt;PREMISSAS!$D$7,0,IFERROR(VLOOKUP(IF(LEFT(F118,2)="13",DATE(YEAR(F117),12,31),F118),IPCA!$A$3:$D$284,4,FALSE),1)*G118)</f>
        <v>0</v>
      </c>
      <c r="J118" s="21">
        <f t="shared" ca="1" si="7"/>
        <v>40633</v>
      </c>
      <c r="K118" s="4">
        <f t="shared" ca="1" si="8"/>
        <v>0</v>
      </c>
      <c r="M118" s="21">
        <f t="shared" ca="1" si="13"/>
        <v>40633</v>
      </c>
      <c r="N118" s="37">
        <f t="shared" ca="1" si="9"/>
        <v>0</v>
      </c>
      <c r="O118" s="4">
        <f ca="1">IFERROR(AVERAGEIF(N$5:$N118,"&gt;="&amp;_xlfn.PERCENTILE.EXC(N$5:$N118,0.2)),0)</f>
        <v>0</v>
      </c>
      <c r="Q118" s="21">
        <f t="shared" ca="1" si="10"/>
        <v>40633</v>
      </c>
      <c r="R118" s="4">
        <f ca="1">MIN(O118,PREMISSAS!$C$13)</f>
        <v>0</v>
      </c>
      <c r="S118" s="240"/>
      <c r="T118" s="240"/>
    </row>
    <row r="119" spans="2:20" x14ac:dyDescent="0.25">
      <c r="B119" s="21">
        <f t="shared" ca="1" si="11"/>
        <v>46752</v>
      </c>
      <c r="C119" s="22">
        <f ca="1">IF(B119="","",IF(LEFT(B119,2)="13",C118,IF(MONTH(B119)=1,C118*(1+PREMISSAS!$C$57),C118)))</f>
        <v>0</v>
      </c>
      <c r="E119" s="18">
        <v>115</v>
      </c>
      <c r="F119" s="21">
        <f t="shared" ca="1" si="12"/>
        <v>40663</v>
      </c>
      <c r="G119" s="22">
        <f ca="1">IFERROR(VLOOKUP(F119,RESULTADOS!$O$5:$P$543,2,FALSE),VLOOKUP(F119,$B$5:$C$724,2,FALSE))</f>
        <v>0</v>
      </c>
      <c r="H119" s="4">
        <f ca="1">IF(F119&lt;PREMISSAS!$D$7,0,IFERROR(VLOOKUP(IF(LEFT(F119,2)="13",DATE(YEAR(F118),12,31),F119),IPCA!$A$3:$D$284,4,FALSE),1)*G119)</f>
        <v>0</v>
      </c>
      <c r="J119" s="21">
        <f t="shared" ca="1" si="7"/>
        <v>40663</v>
      </c>
      <c r="K119" s="4">
        <f t="shared" ca="1" si="8"/>
        <v>0</v>
      </c>
      <c r="M119" s="21">
        <f t="shared" ca="1" si="13"/>
        <v>40663</v>
      </c>
      <c r="N119" s="37">
        <f t="shared" ca="1" si="9"/>
        <v>0</v>
      </c>
      <c r="O119" s="4">
        <f ca="1">IFERROR(AVERAGEIF(N$5:$N119,"&gt;="&amp;_xlfn.PERCENTILE.EXC(N$5:$N119,0.2)),0)</f>
        <v>0</v>
      </c>
      <c r="Q119" s="21">
        <f t="shared" ca="1" si="10"/>
        <v>40663</v>
      </c>
      <c r="R119" s="4">
        <f ca="1">MIN(O119,PREMISSAS!$C$13)</f>
        <v>0</v>
      </c>
      <c r="S119" s="240"/>
      <c r="T119" s="240"/>
    </row>
    <row r="120" spans="2:20" x14ac:dyDescent="0.25">
      <c r="B120" s="21">
        <f t="shared" ca="1" si="11"/>
        <v>46783</v>
      </c>
      <c r="C120" s="22">
        <f ca="1">IF(B120="","",IF(LEFT(B120,2)="13",C119,IF(MONTH(B120)=1,C119*(1+PREMISSAS!$C$57),C119)))</f>
        <v>0</v>
      </c>
      <c r="E120" s="18">
        <v>116</v>
      </c>
      <c r="F120" s="21">
        <f t="shared" ca="1" si="12"/>
        <v>40694</v>
      </c>
      <c r="G120" s="22">
        <f ca="1">IFERROR(VLOOKUP(F120,RESULTADOS!$O$5:$P$543,2,FALSE),VLOOKUP(F120,$B$5:$C$724,2,FALSE))</f>
        <v>0</v>
      </c>
      <c r="H120" s="4">
        <f ca="1">IF(F120&lt;PREMISSAS!$D$7,0,IFERROR(VLOOKUP(IF(LEFT(F120,2)="13",DATE(YEAR(F119),12,31),F120),IPCA!$A$3:$D$284,4,FALSE),1)*G120)</f>
        <v>0</v>
      </c>
      <c r="J120" s="21">
        <f t="shared" ca="1" si="7"/>
        <v>40694</v>
      </c>
      <c r="K120" s="4">
        <f t="shared" ca="1" si="8"/>
        <v>0</v>
      </c>
      <c r="M120" s="21">
        <f t="shared" ca="1" si="13"/>
        <v>40694</v>
      </c>
      <c r="N120" s="37">
        <f t="shared" ca="1" si="9"/>
        <v>0</v>
      </c>
      <c r="O120" s="4">
        <f ca="1">IFERROR(AVERAGEIF(N$5:$N120,"&gt;="&amp;_xlfn.PERCENTILE.EXC(N$5:$N120,0.2)),0)</f>
        <v>0</v>
      </c>
      <c r="Q120" s="21">
        <f t="shared" ca="1" si="10"/>
        <v>40694</v>
      </c>
      <c r="R120" s="4">
        <f ca="1">MIN(O120,PREMISSAS!$C$13)</f>
        <v>0</v>
      </c>
      <c r="S120" s="240"/>
      <c r="T120" s="240"/>
    </row>
    <row r="121" spans="2:20" x14ac:dyDescent="0.25">
      <c r="B121" s="21">
        <f t="shared" ca="1" si="11"/>
        <v>46812</v>
      </c>
      <c r="C121" s="22">
        <f ca="1">IF(B121="","",IF(LEFT(B121,2)="13",C120,IF(MONTH(B121)=1,C120*(1+PREMISSAS!$C$57),C120)))</f>
        <v>0</v>
      </c>
      <c r="E121" s="18">
        <v>117</v>
      </c>
      <c r="F121" s="21">
        <f t="shared" ca="1" si="12"/>
        <v>40724</v>
      </c>
      <c r="G121" s="22">
        <f ca="1">IFERROR(VLOOKUP(F121,RESULTADOS!$O$5:$P$543,2,FALSE),VLOOKUP(F121,$B$5:$C$724,2,FALSE))</f>
        <v>0</v>
      </c>
      <c r="H121" s="4">
        <f ca="1">IF(F121&lt;PREMISSAS!$D$7,0,IFERROR(VLOOKUP(IF(LEFT(F121,2)="13",DATE(YEAR(F120),12,31),F121),IPCA!$A$3:$D$284,4,FALSE),1)*G121)</f>
        <v>0</v>
      </c>
      <c r="J121" s="21">
        <f t="shared" ca="1" si="7"/>
        <v>40724</v>
      </c>
      <c r="K121" s="4">
        <f t="shared" ca="1" si="8"/>
        <v>0</v>
      </c>
      <c r="M121" s="21">
        <f t="shared" ca="1" si="13"/>
        <v>40724</v>
      </c>
      <c r="N121" s="37">
        <f t="shared" ca="1" si="9"/>
        <v>0</v>
      </c>
      <c r="O121" s="4">
        <f ca="1">IFERROR(AVERAGEIF(N$5:$N121,"&gt;="&amp;_xlfn.PERCENTILE.EXC(N$5:$N121,0.2)),0)</f>
        <v>0</v>
      </c>
      <c r="Q121" s="21">
        <f t="shared" ca="1" si="10"/>
        <v>40724</v>
      </c>
      <c r="R121" s="4">
        <f ca="1">MIN(O121,PREMISSAS!$C$13)</f>
        <v>0</v>
      </c>
      <c r="S121" s="240"/>
      <c r="T121" s="240"/>
    </row>
    <row r="122" spans="2:20" x14ac:dyDescent="0.25">
      <c r="B122" s="21">
        <f t="shared" ca="1" si="11"/>
        <v>46843</v>
      </c>
      <c r="C122" s="22">
        <f ca="1">IF(B122="","",IF(LEFT(B122,2)="13",C121,IF(MONTH(B122)=1,C121*(1+PREMISSAS!$C$57),C121)))</f>
        <v>0</v>
      </c>
      <c r="E122" s="18">
        <v>118</v>
      </c>
      <c r="F122" s="21">
        <f t="shared" ca="1" si="12"/>
        <v>40755</v>
      </c>
      <c r="G122" s="22">
        <f ca="1">IFERROR(VLOOKUP(F122,RESULTADOS!$O$5:$P$543,2,FALSE),VLOOKUP(F122,$B$5:$C$724,2,FALSE))</f>
        <v>0</v>
      </c>
      <c r="H122" s="4">
        <f ca="1">IF(F122&lt;PREMISSAS!$D$7,0,IFERROR(VLOOKUP(IF(LEFT(F122,2)="13",DATE(YEAR(F121),12,31),F122),IPCA!$A$3:$D$284,4,FALSE),1)*G122)</f>
        <v>0</v>
      </c>
      <c r="J122" s="21">
        <f t="shared" ca="1" si="7"/>
        <v>40755</v>
      </c>
      <c r="K122" s="4">
        <f t="shared" ca="1" si="8"/>
        <v>0</v>
      </c>
      <c r="M122" s="21">
        <f t="shared" ca="1" si="13"/>
        <v>40755</v>
      </c>
      <c r="N122" s="37">
        <f t="shared" ca="1" si="9"/>
        <v>0</v>
      </c>
      <c r="O122" s="4">
        <f ca="1">IFERROR(AVERAGEIF(N$5:$N122,"&gt;="&amp;_xlfn.PERCENTILE.EXC(N$5:$N122,0.2)),0)</f>
        <v>0</v>
      </c>
      <c r="Q122" s="21">
        <f t="shared" ca="1" si="10"/>
        <v>40755</v>
      </c>
      <c r="R122" s="4">
        <f ca="1">MIN(O122,PREMISSAS!$C$13)</f>
        <v>0</v>
      </c>
      <c r="S122" s="240"/>
      <c r="T122" s="240"/>
    </row>
    <row r="123" spans="2:20" x14ac:dyDescent="0.25">
      <c r="B123" s="21">
        <f t="shared" ca="1" si="11"/>
        <v>46873</v>
      </c>
      <c r="C123" s="22">
        <f ca="1">IF(B123="","",IF(LEFT(B123,2)="13",C122,IF(MONTH(B123)=1,C122*(1+PREMISSAS!$C$57),C122)))</f>
        <v>0</v>
      </c>
      <c r="E123" s="18">
        <v>119</v>
      </c>
      <c r="F123" s="21">
        <f t="shared" ca="1" si="12"/>
        <v>40786</v>
      </c>
      <c r="G123" s="22">
        <f ca="1">IFERROR(VLOOKUP(F123,RESULTADOS!$O$5:$P$543,2,FALSE),VLOOKUP(F123,$B$5:$C$724,2,FALSE))</f>
        <v>0</v>
      </c>
      <c r="H123" s="4">
        <f ca="1">IF(F123&lt;PREMISSAS!$D$7,0,IFERROR(VLOOKUP(IF(LEFT(F123,2)="13",DATE(YEAR(F122),12,31),F123),IPCA!$A$3:$D$284,4,FALSE),1)*G123)</f>
        <v>0</v>
      </c>
      <c r="J123" s="21">
        <f t="shared" ca="1" si="7"/>
        <v>40786</v>
      </c>
      <c r="K123" s="4">
        <f t="shared" ca="1" si="8"/>
        <v>0</v>
      </c>
      <c r="M123" s="21">
        <f t="shared" ca="1" si="13"/>
        <v>40786</v>
      </c>
      <c r="N123" s="37">
        <f t="shared" ca="1" si="9"/>
        <v>0</v>
      </c>
      <c r="O123" s="4">
        <f ca="1">IFERROR(AVERAGEIF(N$5:$N123,"&gt;="&amp;_xlfn.PERCENTILE.EXC(N$5:$N123,0.2)),0)</f>
        <v>0</v>
      </c>
      <c r="Q123" s="21">
        <f t="shared" ca="1" si="10"/>
        <v>40786</v>
      </c>
      <c r="R123" s="4">
        <f ca="1">MIN(O123,PREMISSAS!$C$13)</f>
        <v>0</v>
      </c>
      <c r="S123" s="240"/>
      <c r="T123" s="240"/>
    </row>
    <row r="124" spans="2:20" x14ac:dyDescent="0.25">
      <c r="B124" s="21">
        <f t="shared" ca="1" si="11"/>
        <v>46904</v>
      </c>
      <c r="C124" s="22">
        <f ca="1">IF(B124="","",IF(LEFT(B124,2)="13",C123,IF(MONTH(B124)=1,C123*(1+PREMISSAS!$C$57),C123)))</f>
        <v>0</v>
      </c>
      <c r="E124" s="18">
        <v>120</v>
      </c>
      <c r="F124" s="21">
        <f t="shared" ca="1" si="12"/>
        <v>40816</v>
      </c>
      <c r="G124" s="22">
        <f ca="1">IFERROR(VLOOKUP(F124,RESULTADOS!$O$5:$P$543,2,FALSE),VLOOKUP(F124,$B$5:$C$724,2,FALSE))</f>
        <v>0</v>
      </c>
      <c r="H124" s="4">
        <f ca="1">IF(F124&lt;PREMISSAS!$D$7,0,IFERROR(VLOOKUP(IF(LEFT(F124,2)="13",DATE(YEAR(F123),12,31),F124),IPCA!$A$3:$D$284,4,FALSE),1)*G124)</f>
        <v>0</v>
      </c>
      <c r="J124" s="21">
        <f t="shared" ca="1" si="7"/>
        <v>40816</v>
      </c>
      <c r="K124" s="4">
        <f t="shared" ca="1" si="8"/>
        <v>0</v>
      </c>
      <c r="M124" s="21">
        <f t="shared" ca="1" si="13"/>
        <v>40816</v>
      </c>
      <c r="N124" s="37">
        <f t="shared" ca="1" si="9"/>
        <v>0</v>
      </c>
      <c r="O124" s="4">
        <f ca="1">IFERROR(AVERAGEIF(N$5:$N124,"&gt;="&amp;_xlfn.PERCENTILE.EXC(N$5:$N124,0.2)),0)</f>
        <v>0</v>
      </c>
      <c r="Q124" s="21">
        <f t="shared" ca="1" si="10"/>
        <v>40816</v>
      </c>
      <c r="R124" s="4">
        <f ca="1">MIN(O124,PREMISSAS!$C$13)</f>
        <v>0</v>
      </c>
      <c r="S124" s="240"/>
      <c r="T124" s="240"/>
    </row>
    <row r="125" spans="2:20" x14ac:dyDescent="0.25">
      <c r="B125" s="21">
        <f t="shared" ca="1" si="11"/>
        <v>46934</v>
      </c>
      <c r="C125" s="22">
        <f ca="1">IF(B125="","",IF(LEFT(B125,2)="13",C124,IF(MONTH(B125)=1,C124*(1+PREMISSAS!$C$57),C124)))</f>
        <v>0</v>
      </c>
      <c r="E125" s="18">
        <v>121</v>
      </c>
      <c r="F125" s="21">
        <f t="shared" ca="1" si="12"/>
        <v>40847</v>
      </c>
      <c r="G125" s="22">
        <f ca="1">IFERROR(VLOOKUP(F125,RESULTADOS!$O$5:$P$543,2,FALSE),VLOOKUP(F125,$B$5:$C$724,2,FALSE))</f>
        <v>0</v>
      </c>
      <c r="H125" s="4">
        <f ca="1">IF(F125&lt;PREMISSAS!$D$7,0,IFERROR(VLOOKUP(IF(LEFT(F125,2)="13",DATE(YEAR(F124),12,31),F125),IPCA!$A$3:$D$284,4,FALSE),1)*G125)</f>
        <v>0</v>
      </c>
      <c r="J125" s="21">
        <f t="shared" ca="1" si="7"/>
        <v>40847</v>
      </c>
      <c r="K125" s="4">
        <f t="shared" ca="1" si="8"/>
        <v>0</v>
      </c>
      <c r="M125" s="21">
        <f t="shared" ca="1" si="13"/>
        <v>40847</v>
      </c>
      <c r="N125" s="37">
        <f t="shared" ca="1" si="9"/>
        <v>0</v>
      </c>
      <c r="O125" s="4">
        <f ca="1">IFERROR(AVERAGEIF(N$5:$N125,"&gt;="&amp;_xlfn.PERCENTILE.EXC(N$5:$N125,0.2)),0)</f>
        <v>0</v>
      </c>
      <c r="Q125" s="21">
        <f t="shared" ca="1" si="10"/>
        <v>40847</v>
      </c>
      <c r="R125" s="4">
        <f ca="1">MIN(O125,PREMISSAS!$C$13)</f>
        <v>0</v>
      </c>
      <c r="S125" s="240"/>
      <c r="T125" s="240"/>
    </row>
    <row r="126" spans="2:20" x14ac:dyDescent="0.25">
      <c r="B126" s="21">
        <f t="shared" ca="1" si="11"/>
        <v>46965</v>
      </c>
      <c r="C126" s="22">
        <f ca="1">IF(B126="","",IF(LEFT(B126,2)="13",C125,IF(MONTH(B126)=1,C125*(1+PREMISSAS!$C$57),C125)))</f>
        <v>0</v>
      </c>
      <c r="E126" s="18">
        <v>122</v>
      </c>
      <c r="F126" s="21">
        <f t="shared" ca="1" si="12"/>
        <v>40877</v>
      </c>
      <c r="G126" s="22">
        <f ca="1">IFERROR(VLOOKUP(F126,RESULTADOS!$O$5:$P$543,2,FALSE),VLOOKUP(F126,$B$5:$C$724,2,FALSE))</f>
        <v>0</v>
      </c>
      <c r="H126" s="4">
        <f ca="1">IF(F126&lt;PREMISSAS!$D$7,0,IFERROR(VLOOKUP(IF(LEFT(F126,2)="13",DATE(YEAR(F125),12,31),F126),IPCA!$A$3:$D$284,4,FALSE),1)*G126)</f>
        <v>0</v>
      </c>
      <c r="J126" s="21">
        <f t="shared" ca="1" si="7"/>
        <v>40877</v>
      </c>
      <c r="K126" s="4">
        <f t="shared" ca="1" si="8"/>
        <v>0</v>
      </c>
      <c r="M126" s="21">
        <f t="shared" ca="1" si="13"/>
        <v>40877</v>
      </c>
      <c r="N126" s="37">
        <f t="shared" ca="1" si="9"/>
        <v>0</v>
      </c>
      <c r="O126" s="4">
        <f ca="1">IFERROR(AVERAGEIF(N$5:$N126,"&gt;="&amp;_xlfn.PERCENTILE.EXC(N$5:$N126,0.2)),0)</f>
        <v>0</v>
      </c>
      <c r="Q126" s="21">
        <f t="shared" ca="1" si="10"/>
        <v>40877</v>
      </c>
      <c r="R126" s="4">
        <f ca="1">MIN(O126,PREMISSAS!$C$13)</f>
        <v>0</v>
      </c>
      <c r="S126" s="240"/>
      <c r="T126" s="240"/>
    </row>
    <row r="127" spans="2:20" x14ac:dyDescent="0.25">
      <c r="B127" s="21">
        <f t="shared" ca="1" si="11"/>
        <v>46996</v>
      </c>
      <c r="C127" s="22">
        <f ca="1">IF(B127="","",IF(LEFT(B127,2)="13",C126,IF(MONTH(B127)=1,C126*(1+PREMISSAS!$C$57),C126)))</f>
        <v>0</v>
      </c>
      <c r="E127" s="18">
        <v>123</v>
      </c>
      <c r="F127" s="21" t="str">
        <f t="shared" ca="1" si="12"/>
        <v>13º 2011</v>
      </c>
      <c r="G127" s="22">
        <f ca="1">IFERROR(VLOOKUP(F127,RESULTADOS!$O$5:$P$543,2,FALSE),VLOOKUP(F127,$B$5:$C$724,2,FALSE))</f>
        <v>0</v>
      </c>
      <c r="H127" s="4">
        <f ca="1">IF(F127&lt;PREMISSAS!$D$7,0,IFERROR(VLOOKUP(IF(LEFT(F127,2)="13",DATE(YEAR(F126),12,31),F127),IPCA!$A$3:$D$284,4,FALSE),1)*G127)</f>
        <v>0</v>
      </c>
      <c r="J127" s="21" t="str">
        <f t="shared" ca="1" si="7"/>
        <v>13º 2011</v>
      </c>
      <c r="K127" s="4">
        <f t="shared" ca="1" si="8"/>
        <v>0</v>
      </c>
      <c r="M127" s="21" t="str">
        <f t="shared" ca="1" si="13"/>
        <v>13º 2011</v>
      </c>
      <c r="N127" s="37">
        <f t="shared" ca="1" si="9"/>
        <v>0</v>
      </c>
      <c r="O127" s="4">
        <f ca="1">IFERROR(AVERAGEIF(N$5:$N127,"&gt;="&amp;_xlfn.PERCENTILE.EXC(N$5:$N127,0.2)),0)</f>
        <v>0</v>
      </c>
      <c r="Q127" s="21" t="str">
        <f t="shared" ca="1" si="10"/>
        <v>13º 2011</v>
      </c>
      <c r="R127" s="4">
        <f ca="1">MIN(O127,PREMISSAS!$C$13)</f>
        <v>0</v>
      </c>
      <c r="S127" s="240"/>
      <c r="T127" s="240"/>
    </row>
    <row r="128" spans="2:20" x14ac:dyDescent="0.25">
      <c r="B128" s="21">
        <f t="shared" ca="1" si="11"/>
        <v>47026</v>
      </c>
      <c r="C128" s="22">
        <f ca="1">IF(B128="","",IF(LEFT(B128,2)="13",C127,IF(MONTH(B128)=1,C127*(1+PREMISSAS!$C$57),C127)))</f>
        <v>0</v>
      </c>
      <c r="E128" s="18">
        <v>124</v>
      </c>
      <c r="F128" s="21">
        <f t="shared" ca="1" si="12"/>
        <v>40908</v>
      </c>
      <c r="G128" s="22">
        <f ca="1">IFERROR(VLOOKUP(F128,RESULTADOS!$O$5:$P$543,2,FALSE),VLOOKUP(F128,$B$5:$C$724,2,FALSE))</f>
        <v>0</v>
      </c>
      <c r="H128" s="4">
        <f ca="1">IF(F128&lt;PREMISSAS!$D$7,0,IFERROR(VLOOKUP(IF(LEFT(F128,2)="13",DATE(YEAR(F127),12,31),F128),IPCA!$A$3:$D$284,4,FALSE),1)*G128)</f>
        <v>0</v>
      </c>
      <c r="J128" s="21">
        <f t="shared" ca="1" si="7"/>
        <v>40908</v>
      </c>
      <c r="K128" s="4">
        <f t="shared" ca="1" si="8"/>
        <v>0</v>
      </c>
      <c r="M128" s="21">
        <f t="shared" ca="1" si="13"/>
        <v>40908</v>
      </c>
      <c r="N128" s="37">
        <f t="shared" ca="1" si="9"/>
        <v>0</v>
      </c>
      <c r="O128" s="4">
        <f ca="1">IFERROR(AVERAGEIF(N$5:$N128,"&gt;="&amp;_xlfn.PERCENTILE.EXC(N$5:$N128,0.2)),0)</f>
        <v>0</v>
      </c>
      <c r="Q128" s="21">
        <f t="shared" ca="1" si="10"/>
        <v>40908</v>
      </c>
      <c r="R128" s="4">
        <f ca="1">MIN(O128,PREMISSAS!$C$13)</f>
        <v>0</v>
      </c>
      <c r="S128" s="240"/>
      <c r="T128" s="240"/>
    </row>
    <row r="129" spans="2:20" x14ac:dyDescent="0.25">
      <c r="B129" s="21">
        <f t="shared" ca="1" si="11"/>
        <v>47057</v>
      </c>
      <c r="C129" s="22">
        <f ca="1">IF(B129="","",IF(LEFT(B129,2)="13",C128,IF(MONTH(B129)=1,C128*(1+PREMISSAS!$C$57),C128)))</f>
        <v>0</v>
      </c>
      <c r="E129" s="18">
        <v>125</v>
      </c>
      <c r="F129" s="21">
        <f t="shared" ca="1" si="12"/>
        <v>40939</v>
      </c>
      <c r="G129" s="22">
        <f ca="1">IFERROR(VLOOKUP(F129,RESULTADOS!$O$5:$P$543,2,FALSE),VLOOKUP(F129,$B$5:$C$724,2,FALSE))</f>
        <v>0</v>
      </c>
      <c r="H129" s="4">
        <f ca="1">IF(F129&lt;PREMISSAS!$D$7,0,IFERROR(VLOOKUP(IF(LEFT(F129,2)="13",DATE(YEAR(F128),12,31),F129),IPCA!$A$3:$D$284,4,FALSE),1)*G129)</f>
        <v>0</v>
      </c>
      <c r="J129" s="21">
        <f t="shared" ca="1" si="7"/>
        <v>40939</v>
      </c>
      <c r="K129" s="4">
        <f t="shared" ca="1" si="8"/>
        <v>0</v>
      </c>
      <c r="M129" s="21">
        <f t="shared" ca="1" si="13"/>
        <v>40939</v>
      </c>
      <c r="N129" s="37">
        <f t="shared" ca="1" si="9"/>
        <v>0</v>
      </c>
      <c r="O129" s="4">
        <f ca="1">IFERROR(AVERAGEIF(N$5:$N129,"&gt;="&amp;_xlfn.PERCENTILE.EXC(N$5:$N129,0.2)),0)</f>
        <v>0</v>
      </c>
      <c r="Q129" s="21">
        <f t="shared" ca="1" si="10"/>
        <v>40939</v>
      </c>
      <c r="R129" s="4">
        <f ca="1">MIN(O129,PREMISSAS!$C$13)</f>
        <v>0</v>
      </c>
      <c r="S129" s="240"/>
      <c r="T129" s="240"/>
    </row>
    <row r="130" spans="2:20" x14ac:dyDescent="0.25">
      <c r="B130" s="21">
        <f t="shared" ca="1" si="11"/>
        <v>47087</v>
      </c>
      <c r="C130" s="22">
        <f ca="1">IF(B130="","",IF(LEFT(B130,2)="13",C129,IF(MONTH(B130)=1,C129*(1+PREMISSAS!$C$57),C129)))</f>
        <v>0</v>
      </c>
      <c r="E130" s="18">
        <v>126</v>
      </c>
      <c r="F130" s="21">
        <f t="shared" ca="1" si="12"/>
        <v>40968</v>
      </c>
      <c r="G130" s="22">
        <f ca="1">IFERROR(VLOOKUP(F130,RESULTADOS!$O$5:$P$543,2,FALSE),VLOOKUP(F130,$B$5:$C$724,2,FALSE))</f>
        <v>0</v>
      </c>
      <c r="H130" s="4">
        <f ca="1">IF(F130&lt;PREMISSAS!$D$7,0,IFERROR(VLOOKUP(IF(LEFT(F130,2)="13",DATE(YEAR(F129),12,31),F130),IPCA!$A$3:$D$284,4,FALSE),1)*G130)</f>
        <v>0</v>
      </c>
      <c r="J130" s="21">
        <f t="shared" ca="1" si="7"/>
        <v>40968</v>
      </c>
      <c r="K130" s="4">
        <f t="shared" ca="1" si="8"/>
        <v>0</v>
      </c>
      <c r="M130" s="21">
        <f t="shared" ca="1" si="13"/>
        <v>40968</v>
      </c>
      <c r="N130" s="37">
        <f t="shared" ca="1" si="9"/>
        <v>0</v>
      </c>
      <c r="O130" s="4">
        <f ca="1">IFERROR(AVERAGEIF(N$5:$N130,"&gt;="&amp;_xlfn.PERCENTILE.EXC(N$5:$N130,0.2)),0)</f>
        <v>0</v>
      </c>
      <c r="Q130" s="21">
        <f t="shared" ca="1" si="10"/>
        <v>40968</v>
      </c>
      <c r="R130" s="4">
        <f ca="1">MIN(O130,PREMISSAS!$C$13)</f>
        <v>0</v>
      </c>
      <c r="S130" s="240"/>
      <c r="T130" s="240"/>
    </row>
    <row r="131" spans="2:20" x14ac:dyDescent="0.25">
      <c r="B131" s="21" t="str">
        <f t="shared" ca="1" si="11"/>
        <v>13º 2028</v>
      </c>
      <c r="C131" s="22">
        <f ca="1">IF(B131="","",IF(LEFT(B131,2)="13",C130,IF(MONTH(B131)=1,C130*(1+PREMISSAS!$C$57),C130)))</f>
        <v>0</v>
      </c>
      <c r="E131" s="18">
        <v>127</v>
      </c>
      <c r="F131" s="21">
        <f t="shared" ca="1" si="12"/>
        <v>40999</v>
      </c>
      <c r="G131" s="22">
        <f ca="1">IFERROR(VLOOKUP(F131,RESULTADOS!$O$5:$P$543,2,FALSE),VLOOKUP(F131,$B$5:$C$724,2,FALSE))</f>
        <v>0</v>
      </c>
      <c r="H131" s="4">
        <f ca="1">IF(F131&lt;PREMISSAS!$D$7,0,IFERROR(VLOOKUP(IF(LEFT(F131,2)="13",DATE(YEAR(F130),12,31),F131),IPCA!$A$3:$D$284,4,FALSE),1)*G131)</f>
        <v>0</v>
      </c>
      <c r="J131" s="21">
        <f t="shared" ca="1" si="7"/>
        <v>40999</v>
      </c>
      <c r="K131" s="4">
        <f t="shared" ca="1" si="8"/>
        <v>0</v>
      </c>
      <c r="M131" s="21">
        <f t="shared" ca="1" si="13"/>
        <v>40999</v>
      </c>
      <c r="N131" s="37">
        <f t="shared" ca="1" si="9"/>
        <v>0</v>
      </c>
      <c r="O131" s="4">
        <f ca="1">IFERROR(AVERAGEIF(N$5:$N131,"&gt;="&amp;_xlfn.PERCENTILE.EXC(N$5:$N131,0.2)),0)</f>
        <v>0</v>
      </c>
      <c r="Q131" s="21">
        <f t="shared" ca="1" si="10"/>
        <v>40999</v>
      </c>
      <c r="R131" s="4">
        <f ca="1">MIN(O131,PREMISSAS!$C$13)</f>
        <v>0</v>
      </c>
      <c r="S131" s="240"/>
      <c r="T131" s="240"/>
    </row>
    <row r="132" spans="2:20" x14ac:dyDescent="0.25">
      <c r="B132" s="21">
        <f t="shared" ca="1" si="11"/>
        <v>47118</v>
      </c>
      <c r="C132" s="22">
        <f ca="1">IF(B132="","",IF(LEFT(B132,2)="13",C131,IF(MONTH(B132)=1,C131*(1+PREMISSAS!$C$57),C131)))</f>
        <v>0</v>
      </c>
      <c r="E132" s="18">
        <v>128</v>
      </c>
      <c r="F132" s="21">
        <f t="shared" ca="1" si="12"/>
        <v>41029</v>
      </c>
      <c r="G132" s="22">
        <f ca="1">IFERROR(VLOOKUP(F132,RESULTADOS!$O$5:$P$543,2,FALSE),VLOOKUP(F132,$B$5:$C$724,2,FALSE))</f>
        <v>0</v>
      </c>
      <c r="H132" s="4">
        <f ca="1">IF(F132&lt;PREMISSAS!$D$7,0,IFERROR(VLOOKUP(IF(LEFT(F132,2)="13",DATE(YEAR(F131),12,31),F132),IPCA!$A$3:$D$284,4,FALSE),1)*G132)</f>
        <v>0</v>
      </c>
      <c r="J132" s="21">
        <f t="shared" ca="1" si="7"/>
        <v>41029</v>
      </c>
      <c r="K132" s="4">
        <f t="shared" ca="1" si="8"/>
        <v>0</v>
      </c>
      <c r="M132" s="21">
        <f t="shared" ca="1" si="13"/>
        <v>41029</v>
      </c>
      <c r="N132" s="37">
        <f t="shared" ca="1" si="9"/>
        <v>0</v>
      </c>
      <c r="O132" s="4">
        <f ca="1">IFERROR(AVERAGEIF(N$5:$N132,"&gt;="&amp;_xlfn.PERCENTILE.EXC(N$5:$N132,0.2)),0)</f>
        <v>0</v>
      </c>
      <c r="Q132" s="21">
        <f t="shared" ca="1" si="10"/>
        <v>41029</v>
      </c>
      <c r="R132" s="4">
        <f ca="1">MIN(O132,PREMISSAS!$C$13)</f>
        <v>0</v>
      </c>
      <c r="S132" s="240"/>
      <c r="T132" s="240"/>
    </row>
    <row r="133" spans="2:20" x14ac:dyDescent="0.25">
      <c r="B133" s="21">
        <f t="shared" ca="1" si="11"/>
        <v>47149</v>
      </c>
      <c r="C133" s="22">
        <f ca="1">IF(B133="","",IF(LEFT(B133,2)="13",C132,IF(MONTH(B133)=1,C132*(1+PREMISSAS!$C$57),C132)))</f>
        <v>0</v>
      </c>
      <c r="E133" s="18">
        <v>129</v>
      </c>
      <c r="F133" s="21">
        <f t="shared" ca="1" si="12"/>
        <v>41060</v>
      </c>
      <c r="G133" s="22">
        <f ca="1">IFERROR(VLOOKUP(F133,RESULTADOS!$O$5:$P$543,2,FALSE),VLOOKUP(F133,$B$5:$C$724,2,FALSE))</f>
        <v>0</v>
      </c>
      <c r="H133" s="4">
        <f ca="1">IF(F133&lt;PREMISSAS!$D$7,0,IFERROR(VLOOKUP(IF(LEFT(F133,2)="13",DATE(YEAR(F132),12,31),F133),IPCA!$A$3:$D$284,4,FALSE),1)*G133)</f>
        <v>0</v>
      </c>
      <c r="J133" s="21">
        <f t="shared" ref="J133:J196" ca="1" si="14">F133</f>
        <v>41060</v>
      </c>
      <c r="K133" s="4">
        <f t="shared" ref="K133:K196" ca="1" si="15">G133</f>
        <v>0</v>
      </c>
      <c r="M133" s="21">
        <f t="shared" ca="1" si="13"/>
        <v>41060</v>
      </c>
      <c r="N133" s="37">
        <f t="shared" ca="1" si="9"/>
        <v>0</v>
      </c>
      <c r="O133" s="4">
        <f ca="1">IFERROR(AVERAGEIF(N$5:$N133,"&gt;="&amp;_xlfn.PERCENTILE.EXC(N$5:$N133,0.2)),0)</f>
        <v>0</v>
      </c>
      <c r="Q133" s="21">
        <f t="shared" ca="1" si="10"/>
        <v>41060</v>
      </c>
      <c r="R133" s="4">
        <f ca="1">MIN(O133,PREMISSAS!$C$13)</f>
        <v>0</v>
      </c>
      <c r="S133" s="240"/>
      <c r="T133" s="240"/>
    </row>
    <row r="134" spans="2:20" x14ac:dyDescent="0.25">
      <c r="B134" s="21">
        <f t="shared" ca="1" si="11"/>
        <v>47177</v>
      </c>
      <c r="C134" s="22">
        <f ca="1">IF(B134="","",IF(LEFT(B134,2)="13",C133,IF(MONTH(B134)=1,C133*(1+PREMISSAS!$C$57),C133)))</f>
        <v>0</v>
      </c>
      <c r="E134" s="18">
        <v>130</v>
      </c>
      <c r="F134" s="21">
        <f t="shared" ca="1" si="12"/>
        <v>41090</v>
      </c>
      <c r="G134" s="22">
        <f ca="1">IFERROR(VLOOKUP(F134,RESULTADOS!$O$5:$P$543,2,FALSE),VLOOKUP(F134,$B$5:$C$724,2,FALSE))</f>
        <v>0</v>
      </c>
      <c r="H134" s="4">
        <f ca="1">IF(F134&lt;PREMISSAS!$D$7,0,IFERROR(VLOOKUP(IF(LEFT(F134,2)="13",DATE(YEAR(F133),12,31),F134),IPCA!$A$3:$D$284,4,FALSE),1)*G134)</f>
        <v>0</v>
      </c>
      <c r="J134" s="21">
        <f t="shared" ca="1" si="14"/>
        <v>41090</v>
      </c>
      <c r="K134" s="4">
        <f t="shared" ca="1" si="15"/>
        <v>0</v>
      </c>
      <c r="M134" s="21">
        <f t="shared" ca="1" si="13"/>
        <v>41090</v>
      </c>
      <c r="N134" s="37">
        <f t="shared" ref="N134:N197" ca="1" si="16">IFERROR(VLOOKUP(M134,$F$5:$H$628,3,FALSE),0)</f>
        <v>0</v>
      </c>
      <c r="O134" s="4">
        <f ca="1">IFERROR(AVERAGEIF(N$5:$N134,"&gt;="&amp;_xlfn.PERCENTILE.EXC(N$5:$N134,0.2)),0)</f>
        <v>0</v>
      </c>
      <c r="Q134" s="21">
        <f t="shared" ref="Q134:Q197" ca="1" si="17">M134</f>
        <v>41090</v>
      </c>
      <c r="R134" s="4">
        <f ca="1">MIN(O134,PREMISSAS!$C$13)</f>
        <v>0</v>
      </c>
      <c r="S134" s="240"/>
      <c r="T134" s="240"/>
    </row>
    <row r="135" spans="2:20" x14ac:dyDescent="0.25">
      <c r="B135" s="21">
        <f t="shared" ref="B135:B198" ca="1" si="18">IFERROR(IF(LEFT(B134,2)="13",DATE(RIGHT(B134,4),12,31),IF(EOMONTH(B134,0)&gt;$F$1,"",IF(MONTH(B134)=11,"13º "&amp;YEAR(B134),EOMONTH(B134,1)))),"")</f>
        <v>47208</v>
      </c>
      <c r="C135" s="22">
        <f ca="1">IF(B135="","",IF(LEFT(B135,2)="13",C134,IF(MONTH(B135)=1,C134*(1+PREMISSAS!$C$57),C134)))</f>
        <v>0</v>
      </c>
      <c r="E135" s="18">
        <v>131</v>
      </c>
      <c r="F135" s="21">
        <f t="shared" ref="F135:F198" ca="1" si="19">IFERROR(IF(LEFT(F134,2)="13",DATE(RIGHT(F134,4),12,31),IF(EOMONTH(F134,0)&gt;$F$1,"",IF(MONTH(F134)=11,"13º "&amp;YEAR(F134),EOMONTH(F134,1)))),"")</f>
        <v>41121</v>
      </c>
      <c r="G135" s="22">
        <f ca="1">IFERROR(VLOOKUP(F135,RESULTADOS!$O$5:$P$543,2,FALSE),VLOOKUP(F135,$B$5:$C$724,2,FALSE))</f>
        <v>0</v>
      </c>
      <c r="H135" s="4">
        <f ca="1">IF(F135&lt;PREMISSAS!$D$7,0,IFERROR(VLOOKUP(IF(LEFT(F135,2)="13",DATE(YEAR(F134),12,31),F135),IPCA!$A$3:$D$284,4,FALSE),1)*G135)</f>
        <v>0</v>
      </c>
      <c r="J135" s="21">
        <f t="shared" ca="1" si="14"/>
        <v>41121</v>
      </c>
      <c r="K135" s="4">
        <f t="shared" ca="1" si="15"/>
        <v>0</v>
      </c>
      <c r="M135" s="21">
        <f t="shared" ref="M135:M198" ca="1" si="20">IFERROR(IF(LEFT(M134,2)="13",DATE(RIGHT(M134,4),12,31),IF(EOMONTH(M134,0)&gt;$F$1,"",IF(MONTH(M134)=11,"13º "&amp;YEAR(M134),EOMONTH(M134,1)))),"")</f>
        <v>41121</v>
      </c>
      <c r="N135" s="37">
        <f t="shared" ca="1" si="16"/>
        <v>0</v>
      </c>
      <c r="O135" s="4">
        <f ca="1">IFERROR(AVERAGEIF(N$5:$N135,"&gt;="&amp;_xlfn.PERCENTILE.EXC(N$5:$N135,0.2)),0)</f>
        <v>0</v>
      </c>
      <c r="Q135" s="21">
        <f t="shared" ca="1" si="17"/>
        <v>41121</v>
      </c>
      <c r="R135" s="4">
        <f ca="1">MIN(O135,PREMISSAS!$C$13)</f>
        <v>0</v>
      </c>
      <c r="S135" s="240"/>
      <c r="T135" s="240"/>
    </row>
    <row r="136" spans="2:20" x14ac:dyDescent="0.25">
      <c r="B136" s="21">
        <f t="shared" ca="1" si="18"/>
        <v>47238</v>
      </c>
      <c r="C136" s="22">
        <f ca="1">IF(B136="","",IF(LEFT(B136,2)="13",C135,IF(MONTH(B136)=1,C135*(1+PREMISSAS!$C$57),C135)))</f>
        <v>0</v>
      </c>
      <c r="E136" s="18">
        <v>132</v>
      </c>
      <c r="F136" s="21">
        <f t="shared" ca="1" si="19"/>
        <v>41152</v>
      </c>
      <c r="G136" s="22">
        <f ca="1">IFERROR(VLOOKUP(F136,RESULTADOS!$O$5:$P$543,2,FALSE),VLOOKUP(F136,$B$5:$C$724,2,FALSE))</f>
        <v>0</v>
      </c>
      <c r="H136" s="4">
        <f ca="1">IF(F136&lt;PREMISSAS!$D$7,0,IFERROR(VLOOKUP(IF(LEFT(F136,2)="13",DATE(YEAR(F135),12,31),F136),IPCA!$A$3:$D$284,4,FALSE),1)*G136)</f>
        <v>0</v>
      </c>
      <c r="J136" s="21">
        <f t="shared" ca="1" si="14"/>
        <v>41152</v>
      </c>
      <c r="K136" s="4">
        <f t="shared" ca="1" si="15"/>
        <v>0</v>
      </c>
      <c r="M136" s="21">
        <f t="shared" ca="1" si="20"/>
        <v>41152</v>
      </c>
      <c r="N136" s="37">
        <f t="shared" ca="1" si="16"/>
        <v>0</v>
      </c>
      <c r="O136" s="4">
        <f ca="1">IFERROR(AVERAGEIF(N$5:$N136,"&gt;="&amp;_xlfn.PERCENTILE.EXC(N$5:$N136,0.2)),0)</f>
        <v>0</v>
      </c>
      <c r="Q136" s="21">
        <f t="shared" ca="1" si="17"/>
        <v>41152</v>
      </c>
      <c r="R136" s="4">
        <f ca="1">MIN(O136,PREMISSAS!$C$13)</f>
        <v>0</v>
      </c>
      <c r="S136" s="240"/>
      <c r="T136" s="240"/>
    </row>
    <row r="137" spans="2:20" x14ac:dyDescent="0.25">
      <c r="B137" s="21">
        <f t="shared" ca="1" si="18"/>
        <v>47269</v>
      </c>
      <c r="C137" s="22">
        <f ca="1">IF(B137="","",IF(LEFT(B137,2)="13",C136,IF(MONTH(B137)=1,C136*(1+PREMISSAS!$C$57),C136)))</f>
        <v>0</v>
      </c>
      <c r="E137" s="18">
        <v>133</v>
      </c>
      <c r="F137" s="21">
        <f t="shared" ca="1" si="19"/>
        <v>41182</v>
      </c>
      <c r="G137" s="22">
        <f ca="1">IFERROR(VLOOKUP(F137,RESULTADOS!$O$5:$P$543,2,FALSE),VLOOKUP(F137,$B$5:$C$724,2,FALSE))</f>
        <v>0</v>
      </c>
      <c r="H137" s="4">
        <f ca="1">IF(F137&lt;PREMISSAS!$D$7,0,IFERROR(VLOOKUP(IF(LEFT(F137,2)="13",DATE(YEAR(F136),12,31),F137),IPCA!$A$3:$D$284,4,FALSE),1)*G137)</f>
        <v>0</v>
      </c>
      <c r="J137" s="21">
        <f t="shared" ca="1" si="14"/>
        <v>41182</v>
      </c>
      <c r="K137" s="4">
        <f t="shared" ca="1" si="15"/>
        <v>0</v>
      </c>
      <c r="M137" s="21">
        <f t="shared" ca="1" si="20"/>
        <v>41182</v>
      </c>
      <c r="N137" s="37">
        <f t="shared" ca="1" si="16"/>
        <v>0</v>
      </c>
      <c r="O137" s="4">
        <f ca="1">IFERROR(AVERAGEIF(N$5:$N137,"&gt;="&amp;_xlfn.PERCENTILE.EXC(N$5:$N137,0.2)),0)</f>
        <v>0</v>
      </c>
      <c r="Q137" s="21">
        <f t="shared" ca="1" si="17"/>
        <v>41182</v>
      </c>
      <c r="R137" s="4">
        <f ca="1">MIN(O137,PREMISSAS!$C$13)</f>
        <v>0</v>
      </c>
      <c r="S137" s="240"/>
      <c r="T137" s="240"/>
    </row>
    <row r="138" spans="2:20" x14ac:dyDescent="0.25">
      <c r="B138" s="21">
        <f t="shared" ca="1" si="18"/>
        <v>47299</v>
      </c>
      <c r="C138" s="22">
        <f ca="1">IF(B138="","",IF(LEFT(B138,2)="13",C137,IF(MONTH(B138)=1,C137*(1+PREMISSAS!$C$57),C137)))</f>
        <v>0</v>
      </c>
      <c r="E138" s="18">
        <v>134</v>
      </c>
      <c r="F138" s="21">
        <f t="shared" ca="1" si="19"/>
        <v>41213</v>
      </c>
      <c r="G138" s="22">
        <f ca="1">IFERROR(VLOOKUP(F138,RESULTADOS!$O$5:$P$543,2,FALSE),VLOOKUP(F138,$B$5:$C$724,2,FALSE))</f>
        <v>0</v>
      </c>
      <c r="H138" s="4">
        <f ca="1">IF(F138&lt;PREMISSAS!$D$7,0,IFERROR(VLOOKUP(IF(LEFT(F138,2)="13",DATE(YEAR(F137),12,31),F138),IPCA!$A$3:$D$284,4,FALSE),1)*G138)</f>
        <v>0</v>
      </c>
      <c r="J138" s="21">
        <f t="shared" ca="1" si="14"/>
        <v>41213</v>
      </c>
      <c r="K138" s="4">
        <f t="shared" ca="1" si="15"/>
        <v>0</v>
      </c>
      <c r="M138" s="21">
        <f t="shared" ca="1" si="20"/>
        <v>41213</v>
      </c>
      <c r="N138" s="37">
        <f t="shared" ca="1" si="16"/>
        <v>0</v>
      </c>
      <c r="O138" s="4">
        <f ca="1">IFERROR(AVERAGEIF(N$5:$N138,"&gt;="&amp;_xlfn.PERCENTILE.EXC(N$5:$N138,0.2)),0)</f>
        <v>0</v>
      </c>
      <c r="Q138" s="21">
        <f t="shared" ca="1" si="17"/>
        <v>41213</v>
      </c>
      <c r="R138" s="4">
        <f ca="1">MIN(O138,PREMISSAS!$C$13)</f>
        <v>0</v>
      </c>
      <c r="S138" s="240"/>
      <c r="T138" s="240"/>
    </row>
    <row r="139" spans="2:20" x14ac:dyDescent="0.25">
      <c r="B139" s="21">
        <f t="shared" ca="1" si="18"/>
        <v>47330</v>
      </c>
      <c r="C139" s="22">
        <f ca="1">IF(B139="","",IF(LEFT(B139,2)="13",C138,IF(MONTH(B139)=1,C138*(1+PREMISSAS!$C$57),C138)))</f>
        <v>0</v>
      </c>
      <c r="E139" s="18">
        <v>135</v>
      </c>
      <c r="F139" s="21">
        <f t="shared" ca="1" si="19"/>
        <v>41243</v>
      </c>
      <c r="G139" s="22">
        <f ca="1">IFERROR(VLOOKUP(F139,RESULTADOS!$O$5:$P$543,2,FALSE),VLOOKUP(F139,$B$5:$C$724,2,FALSE))</f>
        <v>0</v>
      </c>
      <c r="H139" s="4">
        <f ca="1">IF(F139&lt;PREMISSAS!$D$7,0,IFERROR(VLOOKUP(IF(LEFT(F139,2)="13",DATE(YEAR(F138),12,31),F139),IPCA!$A$3:$D$284,4,FALSE),1)*G139)</f>
        <v>0</v>
      </c>
      <c r="J139" s="21">
        <f t="shared" ca="1" si="14"/>
        <v>41243</v>
      </c>
      <c r="K139" s="4">
        <f t="shared" ca="1" si="15"/>
        <v>0</v>
      </c>
      <c r="M139" s="21">
        <f t="shared" ca="1" si="20"/>
        <v>41243</v>
      </c>
      <c r="N139" s="37">
        <f t="shared" ca="1" si="16"/>
        <v>0</v>
      </c>
      <c r="O139" s="4">
        <f ca="1">IFERROR(AVERAGEIF(N$5:$N139,"&gt;="&amp;_xlfn.PERCENTILE.EXC(N$5:$N139,0.2)),0)</f>
        <v>0</v>
      </c>
      <c r="Q139" s="21">
        <f t="shared" ca="1" si="17"/>
        <v>41243</v>
      </c>
      <c r="R139" s="4">
        <f ca="1">MIN(O139,PREMISSAS!$C$13)</f>
        <v>0</v>
      </c>
      <c r="S139" s="240"/>
      <c r="T139" s="240"/>
    </row>
    <row r="140" spans="2:20" x14ac:dyDescent="0.25">
      <c r="B140" s="21">
        <f t="shared" ca="1" si="18"/>
        <v>47361</v>
      </c>
      <c r="C140" s="22">
        <f ca="1">IF(B140="","",IF(LEFT(B140,2)="13",C139,IF(MONTH(B140)=1,C139*(1+PREMISSAS!$C$57),C139)))</f>
        <v>0</v>
      </c>
      <c r="E140" s="18">
        <v>136</v>
      </c>
      <c r="F140" s="21" t="str">
        <f t="shared" ca="1" si="19"/>
        <v>13º 2012</v>
      </c>
      <c r="G140" s="22">
        <f ca="1">IFERROR(VLOOKUP(F140,RESULTADOS!$O$5:$P$543,2,FALSE),VLOOKUP(F140,$B$5:$C$724,2,FALSE))</f>
        <v>0</v>
      </c>
      <c r="H140" s="4">
        <f ca="1">IF(F140&lt;PREMISSAS!$D$7,0,IFERROR(VLOOKUP(IF(LEFT(F140,2)="13",DATE(YEAR(F139),12,31),F140),IPCA!$A$3:$D$284,4,FALSE),1)*G140)</f>
        <v>0</v>
      </c>
      <c r="J140" s="21" t="str">
        <f t="shared" ca="1" si="14"/>
        <v>13º 2012</v>
      </c>
      <c r="K140" s="4">
        <f t="shared" ca="1" si="15"/>
        <v>0</v>
      </c>
      <c r="M140" s="21" t="str">
        <f t="shared" ca="1" si="20"/>
        <v>13º 2012</v>
      </c>
      <c r="N140" s="37">
        <f t="shared" ca="1" si="16"/>
        <v>0</v>
      </c>
      <c r="O140" s="4">
        <f ca="1">IFERROR(AVERAGEIF(N$5:$N140,"&gt;="&amp;_xlfn.PERCENTILE.EXC(N$5:$N140,0.2)),0)</f>
        <v>0</v>
      </c>
      <c r="Q140" s="21" t="str">
        <f t="shared" ca="1" si="17"/>
        <v>13º 2012</v>
      </c>
      <c r="R140" s="4">
        <f ca="1">MIN(O140,PREMISSAS!$C$13)</f>
        <v>0</v>
      </c>
      <c r="S140" s="240"/>
      <c r="T140" s="240"/>
    </row>
    <row r="141" spans="2:20" x14ac:dyDescent="0.25">
      <c r="B141" s="21">
        <f t="shared" ca="1" si="18"/>
        <v>47391</v>
      </c>
      <c r="C141" s="22">
        <f ca="1">IF(B141="","",IF(LEFT(B141,2)="13",C140,IF(MONTH(B141)=1,C140*(1+PREMISSAS!$C$57),C140)))</f>
        <v>0</v>
      </c>
      <c r="E141" s="18">
        <v>137</v>
      </c>
      <c r="F141" s="21">
        <f t="shared" ca="1" si="19"/>
        <v>41274</v>
      </c>
      <c r="G141" s="22">
        <f ca="1">IFERROR(VLOOKUP(F141,RESULTADOS!$O$5:$P$543,2,FALSE),VLOOKUP(F141,$B$5:$C$724,2,FALSE))</f>
        <v>0</v>
      </c>
      <c r="H141" s="4">
        <f ca="1">IF(F141&lt;PREMISSAS!$D$7,0,IFERROR(VLOOKUP(IF(LEFT(F141,2)="13",DATE(YEAR(F140),12,31),F141),IPCA!$A$3:$D$284,4,FALSE),1)*G141)</f>
        <v>0</v>
      </c>
      <c r="J141" s="21">
        <f t="shared" ca="1" si="14"/>
        <v>41274</v>
      </c>
      <c r="K141" s="4">
        <f t="shared" ca="1" si="15"/>
        <v>0</v>
      </c>
      <c r="M141" s="21">
        <f t="shared" ca="1" si="20"/>
        <v>41274</v>
      </c>
      <c r="N141" s="37">
        <f t="shared" ca="1" si="16"/>
        <v>0</v>
      </c>
      <c r="O141" s="4">
        <f ca="1">IFERROR(AVERAGEIF(N$5:$N141,"&gt;="&amp;_xlfn.PERCENTILE.EXC(N$5:$N141,0.2)),0)</f>
        <v>0</v>
      </c>
      <c r="Q141" s="21">
        <f t="shared" ca="1" si="17"/>
        <v>41274</v>
      </c>
      <c r="R141" s="4">
        <f ca="1">MIN(O141,PREMISSAS!$C$13)</f>
        <v>0</v>
      </c>
      <c r="S141" s="240"/>
      <c r="T141" s="240"/>
    </row>
    <row r="142" spans="2:20" x14ac:dyDescent="0.25">
      <c r="B142" s="21">
        <f t="shared" ca="1" si="18"/>
        <v>47422</v>
      </c>
      <c r="C142" s="22">
        <f ca="1">IF(B142="","",IF(LEFT(B142,2)="13",C141,IF(MONTH(B142)=1,C141*(1+PREMISSAS!$C$57),C141)))</f>
        <v>0</v>
      </c>
      <c r="E142" s="18">
        <v>138</v>
      </c>
      <c r="F142" s="21">
        <f t="shared" ca="1" si="19"/>
        <v>41305</v>
      </c>
      <c r="G142" s="22">
        <f ca="1">IFERROR(VLOOKUP(F142,RESULTADOS!$O$5:$P$543,2,FALSE),VLOOKUP(F142,$B$5:$C$724,2,FALSE))</f>
        <v>0</v>
      </c>
      <c r="H142" s="4">
        <f ca="1">IF(F142&lt;PREMISSAS!$D$7,0,IFERROR(VLOOKUP(IF(LEFT(F142,2)="13",DATE(YEAR(F141),12,31),F142),IPCA!$A$3:$D$284,4,FALSE),1)*G142)</f>
        <v>0</v>
      </c>
      <c r="J142" s="21">
        <f t="shared" ca="1" si="14"/>
        <v>41305</v>
      </c>
      <c r="K142" s="4">
        <f t="shared" ca="1" si="15"/>
        <v>0</v>
      </c>
      <c r="M142" s="21">
        <f t="shared" ca="1" si="20"/>
        <v>41305</v>
      </c>
      <c r="N142" s="37">
        <f t="shared" ca="1" si="16"/>
        <v>0</v>
      </c>
      <c r="O142" s="4">
        <f ca="1">IFERROR(AVERAGEIF(N$5:$N142,"&gt;="&amp;_xlfn.PERCENTILE.EXC(N$5:$N142,0.2)),0)</f>
        <v>0</v>
      </c>
      <c r="Q142" s="21">
        <f t="shared" ca="1" si="17"/>
        <v>41305</v>
      </c>
      <c r="R142" s="4">
        <f ca="1">MIN(O142,PREMISSAS!$C$13)</f>
        <v>0</v>
      </c>
      <c r="S142" s="240"/>
      <c r="T142" s="240"/>
    </row>
    <row r="143" spans="2:20" x14ac:dyDescent="0.25">
      <c r="B143" s="21">
        <f t="shared" ca="1" si="18"/>
        <v>47452</v>
      </c>
      <c r="C143" s="22">
        <f ca="1">IF(B143="","",IF(LEFT(B143,2)="13",C142,IF(MONTH(B143)=1,C142*(1+PREMISSAS!$C$57),C142)))</f>
        <v>0</v>
      </c>
      <c r="E143" s="18">
        <v>139</v>
      </c>
      <c r="F143" s="21">
        <f t="shared" ca="1" si="19"/>
        <v>41333</v>
      </c>
      <c r="G143" s="22">
        <f ca="1">IFERROR(VLOOKUP(F143,RESULTADOS!$O$5:$P$543,2,FALSE),VLOOKUP(F143,$B$5:$C$724,2,FALSE))</f>
        <v>0</v>
      </c>
      <c r="H143" s="4">
        <f ca="1">IF(F143&lt;PREMISSAS!$D$7,0,IFERROR(VLOOKUP(IF(LEFT(F143,2)="13",DATE(YEAR(F142),12,31),F143),IPCA!$A$3:$D$284,4,FALSE),1)*G143)</f>
        <v>0</v>
      </c>
      <c r="J143" s="21">
        <f t="shared" ca="1" si="14"/>
        <v>41333</v>
      </c>
      <c r="K143" s="4">
        <f t="shared" ca="1" si="15"/>
        <v>0</v>
      </c>
      <c r="M143" s="21">
        <f t="shared" ca="1" si="20"/>
        <v>41333</v>
      </c>
      <c r="N143" s="37">
        <f t="shared" ca="1" si="16"/>
        <v>0</v>
      </c>
      <c r="O143" s="4">
        <f ca="1">IFERROR(AVERAGEIF(N$5:$N143,"&gt;="&amp;_xlfn.PERCENTILE.EXC(N$5:$N143,0.2)),0)</f>
        <v>0</v>
      </c>
      <c r="Q143" s="21">
        <f t="shared" ca="1" si="17"/>
        <v>41333</v>
      </c>
      <c r="R143" s="4">
        <f ca="1">MIN(O143,PREMISSAS!$C$13)</f>
        <v>0</v>
      </c>
      <c r="S143" s="240"/>
      <c r="T143" s="240"/>
    </row>
    <row r="144" spans="2:20" x14ac:dyDescent="0.25">
      <c r="B144" s="21" t="str">
        <f t="shared" ca="1" si="18"/>
        <v>13º 2029</v>
      </c>
      <c r="C144" s="22">
        <f ca="1">IF(B144="","",IF(LEFT(B144,2)="13",C143,IF(MONTH(B144)=1,C143*(1+PREMISSAS!$C$57),C143)))</f>
        <v>0</v>
      </c>
      <c r="E144" s="18">
        <v>140</v>
      </c>
      <c r="F144" s="21">
        <f t="shared" ca="1" si="19"/>
        <v>41364</v>
      </c>
      <c r="G144" s="22">
        <f ca="1">IFERROR(VLOOKUP(F144,RESULTADOS!$O$5:$P$543,2,FALSE),VLOOKUP(F144,$B$5:$C$724,2,FALSE))</f>
        <v>0</v>
      </c>
      <c r="H144" s="4">
        <f ca="1">IF(F144&lt;PREMISSAS!$D$7,0,IFERROR(VLOOKUP(IF(LEFT(F144,2)="13",DATE(YEAR(F143),12,31),F144),IPCA!$A$3:$D$284,4,FALSE),1)*G144)</f>
        <v>0</v>
      </c>
      <c r="J144" s="21">
        <f t="shared" ca="1" si="14"/>
        <v>41364</v>
      </c>
      <c r="K144" s="4">
        <f t="shared" ca="1" si="15"/>
        <v>0</v>
      </c>
      <c r="M144" s="21">
        <f t="shared" ca="1" si="20"/>
        <v>41364</v>
      </c>
      <c r="N144" s="37">
        <f t="shared" ca="1" si="16"/>
        <v>0</v>
      </c>
      <c r="O144" s="4">
        <f ca="1">IFERROR(AVERAGEIF(N$5:$N144,"&gt;="&amp;_xlfn.PERCENTILE.EXC(N$5:$N144,0.2)),0)</f>
        <v>0</v>
      </c>
      <c r="Q144" s="21">
        <f t="shared" ca="1" si="17"/>
        <v>41364</v>
      </c>
      <c r="R144" s="4">
        <f ca="1">MIN(O144,PREMISSAS!$C$13)</f>
        <v>0</v>
      </c>
      <c r="S144" s="240"/>
      <c r="T144" s="240"/>
    </row>
    <row r="145" spans="2:20" x14ac:dyDescent="0.25">
      <c r="B145" s="21">
        <f t="shared" ca="1" si="18"/>
        <v>47483</v>
      </c>
      <c r="C145" s="22">
        <f ca="1">IF(B145="","",IF(LEFT(B145,2)="13",C144,IF(MONTH(B145)=1,C144*(1+PREMISSAS!$C$57),C144)))</f>
        <v>0</v>
      </c>
      <c r="E145" s="18">
        <v>141</v>
      </c>
      <c r="F145" s="21">
        <f t="shared" ca="1" si="19"/>
        <v>41394</v>
      </c>
      <c r="G145" s="22">
        <f ca="1">IFERROR(VLOOKUP(F145,RESULTADOS!$O$5:$P$543,2,FALSE),VLOOKUP(F145,$B$5:$C$724,2,FALSE))</f>
        <v>0</v>
      </c>
      <c r="H145" s="4">
        <f ca="1">IF(F145&lt;PREMISSAS!$D$7,0,IFERROR(VLOOKUP(IF(LEFT(F145,2)="13",DATE(YEAR(F144),12,31),F145),IPCA!$A$3:$D$284,4,FALSE),1)*G145)</f>
        <v>0</v>
      </c>
      <c r="J145" s="21">
        <f t="shared" ca="1" si="14"/>
        <v>41394</v>
      </c>
      <c r="K145" s="4">
        <f t="shared" ca="1" si="15"/>
        <v>0</v>
      </c>
      <c r="M145" s="21">
        <f t="shared" ca="1" si="20"/>
        <v>41394</v>
      </c>
      <c r="N145" s="37">
        <f t="shared" ca="1" si="16"/>
        <v>0</v>
      </c>
      <c r="O145" s="4">
        <f ca="1">IFERROR(AVERAGEIF(N$5:$N145,"&gt;="&amp;_xlfn.PERCENTILE.EXC(N$5:$N145,0.2)),0)</f>
        <v>0</v>
      </c>
      <c r="Q145" s="21">
        <f t="shared" ca="1" si="17"/>
        <v>41394</v>
      </c>
      <c r="R145" s="4">
        <f ca="1">MIN(O145,PREMISSAS!$C$13)</f>
        <v>0</v>
      </c>
      <c r="S145" s="240"/>
      <c r="T145" s="240"/>
    </row>
    <row r="146" spans="2:20" x14ac:dyDescent="0.25">
      <c r="B146" s="21">
        <f t="shared" ca="1" si="18"/>
        <v>47514</v>
      </c>
      <c r="C146" s="22">
        <f ca="1">IF(B146="","",IF(LEFT(B146,2)="13",C145,IF(MONTH(B146)=1,C145*(1+PREMISSAS!$C$57),C145)))</f>
        <v>0</v>
      </c>
      <c r="E146" s="18">
        <v>142</v>
      </c>
      <c r="F146" s="21">
        <f t="shared" ca="1" si="19"/>
        <v>41425</v>
      </c>
      <c r="G146" s="22">
        <f ca="1">IFERROR(VLOOKUP(F146,RESULTADOS!$O$5:$P$543,2,FALSE),VLOOKUP(F146,$B$5:$C$724,2,FALSE))</f>
        <v>0</v>
      </c>
      <c r="H146" s="4">
        <f ca="1">IF(F146&lt;PREMISSAS!$D$7,0,IFERROR(VLOOKUP(IF(LEFT(F146,2)="13",DATE(YEAR(F145),12,31),F146),IPCA!$A$3:$D$284,4,FALSE),1)*G146)</f>
        <v>0</v>
      </c>
      <c r="J146" s="21">
        <f t="shared" ca="1" si="14"/>
        <v>41425</v>
      </c>
      <c r="K146" s="4">
        <f t="shared" ca="1" si="15"/>
        <v>0</v>
      </c>
      <c r="M146" s="21">
        <f t="shared" ca="1" si="20"/>
        <v>41425</v>
      </c>
      <c r="N146" s="37">
        <f t="shared" ca="1" si="16"/>
        <v>0</v>
      </c>
      <c r="O146" s="4">
        <f ca="1">IFERROR(AVERAGEIF(N$5:$N146,"&gt;="&amp;_xlfn.PERCENTILE.EXC(N$5:$N146,0.2)),0)</f>
        <v>0</v>
      </c>
      <c r="Q146" s="21">
        <f t="shared" ca="1" si="17"/>
        <v>41425</v>
      </c>
      <c r="R146" s="4">
        <f ca="1">MIN(O146,PREMISSAS!$C$13)</f>
        <v>0</v>
      </c>
      <c r="S146" s="240"/>
      <c r="T146" s="240"/>
    </row>
    <row r="147" spans="2:20" x14ac:dyDescent="0.25">
      <c r="B147" s="21">
        <f t="shared" ca="1" si="18"/>
        <v>47542</v>
      </c>
      <c r="C147" s="22">
        <f ca="1">IF(B147="","",IF(LEFT(B147,2)="13",C146,IF(MONTH(B147)=1,C146*(1+PREMISSAS!$C$57),C146)))</f>
        <v>0</v>
      </c>
      <c r="E147" s="18">
        <v>143</v>
      </c>
      <c r="F147" s="21">
        <f t="shared" ca="1" si="19"/>
        <v>41455</v>
      </c>
      <c r="G147" s="22">
        <f ca="1">IFERROR(VLOOKUP(F147,RESULTADOS!$O$5:$P$543,2,FALSE),VLOOKUP(F147,$B$5:$C$724,2,FALSE))</f>
        <v>0</v>
      </c>
      <c r="H147" s="4">
        <f ca="1">IF(F147&lt;PREMISSAS!$D$7,0,IFERROR(VLOOKUP(IF(LEFT(F147,2)="13",DATE(YEAR(F146),12,31),F147),IPCA!$A$3:$D$284,4,FALSE),1)*G147)</f>
        <v>0</v>
      </c>
      <c r="J147" s="21">
        <f t="shared" ca="1" si="14"/>
        <v>41455</v>
      </c>
      <c r="K147" s="4">
        <f t="shared" ca="1" si="15"/>
        <v>0</v>
      </c>
      <c r="M147" s="21">
        <f t="shared" ca="1" si="20"/>
        <v>41455</v>
      </c>
      <c r="N147" s="37">
        <f t="shared" ca="1" si="16"/>
        <v>0</v>
      </c>
      <c r="O147" s="4">
        <f ca="1">IFERROR(AVERAGEIF(N$5:$N147,"&gt;="&amp;_xlfn.PERCENTILE.EXC(N$5:$N147,0.2)),0)</f>
        <v>0</v>
      </c>
      <c r="Q147" s="21">
        <f t="shared" ca="1" si="17"/>
        <v>41455</v>
      </c>
      <c r="R147" s="4">
        <f ca="1">MIN(O147,PREMISSAS!$C$13)</f>
        <v>0</v>
      </c>
      <c r="S147" s="240"/>
      <c r="T147" s="240"/>
    </row>
    <row r="148" spans="2:20" x14ac:dyDescent="0.25">
      <c r="B148" s="21">
        <f t="shared" ca="1" si="18"/>
        <v>47573</v>
      </c>
      <c r="C148" s="22">
        <f ca="1">IF(B148="","",IF(LEFT(B148,2)="13",C147,IF(MONTH(B148)=1,C147*(1+PREMISSAS!$C$57),C147)))</f>
        <v>0</v>
      </c>
      <c r="E148" s="18">
        <v>144</v>
      </c>
      <c r="F148" s="21">
        <f t="shared" ca="1" si="19"/>
        <v>41486</v>
      </c>
      <c r="G148" s="22">
        <f ca="1">IFERROR(VLOOKUP(F148,RESULTADOS!$O$5:$P$543,2,FALSE),VLOOKUP(F148,$B$5:$C$724,2,FALSE))</f>
        <v>0</v>
      </c>
      <c r="H148" s="4">
        <f ca="1">IF(F148&lt;PREMISSAS!$D$7,0,IFERROR(VLOOKUP(IF(LEFT(F148,2)="13",DATE(YEAR(F147),12,31),F148),IPCA!$A$3:$D$284,4,FALSE),1)*G148)</f>
        <v>0</v>
      </c>
      <c r="J148" s="21">
        <f t="shared" ca="1" si="14"/>
        <v>41486</v>
      </c>
      <c r="K148" s="4">
        <f t="shared" ca="1" si="15"/>
        <v>0</v>
      </c>
      <c r="M148" s="21">
        <f t="shared" ca="1" si="20"/>
        <v>41486</v>
      </c>
      <c r="N148" s="37">
        <f t="shared" ca="1" si="16"/>
        <v>0</v>
      </c>
      <c r="O148" s="4">
        <f ca="1">IFERROR(AVERAGEIF(N$5:$N148,"&gt;="&amp;_xlfn.PERCENTILE.EXC(N$5:$N148,0.2)),0)</f>
        <v>0</v>
      </c>
      <c r="Q148" s="21">
        <f t="shared" ca="1" si="17"/>
        <v>41486</v>
      </c>
      <c r="R148" s="4">
        <f ca="1">MIN(O148,PREMISSAS!$C$13)</f>
        <v>0</v>
      </c>
      <c r="S148" s="240"/>
      <c r="T148" s="240"/>
    </row>
    <row r="149" spans="2:20" x14ac:dyDescent="0.25">
      <c r="B149" s="21">
        <f t="shared" ca="1" si="18"/>
        <v>47603</v>
      </c>
      <c r="C149" s="22">
        <f ca="1">IF(B149="","",IF(LEFT(B149,2)="13",C148,IF(MONTH(B149)=1,C148*(1+PREMISSAS!$C$57),C148)))</f>
        <v>0</v>
      </c>
      <c r="E149" s="18">
        <v>145</v>
      </c>
      <c r="F149" s="21">
        <f t="shared" ca="1" si="19"/>
        <v>41517</v>
      </c>
      <c r="G149" s="22">
        <f ca="1">IFERROR(VLOOKUP(F149,RESULTADOS!$O$5:$P$543,2,FALSE),VLOOKUP(F149,$B$5:$C$724,2,FALSE))</f>
        <v>0</v>
      </c>
      <c r="H149" s="4">
        <f ca="1">IF(F149&lt;PREMISSAS!$D$7,0,IFERROR(VLOOKUP(IF(LEFT(F149,2)="13",DATE(YEAR(F148),12,31),F149),IPCA!$A$3:$D$284,4,FALSE),1)*G149)</f>
        <v>0</v>
      </c>
      <c r="J149" s="21">
        <f t="shared" ca="1" si="14"/>
        <v>41517</v>
      </c>
      <c r="K149" s="4">
        <f t="shared" ca="1" si="15"/>
        <v>0</v>
      </c>
      <c r="M149" s="21">
        <f t="shared" ca="1" si="20"/>
        <v>41517</v>
      </c>
      <c r="N149" s="37">
        <f t="shared" ca="1" si="16"/>
        <v>0</v>
      </c>
      <c r="O149" s="4">
        <f ca="1">IFERROR(AVERAGEIF(N$5:$N149,"&gt;="&amp;_xlfn.PERCENTILE.EXC(N$5:$N149,0.2)),0)</f>
        <v>0</v>
      </c>
      <c r="Q149" s="21">
        <f t="shared" ca="1" si="17"/>
        <v>41517</v>
      </c>
      <c r="R149" s="4">
        <f ca="1">MIN(O149,PREMISSAS!$C$13)</f>
        <v>0</v>
      </c>
      <c r="S149" s="240"/>
      <c r="T149" s="240"/>
    </row>
    <row r="150" spans="2:20" x14ac:dyDescent="0.25">
      <c r="B150" s="21">
        <f t="shared" ca="1" si="18"/>
        <v>47634</v>
      </c>
      <c r="C150" s="22">
        <f ca="1">IF(B150="","",IF(LEFT(B150,2)="13",C149,IF(MONTH(B150)=1,C149*(1+PREMISSAS!$C$57),C149)))</f>
        <v>0</v>
      </c>
      <c r="E150" s="18">
        <v>146</v>
      </c>
      <c r="F150" s="21">
        <f t="shared" ca="1" si="19"/>
        <v>41547</v>
      </c>
      <c r="G150" s="22">
        <f ca="1">IFERROR(VLOOKUP(F150,RESULTADOS!$O$5:$P$543,2,FALSE),VLOOKUP(F150,$B$5:$C$724,2,FALSE))</f>
        <v>0</v>
      </c>
      <c r="H150" s="4">
        <f ca="1">IF(F150&lt;PREMISSAS!$D$7,0,IFERROR(VLOOKUP(IF(LEFT(F150,2)="13",DATE(YEAR(F149),12,31),F150),IPCA!$A$3:$D$284,4,FALSE),1)*G150)</f>
        <v>0</v>
      </c>
      <c r="J150" s="21">
        <f t="shared" ca="1" si="14"/>
        <v>41547</v>
      </c>
      <c r="K150" s="4">
        <f t="shared" ca="1" si="15"/>
        <v>0</v>
      </c>
      <c r="M150" s="21">
        <f t="shared" ca="1" si="20"/>
        <v>41547</v>
      </c>
      <c r="N150" s="37">
        <f t="shared" ca="1" si="16"/>
        <v>0</v>
      </c>
      <c r="O150" s="4">
        <f ca="1">IFERROR(AVERAGEIF(N$5:$N150,"&gt;="&amp;_xlfn.PERCENTILE.EXC(N$5:$N150,0.2)),0)</f>
        <v>0</v>
      </c>
      <c r="Q150" s="21">
        <f t="shared" ca="1" si="17"/>
        <v>41547</v>
      </c>
      <c r="R150" s="4">
        <f ca="1">MIN(O150,PREMISSAS!$C$13)</f>
        <v>0</v>
      </c>
      <c r="S150" s="240"/>
      <c r="T150" s="240"/>
    </row>
    <row r="151" spans="2:20" x14ac:dyDescent="0.25">
      <c r="B151" s="21">
        <f t="shared" ca="1" si="18"/>
        <v>47664</v>
      </c>
      <c r="C151" s="22">
        <f ca="1">IF(B151="","",IF(LEFT(B151,2)="13",C150,IF(MONTH(B151)=1,C150*(1+PREMISSAS!$C$57),C150)))</f>
        <v>0</v>
      </c>
      <c r="E151" s="18">
        <v>147</v>
      </c>
      <c r="F151" s="21">
        <f t="shared" ca="1" si="19"/>
        <v>41578</v>
      </c>
      <c r="G151" s="22">
        <f ca="1">IFERROR(VLOOKUP(F151,RESULTADOS!$O$5:$P$543,2,FALSE),VLOOKUP(F151,$B$5:$C$724,2,FALSE))</f>
        <v>0</v>
      </c>
      <c r="H151" s="4">
        <f ca="1">IF(F151&lt;PREMISSAS!$D$7,0,IFERROR(VLOOKUP(IF(LEFT(F151,2)="13",DATE(YEAR(F150),12,31),F151),IPCA!$A$3:$D$284,4,FALSE),1)*G151)</f>
        <v>0</v>
      </c>
      <c r="J151" s="21">
        <f t="shared" ca="1" si="14"/>
        <v>41578</v>
      </c>
      <c r="K151" s="4">
        <f t="shared" ca="1" si="15"/>
        <v>0</v>
      </c>
      <c r="M151" s="21">
        <f t="shared" ca="1" si="20"/>
        <v>41578</v>
      </c>
      <c r="N151" s="37">
        <f t="shared" ca="1" si="16"/>
        <v>0</v>
      </c>
      <c r="O151" s="4">
        <f ca="1">IFERROR(AVERAGEIF(N$5:$N151,"&gt;="&amp;_xlfn.PERCENTILE.EXC(N$5:$N151,0.2)),0)</f>
        <v>0</v>
      </c>
      <c r="Q151" s="21">
        <f t="shared" ca="1" si="17"/>
        <v>41578</v>
      </c>
      <c r="R151" s="4">
        <f ca="1">MIN(O151,PREMISSAS!$C$13)</f>
        <v>0</v>
      </c>
      <c r="S151" s="240"/>
      <c r="T151" s="240"/>
    </row>
    <row r="152" spans="2:20" x14ac:dyDescent="0.25">
      <c r="B152" s="21">
        <f t="shared" ca="1" si="18"/>
        <v>47695</v>
      </c>
      <c r="C152" s="22">
        <f ca="1">IF(B152="","",IF(LEFT(B152,2)="13",C151,IF(MONTH(B152)=1,C151*(1+PREMISSAS!$C$57),C151)))</f>
        <v>0</v>
      </c>
      <c r="E152" s="18">
        <v>148</v>
      </c>
      <c r="F152" s="21">
        <f t="shared" ca="1" si="19"/>
        <v>41608</v>
      </c>
      <c r="G152" s="22">
        <f ca="1">IFERROR(VLOOKUP(F152,RESULTADOS!$O$5:$P$543,2,FALSE),VLOOKUP(F152,$B$5:$C$724,2,FALSE))</f>
        <v>0</v>
      </c>
      <c r="H152" s="4">
        <f ca="1">IF(F152&lt;PREMISSAS!$D$7,0,IFERROR(VLOOKUP(IF(LEFT(F152,2)="13",DATE(YEAR(F151),12,31),F152),IPCA!$A$3:$D$284,4,FALSE),1)*G152)</f>
        <v>0</v>
      </c>
      <c r="J152" s="21">
        <f t="shared" ca="1" si="14"/>
        <v>41608</v>
      </c>
      <c r="K152" s="4">
        <f t="shared" ca="1" si="15"/>
        <v>0</v>
      </c>
      <c r="M152" s="21">
        <f t="shared" ca="1" si="20"/>
        <v>41608</v>
      </c>
      <c r="N152" s="37">
        <f t="shared" ca="1" si="16"/>
        <v>0</v>
      </c>
      <c r="O152" s="4">
        <f ca="1">IFERROR(AVERAGEIF(N$5:$N152,"&gt;="&amp;_xlfn.PERCENTILE.EXC(N$5:$N152,0.2)),0)</f>
        <v>0</v>
      </c>
      <c r="Q152" s="21">
        <f t="shared" ca="1" si="17"/>
        <v>41608</v>
      </c>
      <c r="R152" s="4">
        <f ca="1">MIN(O152,PREMISSAS!$C$13)</f>
        <v>0</v>
      </c>
      <c r="S152" s="240"/>
      <c r="T152" s="240"/>
    </row>
    <row r="153" spans="2:20" x14ac:dyDescent="0.25">
      <c r="B153" s="21">
        <f t="shared" ca="1" si="18"/>
        <v>47726</v>
      </c>
      <c r="C153" s="22">
        <f ca="1">IF(B153="","",IF(LEFT(B153,2)="13",C152,IF(MONTH(B153)=1,C152*(1+PREMISSAS!$C$57),C152)))</f>
        <v>0</v>
      </c>
      <c r="E153" s="18">
        <v>149</v>
      </c>
      <c r="F153" s="21" t="str">
        <f t="shared" ca="1" si="19"/>
        <v>13º 2013</v>
      </c>
      <c r="G153" s="22">
        <f ca="1">IFERROR(VLOOKUP(F153,RESULTADOS!$O$5:$P$543,2,FALSE),VLOOKUP(F153,$B$5:$C$724,2,FALSE))</f>
        <v>0</v>
      </c>
      <c r="H153" s="4">
        <f ca="1">IF(F153&lt;PREMISSAS!$D$7,0,IFERROR(VLOOKUP(IF(LEFT(F153,2)="13",DATE(YEAR(F152),12,31),F153),IPCA!$A$3:$D$284,4,FALSE),1)*G153)</f>
        <v>0</v>
      </c>
      <c r="J153" s="21" t="str">
        <f t="shared" ca="1" si="14"/>
        <v>13º 2013</v>
      </c>
      <c r="K153" s="4">
        <f t="shared" ca="1" si="15"/>
        <v>0</v>
      </c>
      <c r="M153" s="21" t="str">
        <f t="shared" ca="1" si="20"/>
        <v>13º 2013</v>
      </c>
      <c r="N153" s="37">
        <f t="shared" ca="1" si="16"/>
        <v>0</v>
      </c>
      <c r="O153" s="4">
        <f ca="1">IFERROR(AVERAGEIF(N$5:$N153,"&gt;="&amp;_xlfn.PERCENTILE.EXC(N$5:$N153,0.2)),0)</f>
        <v>0</v>
      </c>
      <c r="Q153" s="21" t="str">
        <f t="shared" ca="1" si="17"/>
        <v>13º 2013</v>
      </c>
      <c r="R153" s="4">
        <f ca="1">MIN(O153,PREMISSAS!$C$13)</f>
        <v>0</v>
      </c>
      <c r="S153" s="240"/>
      <c r="T153" s="240"/>
    </row>
    <row r="154" spans="2:20" x14ac:dyDescent="0.25">
      <c r="B154" s="21">
        <f t="shared" ca="1" si="18"/>
        <v>47756</v>
      </c>
      <c r="C154" s="22">
        <f ca="1">IF(B154="","",IF(LEFT(B154,2)="13",C153,IF(MONTH(B154)=1,C153*(1+PREMISSAS!$C$57),C153)))</f>
        <v>0</v>
      </c>
      <c r="E154" s="18">
        <v>150</v>
      </c>
      <c r="F154" s="21">
        <f t="shared" ca="1" si="19"/>
        <v>41639</v>
      </c>
      <c r="G154" s="22">
        <f ca="1">IFERROR(VLOOKUP(F154,RESULTADOS!$O$5:$P$543,2,FALSE),VLOOKUP(F154,$B$5:$C$724,2,FALSE))</f>
        <v>0</v>
      </c>
      <c r="H154" s="4">
        <f ca="1">IF(F154&lt;PREMISSAS!$D$7,0,IFERROR(VLOOKUP(IF(LEFT(F154,2)="13",DATE(YEAR(F153),12,31),F154),IPCA!$A$3:$D$284,4,FALSE),1)*G154)</f>
        <v>0</v>
      </c>
      <c r="J154" s="21">
        <f t="shared" ca="1" si="14"/>
        <v>41639</v>
      </c>
      <c r="K154" s="4">
        <f t="shared" ca="1" si="15"/>
        <v>0</v>
      </c>
      <c r="M154" s="21">
        <f t="shared" ca="1" si="20"/>
        <v>41639</v>
      </c>
      <c r="N154" s="37">
        <f t="shared" ca="1" si="16"/>
        <v>0</v>
      </c>
      <c r="O154" s="4">
        <f ca="1">IFERROR(AVERAGEIF(N$5:$N154,"&gt;="&amp;_xlfn.PERCENTILE.EXC(N$5:$N154,0.2)),0)</f>
        <v>0</v>
      </c>
      <c r="Q154" s="21">
        <f t="shared" ca="1" si="17"/>
        <v>41639</v>
      </c>
      <c r="R154" s="4">
        <f ca="1">MIN(O154,PREMISSAS!$C$13)</f>
        <v>0</v>
      </c>
      <c r="S154" s="240"/>
      <c r="T154" s="240"/>
    </row>
    <row r="155" spans="2:20" x14ac:dyDescent="0.25">
      <c r="B155" s="21">
        <f t="shared" ca="1" si="18"/>
        <v>47787</v>
      </c>
      <c r="C155" s="22">
        <f ca="1">IF(B155="","",IF(LEFT(B155,2)="13",C154,IF(MONTH(B155)=1,C154*(1+PREMISSAS!$C$57),C154)))</f>
        <v>0</v>
      </c>
      <c r="E155" s="18">
        <v>151</v>
      </c>
      <c r="F155" s="21">
        <f t="shared" ca="1" si="19"/>
        <v>41670</v>
      </c>
      <c r="G155" s="22">
        <f ca="1">IFERROR(VLOOKUP(F155,RESULTADOS!$O$5:$P$543,2,FALSE),VLOOKUP(F155,$B$5:$C$724,2,FALSE))</f>
        <v>0</v>
      </c>
      <c r="H155" s="4">
        <f ca="1">IF(F155&lt;PREMISSAS!$D$7,0,IFERROR(VLOOKUP(IF(LEFT(F155,2)="13",DATE(YEAR(F154),12,31),F155),IPCA!$A$3:$D$284,4,FALSE),1)*G155)</f>
        <v>0</v>
      </c>
      <c r="J155" s="21">
        <f t="shared" ca="1" si="14"/>
        <v>41670</v>
      </c>
      <c r="K155" s="4">
        <f t="shared" ca="1" si="15"/>
        <v>0</v>
      </c>
      <c r="M155" s="21">
        <f t="shared" ca="1" si="20"/>
        <v>41670</v>
      </c>
      <c r="N155" s="37">
        <f t="shared" ca="1" si="16"/>
        <v>0</v>
      </c>
      <c r="O155" s="4">
        <f ca="1">IFERROR(AVERAGEIF(N$5:$N155,"&gt;="&amp;_xlfn.PERCENTILE.EXC(N$5:$N155,0.2)),0)</f>
        <v>0</v>
      </c>
      <c r="Q155" s="21">
        <f t="shared" ca="1" si="17"/>
        <v>41670</v>
      </c>
      <c r="R155" s="4">
        <f ca="1">MIN(O155,PREMISSAS!$C$13)</f>
        <v>0</v>
      </c>
      <c r="S155" s="240"/>
      <c r="T155" s="240"/>
    </row>
    <row r="156" spans="2:20" x14ac:dyDescent="0.25">
      <c r="B156" s="21">
        <f t="shared" ca="1" si="18"/>
        <v>47817</v>
      </c>
      <c r="C156" s="22">
        <f ca="1">IF(B156="","",IF(LEFT(B156,2)="13",C155,IF(MONTH(B156)=1,C155*(1+PREMISSAS!$C$57),C155)))</f>
        <v>0</v>
      </c>
      <c r="E156" s="18">
        <v>152</v>
      </c>
      <c r="F156" s="21">
        <f t="shared" ca="1" si="19"/>
        <v>41698</v>
      </c>
      <c r="G156" s="22">
        <f ca="1">IFERROR(VLOOKUP(F156,RESULTADOS!$O$5:$P$543,2,FALSE),VLOOKUP(F156,$B$5:$C$724,2,FALSE))</f>
        <v>0</v>
      </c>
      <c r="H156" s="4">
        <f ca="1">IF(F156&lt;PREMISSAS!$D$7,0,IFERROR(VLOOKUP(IF(LEFT(F156,2)="13",DATE(YEAR(F155),12,31),F156),IPCA!$A$3:$D$284,4,FALSE),1)*G156)</f>
        <v>0</v>
      </c>
      <c r="J156" s="21">
        <f t="shared" ca="1" si="14"/>
        <v>41698</v>
      </c>
      <c r="K156" s="4">
        <f t="shared" ca="1" si="15"/>
        <v>0</v>
      </c>
      <c r="M156" s="21">
        <f t="shared" ca="1" si="20"/>
        <v>41698</v>
      </c>
      <c r="N156" s="37">
        <f t="shared" ca="1" si="16"/>
        <v>0</v>
      </c>
      <c r="O156" s="4">
        <f ca="1">IFERROR(AVERAGEIF(N$5:$N156,"&gt;="&amp;_xlfn.PERCENTILE.EXC(N$5:$N156,0.2)),0)</f>
        <v>0</v>
      </c>
      <c r="Q156" s="21">
        <f t="shared" ca="1" si="17"/>
        <v>41698</v>
      </c>
      <c r="R156" s="4">
        <f ca="1">MIN(O156,PREMISSAS!$C$13)</f>
        <v>0</v>
      </c>
      <c r="S156" s="240"/>
      <c r="T156" s="240"/>
    </row>
    <row r="157" spans="2:20" x14ac:dyDescent="0.25">
      <c r="B157" s="21" t="str">
        <f t="shared" ca="1" si="18"/>
        <v>13º 2030</v>
      </c>
      <c r="C157" s="22">
        <f ca="1">IF(B157="","",IF(LEFT(B157,2)="13",C156,IF(MONTH(B157)=1,C156*(1+PREMISSAS!$C$57),C156)))</f>
        <v>0</v>
      </c>
      <c r="E157" s="18">
        <v>153</v>
      </c>
      <c r="F157" s="21">
        <f t="shared" ca="1" si="19"/>
        <v>41729</v>
      </c>
      <c r="G157" s="22">
        <f ca="1">IFERROR(VLOOKUP(F157,RESULTADOS!$O$5:$P$543,2,FALSE),VLOOKUP(F157,$B$5:$C$724,2,FALSE))</f>
        <v>0</v>
      </c>
      <c r="H157" s="4">
        <f ca="1">IF(F157&lt;PREMISSAS!$D$7,0,IFERROR(VLOOKUP(IF(LEFT(F157,2)="13",DATE(YEAR(F156),12,31),F157),IPCA!$A$3:$D$284,4,FALSE),1)*G157)</f>
        <v>0</v>
      </c>
      <c r="J157" s="21">
        <f t="shared" ca="1" si="14"/>
        <v>41729</v>
      </c>
      <c r="K157" s="4">
        <f t="shared" ca="1" si="15"/>
        <v>0</v>
      </c>
      <c r="M157" s="21">
        <f t="shared" ca="1" si="20"/>
        <v>41729</v>
      </c>
      <c r="N157" s="37">
        <f t="shared" ca="1" si="16"/>
        <v>0</v>
      </c>
      <c r="O157" s="4">
        <f ca="1">IFERROR(AVERAGEIF(N$5:$N157,"&gt;="&amp;_xlfn.PERCENTILE.EXC(N$5:$N157,0.2)),0)</f>
        <v>0</v>
      </c>
      <c r="Q157" s="21">
        <f t="shared" ca="1" si="17"/>
        <v>41729</v>
      </c>
      <c r="R157" s="4">
        <f ca="1">MIN(O157,PREMISSAS!$C$13)</f>
        <v>0</v>
      </c>
      <c r="S157" s="240"/>
      <c r="T157" s="240"/>
    </row>
    <row r="158" spans="2:20" x14ac:dyDescent="0.25">
      <c r="B158" s="21">
        <f t="shared" ca="1" si="18"/>
        <v>47848</v>
      </c>
      <c r="C158" s="22">
        <f ca="1">IF(B158="","",IF(LEFT(B158,2)="13",C157,IF(MONTH(B158)=1,C157*(1+PREMISSAS!$C$57),C157)))</f>
        <v>0</v>
      </c>
      <c r="E158" s="18">
        <v>154</v>
      </c>
      <c r="F158" s="21">
        <f t="shared" ca="1" si="19"/>
        <v>41759</v>
      </c>
      <c r="G158" s="22">
        <f ca="1">IFERROR(VLOOKUP(F158,RESULTADOS!$O$5:$P$543,2,FALSE),VLOOKUP(F158,$B$5:$C$724,2,FALSE))</f>
        <v>0</v>
      </c>
      <c r="H158" s="4">
        <f ca="1">IF(F158&lt;PREMISSAS!$D$7,0,IFERROR(VLOOKUP(IF(LEFT(F158,2)="13",DATE(YEAR(F157),12,31),F158),IPCA!$A$3:$D$284,4,FALSE),1)*G158)</f>
        <v>0</v>
      </c>
      <c r="J158" s="21">
        <f t="shared" ca="1" si="14"/>
        <v>41759</v>
      </c>
      <c r="K158" s="4">
        <f t="shared" ca="1" si="15"/>
        <v>0</v>
      </c>
      <c r="M158" s="21">
        <f t="shared" ca="1" si="20"/>
        <v>41759</v>
      </c>
      <c r="N158" s="37">
        <f t="shared" ca="1" si="16"/>
        <v>0</v>
      </c>
      <c r="O158" s="4">
        <f ca="1">IFERROR(AVERAGEIF(N$5:$N158,"&gt;="&amp;_xlfn.PERCENTILE.EXC(N$5:$N158,0.2)),0)</f>
        <v>0</v>
      </c>
      <c r="Q158" s="21">
        <f t="shared" ca="1" si="17"/>
        <v>41759</v>
      </c>
      <c r="R158" s="4">
        <f ca="1">MIN(O158,PREMISSAS!$C$13)</f>
        <v>0</v>
      </c>
      <c r="S158" s="240"/>
      <c r="T158" s="240"/>
    </row>
    <row r="159" spans="2:20" x14ac:dyDescent="0.25">
      <c r="B159" s="21">
        <f t="shared" ca="1" si="18"/>
        <v>47879</v>
      </c>
      <c r="C159" s="22">
        <f ca="1">IF(B159="","",IF(LEFT(B159,2)="13",C158,IF(MONTH(B159)=1,C158*(1+PREMISSAS!$C$57),C158)))</f>
        <v>0</v>
      </c>
      <c r="E159" s="18">
        <v>155</v>
      </c>
      <c r="F159" s="21">
        <f t="shared" ca="1" si="19"/>
        <v>41790</v>
      </c>
      <c r="G159" s="22">
        <f ca="1">IFERROR(VLOOKUP(F159,RESULTADOS!$O$5:$P$543,2,FALSE),VLOOKUP(F159,$B$5:$C$724,2,FALSE))</f>
        <v>0</v>
      </c>
      <c r="H159" s="4">
        <f ca="1">IF(F159&lt;PREMISSAS!$D$7,0,IFERROR(VLOOKUP(IF(LEFT(F159,2)="13",DATE(YEAR(F158),12,31),F159),IPCA!$A$3:$D$284,4,FALSE),1)*G159)</f>
        <v>0</v>
      </c>
      <c r="J159" s="21">
        <f t="shared" ca="1" si="14"/>
        <v>41790</v>
      </c>
      <c r="K159" s="4">
        <f t="shared" ca="1" si="15"/>
        <v>0</v>
      </c>
      <c r="M159" s="21">
        <f t="shared" ca="1" si="20"/>
        <v>41790</v>
      </c>
      <c r="N159" s="37">
        <f t="shared" ca="1" si="16"/>
        <v>0</v>
      </c>
      <c r="O159" s="4">
        <f ca="1">IFERROR(AVERAGEIF(N$5:$N159,"&gt;="&amp;_xlfn.PERCENTILE.EXC(N$5:$N159,0.2)),0)</f>
        <v>0</v>
      </c>
      <c r="Q159" s="21">
        <f t="shared" ca="1" si="17"/>
        <v>41790</v>
      </c>
      <c r="R159" s="4">
        <f ca="1">MIN(O159,PREMISSAS!$C$13)</f>
        <v>0</v>
      </c>
      <c r="S159" s="240"/>
      <c r="T159" s="240"/>
    </row>
    <row r="160" spans="2:20" x14ac:dyDescent="0.25">
      <c r="B160" s="21">
        <f t="shared" ca="1" si="18"/>
        <v>47907</v>
      </c>
      <c r="C160" s="22">
        <f ca="1">IF(B160="","",IF(LEFT(B160,2)="13",C159,IF(MONTH(B160)=1,C159*(1+PREMISSAS!$C$57),C159)))</f>
        <v>0</v>
      </c>
      <c r="E160" s="18">
        <v>156</v>
      </c>
      <c r="F160" s="21">
        <f t="shared" ca="1" si="19"/>
        <v>41820</v>
      </c>
      <c r="G160" s="22">
        <f ca="1">IFERROR(VLOOKUP(F160,RESULTADOS!$O$5:$P$543,2,FALSE),VLOOKUP(F160,$B$5:$C$724,2,FALSE))</f>
        <v>0</v>
      </c>
      <c r="H160" s="4">
        <f ca="1">IF(F160&lt;PREMISSAS!$D$7,0,IFERROR(VLOOKUP(IF(LEFT(F160,2)="13",DATE(YEAR(F159),12,31),F160),IPCA!$A$3:$D$284,4,FALSE),1)*G160)</f>
        <v>0</v>
      </c>
      <c r="J160" s="21">
        <f t="shared" ca="1" si="14"/>
        <v>41820</v>
      </c>
      <c r="K160" s="4">
        <f t="shared" ca="1" si="15"/>
        <v>0</v>
      </c>
      <c r="M160" s="21">
        <f t="shared" ca="1" si="20"/>
        <v>41820</v>
      </c>
      <c r="N160" s="37">
        <f t="shared" ca="1" si="16"/>
        <v>0</v>
      </c>
      <c r="O160" s="4">
        <f ca="1">IFERROR(AVERAGEIF(N$5:$N160,"&gt;="&amp;_xlfn.PERCENTILE.EXC(N$5:$N160,0.2)),0)</f>
        <v>0</v>
      </c>
      <c r="Q160" s="21">
        <f t="shared" ca="1" si="17"/>
        <v>41820</v>
      </c>
      <c r="R160" s="4">
        <f ca="1">MIN(O160,PREMISSAS!$C$13)</f>
        <v>0</v>
      </c>
      <c r="S160" s="240"/>
      <c r="T160" s="240"/>
    </row>
    <row r="161" spans="2:20" x14ac:dyDescent="0.25">
      <c r="B161" s="21">
        <f t="shared" ca="1" si="18"/>
        <v>47938</v>
      </c>
      <c r="C161" s="22">
        <f ca="1">IF(B161="","",IF(LEFT(B161,2)="13",C160,IF(MONTH(B161)=1,C160*(1+PREMISSAS!$C$57),C160)))</f>
        <v>0</v>
      </c>
      <c r="E161" s="18">
        <v>157</v>
      </c>
      <c r="F161" s="21">
        <f t="shared" ca="1" si="19"/>
        <v>41851</v>
      </c>
      <c r="G161" s="22">
        <f ca="1">IFERROR(VLOOKUP(F161,RESULTADOS!$O$5:$P$543,2,FALSE),VLOOKUP(F161,$B$5:$C$724,2,FALSE))</f>
        <v>0</v>
      </c>
      <c r="H161" s="4">
        <f ca="1">IF(F161&lt;PREMISSAS!$D$7,0,IFERROR(VLOOKUP(IF(LEFT(F161,2)="13",DATE(YEAR(F160),12,31),F161),IPCA!$A$3:$D$284,4,FALSE),1)*G161)</f>
        <v>0</v>
      </c>
      <c r="J161" s="21">
        <f t="shared" ca="1" si="14"/>
        <v>41851</v>
      </c>
      <c r="K161" s="4">
        <f t="shared" ca="1" si="15"/>
        <v>0</v>
      </c>
      <c r="M161" s="21">
        <f t="shared" ca="1" si="20"/>
        <v>41851</v>
      </c>
      <c r="N161" s="37">
        <f t="shared" ca="1" si="16"/>
        <v>0</v>
      </c>
      <c r="O161" s="4">
        <f ca="1">IFERROR(AVERAGEIF(N$5:$N161,"&gt;="&amp;_xlfn.PERCENTILE.EXC(N$5:$N161,0.2)),0)</f>
        <v>0</v>
      </c>
      <c r="Q161" s="21">
        <f t="shared" ca="1" si="17"/>
        <v>41851</v>
      </c>
      <c r="R161" s="4">
        <f ca="1">MIN(O161,PREMISSAS!$C$13)</f>
        <v>0</v>
      </c>
      <c r="S161" s="240"/>
      <c r="T161" s="240"/>
    </row>
    <row r="162" spans="2:20" x14ac:dyDescent="0.25">
      <c r="B162" s="21">
        <f t="shared" ca="1" si="18"/>
        <v>47968</v>
      </c>
      <c r="C162" s="22">
        <f ca="1">IF(B162="","",IF(LEFT(B162,2)="13",C161,IF(MONTH(B162)=1,C161*(1+PREMISSAS!$C$57),C161)))</f>
        <v>0</v>
      </c>
      <c r="E162" s="18">
        <v>158</v>
      </c>
      <c r="F162" s="21">
        <f t="shared" ca="1" si="19"/>
        <v>41882</v>
      </c>
      <c r="G162" s="22">
        <f ca="1">IFERROR(VLOOKUP(F162,RESULTADOS!$O$5:$P$543,2,FALSE),VLOOKUP(F162,$B$5:$C$724,2,FALSE))</f>
        <v>0</v>
      </c>
      <c r="H162" s="4">
        <f ca="1">IF(F162&lt;PREMISSAS!$D$7,0,IFERROR(VLOOKUP(IF(LEFT(F162,2)="13",DATE(YEAR(F161),12,31),F162),IPCA!$A$3:$D$284,4,FALSE),1)*G162)</f>
        <v>0</v>
      </c>
      <c r="J162" s="21">
        <f t="shared" ca="1" si="14"/>
        <v>41882</v>
      </c>
      <c r="K162" s="4">
        <f t="shared" ca="1" si="15"/>
        <v>0</v>
      </c>
      <c r="M162" s="21">
        <f t="shared" ca="1" si="20"/>
        <v>41882</v>
      </c>
      <c r="N162" s="37">
        <f t="shared" ca="1" si="16"/>
        <v>0</v>
      </c>
      <c r="O162" s="4">
        <f ca="1">IFERROR(AVERAGEIF(N$5:$N162,"&gt;="&amp;_xlfn.PERCENTILE.EXC(N$5:$N162,0.2)),0)</f>
        <v>0</v>
      </c>
      <c r="Q162" s="21">
        <f t="shared" ca="1" si="17"/>
        <v>41882</v>
      </c>
      <c r="R162" s="4">
        <f ca="1">MIN(O162,PREMISSAS!$C$13)</f>
        <v>0</v>
      </c>
      <c r="S162" s="240"/>
      <c r="T162" s="240"/>
    </row>
    <row r="163" spans="2:20" x14ac:dyDescent="0.25">
      <c r="B163" s="21">
        <f t="shared" ca="1" si="18"/>
        <v>47999</v>
      </c>
      <c r="C163" s="22">
        <f ca="1">IF(B163="","",IF(LEFT(B163,2)="13",C162,IF(MONTH(B163)=1,C162*(1+PREMISSAS!$C$57),C162)))</f>
        <v>0</v>
      </c>
      <c r="E163" s="18">
        <v>159</v>
      </c>
      <c r="F163" s="21">
        <f t="shared" ca="1" si="19"/>
        <v>41912</v>
      </c>
      <c r="G163" s="22">
        <f ca="1">IFERROR(VLOOKUP(F163,RESULTADOS!$O$5:$P$543,2,FALSE),VLOOKUP(F163,$B$5:$C$724,2,FALSE))</f>
        <v>0</v>
      </c>
      <c r="H163" s="4">
        <f ca="1">IF(F163&lt;PREMISSAS!$D$7,0,IFERROR(VLOOKUP(IF(LEFT(F163,2)="13",DATE(YEAR(F162),12,31),F163),IPCA!$A$3:$D$284,4,FALSE),1)*G163)</f>
        <v>0</v>
      </c>
      <c r="J163" s="21">
        <f t="shared" ca="1" si="14"/>
        <v>41912</v>
      </c>
      <c r="K163" s="4">
        <f t="shared" ca="1" si="15"/>
        <v>0</v>
      </c>
      <c r="M163" s="21">
        <f t="shared" ca="1" si="20"/>
        <v>41912</v>
      </c>
      <c r="N163" s="37">
        <f t="shared" ca="1" si="16"/>
        <v>0</v>
      </c>
      <c r="O163" s="4">
        <f ca="1">IFERROR(AVERAGEIF(N$5:$N163,"&gt;="&amp;_xlfn.PERCENTILE.EXC(N$5:$N163,0.2)),0)</f>
        <v>0</v>
      </c>
      <c r="Q163" s="21">
        <f t="shared" ca="1" si="17"/>
        <v>41912</v>
      </c>
      <c r="R163" s="4">
        <f ca="1">MIN(O163,PREMISSAS!$C$13)</f>
        <v>0</v>
      </c>
      <c r="S163" s="240"/>
      <c r="T163" s="240"/>
    </row>
    <row r="164" spans="2:20" x14ac:dyDescent="0.25">
      <c r="B164" s="21">
        <f t="shared" ca="1" si="18"/>
        <v>48029</v>
      </c>
      <c r="C164" s="22">
        <f ca="1">IF(B164="","",IF(LEFT(B164,2)="13",C163,IF(MONTH(B164)=1,C163*(1+PREMISSAS!$C$57),C163)))</f>
        <v>0</v>
      </c>
      <c r="E164" s="18">
        <v>160</v>
      </c>
      <c r="F164" s="21">
        <f t="shared" ca="1" si="19"/>
        <v>41943</v>
      </c>
      <c r="G164" s="22">
        <f ca="1">IFERROR(VLOOKUP(F164,RESULTADOS!$O$5:$P$543,2,FALSE),VLOOKUP(F164,$B$5:$C$724,2,FALSE))</f>
        <v>0</v>
      </c>
      <c r="H164" s="4">
        <f ca="1">IF(F164&lt;PREMISSAS!$D$7,0,IFERROR(VLOOKUP(IF(LEFT(F164,2)="13",DATE(YEAR(F163),12,31),F164),IPCA!$A$3:$D$284,4,FALSE),1)*G164)</f>
        <v>0</v>
      </c>
      <c r="J164" s="21">
        <f t="shared" ca="1" si="14"/>
        <v>41943</v>
      </c>
      <c r="K164" s="4">
        <f t="shared" ca="1" si="15"/>
        <v>0</v>
      </c>
      <c r="M164" s="21">
        <f t="shared" ca="1" si="20"/>
        <v>41943</v>
      </c>
      <c r="N164" s="37">
        <f t="shared" ca="1" si="16"/>
        <v>0</v>
      </c>
      <c r="O164" s="4">
        <f ca="1">IFERROR(AVERAGEIF(N$5:$N164,"&gt;="&amp;_xlfn.PERCENTILE.EXC(N$5:$N164,0.2)),0)</f>
        <v>0</v>
      </c>
      <c r="Q164" s="21">
        <f t="shared" ca="1" si="17"/>
        <v>41943</v>
      </c>
      <c r="R164" s="4">
        <f ca="1">MIN(O164,PREMISSAS!$C$13)</f>
        <v>0</v>
      </c>
      <c r="S164" s="240"/>
      <c r="T164" s="240"/>
    </row>
    <row r="165" spans="2:20" x14ac:dyDescent="0.25">
      <c r="B165" s="21">
        <f t="shared" ca="1" si="18"/>
        <v>48060</v>
      </c>
      <c r="C165" s="22">
        <f ca="1">IF(B165="","",IF(LEFT(B165,2)="13",C164,IF(MONTH(B165)=1,C164*(1+PREMISSAS!$C$57),C164)))</f>
        <v>0</v>
      </c>
      <c r="E165" s="18">
        <v>161</v>
      </c>
      <c r="F165" s="21">
        <f t="shared" ca="1" si="19"/>
        <v>41973</v>
      </c>
      <c r="G165" s="22">
        <f ca="1">IFERROR(VLOOKUP(F165,RESULTADOS!$O$5:$P$543,2,FALSE),VLOOKUP(F165,$B$5:$C$724,2,FALSE))</f>
        <v>0</v>
      </c>
      <c r="H165" s="4">
        <f ca="1">IF(F165&lt;PREMISSAS!$D$7,0,IFERROR(VLOOKUP(IF(LEFT(F165,2)="13",DATE(YEAR(F164),12,31),F165),IPCA!$A$3:$D$284,4,FALSE),1)*G165)</f>
        <v>0</v>
      </c>
      <c r="J165" s="21">
        <f t="shared" ca="1" si="14"/>
        <v>41973</v>
      </c>
      <c r="K165" s="4">
        <f t="shared" ca="1" si="15"/>
        <v>0</v>
      </c>
      <c r="M165" s="21">
        <f t="shared" ca="1" si="20"/>
        <v>41973</v>
      </c>
      <c r="N165" s="37">
        <f t="shared" ca="1" si="16"/>
        <v>0</v>
      </c>
      <c r="O165" s="4">
        <f ca="1">IFERROR(AVERAGEIF(N$5:$N165,"&gt;="&amp;_xlfn.PERCENTILE.EXC(N$5:$N165,0.2)),0)</f>
        <v>0</v>
      </c>
      <c r="Q165" s="21">
        <f t="shared" ca="1" si="17"/>
        <v>41973</v>
      </c>
      <c r="R165" s="4">
        <f ca="1">MIN(O165,PREMISSAS!$C$13)</f>
        <v>0</v>
      </c>
      <c r="S165" s="240"/>
      <c r="T165" s="240"/>
    </row>
    <row r="166" spans="2:20" x14ac:dyDescent="0.25">
      <c r="B166" s="21">
        <f t="shared" ca="1" si="18"/>
        <v>48091</v>
      </c>
      <c r="C166" s="22">
        <f ca="1">IF(B166="","",IF(LEFT(B166,2)="13",C165,IF(MONTH(B166)=1,C165*(1+PREMISSAS!$C$57),C165)))</f>
        <v>0</v>
      </c>
      <c r="E166" s="18">
        <v>162</v>
      </c>
      <c r="F166" s="21" t="str">
        <f t="shared" ca="1" si="19"/>
        <v>13º 2014</v>
      </c>
      <c r="G166" s="22">
        <f ca="1">IFERROR(VLOOKUP(F166,RESULTADOS!$O$5:$P$543,2,FALSE),VLOOKUP(F166,$B$5:$C$724,2,FALSE))</f>
        <v>0</v>
      </c>
      <c r="H166" s="4">
        <f ca="1">IF(F166&lt;PREMISSAS!$D$7,0,IFERROR(VLOOKUP(IF(LEFT(F166,2)="13",DATE(YEAR(F165),12,31),F166),IPCA!$A$3:$D$284,4,FALSE),1)*G166)</f>
        <v>0</v>
      </c>
      <c r="J166" s="21" t="str">
        <f t="shared" ca="1" si="14"/>
        <v>13º 2014</v>
      </c>
      <c r="K166" s="4">
        <f t="shared" ca="1" si="15"/>
        <v>0</v>
      </c>
      <c r="M166" s="21" t="str">
        <f t="shared" ca="1" si="20"/>
        <v>13º 2014</v>
      </c>
      <c r="N166" s="37">
        <f t="shared" ca="1" si="16"/>
        <v>0</v>
      </c>
      <c r="O166" s="4">
        <f ca="1">IFERROR(AVERAGEIF(N$5:$N166,"&gt;="&amp;_xlfn.PERCENTILE.EXC(N$5:$N166,0.2)),0)</f>
        <v>0</v>
      </c>
      <c r="Q166" s="21" t="str">
        <f t="shared" ca="1" si="17"/>
        <v>13º 2014</v>
      </c>
      <c r="R166" s="4">
        <f ca="1">MIN(O166,PREMISSAS!$C$13)</f>
        <v>0</v>
      </c>
      <c r="S166" s="240"/>
      <c r="T166" s="240"/>
    </row>
    <row r="167" spans="2:20" x14ac:dyDescent="0.25">
      <c r="B167" s="21">
        <f t="shared" ca="1" si="18"/>
        <v>48121</v>
      </c>
      <c r="C167" s="22">
        <f ca="1">IF(B167="","",IF(LEFT(B167,2)="13",C166,IF(MONTH(B167)=1,C166*(1+PREMISSAS!$C$57),C166)))</f>
        <v>0</v>
      </c>
      <c r="E167" s="18">
        <v>163</v>
      </c>
      <c r="F167" s="21">
        <f t="shared" ca="1" si="19"/>
        <v>42004</v>
      </c>
      <c r="G167" s="22">
        <f ca="1">IFERROR(VLOOKUP(F167,RESULTADOS!$O$5:$P$543,2,FALSE),VLOOKUP(F167,$B$5:$C$724,2,FALSE))</f>
        <v>0</v>
      </c>
      <c r="H167" s="4">
        <f ca="1">IF(F167&lt;PREMISSAS!$D$7,0,IFERROR(VLOOKUP(IF(LEFT(F167,2)="13",DATE(YEAR(F166),12,31),F167),IPCA!$A$3:$D$284,4,FALSE),1)*G167)</f>
        <v>0</v>
      </c>
      <c r="J167" s="21">
        <f t="shared" ca="1" si="14"/>
        <v>42004</v>
      </c>
      <c r="K167" s="4">
        <f t="shared" ca="1" si="15"/>
        <v>0</v>
      </c>
      <c r="M167" s="21">
        <f t="shared" ca="1" si="20"/>
        <v>42004</v>
      </c>
      <c r="N167" s="37">
        <f t="shared" ca="1" si="16"/>
        <v>0</v>
      </c>
      <c r="O167" s="4">
        <f ca="1">IFERROR(AVERAGEIF(N$5:$N167,"&gt;="&amp;_xlfn.PERCENTILE.EXC(N$5:$N167,0.2)),0)</f>
        <v>0</v>
      </c>
      <c r="Q167" s="21">
        <f t="shared" ca="1" si="17"/>
        <v>42004</v>
      </c>
      <c r="R167" s="4">
        <f ca="1">MIN(O167,PREMISSAS!$C$13)</f>
        <v>0</v>
      </c>
      <c r="S167" s="240"/>
      <c r="T167" s="240"/>
    </row>
    <row r="168" spans="2:20" x14ac:dyDescent="0.25">
      <c r="B168" s="21">
        <f t="shared" ca="1" si="18"/>
        <v>48152</v>
      </c>
      <c r="C168" s="22">
        <f ca="1">IF(B168="","",IF(LEFT(B168,2)="13",C167,IF(MONTH(B168)=1,C167*(1+PREMISSAS!$C$57),C167)))</f>
        <v>0</v>
      </c>
      <c r="E168" s="18">
        <v>164</v>
      </c>
      <c r="F168" s="21">
        <f t="shared" ca="1" si="19"/>
        <v>42035</v>
      </c>
      <c r="G168" s="22">
        <f ca="1">IFERROR(VLOOKUP(F168,RESULTADOS!$O$5:$P$543,2,FALSE),VLOOKUP(F168,$B$5:$C$724,2,FALSE))</f>
        <v>0</v>
      </c>
      <c r="H168" s="4">
        <f ca="1">IF(F168&lt;PREMISSAS!$D$7,0,IFERROR(VLOOKUP(IF(LEFT(F168,2)="13",DATE(YEAR(F167),12,31),F168),IPCA!$A$3:$D$284,4,FALSE),1)*G168)</f>
        <v>0</v>
      </c>
      <c r="J168" s="21">
        <f t="shared" ca="1" si="14"/>
        <v>42035</v>
      </c>
      <c r="K168" s="4">
        <f t="shared" ca="1" si="15"/>
        <v>0</v>
      </c>
      <c r="M168" s="21">
        <f t="shared" ca="1" si="20"/>
        <v>42035</v>
      </c>
      <c r="N168" s="37">
        <f t="shared" ca="1" si="16"/>
        <v>0</v>
      </c>
      <c r="O168" s="4">
        <f ca="1">IFERROR(AVERAGEIF(N$5:$N168,"&gt;="&amp;_xlfn.PERCENTILE.EXC(N$5:$N168,0.2)),0)</f>
        <v>0</v>
      </c>
      <c r="Q168" s="21">
        <f t="shared" ca="1" si="17"/>
        <v>42035</v>
      </c>
      <c r="R168" s="4">
        <f ca="1">MIN(O168,PREMISSAS!$C$13)</f>
        <v>0</v>
      </c>
      <c r="S168" s="240"/>
      <c r="T168" s="240"/>
    </row>
    <row r="169" spans="2:20" x14ac:dyDescent="0.25">
      <c r="B169" s="21">
        <f t="shared" ca="1" si="18"/>
        <v>48182</v>
      </c>
      <c r="C169" s="22">
        <f ca="1">IF(B169="","",IF(LEFT(B169,2)="13",C168,IF(MONTH(B169)=1,C168*(1+PREMISSAS!$C$57),C168)))</f>
        <v>0</v>
      </c>
      <c r="E169" s="18">
        <v>165</v>
      </c>
      <c r="F169" s="21">
        <f t="shared" ca="1" si="19"/>
        <v>42063</v>
      </c>
      <c r="G169" s="22">
        <f ca="1">IFERROR(VLOOKUP(F169,RESULTADOS!$O$5:$P$543,2,FALSE),VLOOKUP(F169,$B$5:$C$724,2,FALSE))</f>
        <v>0</v>
      </c>
      <c r="H169" s="4">
        <f ca="1">IF(F169&lt;PREMISSAS!$D$7,0,IFERROR(VLOOKUP(IF(LEFT(F169,2)="13",DATE(YEAR(F168),12,31),F169),IPCA!$A$3:$D$284,4,FALSE),1)*G169)</f>
        <v>0</v>
      </c>
      <c r="J169" s="21">
        <f t="shared" ca="1" si="14"/>
        <v>42063</v>
      </c>
      <c r="K169" s="4">
        <f t="shared" ca="1" si="15"/>
        <v>0</v>
      </c>
      <c r="M169" s="21">
        <f t="shared" ca="1" si="20"/>
        <v>42063</v>
      </c>
      <c r="N169" s="37">
        <f t="shared" ca="1" si="16"/>
        <v>0</v>
      </c>
      <c r="O169" s="4">
        <f ca="1">IFERROR(AVERAGEIF(N$5:$N169,"&gt;="&amp;_xlfn.PERCENTILE.EXC(N$5:$N169,0.2)),0)</f>
        <v>0</v>
      </c>
      <c r="Q169" s="21">
        <f t="shared" ca="1" si="17"/>
        <v>42063</v>
      </c>
      <c r="R169" s="4">
        <f ca="1">MIN(O169,PREMISSAS!$C$13)</f>
        <v>0</v>
      </c>
      <c r="S169" s="240"/>
      <c r="T169" s="240"/>
    </row>
    <row r="170" spans="2:20" x14ac:dyDescent="0.25">
      <c r="B170" s="21" t="str">
        <f t="shared" ca="1" si="18"/>
        <v>13º 2031</v>
      </c>
      <c r="C170" s="22">
        <f ca="1">IF(B170="","",IF(LEFT(B170,2)="13",C169,IF(MONTH(B170)=1,C169*(1+PREMISSAS!$C$57),C169)))</f>
        <v>0</v>
      </c>
      <c r="E170" s="18">
        <v>166</v>
      </c>
      <c r="F170" s="21">
        <f t="shared" ca="1" si="19"/>
        <v>42094</v>
      </c>
      <c r="G170" s="22">
        <f ca="1">IFERROR(VLOOKUP(F170,RESULTADOS!$O$5:$P$543,2,FALSE),VLOOKUP(F170,$B$5:$C$724,2,FALSE))</f>
        <v>0</v>
      </c>
      <c r="H170" s="4">
        <f ca="1">IF(F170&lt;PREMISSAS!$D$7,0,IFERROR(VLOOKUP(IF(LEFT(F170,2)="13",DATE(YEAR(F169),12,31),F170),IPCA!$A$3:$D$284,4,FALSE),1)*G170)</f>
        <v>0</v>
      </c>
      <c r="J170" s="21">
        <f t="shared" ca="1" si="14"/>
        <v>42094</v>
      </c>
      <c r="K170" s="4">
        <f t="shared" ca="1" si="15"/>
        <v>0</v>
      </c>
      <c r="M170" s="21">
        <f t="shared" ca="1" si="20"/>
        <v>42094</v>
      </c>
      <c r="N170" s="37">
        <f t="shared" ca="1" si="16"/>
        <v>0</v>
      </c>
      <c r="O170" s="4">
        <f ca="1">IFERROR(AVERAGEIF(N$5:$N170,"&gt;="&amp;_xlfn.PERCENTILE.EXC(N$5:$N170,0.2)),0)</f>
        <v>0</v>
      </c>
      <c r="Q170" s="21">
        <f t="shared" ca="1" si="17"/>
        <v>42094</v>
      </c>
      <c r="R170" s="4">
        <f ca="1">MIN(O170,PREMISSAS!$C$13)</f>
        <v>0</v>
      </c>
      <c r="S170" s="240"/>
      <c r="T170" s="240"/>
    </row>
    <row r="171" spans="2:20" x14ac:dyDescent="0.25">
      <c r="B171" s="21">
        <f t="shared" ca="1" si="18"/>
        <v>48213</v>
      </c>
      <c r="C171" s="22">
        <f ca="1">IF(B171="","",IF(LEFT(B171,2)="13",C170,IF(MONTH(B171)=1,C170*(1+PREMISSAS!$C$57),C170)))</f>
        <v>0</v>
      </c>
      <c r="E171" s="18">
        <v>167</v>
      </c>
      <c r="F171" s="21">
        <f t="shared" ca="1" si="19"/>
        <v>42124</v>
      </c>
      <c r="G171" s="22">
        <f ca="1">IFERROR(VLOOKUP(F171,RESULTADOS!$O$5:$P$543,2,FALSE),VLOOKUP(F171,$B$5:$C$724,2,FALSE))</f>
        <v>0</v>
      </c>
      <c r="H171" s="4">
        <f ca="1">IF(F171&lt;PREMISSAS!$D$7,0,IFERROR(VLOOKUP(IF(LEFT(F171,2)="13",DATE(YEAR(F170),12,31),F171),IPCA!$A$3:$D$284,4,FALSE),1)*G171)</f>
        <v>0</v>
      </c>
      <c r="J171" s="21">
        <f t="shared" ca="1" si="14"/>
        <v>42124</v>
      </c>
      <c r="K171" s="4">
        <f t="shared" ca="1" si="15"/>
        <v>0</v>
      </c>
      <c r="M171" s="21">
        <f t="shared" ca="1" si="20"/>
        <v>42124</v>
      </c>
      <c r="N171" s="37">
        <f t="shared" ca="1" si="16"/>
        <v>0</v>
      </c>
      <c r="O171" s="4">
        <f ca="1">IFERROR(AVERAGEIF(N$5:$N171,"&gt;="&amp;_xlfn.PERCENTILE.EXC(N$5:$N171,0.2)),0)</f>
        <v>0</v>
      </c>
      <c r="Q171" s="21">
        <f t="shared" ca="1" si="17"/>
        <v>42124</v>
      </c>
      <c r="R171" s="4">
        <f ca="1">MIN(O171,PREMISSAS!$C$13)</f>
        <v>0</v>
      </c>
      <c r="S171" s="240"/>
      <c r="T171" s="240"/>
    </row>
    <row r="172" spans="2:20" x14ac:dyDescent="0.25">
      <c r="B172" s="21">
        <f t="shared" ca="1" si="18"/>
        <v>48244</v>
      </c>
      <c r="C172" s="22">
        <f ca="1">IF(B172="","",IF(LEFT(B172,2)="13",C171,IF(MONTH(B172)=1,C171*(1+PREMISSAS!$C$57),C171)))</f>
        <v>0</v>
      </c>
      <c r="E172" s="18">
        <v>168</v>
      </c>
      <c r="F172" s="21">
        <f t="shared" ca="1" si="19"/>
        <v>42155</v>
      </c>
      <c r="G172" s="22">
        <f ca="1">IFERROR(VLOOKUP(F172,RESULTADOS!$O$5:$P$543,2,FALSE),VLOOKUP(F172,$B$5:$C$724,2,FALSE))</f>
        <v>0</v>
      </c>
      <c r="H172" s="4">
        <f ca="1">IF(F172&lt;PREMISSAS!$D$7,0,IFERROR(VLOOKUP(IF(LEFT(F172,2)="13",DATE(YEAR(F171),12,31),F172),IPCA!$A$3:$D$284,4,FALSE),1)*G172)</f>
        <v>0</v>
      </c>
      <c r="J172" s="21">
        <f t="shared" ca="1" si="14"/>
        <v>42155</v>
      </c>
      <c r="K172" s="4">
        <f t="shared" ca="1" si="15"/>
        <v>0</v>
      </c>
      <c r="M172" s="21">
        <f t="shared" ca="1" si="20"/>
        <v>42155</v>
      </c>
      <c r="N172" s="37">
        <f t="shared" ca="1" si="16"/>
        <v>0</v>
      </c>
      <c r="O172" s="4">
        <f ca="1">IFERROR(AVERAGEIF(N$5:$N172,"&gt;="&amp;_xlfn.PERCENTILE.EXC(N$5:$N172,0.2)),0)</f>
        <v>0</v>
      </c>
      <c r="Q172" s="21">
        <f t="shared" ca="1" si="17"/>
        <v>42155</v>
      </c>
      <c r="R172" s="4">
        <f ca="1">MIN(O172,PREMISSAS!$C$13)</f>
        <v>0</v>
      </c>
      <c r="S172" s="240"/>
      <c r="T172" s="240"/>
    </row>
    <row r="173" spans="2:20" x14ac:dyDescent="0.25">
      <c r="B173" s="21">
        <f t="shared" ca="1" si="18"/>
        <v>48273</v>
      </c>
      <c r="C173" s="22">
        <f ca="1">IF(B173="","",IF(LEFT(B173,2)="13",C172,IF(MONTH(B173)=1,C172*(1+PREMISSAS!$C$57),C172)))</f>
        <v>0</v>
      </c>
      <c r="E173" s="18">
        <v>169</v>
      </c>
      <c r="F173" s="21">
        <f t="shared" ca="1" si="19"/>
        <v>42185</v>
      </c>
      <c r="G173" s="22">
        <f ca="1">IFERROR(VLOOKUP(F173,RESULTADOS!$O$5:$P$543,2,FALSE),VLOOKUP(F173,$B$5:$C$724,2,FALSE))</f>
        <v>0</v>
      </c>
      <c r="H173" s="4">
        <f ca="1">IF(F173&lt;PREMISSAS!$D$7,0,IFERROR(VLOOKUP(IF(LEFT(F173,2)="13",DATE(YEAR(F172),12,31),F173),IPCA!$A$3:$D$284,4,FALSE),1)*G173)</f>
        <v>0</v>
      </c>
      <c r="J173" s="21">
        <f t="shared" ca="1" si="14"/>
        <v>42185</v>
      </c>
      <c r="K173" s="4">
        <f t="shared" ca="1" si="15"/>
        <v>0</v>
      </c>
      <c r="M173" s="21">
        <f t="shared" ca="1" si="20"/>
        <v>42185</v>
      </c>
      <c r="N173" s="37">
        <f t="shared" ca="1" si="16"/>
        <v>0</v>
      </c>
      <c r="O173" s="4">
        <f ca="1">IFERROR(AVERAGEIF(N$5:$N173,"&gt;="&amp;_xlfn.PERCENTILE.EXC(N$5:$N173,0.2)),0)</f>
        <v>0</v>
      </c>
      <c r="Q173" s="21">
        <f t="shared" ca="1" si="17"/>
        <v>42185</v>
      </c>
      <c r="R173" s="4">
        <f ca="1">MIN(O173,PREMISSAS!$C$13)</f>
        <v>0</v>
      </c>
      <c r="S173" s="240"/>
      <c r="T173" s="240"/>
    </row>
    <row r="174" spans="2:20" x14ac:dyDescent="0.25">
      <c r="B174" s="21">
        <f t="shared" ca="1" si="18"/>
        <v>48304</v>
      </c>
      <c r="C174" s="22">
        <f ca="1">IF(B174="","",IF(LEFT(B174,2)="13",C173,IF(MONTH(B174)=1,C173*(1+PREMISSAS!$C$57),C173)))</f>
        <v>0</v>
      </c>
      <c r="E174" s="18">
        <v>170</v>
      </c>
      <c r="F174" s="21">
        <f t="shared" ca="1" si="19"/>
        <v>42216</v>
      </c>
      <c r="G174" s="22">
        <f ca="1">IFERROR(VLOOKUP(F174,RESULTADOS!$O$5:$P$543,2,FALSE),VLOOKUP(F174,$B$5:$C$724,2,FALSE))</f>
        <v>0</v>
      </c>
      <c r="H174" s="4">
        <f ca="1">IF(F174&lt;PREMISSAS!$D$7,0,IFERROR(VLOOKUP(IF(LEFT(F174,2)="13",DATE(YEAR(F173),12,31),F174),IPCA!$A$3:$D$284,4,FALSE),1)*G174)</f>
        <v>0</v>
      </c>
      <c r="J174" s="21">
        <f t="shared" ca="1" si="14"/>
        <v>42216</v>
      </c>
      <c r="K174" s="4">
        <f t="shared" ca="1" si="15"/>
        <v>0</v>
      </c>
      <c r="M174" s="21">
        <f t="shared" ca="1" si="20"/>
        <v>42216</v>
      </c>
      <c r="N174" s="37">
        <f t="shared" ca="1" si="16"/>
        <v>0</v>
      </c>
      <c r="O174" s="4">
        <f ca="1">IFERROR(AVERAGEIF(N$5:$N174,"&gt;="&amp;_xlfn.PERCENTILE.EXC(N$5:$N174,0.2)),0)</f>
        <v>0</v>
      </c>
      <c r="Q174" s="21">
        <f t="shared" ca="1" si="17"/>
        <v>42216</v>
      </c>
      <c r="R174" s="4">
        <f ca="1">MIN(O174,PREMISSAS!$C$13)</f>
        <v>0</v>
      </c>
      <c r="S174" s="240"/>
      <c r="T174" s="240"/>
    </row>
    <row r="175" spans="2:20" x14ac:dyDescent="0.25">
      <c r="B175" s="21">
        <f t="shared" ca="1" si="18"/>
        <v>48334</v>
      </c>
      <c r="C175" s="22">
        <f ca="1">IF(B175="","",IF(LEFT(B175,2)="13",C174,IF(MONTH(B175)=1,C174*(1+PREMISSAS!$C$57),C174)))</f>
        <v>0</v>
      </c>
      <c r="E175" s="18">
        <v>171</v>
      </c>
      <c r="F175" s="21">
        <f t="shared" ca="1" si="19"/>
        <v>42247</v>
      </c>
      <c r="G175" s="22">
        <f ca="1">IFERROR(VLOOKUP(F175,RESULTADOS!$O$5:$P$543,2,FALSE),VLOOKUP(F175,$B$5:$C$724,2,FALSE))</f>
        <v>0</v>
      </c>
      <c r="H175" s="4">
        <f ca="1">IF(F175&lt;PREMISSAS!$D$7,0,IFERROR(VLOOKUP(IF(LEFT(F175,2)="13",DATE(YEAR(F174),12,31),F175),IPCA!$A$3:$D$284,4,FALSE),1)*G175)</f>
        <v>0</v>
      </c>
      <c r="J175" s="21">
        <f t="shared" ca="1" si="14"/>
        <v>42247</v>
      </c>
      <c r="K175" s="4">
        <f t="shared" ca="1" si="15"/>
        <v>0</v>
      </c>
      <c r="M175" s="21">
        <f t="shared" ca="1" si="20"/>
        <v>42247</v>
      </c>
      <c r="N175" s="37">
        <f t="shared" ca="1" si="16"/>
        <v>0</v>
      </c>
      <c r="O175" s="4">
        <f ca="1">IFERROR(AVERAGEIF(N$5:$N175,"&gt;="&amp;_xlfn.PERCENTILE.EXC(N$5:$N175,0.2)),0)</f>
        <v>0</v>
      </c>
      <c r="Q175" s="21">
        <f t="shared" ca="1" si="17"/>
        <v>42247</v>
      </c>
      <c r="R175" s="4">
        <f ca="1">MIN(O175,PREMISSAS!$C$13)</f>
        <v>0</v>
      </c>
      <c r="S175" s="240"/>
      <c r="T175" s="240"/>
    </row>
    <row r="176" spans="2:20" x14ac:dyDescent="0.25">
      <c r="B176" s="21">
        <f t="shared" ca="1" si="18"/>
        <v>48365</v>
      </c>
      <c r="C176" s="22">
        <f ca="1">IF(B176="","",IF(LEFT(B176,2)="13",C175,IF(MONTH(B176)=1,C175*(1+PREMISSAS!$C$57),C175)))</f>
        <v>0</v>
      </c>
      <c r="E176" s="18">
        <v>172</v>
      </c>
      <c r="F176" s="21">
        <f t="shared" ca="1" si="19"/>
        <v>42277</v>
      </c>
      <c r="G176" s="22">
        <f ca="1">IFERROR(VLOOKUP(F176,RESULTADOS!$O$5:$P$543,2,FALSE),VLOOKUP(F176,$B$5:$C$724,2,FALSE))</f>
        <v>0</v>
      </c>
      <c r="H176" s="4">
        <f ca="1">IF(F176&lt;PREMISSAS!$D$7,0,IFERROR(VLOOKUP(IF(LEFT(F176,2)="13",DATE(YEAR(F175),12,31),F176),IPCA!$A$3:$D$284,4,FALSE),1)*G176)</f>
        <v>0</v>
      </c>
      <c r="J176" s="21">
        <f t="shared" ca="1" si="14"/>
        <v>42277</v>
      </c>
      <c r="K176" s="4">
        <f t="shared" ca="1" si="15"/>
        <v>0</v>
      </c>
      <c r="M176" s="21">
        <f t="shared" ca="1" si="20"/>
        <v>42277</v>
      </c>
      <c r="N176" s="37">
        <f t="shared" ca="1" si="16"/>
        <v>0</v>
      </c>
      <c r="O176" s="4">
        <f ca="1">IFERROR(AVERAGEIF(N$5:$N176,"&gt;="&amp;_xlfn.PERCENTILE.EXC(N$5:$N176,0.2)),0)</f>
        <v>0</v>
      </c>
      <c r="Q176" s="21">
        <f t="shared" ca="1" si="17"/>
        <v>42277</v>
      </c>
      <c r="R176" s="4">
        <f ca="1">MIN(O176,PREMISSAS!$C$13)</f>
        <v>0</v>
      </c>
      <c r="S176" s="240"/>
      <c r="T176" s="240"/>
    </row>
    <row r="177" spans="2:20" x14ac:dyDescent="0.25">
      <c r="B177" s="21">
        <f t="shared" ca="1" si="18"/>
        <v>48395</v>
      </c>
      <c r="C177" s="22">
        <f ca="1">IF(B177="","",IF(LEFT(B177,2)="13",C176,IF(MONTH(B177)=1,C176*(1+PREMISSAS!$C$57),C176)))</f>
        <v>0</v>
      </c>
      <c r="E177" s="18">
        <v>173</v>
      </c>
      <c r="F177" s="21">
        <f t="shared" ca="1" si="19"/>
        <v>42308</v>
      </c>
      <c r="G177" s="22">
        <f ca="1">IFERROR(VLOOKUP(F177,RESULTADOS!$O$5:$P$543,2,FALSE),VLOOKUP(F177,$B$5:$C$724,2,FALSE))</f>
        <v>0</v>
      </c>
      <c r="H177" s="4">
        <f ca="1">IF(F177&lt;PREMISSAS!$D$7,0,IFERROR(VLOOKUP(IF(LEFT(F177,2)="13",DATE(YEAR(F176),12,31),F177),IPCA!$A$3:$D$284,4,FALSE),1)*G177)</f>
        <v>0</v>
      </c>
      <c r="J177" s="21">
        <f t="shared" ca="1" si="14"/>
        <v>42308</v>
      </c>
      <c r="K177" s="4">
        <f t="shared" ca="1" si="15"/>
        <v>0</v>
      </c>
      <c r="M177" s="21">
        <f t="shared" ca="1" si="20"/>
        <v>42308</v>
      </c>
      <c r="N177" s="37">
        <f t="shared" ca="1" si="16"/>
        <v>0</v>
      </c>
      <c r="O177" s="4">
        <f ca="1">IFERROR(AVERAGEIF(N$5:$N177,"&gt;="&amp;_xlfn.PERCENTILE.EXC(N$5:$N177,0.2)),0)</f>
        <v>0</v>
      </c>
      <c r="Q177" s="21">
        <f t="shared" ca="1" si="17"/>
        <v>42308</v>
      </c>
      <c r="R177" s="4">
        <f ca="1">MIN(O177,PREMISSAS!$C$13)</f>
        <v>0</v>
      </c>
      <c r="S177" s="240"/>
      <c r="T177" s="240"/>
    </row>
    <row r="178" spans="2:20" x14ac:dyDescent="0.25">
      <c r="B178" s="21">
        <f t="shared" ca="1" si="18"/>
        <v>48426</v>
      </c>
      <c r="C178" s="22">
        <f ca="1">IF(B178="","",IF(LEFT(B178,2)="13",C177,IF(MONTH(B178)=1,C177*(1+PREMISSAS!$C$57),C177)))</f>
        <v>0</v>
      </c>
      <c r="E178" s="18">
        <v>174</v>
      </c>
      <c r="F178" s="21">
        <f t="shared" ca="1" si="19"/>
        <v>42338</v>
      </c>
      <c r="G178" s="22">
        <f ca="1">IFERROR(VLOOKUP(F178,RESULTADOS!$O$5:$P$543,2,FALSE),VLOOKUP(F178,$B$5:$C$724,2,FALSE))</f>
        <v>0</v>
      </c>
      <c r="H178" s="4">
        <f ca="1">IF(F178&lt;PREMISSAS!$D$7,0,IFERROR(VLOOKUP(IF(LEFT(F178,2)="13",DATE(YEAR(F177),12,31),F178),IPCA!$A$3:$D$284,4,FALSE),1)*G178)</f>
        <v>0</v>
      </c>
      <c r="J178" s="21">
        <f t="shared" ca="1" si="14"/>
        <v>42338</v>
      </c>
      <c r="K178" s="4">
        <f t="shared" ca="1" si="15"/>
        <v>0</v>
      </c>
      <c r="M178" s="21">
        <f t="shared" ca="1" si="20"/>
        <v>42338</v>
      </c>
      <c r="N178" s="37">
        <f t="shared" ca="1" si="16"/>
        <v>0</v>
      </c>
      <c r="O178" s="4">
        <f ca="1">IFERROR(AVERAGEIF(N$5:$N178,"&gt;="&amp;_xlfn.PERCENTILE.EXC(N$5:$N178,0.2)),0)</f>
        <v>0</v>
      </c>
      <c r="Q178" s="21">
        <f t="shared" ca="1" si="17"/>
        <v>42338</v>
      </c>
      <c r="R178" s="4">
        <f ca="1">MIN(O178,PREMISSAS!$C$13)</f>
        <v>0</v>
      </c>
      <c r="S178" s="240"/>
      <c r="T178" s="240"/>
    </row>
    <row r="179" spans="2:20" x14ac:dyDescent="0.25">
      <c r="B179" s="21">
        <f t="shared" ca="1" si="18"/>
        <v>48457</v>
      </c>
      <c r="C179" s="22">
        <f ca="1">IF(B179="","",IF(LEFT(B179,2)="13",C178,IF(MONTH(B179)=1,C178*(1+PREMISSAS!$C$57),C178)))</f>
        <v>0</v>
      </c>
      <c r="E179" s="18">
        <v>175</v>
      </c>
      <c r="F179" s="21" t="str">
        <f t="shared" ca="1" si="19"/>
        <v>13º 2015</v>
      </c>
      <c r="G179" s="22">
        <f ca="1">IFERROR(VLOOKUP(F179,RESULTADOS!$O$5:$P$543,2,FALSE),VLOOKUP(F179,$B$5:$C$724,2,FALSE))</f>
        <v>0</v>
      </c>
      <c r="H179" s="4">
        <f ca="1">IF(F179&lt;PREMISSAS!$D$7,0,IFERROR(VLOOKUP(IF(LEFT(F179,2)="13",DATE(YEAR(F178),12,31),F179),IPCA!$A$3:$D$284,4,FALSE),1)*G179)</f>
        <v>0</v>
      </c>
      <c r="J179" s="21" t="str">
        <f t="shared" ca="1" si="14"/>
        <v>13º 2015</v>
      </c>
      <c r="K179" s="4">
        <f t="shared" ca="1" si="15"/>
        <v>0</v>
      </c>
      <c r="M179" s="21" t="str">
        <f t="shared" ca="1" si="20"/>
        <v>13º 2015</v>
      </c>
      <c r="N179" s="37">
        <f t="shared" ca="1" si="16"/>
        <v>0</v>
      </c>
      <c r="O179" s="4">
        <f ca="1">IFERROR(AVERAGEIF(N$5:$N179,"&gt;="&amp;_xlfn.PERCENTILE.EXC(N$5:$N179,0.2)),0)</f>
        <v>0</v>
      </c>
      <c r="Q179" s="21" t="str">
        <f t="shared" ca="1" si="17"/>
        <v>13º 2015</v>
      </c>
      <c r="R179" s="4">
        <f ca="1">MIN(O179,PREMISSAS!$C$13)</f>
        <v>0</v>
      </c>
      <c r="S179" s="240"/>
      <c r="T179" s="240"/>
    </row>
    <row r="180" spans="2:20" x14ac:dyDescent="0.25">
      <c r="B180" s="21">
        <f t="shared" ca="1" si="18"/>
        <v>48487</v>
      </c>
      <c r="C180" s="22">
        <f ca="1">IF(B180="","",IF(LEFT(B180,2)="13",C179,IF(MONTH(B180)=1,C179*(1+PREMISSAS!$C$57),C179)))</f>
        <v>0</v>
      </c>
      <c r="E180" s="18">
        <v>176</v>
      </c>
      <c r="F180" s="21">
        <f t="shared" ca="1" si="19"/>
        <v>42369</v>
      </c>
      <c r="G180" s="22">
        <f ca="1">IFERROR(VLOOKUP(F180,RESULTADOS!$O$5:$P$543,2,FALSE),VLOOKUP(F180,$B$5:$C$724,2,FALSE))</f>
        <v>0</v>
      </c>
      <c r="H180" s="4">
        <f ca="1">IF(F180&lt;PREMISSAS!$D$7,0,IFERROR(VLOOKUP(IF(LEFT(F180,2)="13",DATE(YEAR(F179),12,31),F180),IPCA!$A$3:$D$284,4,FALSE),1)*G180)</f>
        <v>0</v>
      </c>
      <c r="J180" s="21">
        <f t="shared" ca="1" si="14"/>
        <v>42369</v>
      </c>
      <c r="K180" s="4">
        <f t="shared" ca="1" si="15"/>
        <v>0</v>
      </c>
      <c r="M180" s="21">
        <f t="shared" ca="1" si="20"/>
        <v>42369</v>
      </c>
      <c r="N180" s="37">
        <f t="shared" ca="1" si="16"/>
        <v>0</v>
      </c>
      <c r="O180" s="4">
        <f ca="1">IFERROR(AVERAGEIF(N$5:$N180,"&gt;="&amp;_xlfn.PERCENTILE.EXC(N$5:$N180,0.2)),0)</f>
        <v>0</v>
      </c>
      <c r="Q180" s="21">
        <f t="shared" ca="1" si="17"/>
        <v>42369</v>
      </c>
      <c r="R180" s="4">
        <f ca="1">MIN(O180,PREMISSAS!$C$13)</f>
        <v>0</v>
      </c>
      <c r="S180" s="240"/>
      <c r="T180" s="240"/>
    </row>
    <row r="181" spans="2:20" x14ac:dyDescent="0.25">
      <c r="B181" s="21">
        <f t="shared" ca="1" si="18"/>
        <v>48518</v>
      </c>
      <c r="C181" s="22">
        <f ca="1">IF(B181="","",IF(LEFT(B181,2)="13",C180,IF(MONTH(B181)=1,C180*(1+PREMISSAS!$C$57),C180)))</f>
        <v>0</v>
      </c>
      <c r="E181" s="18">
        <v>177</v>
      </c>
      <c r="F181" s="21">
        <f t="shared" ca="1" si="19"/>
        <v>42400</v>
      </c>
      <c r="G181" s="22">
        <f ca="1">IFERROR(VLOOKUP(F181,RESULTADOS!$O$5:$P$543,2,FALSE),VLOOKUP(F181,$B$5:$C$724,2,FALSE))</f>
        <v>0</v>
      </c>
      <c r="H181" s="4">
        <f ca="1">IF(F181&lt;PREMISSAS!$D$7,0,IFERROR(VLOOKUP(IF(LEFT(F181,2)="13",DATE(YEAR(F180),12,31),F181),IPCA!$A$3:$D$284,4,FALSE),1)*G181)</f>
        <v>0</v>
      </c>
      <c r="J181" s="21">
        <f t="shared" ca="1" si="14"/>
        <v>42400</v>
      </c>
      <c r="K181" s="4">
        <f t="shared" ca="1" si="15"/>
        <v>0</v>
      </c>
      <c r="M181" s="21">
        <f t="shared" ca="1" si="20"/>
        <v>42400</v>
      </c>
      <c r="N181" s="37">
        <f t="shared" ca="1" si="16"/>
        <v>0</v>
      </c>
      <c r="O181" s="4">
        <f ca="1">IFERROR(AVERAGEIF(N$5:$N181,"&gt;="&amp;_xlfn.PERCENTILE.EXC(N$5:$N181,0.2)),0)</f>
        <v>0</v>
      </c>
      <c r="Q181" s="21">
        <f t="shared" ca="1" si="17"/>
        <v>42400</v>
      </c>
      <c r="R181" s="4">
        <f ca="1">MIN(O181,PREMISSAS!$C$13)</f>
        <v>0</v>
      </c>
      <c r="S181" s="240"/>
      <c r="T181" s="240"/>
    </row>
    <row r="182" spans="2:20" x14ac:dyDescent="0.25">
      <c r="B182" s="21">
        <f t="shared" ca="1" si="18"/>
        <v>48548</v>
      </c>
      <c r="C182" s="22">
        <f ca="1">IF(B182="","",IF(LEFT(B182,2)="13",C181,IF(MONTH(B182)=1,C181*(1+PREMISSAS!$C$57),C181)))</f>
        <v>0</v>
      </c>
      <c r="E182" s="18">
        <v>178</v>
      </c>
      <c r="F182" s="21">
        <f t="shared" ca="1" si="19"/>
        <v>42429</v>
      </c>
      <c r="G182" s="22">
        <f ca="1">IFERROR(VLOOKUP(F182,RESULTADOS!$O$5:$P$543,2,FALSE),VLOOKUP(F182,$B$5:$C$724,2,FALSE))</f>
        <v>0</v>
      </c>
      <c r="H182" s="4">
        <f ca="1">IF(F182&lt;PREMISSAS!$D$7,0,IFERROR(VLOOKUP(IF(LEFT(F182,2)="13",DATE(YEAR(F181),12,31),F182),IPCA!$A$3:$D$284,4,FALSE),1)*G182)</f>
        <v>0</v>
      </c>
      <c r="J182" s="21">
        <f t="shared" ca="1" si="14"/>
        <v>42429</v>
      </c>
      <c r="K182" s="4">
        <f t="shared" ca="1" si="15"/>
        <v>0</v>
      </c>
      <c r="M182" s="21">
        <f t="shared" ca="1" si="20"/>
        <v>42429</v>
      </c>
      <c r="N182" s="37">
        <f t="shared" ca="1" si="16"/>
        <v>0</v>
      </c>
      <c r="O182" s="4">
        <f ca="1">IFERROR(AVERAGEIF(N$5:$N182,"&gt;="&amp;_xlfn.PERCENTILE.EXC(N$5:$N182,0.2)),0)</f>
        <v>0</v>
      </c>
      <c r="Q182" s="21">
        <f t="shared" ca="1" si="17"/>
        <v>42429</v>
      </c>
      <c r="R182" s="4">
        <f ca="1">MIN(O182,PREMISSAS!$C$13)</f>
        <v>0</v>
      </c>
      <c r="S182" s="240"/>
      <c r="T182" s="240"/>
    </row>
    <row r="183" spans="2:20" x14ac:dyDescent="0.25">
      <c r="B183" s="21" t="str">
        <f t="shared" ca="1" si="18"/>
        <v>13º 2032</v>
      </c>
      <c r="C183" s="22">
        <f ca="1">IF(B183="","",IF(LEFT(B183,2)="13",C182,IF(MONTH(B183)=1,C182*(1+PREMISSAS!$C$57),C182)))</f>
        <v>0</v>
      </c>
      <c r="E183" s="18">
        <v>179</v>
      </c>
      <c r="F183" s="21">
        <f t="shared" ca="1" si="19"/>
        <v>42460</v>
      </c>
      <c r="G183" s="22">
        <f ca="1">IFERROR(VLOOKUP(F183,RESULTADOS!$O$5:$P$543,2,FALSE),VLOOKUP(F183,$B$5:$C$724,2,FALSE))</f>
        <v>0</v>
      </c>
      <c r="H183" s="4">
        <f ca="1">IF(F183&lt;PREMISSAS!$D$7,0,IFERROR(VLOOKUP(IF(LEFT(F183,2)="13",DATE(YEAR(F182),12,31),F183),IPCA!$A$3:$D$284,4,FALSE),1)*G183)</f>
        <v>0</v>
      </c>
      <c r="J183" s="21">
        <f t="shared" ca="1" si="14"/>
        <v>42460</v>
      </c>
      <c r="K183" s="4">
        <f t="shared" ca="1" si="15"/>
        <v>0</v>
      </c>
      <c r="M183" s="21">
        <f t="shared" ca="1" si="20"/>
        <v>42460</v>
      </c>
      <c r="N183" s="37">
        <f t="shared" ca="1" si="16"/>
        <v>0</v>
      </c>
      <c r="O183" s="4">
        <f ca="1">IFERROR(AVERAGEIF(N$5:$N183,"&gt;="&amp;_xlfn.PERCENTILE.EXC(N$5:$N183,0.2)),0)</f>
        <v>0</v>
      </c>
      <c r="Q183" s="21">
        <f t="shared" ca="1" si="17"/>
        <v>42460</v>
      </c>
      <c r="R183" s="4">
        <f ca="1">MIN(O183,PREMISSAS!$C$13)</f>
        <v>0</v>
      </c>
      <c r="S183" s="240"/>
      <c r="T183" s="240"/>
    </row>
    <row r="184" spans="2:20" x14ac:dyDescent="0.25">
      <c r="B184" s="21">
        <f t="shared" ca="1" si="18"/>
        <v>48579</v>
      </c>
      <c r="C184" s="22">
        <f ca="1">IF(B184="","",IF(LEFT(B184,2)="13",C183,IF(MONTH(B184)=1,C183*(1+PREMISSAS!$C$57),C183)))</f>
        <v>0</v>
      </c>
      <c r="E184" s="18">
        <v>180</v>
      </c>
      <c r="F184" s="21">
        <f t="shared" ca="1" si="19"/>
        <v>42490</v>
      </c>
      <c r="G184" s="22">
        <f ca="1">IFERROR(VLOOKUP(F184,RESULTADOS!$O$5:$P$543,2,FALSE),VLOOKUP(F184,$B$5:$C$724,2,FALSE))</f>
        <v>0</v>
      </c>
      <c r="H184" s="4">
        <f ca="1">IF(F184&lt;PREMISSAS!$D$7,0,IFERROR(VLOOKUP(IF(LEFT(F184,2)="13",DATE(YEAR(F183),12,31),F184),IPCA!$A$3:$D$284,4,FALSE),1)*G184)</f>
        <v>0</v>
      </c>
      <c r="J184" s="21">
        <f t="shared" ca="1" si="14"/>
        <v>42490</v>
      </c>
      <c r="K184" s="4">
        <f t="shared" ca="1" si="15"/>
        <v>0</v>
      </c>
      <c r="M184" s="21">
        <f t="shared" ca="1" si="20"/>
        <v>42490</v>
      </c>
      <c r="N184" s="37">
        <f t="shared" ca="1" si="16"/>
        <v>0</v>
      </c>
      <c r="O184" s="4">
        <f ca="1">IFERROR(AVERAGEIF(N$5:$N184,"&gt;="&amp;_xlfn.PERCENTILE.EXC(N$5:$N184,0.2)),0)</f>
        <v>0</v>
      </c>
      <c r="Q184" s="21">
        <f t="shared" ca="1" si="17"/>
        <v>42490</v>
      </c>
      <c r="R184" s="4">
        <f ca="1">MIN(O184,PREMISSAS!$C$13)</f>
        <v>0</v>
      </c>
      <c r="S184" s="240"/>
      <c r="T184" s="240"/>
    </row>
    <row r="185" spans="2:20" x14ac:dyDescent="0.25">
      <c r="B185" s="21">
        <f t="shared" ca="1" si="18"/>
        <v>48610</v>
      </c>
      <c r="C185" s="22">
        <f ca="1">IF(B185="","",IF(LEFT(B185,2)="13",C184,IF(MONTH(B185)=1,C184*(1+PREMISSAS!$C$57),C184)))</f>
        <v>0</v>
      </c>
      <c r="E185" s="18">
        <v>181</v>
      </c>
      <c r="F185" s="21">
        <f t="shared" ca="1" si="19"/>
        <v>42521</v>
      </c>
      <c r="G185" s="22">
        <f ca="1">IFERROR(VLOOKUP(F185,RESULTADOS!$O$5:$P$543,2,FALSE),VLOOKUP(F185,$B$5:$C$724,2,FALSE))</f>
        <v>0</v>
      </c>
      <c r="H185" s="4">
        <f ca="1">IF(F185&lt;PREMISSAS!$D$7,0,IFERROR(VLOOKUP(IF(LEFT(F185,2)="13",DATE(YEAR(F184),12,31),F185),IPCA!$A$3:$D$284,4,FALSE),1)*G185)</f>
        <v>0</v>
      </c>
      <c r="J185" s="21">
        <f t="shared" ca="1" si="14"/>
        <v>42521</v>
      </c>
      <c r="K185" s="4">
        <f t="shared" ca="1" si="15"/>
        <v>0</v>
      </c>
      <c r="M185" s="21">
        <f t="shared" ca="1" si="20"/>
        <v>42521</v>
      </c>
      <c r="N185" s="37">
        <f t="shared" ca="1" si="16"/>
        <v>0</v>
      </c>
      <c r="O185" s="4">
        <f ca="1">IFERROR(AVERAGEIF(N$5:$N185,"&gt;="&amp;_xlfn.PERCENTILE.EXC(N$5:$N185,0.2)),0)</f>
        <v>0</v>
      </c>
      <c r="Q185" s="21">
        <f t="shared" ca="1" si="17"/>
        <v>42521</v>
      </c>
      <c r="R185" s="4">
        <f ca="1">MIN(O185,PREMISSAS!$C$13)</f>
        <v>0</v>
      </c>
      <c r="S185" s="240"/>
      <c r="T185" s="240"/>
    </row>
    <row r="186" spans="2:20" x14ac:dyDescent="0.25">
      <c r="B186" s="21">
        <f t="shared" ca="1" si="18"/>
        <v>48638</v>
      </c>
      <c r="C186" s="22">
        <f ca="1">IF(B186="","",IF(LEFT(B186,2)="13",C185,IF(MONTH(B186)=1,C185*(1+PREMISSAS!$C$57),C185)))</f>
        <v>0</v>
      </c>
      <c r="E186" s="18">
        <v>182</v>
      </c>
      <c r="F186" s="21">
        <f t="shared" ca="1" si="19"/>
        <v>42551</v>
      </c>
      <c r="G186" s="22">
        <f ca="1">IFERROR(VLOOKUP(F186,RESULTADOS!$O$5:$P$543,2,FALSE),VLOOKUP(F186,$B$5:$C$724,2,FALSE))</f>
        <v>0</v>
      </c>
      <c r="H186" s="4">
        <f ca="1">IF(F186&lt;PREMISSAS!$D$7,0,IFERROR(VLOOKUP(IF(LEFT(F186,2)="13",DATE(YEAR(F185),12,31),F186),IPCA!$A$3:$D$284,4,FALSE),1)*G186)</f>
        <v>0</v>
      </c>
      <c r="J186" s="21">
        <f t="shared" ca="1" si="14"/>
        <v>42551</v>
      </c>
      <c r="K186" s="4">
        <f t="shared" ca="1" si="15"/>
        <v>0</v>
      </c>
      <c r="M186" s="21">
        <f t="shared" ca="1" si="20"/>
        <v>42551</v>
      </c>
      <c r="N186" s="37">
        <f t="shared" ca="1" si="16"/>
        <v>0</v>
      </c>
      <c r="O186" s="4">
        <f ca="1">IFERROR(AVERAGEIF(N$5:$N186,"&gt;="&amp;_xlfn.PERCENTILE.EXC(N$5:$N186,0.2)),0)</f>
        <v>0</v>
      </c>
      <c r="Q186" s="21">
        <f t="shared" ca="1" si="17"/>
        <v>42551</v>
      </c>
      <c r="R186" s="4">
        <f ca="1">MIN(O186,PREMISSAS!$C$13)</f>
        <v>0</v>
      </c>
      <c r="S186" s="240"/>
      <c r="T186" s="240"/>
    </row>
    <row r="187" spans="2:20" x14ac:dyDescent="0.25">
      <c r="B187" s="21">
        <f t="shared" ca="1" si="18"/>
        <v>48669</v>
      </c>
      <c r="C187" s="22">
        <f ca="1">IF(B187="","",IF(LEFT(B187,2)="13",C186,IF(MONTH(B187)=1,C186*(1+PREMISSAS!$C$57),C186)))</f>
        <v>0</v>
      </c>
      <c r="E187" s="18">
        <v>183</v>
      </c>
      <c r="F187" s="21">
        <f t="shared" ca="1" si="19"/>
        <v>42582</v>
      </c>
      <c r="G187" s="22">
        <f ca="1">IFERROR(VLOOKUP(F187,RESULTADOS!$O$5:$P$543,2,FALSE),VLOOKUP(F187,$B$5:$C$724,2,FALSE))</f>
        <v>0</v>
      </c>
      <c r="H187" s="4">
        <f ca="1">IF(F187&lt;PREMISSAS!$D$7,0,IFERROR(VLOOKUP(IF(LEFT(F187,2)="13",DATE(YEAR(F186),12,31),F187),IPCA!$A$3:$D$284,4,FALSE),1)*G187)</f>
        <v>0</v>
      </c>
      <c r="J187" s="21">
        <f t="shared" ca="1" si="14"/>
        <v>42582</v>
      </c>
      <c r="K187" s="4">
        <f t="shared" ca="1" si="15"/>
        <v>0</v>
      </c>
      <c r="M187" s="21">
        <f t="shared" ca="1" si="20"/>
        <v>42582</v>
      </c>
      <c r="N187" s="37">
        <f t="shared" ca="1" si="16"/>
        <v>0</v>
      </c>
      <c r="O187" s="4">
        <f ca="1">IFERROR(AVERAGEIF(N$5:$N187,"&gt;="&amp;_xlfn.PERCENTILE.EXC(N$5:$N187,0.2)),0)</f>
        <v>0</v>
      </c>
      <c r="Q187" s="21">
        <f t="shared" ca="1" si="17"/>
        <v>42582</v>
      </c>
      <c r="R187" s="4">
        <f ca="1">MIN(O187,PREMISSAS!$C$13)</f>
        <v>0</v>
      </c>
      <c r="S187" s="240"/>
      <c r="T187" s="240"/>
    </row>
    <row r="188" spans="2:20" x14ac:dyDescent="0.25">
      <c r="B188" s="21">
        <f t="shared" ca="1" si="18"/>
        <v>48699</v>
      </c>
      <c r="C188" s="22">
        <f ca="1">IF(B188="","",IF(LEFT(B188,2)="13",C187,IF(MONTH(B188)=1,C187*(1+PREMISSAS!$C$57),C187)))</f>
        <v>0</v>
      </c>
      <c r="E188" s="18">
        <v>184</v>
      </c>
      <c r="F188" s="21">
        <f t="shared" ca="1" si="19"/>
        <v>42613</v>
      </c>
      <c r="G188" s="22">
        <f ca="1">IFERROR(VLOOKUP(F188,RESULTADOS!$O$5:$P$543,2,FALSE),VLOOKUP(F188,$B$5:$C$724,2,FALSE))</f>
        <v>0</v>
      </c>
      <c r="H188" s="4">
        <f ca="1">IF(F188&lt;PREMISSAS!$D$7,0,IFERROR(VLOOKUP(IF(LEFT(F188,2)="13",DATE(YEAR(F187),12,31),F188),IPCA!$A$3:$D$284,4,FALSE),1)*G188)</f>
        <v>0</v>
      </c>
      <c r="J188" s="21">
        <f t="shared" ca="1" si="14"/>
        <v>42613</v>
      </c>
      <c r="K188" s="4">
        <f t="shared" ca="1" si="15"/>
        <v>0</v>
      </c>
      <c r="M188" s="21">
        <f t="shared" ca="1" si="20"/>
        <v>42613</v>
      </c>
      <c r="N188" s="37">
        <f t="shared" ca="1" si="16"/>
        <v>0</v>
      </c>
      <c r="O188" s="4">
        <f ca="1">IFERROR(AVERAGEIF(N$5:$N188,"&gt;="&amp;_xlfn.PERCENTILE.EXC(N$5:$N188,0.2)),0)</f>
        <v>0</v>
      </c>
      <c r="Q188" s="21">
        <f t="shared" ca="1" si="17"/>
        <v>42613</v>
      </c>
      <c r="R188" s="4">
        <f ca="1">MIN(O188,PREMISSAS!$C$13)</f>
        <v>0</v>
      </c>
      <c r="S188" s="240"/>
      <c r="T188" s="240"/>
    </row>
    <row r="189" spans="2:20" x14ac:dyDescent="0.25">
      <c r="B189" s="21">
        <f t="shared" ca="1" si="18"/>
        <v>48730</v>
      </c>
      <c r="C189" s="22">
        <f ca="1">IF(B189="","",IF(LEFT(B189,2)="13",C188,IF(MONTH(B189)=1,C188*(1+PREMISSAS!$C$57),C188)))</f>
        <v>0</v>
      </c>
      <c r="E189" s="18">
        <v>185</v>
      </c>
      <c r="F189" s="21">
        <f t="shared" ca="1" si="19"/>
        <v>42643</v>
      </c>
      <c r="G189" s="22">
        <f ca="1">IFERROR(VLOOKUP(F189,RESULTADOS!$O$5:$P$543,2,FALSE),VLOOKUP(F189,$B$5:$C$724,2,FALSE))</f>
        <v>0</v>
      </c>
      <c r="H189" s="4">
        <f ca="1">IF(F189&lt;PREMISSAS!$D$7,0,IFERROR(VLOOKUP(IF(LEFT(F189,2)="13",DATE(YEAR(F188),12,31),F189),IPCA!$A$3:$D$284,4,FALSE),1)*G189)</f>
        <v>0</v>
      </c>
      <c r="J189" s="21">
        <f t="shared" ca="1" si="14"/>
        <v>42643</v>
      </c>
      <c r="K189" s="4">
        <f t="shared" ca="1" si="15"/>
        <v>0</v>
      </c>
      <c r="M189" s="21">
        <f t="shared" ca="1" si="20"/>
        <v>42643</v>
      </c>
      <c r="N189" s="37">
        <f t="shared" ca="1" si="16"/>
        <v>0</v>
      </c>
      <c r="O189" s="4">
        <f ca="1">IFERROR(AVERAGEIF(N$5:$N189,"&gt;="&amp;_xlfn.PERCENTILE.EXC(N$5:$N189,0.2)),0)</f>
        <v>0</v>
      </c>
      <c r="Q189" s="21">
        <f t="shared" ca="1" si="17"/>
        <v>42643</v>
      </c>
      <c r="R189" s="4">
        <f ca="1">MIN(O189,PREMISSAS!$C$13)</f>
        <v>0</v>
      </c>
      <c r="S189" s="240"/>
      <c r="T189" s="240"/>
    </row>
    <row r="190" spans="2:20" x14ac:dyDescent="0.25">
      <c r="B190" s="21">
        <f t="shared" ca="1" si="18"/>
        <v>48760</v>
      </c>
      <c r="C190" s="22">
        <f ca="1">IF(B190="","",IF(LEFT(B190,2)="13",C189,IF(MONTH(B190)=1,C189*(1+PREMISSAS!$C$57),C189)))</f>
        <v>0</v>
      </c>
      <c r="E190" s="18">
        <v>186</v>
      </c>
      <c r="F190" s="21">
        <f t="shared" ca="1" si="19"/>
        <v>42674</v>
      </c>
      <c r="G190" s="22">
        <f ca="1">IFERROR(VLOOKUP(F190,RESULTADOS!$O$5:$P$543,2,FALSE),VLOOKUP(F190,$B$5:$C$724,2,FALSE))</f>
        <v>0</v>
      </c>
      <c r="H190" s="4">
        <f ca="1">IF(F190&lt;PREMISSAS!$D$7,0,IFERROR(VLOOKUP(IF(LEFT(F190,2)="13",DATE(YEAR(F189),12,31),F190),IPCA!$A$3:$D$284,4,FALSE),1)*G190)</f>
        <v>0</v>
      </c>
      <c r="J190" s="21">
        <f t="shared" ca="1" si="14"/>
        <v>42674</v>
      </c>
      <c r="K190" s="4">
        <f t="shared" ca="1" si="15"/>
        <v>0</v>
      </c>
      <c r="M190" s="21">
        <f t="shared" ca="1" si="20"/>
        <v>42674</v>
      </c>
      <c r="N190" s="37">
        <f t="shared" ca="1" si="16"/>
        <v>0</v>
      </c>
      <c r="O190" s="4">
        <f ca="1">IFERROR(AVERAGEIF(N$5:$N190,"&gt;="&amp;_xlfn.PERCENTILE.EXC(N$5:$N190,0.2)),0)</f>
        <v>0</v>
      </c>
      <c r="Q190" s="21">
        <f t="shared" ca="1" si="17"/>
        <v>42674</v>
      </c>
      <c r="R190" s="4">
        <f ca="1">MIN(O190,PREMISSAS!$C$13)</f>
        <v>0</v>
      </c>
      <c r="S190" s="240"/>
      <c r="T190" s="240"/>
    </row>
    <row r="191" spans="2:20" x14ac:dyDescent="0.25">
      <c r="B191" s="21">
        <f t="shared" ca="1" si="18"/>
        <v>48791</v>
      </c>
      <c r="C191" s="22">
        <f ca="1">IF(B191="","",IF(LEFT(B191,2)="13",C190,IF(MONTH(B191)=1,C190*(1+PREMISSAS!$C$57),C190)))</f>
        <v>0</v>
      </c>
      <c r="E191" s="18">
        <v>187</v>
      </c>
      <c r="F191" s="21">
        <f t="shared" ca="1" si="19"/>
        <v>42704</v>
      </c>
      <c r="G191" s="22">
        <f ca="1">IFERROR(VLOOKUP(F191,RESULTADOS!$O$5:$P$543,2,FALSE),VLOOKUP(F191,$B$5:$C$724,2,FALSE))</f>
        <v>0</v>
      </c>
      <c r="H191" s="4">
        <f ca="1">IF(F191&lt;PREMISSAS!$D$7,0,IFERROR(VLOOKUP(IF(LEFT(F191,2)="13",DATE(YEAR(F190),12,31),F191),IPCA!$A$3:$D$284,4,FALSE),1)*G191)</f>
        <v>0</v>
      </c>
      <c r="J191" s="21">
        <f t="shared" ca="1" si="14"/>
        <v>42704</v>
      </c>
      <c r="K191" s="4">
        <f t="shared" ca="1" si="15"/>
        <v>0</v>
      </c>
      <c r="M191" s="21">
        <f t="shared" ca="1" si="20"/>
        <v>42704</v>
      </c>
      <c r="N191" s="37">
        <f t="shared" ca="1" si="16"/>
        <v>0</v>
      </c>
      <c r="O191" s="4">
        <f ca="1">IFERROR(AVERAGEIF(N$5:$N191,"&gt;="&amp;_xlfn.PERCENTILE.EXC(N$5:$N191,0.2)),0)</f>
        <v>0</v>
      </c>
      <c r="Q191" s="21">
        <f t="shared" ca="1" si="17"/>
        <v>42704</v>
      </c>
      <c r="R191" s="4">
        <f ca="1">MIN(O191,PREMISSAS!$C$13)</f>
        <v>0</v>
      </c>
      <c r="S191" s="240"/>
      <c r="T191" s="240"/>
    </row>
    <row r="192" spans="2:20" x14ac:dyDescent="0.25">
      <c r="B192" s="21">
        <f t="shared" ca="1" si="18"/>
        <v>48822</v>
      </c>
      <c r="C192" s="22">
        <f ca="1">IF(B192="","",IF(LEFT(B192,2)="13",C191,IF(MONTH(B192)=1,C191*(1+PREMISSAS!$C$57),C191)))</f>
        <v>0</v>
      </c>
      <c r="E192" s="18">
        <v>188</v>
      </c>
      <c r="F192" s="21" t="str">
        <f t="shared" ca="1" si="19"/>
        <v>13º 2016</v>
      </c>
      <c r="G192" s="22">
        <f ca="1">IFERROR(VLOOKUP(F192,RESULTADOS!$O$5:$P$543,2,FALSE),VLOOKUP(F192,$B$5:$C$724,2,FALSE))</f>
        <v>0</v>
      </c>
      <c r="H192" s="4">
        <f ca="1">IF(F192&lt;PREMISSAS!$D$7,0,IFERROR(VLOOKUP(IF(LEFT(F192,2)="13",DATE(YEAR(F191),12,31),F192),IPCA!$A$3:$D$284,4,FALSE),1)*G192)</f>
        <v>0</v>
      </c>
      <c r="J192" s="21" t="str">
        <f t="shared" ca="1" si="14"/>
        <v>13º 2016</v>
      </c>
      <c r="K192" s="4">
        <f t="shared" ca="1" si="15"/>
        <v>0</v>
      </c>
      <c r="M192" s="21" t="str">
        <f t="shared" ca="1" si="20"/>
        <v>13º 2016</v>
      </c>
      <c r="N192" s="37">
        <f t="shared" ca="1" si="16"/>
        <v>0</v>
      </c>
      <c r="O192" s="4">
        <f ca="1">IFERROR(AVERAGEIF(N$5:$N192,"&gt;="&amp;_xlfn.PERCENTILE.EXC(N$5:$N192,0.2)),0)</f>
        <v>0</v>
      </c>
      <c r="Q192" s="21" t="str">
        <f t="shared" ca="1" si="17"/>
        <v>13º 2016</v>
      </c>
      <c r="R192" s="4">
        <f ca="1">MIN(O192,PREMISSAS!$C$13)</f>
        <v>0</v>
      </c>
      <c r="S192" s="240"/>
      <c r="T192" s="240"/>
    </row>
    <row r="193" spans="2:20" x14ac:dyDescent="0.25">
      <c r="B193" s="21">
        <f t="shared" ca="1" si="18"/>
        <v>48852</v>
      </c>
      <c r="C193" s="22">
        <f ca="1">IF(B193="","",IF(LEFT(B193,2)="13",C192,IF(MONTH(B193)=1,C192*(1+PREMISSAS!$C$57),C192)))</f>
        <v>0</v>
      </c>
      <c r="E193" s="18">
        <v>189</v>
      </c>
      <c r="F193" s="21">
        <f t="shared" ca="1" si="19"/>
        <v>42735</v>
      </c>
      <c r="G193" s="22">
        <f ca="1">IFERROR(VLOOKUP(F193,RESULTADOS!$O$5:$P$543,2,FALSE),VLOOKUP(F193,$B$5:$C$724,2,FALSE))</f>
        <v>0</v>
      </c>
      <c r="H193" s="4">
        <f ca="1">IF(F193&lt;PREMISSAS!$D$7,0,IFERROR(VLOOKUP(IF(LEFT(F193,2)="13",DATE(YEAR(F192),12,31),F193),IPCA!$A$3:$D$284,4,FALSE),1)*G193)</f>
        <v>0</v>
      </c>
      <c r="J193" s="21">
        <f t="shared" ca="1" si="14"/>
        <v>42735</v>
      </c>
      <c r="K193" s="4">
        <f t="shared" ca="1" si="15"/>
        <v>0</v>
      </c>
      <c r="M193" s="21">
        <f t="shared" ca="1" si="20"/>
        <v>42735</v>
      </c>
      <c r="N193" s="37">
        <f t="shared" ca="1" si="16"/>
        <v>0</v>
      </c>
      <c r="O193" s="4">
        <f ca="1">IFERROR(AVERAGEIF(N$5:$N193,"&gt;="&amp;_xlfn.PERCENTILE.EXC(N$5:$N193,0.2)),0)</f>
        <v>0</v>
      </c>
      <c r="Q193" s="21">
        <f t="shared" ca="1" si="17"/>
        <v>42735</v>
      </c>
      <c r="R193" s="4">
        <f ca="1">MIN(O193,PREMISSAS!$C$13)</f>
        <v>0</v>
      </c>
      <c r="S193" s="240"/>
      <c r="T193" s="240"/>
    </row>
    <row r="194" spans="2:20" x14ac:dyDescent="0.25">
      <c r="B194" s="21">
        <f t="shared" ca="1" si="18"/>
        <v>48883</v>
      </c>
      <c r="C194" s="22">
        <f ca="1">IF(B194="","",IF(LEFT(B194,2)="13",C193,IF(MONTH(B194)=1,C193*(1+PREMISSAS!$C$57),C193)))</f>
        <v>0</v>
      </c>
      <c r="E194" s="18">
        <v>190</v>
      </c>
      <c r="F194" s="21">
        <f t="shared" ca="1" si="19"/>
        <v>42766</v>
      </c>
      <c r="G194" s="22">
        <f ca="1">IFERROR(VLOOKUP(F194,RESULTADOS!$O$5:$P$543,2,FALSE),VLOOKUP(F194,$B$5:$C$724,2,FALSE))</f>
        <v>0</v>
      </c>
      <c r="H194" s="4">
        <f ca="1">IF(F194&lt;PREMISSAS!$D$7,0,IFERROR(VLOOKUP(IF(LEFT(F194,2)="13",DATE(YEAR(F193),12,31),F194),IPCA!$A$3:$D$284,4,FALSE),1)*G194)</f>
        <v>0</v>
      </c>
      <c r="J194" s="21">
        <f t="shared" ca="1" si="14"/>
        <v>42766</v>
      </c>
      <c r="K194" s="4">
        <f t="shared" ca="1" si="15"/>
        <v>0</v>
      </c>
      <c r="M194" s="21">
        <f t="shared" ca="1" si="20"/>
        <v>42766</v>
      </c>
      <c r="N194" s="37">
        <f t="shared" ca="1" si="16"/>
        <v>0</v>
      </c>
      <c r="O194" s="4">
        <f ca="1">IFERROR(AVERAGEIF(N$5:$N194,"&gt;="&amp;_xlfn.PERCENTILE.EXC(N$5:$N194,0.2)),0)</f>
        <v>0</v>
      </c>
      <c r="Q194" s="21">
        <f t="shared" ca="1" si="17"/>
        <v>42766</v>
      </c>
      <c r="R194" s="4">
        <f ca="1">MIN(O194,PREMISSAS!$C$13)</f>
        <v>0</v>
      </c>
      <c r="S194" s="240"/>
      <c r="T194" s="240"/>
    </row>
    <row r="195" spans="2:20" x14ac:dyDescent="0.25">
      <c r="B195" s="21">
        <f t="shared" ca="1" si="18"/>
        <v>48913</v>
      </c>
      <c r="C195" s="22">
        <f ca="1">IF(B195="","",IF(LEFT(B195,2)="13",C194,IF(MONTH(B195)=1,C194*(1+PREMISSAS!$C$57),C194)))</f>
        <v>0</v>
      </c>
      <c r="E195" s="18">
        <v>191</v>
      </c>
      <c r="F195" s="21">
        <f t="shared" ca="1" si="19"/>
        <v>42794</v>
      </c>
      <c r="G195" s="22">
        <f ca="1">IFERROR(VLOOKUP(F195,RESULTADOS!$O$5:$P$543,2,FALSE),VLOOKUP(F195,$B$5:$C$724,2,FALSE))</f>
        <v>0</v>
      </c>
      <c r="H195" s="4">
        <f ca="1">IF(F195&lt;PREMISSAS!$D$7,0,IFERROR(VLOOKUP(IF(LEFT(F195,2)="13",DATE(YEAR(F194),12,31),F195),IPCA!$A$3:$D$284,4,FALSE),1)*G195)</f>
        <v>0</v>
      </c>
      <c r="J195" s="21">
        <f t="shared" ca="1" si="14"/>
        <v>42794</v>
      </c>
      <c r="K195" s="4">
        <f t="shared" ca="1" si="15"/>
        <v>0</v>
      </c>
      <c r="M195" s="21">
        <f t="shared" ca="1" si="20"/>
        <v>42794</v>
      </c>
      <c r="N195" s="37">
        <f t="shared" ca="1" si="16"/>
        <v>0</v>
      </c>
      <c r="O195" s="4">
        <f ca="1">IFERROR(AVERAGEIF(N$5:$N195,"&gt;="&amp;_xlfn.PERCENTILE.EXC(N$5:$N195,0.2)),0)</f>
        <v>0</v>
      </c>
      <c r="Q195" s="21">
        <f t="shared" ca="1" si="17"/>
        <v>42794</v>
      </c>
      <c r="R195" s="4">
        <f ca="1">MIN(O195,PREMISSAS!$C$13)</f>
        <v>0</v>
      </c>
      <c r="S195" s="240"/>
      <c r="T195" s="240"/>
    </row>
    <row r="196" spans="2:20" x14ac:dyDescent="0.25">
      <c r="B196" s="21" t="str">
        <f t="shared" ca="1" si="18"/>
        <v>13º 2033</v>
      </c>
      <c r="C196" s="22">
        <f ca="1">IF(B196="","",IF(LEFT(B196,2)="13",C195,IF(MONTH(B196)=1,C195*(1+PREMISSAS!$C$57),C195)))</f>
        <v>0</v>
      </c>
      <c r="E196" s="18">
        <v>192</v>
      </c>
      <c r="F196" s="21">
        <f t="shared" ca="1" si="19"/>
        <v>42825</v>
      </c>
      <c r="G196" s="22">
        <f ca="1">IFERROR(VLOOKUP(F196,RESULTADOS!$O$5:$P$543,2,FALSE),VLOOKUP(F196,$B$5:$C$724,2,FALSE))</f>
        <v>0</v>
      </c>
      <c r="H196" s="4">
        <f ca="1">IF(F196&lt;PREMISSAS!$D$7,0,IFERROR(VLOOKUP(IF(LEFT(F196,2)="13",DATE(YEAR(F195),12,31),F196),IPCA!$A$3:$D$284,4,FALSE),1)*G196)</f>
        <v>0</v>
      </c>
      <c r="J196" s="21">
        <f t="shared" ca="1" si="14"/>
        <v>42825</v>
      </c>
      <c r="K196" s="4">
        <f t="shared" ca="1" si="15"/>
        <v>0</v>
      </c>
      <c r="M196" s="21">
        <f t="shared" ca="1" si="20"/>
        <v>42825</v>
      </c>
      <c r="N196" s="37">
        <f t="shared" ca="1" si="16"/>
        <v>0</v>
      </c>
      <c r="O196" s="4">
        <f ca="1">IFERROR(AVERAGEIF(N$5:$N196,"&gt;="&amp;_xlfn.PERCENTILE.EXC(N$5:$N196,0.2)),0)</f>
        <v>0</v>
      </c>
      <c r="Q196" s="21">
        <f t="shared" ca="1" si="17"/>
        <v>42825</v>
      </c>
      <c r="R196" s="4">
        <f ca="1">MIN(O196,PREMISSAS!$C$13)</f>
        <v>0</v>
      </c>
      <c r="S196" s="240"/>
      <c r="T196" s="240"/>
    </row>
    <row r="197" spans="2:20" x14ac:dyDescent="0.25">
      <c r="B197" s="21">
        <f t="shared" ca="1" si="18"/>
        <v>48944</v>
      </c>
      <c r="C197" s="22">
        <f ca="1">IF(B197="","",IF(LEFT(B197,2)="13",C196,IF(MONTH(B197)=1,C196*(1+PREMISSAS!$C$57),C196)))</f>
        <v>0</v>
      </c>
      <c r="E197" s="18">
        <v>193</v>
      </c>
      <c r="F197" s="21">
        <f t="shared" ca="1" si="19"/>
        <v>42855</v>
      </c>
      <c r="G197" s="22">
        <f ca="1">IFERROR(VLOOKUP(F197,RESULTADOS!$O$5:$P$543,2,FALSE),VLOOKUP(F197,$B$5:$C$724,2,FALSE))</f>
        <v>0</v>
      </c>
      <c r="H197" s="4">
        <f ca="1">IF(F197&lt;PREMISSAS!$D$7,0,IFERROR(VLOOKUP(IF(LEFT(F197,2)="13",DATE(YEAR(F196),12,31),F197),IPCA!$A$3:$D$284,4,FALSE),1)*G197)</f>
        <v>0</v>
      </c>
      <c r="J197" s="21">
        <f t="shared" ref="J197:J260" ca="1" si="21">F197</f>
        <v>42855</v>
      </c>
      <c r="K197" s="4">
        <f t="shared" ref="K197:K260" ca="1" si="22">G197</f>
        <v>0</v>
      </c>
      <c r="M197" s="21">
        <f t="shared" ca="1" si="20"/>
        <v>42855</v>
      </c>
      <c r="N197" s="37">
        <f t="shared" ca="1" si="16"/>
        <v>0</v>
      </c>
      <c r="O197" s="4">
        <f ca="1">IFERROR(AVERAGEIF(N$5:$N197,"&gt;="&amp;_xlfn.PERCENTILE.EXC(N$5:$N197,0.2)),0)</f>
        <v>0</v>
      </c>
      <c r="Q197" s="21">
        <f t="shared" ca="1" si="17"/>
        <v>42855</v>
      </c>
      <c r="R197" s="4">
        <f ca="1">MIN(O197,PREMISSAS!$C$13)</f>
        <v>0</v>
      </c>
      <c r="S197" s="240"/>
      <c r="T197" s="240"/>
    </row>
    <row r="198" spans="2:20" x14ac:dyDescent="0.25">
      <c r="B198" s="21">
        <f t="shared" ca="1" si="18"/>
        <v>48975</v>
      </c>
      <c r="C198" s="22">
        <f ca="1">IF(B198="","",IF(LEFT(B198,2)="13",C197,IF(MONTH(B198)=1,C197*(1+PREMISSAS!$C$57),C197)))</f>
        <v>0</v>
      </c>
      <c r="E198" s="18">
        <v>194</v>
      </c>
      <c r="F198" s="21">
        <f t="shared" ca="1" si="19"/>
        <v>42886</v>
      </c>
      <c r="G198" s="22">
        <f ca="1">IFERROR(VLOOKUP(F198,RESULTADOS!$O$5:$P$543,2,FALSE),VLOOKUP(F198,$B$5:$C$724,2,FALSE))</f>
        <v>0</v>
      </c>
      <c r="H198" s="4">
        <f ca="1">IF(F198&lt;PREMISSAS!$D$7,0,IFERROR(VLOOKUP(IF(LEFT(F198,2)="13",DATE(YEAR(F197),12,31),F198),IPCA!$A$3:$D$284,4,FALSE),1)*G198)</f>
        <v>0</v>
      </c>
      <c r="J198" s="21">
        <f t="shared" ca="1" si="21"/>
        <v>42886</v>
      </c>
      <c r="K198" s="4">
        <f t="shared" ca="1" si="22"/>
        <v>0</v>
      </c>
      <c r="M198" s="21">
        <f t="shared" ca="1" si="20"/>
        <v>42886</v>
      </c>
      <c r="N198" s="37">
        <f t="shared" ref="N198:N261" ca="1" si="23">IFERROR(VLOOKUP(M198,$F$5:$H$628,3,FALSE),0)</f>
        <v>0</v>
      </c>
      <c r="O198" s="4">
        <f ca="1">IFERROR(AVERAGEIF(N$5:$N198,"&gt;="&amp;_xlfn.PERCENTILE.EXC(N$5:$N198,0.2)),0)</f>
        <v>0</v>
      </c>
      <c r="Q198" s="21">
        <f t="shared" ref="Q198:Q261" ca="1" si="24">M198</f>
        <v>42886</v>
      </c>
      <c r="R198" s="4">
        <f ca="1">MIN(O198,PREMISSAS!$C$13)</f>
        <v>0</v>
      </c>
      <c r="S198" s="240"/>
      <c r="T198" s="240"/>
    </row>
    <row r="199" spans="2:20" x14ac:dyDescent="0.25">
      <c r="B199" s="21">
        <f t="shared" ref="B199:B262" ca="1" si="25">IFERROR(IF(LEFT(B198,2)="13",DATE(RIGHT(B198,4),12,31),IF(EOMONTH(B198,0)&gt;$F$1,"",IF(MONTH(B198)=11,"13º "&amp;YEAR(B198),EOMONTH(B198,1)))),"")</f>
        <v>49003</v>
      </c>
      <c r="C199" s="22">
        <f ca="1">IF(B199="","",IF(LEFT(B199,2)="13",C198,IF(MONTH(B199)=1,C198*(1+PREMISSAS!$C$57),C198)))</f>
        <v>0</v>
      </c>
      <c r="E199" s="18">
        <v>195</v>
      </c>
      <c r="F199" s="21">
        <f t="shared" ref="F199:F262" ca="1" si="26">IFERROR(IF(LEFT(F198,2)="13",DATE(RIGHT(F198,4),12,31),IF(EOMONTH(F198,0)&gt;$F$1,"",IF(MONTH(F198)=11,"13º "&amp;YEAR(F198),EOMONTH(F198,1)))),"")</f>
        <v>42916</v>
      </c>
      <c r="G199" s="22">
        <f ca="1">IFERROR(VLOOKUP(F199,RESULTADOS!$O$5:$P$543,2,FALSE),VLOOKUP(F199,$B$5:$C$724,2,FALSE))</f>
        <v>0</v>
      </c>
      <c r="H199" s="4">
        <f ca="1">IF(F199&lt;PREMISSAS!$D$7,0,IFERROR(VLOOKUP(IF(LEFT(F199,2)="13",DATE(YEAR(F198),12,31),F199),IPCA!$A$3:$D$284,4,FALSE),1)*G199)</f>
        <v>0</v>
      </c>
      <c r="J199" s="21">
        <f t="shared" ca="1" si="21"/>
        <v>42916</v>
      </c>
      <c r="K199" s="4">
        <f t="shared" ca="1" si="22"/>
        <v>0</v>
      </c>
      <c r="M199" s="21">
        <f t="shared" ref="M199:M262" ca="1" si="27">IFERROR(IF(LEFT(M198,2)="13",DATE(RIGHT(M198,4),12,31),IF(EOMONTH(M198,0)&gt;$F$1,"",IF(MONTH(M198)=11,"13º "&amp;YEAR(M198),EOMONTH(M198,1)))),"")</f>
        <v>42916</v>
      </c>
      <c r="N199" s="37">
        <f t="shared" ca="1" si="23"/>
        <v>0</v>
      </c>
      <c r="O199" s="4">
        <f ca="1">IFERROR(AVERAGEIF(N$5:$N199,"&gt;="&amp;_xlfn.PERCENTILE.EXC(N$5:$N199,0.2)),0)</f>
        <v>0</v>
      </c>
      <c r="Q199" s="21">
        <f t="shared" ca="1" si="24"/>
        <v>42916</v>
      </c>
      <c r="R199" s="4">
        <f ca="1">MIN(O199,PREMISSAS!$C$13)</f>
        <v>0</v>
      </c>
      <c r="S199" s="240"/>
      <c r="T199" s="240"/>
    </row>
    <row r="200" spans="2:20" x14ac:dyDescent="0.25">
      <c r="B200" s="21">
        <f t="shared" ca="1" si="25"/>
        <v>49034</v>
      </c>
      <c r="C200" s="22">
        <f ca="1">IF(B200="","",IF(LEFT(B200,2)="13",C199,IF(MONTH(B200)=1,C199*(1+PREMISSAS!$C$57),C199)))</f>
        <v>0</v>
      </c>
      <c r="E200" s="18">
        <v>196</v>
      </c>
      <c r="F200" s="21">
        <f t="shared" ca="1" si="26"/>
        <v>42947</v>
      </c>
      <c r="G200" s="22">
        <f ca="1">IFERROR(VLOOKUP(F200,RESULTADOS!$O$5:$P$543,2,FALSE),VLOOKUP(F200,$B$5:$C$724,2,FALSE))</f>
        <v>0</v>
      </c>
      <c r="H200" s="4">
        <f ca="1">IF(F200&lt;PREMISSAS!$D$7,0,IFERROR(VLOOKUP(IF(LEFT(F200,2)="13",DATE(YEAR(F199),12,31),F200),IPCA!$A$3:$D$284,4,FALSE),1)*G200)</f>
        <v>0</v>
      </c>
      <c r="J200" s="21">
        <f t="shared" ca="1" si="21"/>
        <v>42947</v>
      </c>
      <c r="K200" s="4">
        <f t="shared" ca="1" si="22"/>
        <v>0</v>
      </c>
      <c r="M200" s="21">
        <f t="shared" ca="1" si="27"/>
        <v>42947</v>
      </c>
      <c r="N200" s="37">
        <f t="shared" ca="1" si="23"/>
        <v>0</v>
      </c>
      <c r="O200" s="4">
        <f ca="1">IFERROR(AVERAGEIF(N$5:$N200,"&gt;="&amp;_xlfn.PERCENTILE.EXC(N$5:$N200,0.2)),0)</f>
        <v>0</v>
      </c>
      <c r="Q200" s="21">
        <f t="shared" ca="1" si="24"/>
        <v>42947</v>
      </c>
      <c r="R200" s="4">
        <f ca="1">MIN(O200,PREMISSAS!$C$13)</f>
        <v>0</v>
      </c>
      <c r="S200" s="240"/>
      <c r="T200" s="240"/>
    </row>
    <row r="201" spans="2:20" x14ac:dyDescent="0.25">
      <c r="B201" s="21">
        <f t="shared" ca="1" si="25"/>
        <v>49064</v>
      </c>
      <c r="C201" s="22">
        <f ca="1">IF(B201="","",IF(LEFT(B201,2)="13",C200,IF(MONTH(B201)=1,C200*(1+PREMISSAS!$C$57),C200)))</f>
        <v>0</v>
      </c>
      <c r="E201" s="18">
        <v>197</v>
      </c>
      <c r="F201" s="21">
        <f t="shared" ca="1" si="26"/>
        <v>42978</v>
      </c>
      <c r="G201" s="22">
        <f ca="1">IFERROR(VLOOKUP(F201,RESULTADOS!$O$5:$P$543,2,FALSE),VLOOKUP(F201,$B$5:$C$724,2,FALSE))</f>
        <v>0</v>
      </c>
      <c r="H201" s="4">
        <f ca="1">IF(F201&lt;PREMISSAS!$D$7,0,IFERROR(VLOOKUP(IF(LEFT(F201,2)="13",DATE(YEAR(F200),12,31),F201),IPCA!$A$3:$D$284,4,FALSE),1)*G201)</f>
        <v>0</v>
      </c>
      <c r="J201" s="21">
        <f t="shared" ca="1" si="21"/>
        <v>42978</v>
      </c>
      <c r="K201" s="4">
        <f t="shared" ca="1" si="22"/>
        <v>0</v>
      </c>
      <c r="M201" s="21">
        <f t="shared" ca="1" si="27"/>
        <v>42978</v>
      </c>
      <c r="N201" s="37">
        <f t="shared" ca="1" si="23"/>
        <v>0</v>
      </c>
      <c r="O201" s="4">
        <f ca="1">IFERROR(AVERAGEIF(N$5:$N201,"&gt;="&amp;_xlfn.PERCENTILE.EXC(N$5:$N201,0.2)),0)</f>
        <v>0</v>
      </c>
      <c r="Q201" s="21">
        <f t="shared" ca="1" si="24"/>
        <v>42978</v>
      </c>
      <c r="R201" s="4">
        <f ca="1">MIN(O201,PREMISSAS!$C$13)</f>
        <v>0</v>
      </c>
      <c r="S201" s="240"/>
      <c r="T201" s="240"/>
    </row>
    <row r="202" spans="2:20" x14ac:dyDescent="0.25">
      <c r="B202" s="21">
        <f t="shared" ca="1" si="25"/>
        <v>49095</v>
      </c>
      <c r="C202" s="22">
        <f ca="1">IF(B202="","",IF(LEFT(B202,2)="13",C201,IF(MONTH(B202)=1,C201*(1+PREMISSAS!$C$57),C201)))</f>
        <v>0</v>
      </c>
      <c r="E202" s="18">
        <v>198</v>
      </c>
      <c r="F202" s="21">
        <f t="shared" ca="1" si="26"/>
        <v>43008</v>
      </c>
      <c r="G202" s="22">
        <f ca="1">IFERROR(VLOOKUP(F202,RESULTADOS!$O$5:$P$543,2,FALSE),VLOOKUP(F202,$B$5:$C$724,2,FALSE))</f>
        <v>0</v>
      </c>
      <c r="H202" s="4">
        <f ca="1">IF(F202&lt;PREMISSAS!$D$7,0,IFERROR(VLOOKUP(IF(LEFT(F202,2)="13",DATE(YEAR(F201),12,31),F202),IPCA!$A$3:$D$284,4,FALSE),1)*G202)</f>
        <v>0</v>
      </c>
      <c r="J202" s="21">
        <f t="shared" ca="1" si="21"/>
        <v>43008</v>
      </c>
      <c r="K202" s="4">
        <f t="shared" ca="1" si="22"/>
        <v>0</v>
      </c>
      <c r="M202" s="21">
        <f t="shared" ca="1" si="27"/>
        <v>43008</v>
      </c>
      <c r="N202" s="37">
        <f t="shared" ca="1" si="23"/>
        <v>0</v>
      </c>
      <c r="O202" s="4">
        <f ca="1">IFERROR(AVERAGEIF(N$5:$N202,"&gt;="&amp;_xlfn.PERCENTILE.EXC(N$5:$N202,0.2)),0)</f>
        <v>0</v>
      </c>
      <c r="Q202" s="21">
        <f t="shared" ca="1" si="24"/>
        <v>43008</v>
      </c>
      <c r="R202" s="4">
        <f ca="1">MIN(O202,PREMISSAS!$C$13)</f>
        <v>0</v>
      </c>
      <c r="S202" s="240"/>
      <c r="T202" s="240"/>
    </row>
    <row r="203" spans="2:20" x14ac:dyDescent="0.25">
      <c r="B203" s="21">
        <f t="shared" ca="1" si="25"/>
        <v>49125</v>
      </c>
      <c r="C203" s="22">
        <f ca="1">IF(B203="","",IF(LEFT(B203,2)="13",C202,IF(MONTH(B203)=1,C202*(1+PREMISSAS!$C$57),C202)))</f>
        <v>0</v>
      </c>
      <c r="E203" s="18">
        <v>199</v>
      </c>
      <c r="F203" s="21">
        <f t="shared" ca="1" si="26"/>
        <v>43039</v>
      </c>
      <c r="G203" s="22">
        <f ca="1">IFERROR(VLOOKUP(F203,RESULTADOS!$O$5:$P$543,2,FALSE),VLOOKUP(F203,$B$5:$C$724,2,FALSE))</f>
        <v>0</v>
      </c>
      <c r="H203" s="4">
        <f ca="1">IF(F203&lt;PREMISSAS!$D$7,0,IFERROR(VLOOKUP(IF(LEFT(F203,2)="13",DATE(YEAR(F202),12,31),F203),IPCA!$A$3:$D$284,4,FALSE),1)*G203)</f>
        <v>0</v>
      </c>
      <c r="J203" s="21">
        <f t="shared" ca="1" si="21"/>
        <v>43039</v>
      </c>
      <c r="K203" s="4">
        <f t="shared" ca="1" si="22"/>
        <v>0</v>
      </c>
      <c r="M203" s="21">
        <f t="shared" ca="1" si="27"/>
        <v>43039</v>
      </c>
      <c r="N203" s="37">
        <f t="shared" ca="1" si="23"/>
        <v>0</v>
      </c>
      <c r="O203" s="4">
        <f ca="1">IFERROR(AVERAGEIF(N$5:$N203,"&gt;="&amp;_xlfn.PERCENTILE.EXC(N$5:$N203,0.2)),0)</f>
        <v>0</v>
      </c>
      <c r="Q203" s="21">
        <f t="shared" ca="1" si="24"/>
        <v>43039</v>
      </c>
      <c r="R203" s="4">
        <f ca="1">MIN(O203,PREMISSAS!$C$13)</f>
        <v>0</v>
      </c>
      <c r="S203" s="240"/>
      <c r="T203" s="240"/>
    </row>
    <row r="204" spans="2:20" x14ac:dyDescent="0.25">
      <c r="B204" s="21">
        <f t="shared" ca="1" si="25"/>
        <v>49156</v>
      </c>
      <c r="C204" s="22">
        <f ca="1">IF(B204="","",IF(LEFT(B204,2)="13",C203,IF(MONTH(B204)=1,C203*(1+PREMISSAS!$C$57),C203)))</f>
        <v>0</v>
      </c>
      <c r="E204" s="18">
        <v>200</v>
      </c>
      <c r="F204" s="21">
        <f t="shared" ca="1" si="26"/>
        <v>43069</v>
      </c>
      <c r="G204" s="22">
        <f ca="1">IFERROR(VLOOKUP(F204,RESULTADOS!$O$5:$P$543,2,FALSE),VLOOKUP(F204,$B$5:$C$724,2,FALSE))</f>
        <v>0</v>
      </c>
      <c r="H204" s="4">
        <f ca="1">IF(F204&lt;PREMISSAS!$D$7,0,IFERROR(VLOOKUP(IF(LEFT(F204,2)="13",DATE(YEAR(F203),12,31),F204),IPCA!$A$3:$D$284,4,FALSE),1)*G204)</f>
        <v>0</v>
      </c>
      <c r="J204" s="21">
        <f t="shared" ca="1" si="21"/>
        <v>43069</v>
      </c>
      <c r="K204" s="4">
        <f t="shared" ca="1" si="22"/>
        <v>0</v>
      </c>
      <c r="M204" s="21">
        <f t="shared" ca="1" si="27"/>
        <v>43069</v>
      </c>
      <c r="N204" s="37">
        <f t="shared" ca="1" si="23"/>
        <v>0</v>
      </c>
      <c r="O204" s="4">
        <f ca="1">IFERROR(AVERAGEIF(N$5:$N204,"&gt;="&amp;_xlfn.PERCENTILE.EXC(N$5:$N204,0.2)),0)</f>
        <v>0</v>
      </c>
      <c r="Q204" s="21">
        <f t="shared" ca="1" si="24"/>
        <v>43069</v>
      </c>
      <c r="R204" s="4">
        <f ca="1">MIN(O204,PREMISSAS!$C$13)</f>
        <v>0</v>
      </c>
      <c r="S204" s="240"/>
      <c r="T204" s="240"/>
    </row>
    <row r="205" spans="2:20" x14ac:dyDescent="0.25">
      <c r="B205" s="21">
        <f t="shared" ca="1" si="25"/>
        <v>49187</v>
      </c>
      <c r="C205" s="22">
        <f ca="1">IF(B205="","",IF(LEFT(B205,2)="13",C204,IF(MONTH(B205)=1,C204*(1+PREMISSAS!$C$57),C204)))</f>
        <v>0</v>
      </c>
      <c r="E205" s="18">
        <v>201</v>
      </c>
      <c r="F205" s="21" t="str">
        <f t="shared" ca="1" si="26"/>
        <v>13º 2017</v>
      </c>
      <c r="G205" s="22">
        <f ca="1">IFERROR(VLOOKUP(F205,RESULTADOS!$O$5:$P$543,2,FALSE),VLOOKUP(F205,$B$5:$C$724,2,FALSE))</f>
        <v>0</v>
      </c>
      <c r="H205" s="4">
        <f ca="1">IF(F205&lt;PREMISSAS!$D$7,0,IFERROR(VLOOKUP(IF(LEFT(F205,2)="13",DATE(YEAR(F204),12,31),F205),IPCA!$A$3:$D$284,4,FALSE),1)*G205)</f>
        <v>0</v>
      </c>
      <c r="J205" s="21" t="str">
        <f t="shared" ca="1" si="21"/>
        <v>13º 2017</v>
      </c>
      <c r="K205" s="4">
        <f t="shared" ca="1" si="22"/>
        <v>0</v>
      </c>
      <c r="M205" s="21" t="str">
        <f t="shared" ca="1" si="27"/>
        <v>13º 2017</v>
      </c>
      <c r="N205" s="37">
        <f t="shared" ca="1" si="23"/>
        <v>0</v>
      </c>
      <c r="O205" s="4">
        <f ca="1">IFERROR(AVERAGEIF(N$5:$N205,"&gt;="&amp;_xlfn.PERCENTILE.EXC(N$5:$N205,0.2)),0)</f>
        <v>0</v>
      </c>
      <c r="Q205" s="21" t="str">
        <f t="shared" ca="1" si="24"/>
        <v>13º 2017</v>
      </c>
      <c r="R205" s="4">
        <f ca="1">MIN(O205,PREMISSAS!$C$13)</f>
        <v>0</v>
      </c>
      <c r="S205" s="240"/>
      <c r="T205" s="240"/>
    </row>
    <row r="206" spans="2:20" x14ac:dyDescent="0.25">
      <c r="B206" s="21">
        <f t="shared" ca="1" si="25"/>
        <v>49217</v>
      </c>
      <c r="C206" s="22">
        <f ca="1">IF(B206="","",IF(LEFT(B206,2)="13",C205,IF(MONTH(B206)=1,C205*(1+PREMISSAS!$C$57),C205)))</f>
        <v>0</v>
      </c>
      <c r="E206" s="18">
        <v>202</v>
      </c>
      <c r="F206" s="21">
        <f t="shared" ca="1" si="26"/>
        <v>43100</v>
      </c>
      <c r="G206" s="22">
        <f ca="1">IFERROR(VLOOKUP(F206,RESULTADOS!$O$5:$P$543,2,FALSE),VLOOKUP(F206,$B$5:$C$724,2,FALSE))</f>
        <v>0</v>
      </c>
      <c r="H206" s="4">
        <f ca="1">IF(F206&lt;PREMISSAS!$D$7,0,IFERROR(VLOOKUP(IF(LEFT(F206,2)="13",DATE(YEAR(F205),12,31),F206),IPCA!$A$3:$D$284,4,FALSE),1)*G206)</f>
        <v>0</v>
      </c>
      <c r="J206" s="21">
        <f t="shared" ca="1" si="21"/>
        <v>43100</v>
      </c>
      <c r="K206" s="4">
        <f t="shared" ca="1" si="22"/>
        <v>0</v>
      </c>
      <c r="M206" s="21">
        <f t="shared" ca="1" si="27"/>
        <v>43100</v>
      </c>
      <c r="N206" s="37">
        <f t="shared" ca="1" si="23"/>
        <v>0</v>
      </c>
      <c r="O206" s="4">
        <f ca="1">IFERROR(AVERAGEIF(N$5:$N206,"&gt;="&amp;_xlfn.PERCENTILE.EXC(N$5:$N206,0.2)),0)</f>
        <v>0</v>
      </c>
      <c r="Q206" s="21">
        <f t="shared" ca="1" si="24"/>
        <v>43100</v>
      </c>
      <c r="R206" s="4">
        <f ca="1">MIN(O206,PREMISSAS!$C$13)</f>
        <v>0</v>
      </c>
      <c r="S206" s="240"/>
      <c r="T206" s="240"/>
    </row>
    <row r="207" spans="2:20" x14ac:dyDescent="0.25">
      <c r="B207" s="21">
        <f t="shared" ca="1" si="25"/>
        <v>49248</v>
      </c>
      <c r="C207" s="22">
        <f ca="1">IF(B207="","",IF(LEFT(B207,2)="13",C206,IF(MONTH(B207)=1,C206*(1+PREMISSAS!$C$57),C206)))</f>
        <v>0</v>
      </c>
      <c r="E207" s="18">
        <v>203</v>
      </c>
      <c r="F207" s="21">
        <f t="shared" ca="1" si="26"/>
        <v>43131</v>
      </c>
      <c r="G207" s="22">
        <f ca="1">IFERROR(VLOOKUP(F207,RESULTADOS!$O$5:$P$543,2,FALSE),VLOOKUP(F207,$B$5:$C$724,2,FALSE))</f>
        <v>0</v>
      </c>
      <c r="H207" s="4">
        <f ca="1">IF(F207&lt;PREMISSAS!$D$7,0,IFERROR(VLOOKUP(IF(LEFT(F207,2)="13",DATE(YEAR(F206),12,31),F207),IPCA!$A$3:$D$284,4,FALSE),1)*G207)</f>
        <v>0</v>
      </c>
      <c r="J207" s="21">
        <f t="shared" ca="1" si="21"/>
        <v>43131</v>
      </c>
      <c r="K207" s="4">
        <f t="shared" ca="1" si="22"/>
        <v>0</v>
      </c>
      <c r="M207" s="21">
        <f t="shared" ca="1" si="27"/>
        <v>43131</v>
      </c>
      <c r="N207" s="37">
        <f t="shared" ca="1" si="23"/>
        <v>0</v>
      </c>
      <c r="O207" s="4">
        <f ca="1">IFERROR(AVERAGEIF(N$5:$N207,"&gt;="&amp;_xlfn.PERCENTILE.EXC(N$5:$N207,0.2)),0)</f>
        <v>0</v>
      </c>
      <c r="Q207" s="21">
        <f t="shared" ca="1" si="24"/>
        <v>43131</v>
      </c>
      <c r="R207" s="4">
        <f ca="1">MIN(O207,PREMISSAS!$C$13)</f>
        <v>0</v>
      </c>
      <c r="S207" s="240"/>
      <c r="T207" s="240"/>
    </row>
    <row r="208" spans="2:20" x14ac:dyDescent="0.25">
      <c r="B208" s="21">
        <f t="shared" ca="1" si="25"/>
        <v>49278</v>
      </c>
      <c r="C208" s="22">
        <f ca="1">IF(B208="","",IF(LEFT(B208,2)="13",C207,IF(MONTH(B208)=1,C207*(1+PREMISSAS!$C$57),C207)))</f>
        <v>0</v>
      </c>
      <c r="E208" s="18">
        <v>204</v>
      </c>
      <c r="F208" s="21">
        <f t="shared" ca="1" si="26"/>
        <v>43159</v>
      </c>
      <c r="G208" s="22">
        <f ca="1">IFERROR(VLOOKUP(F208,RESULTADOS!$O$5:$P$543,2,FALSE),VLOOKUP(F208,$B$5:$C$724,2,FALSE))</f>
        <v>0</v>
      </c>
      <c r="H208" s="4">
        <f ca="1">IF(F208&lt;PREMISSAS!$D$7,0,IFERROR(VLOOKUP(IF(LEFT(F208,2)="13",DATE(YEAR(F207),12,31),F208),IPCA!$A$3:$D$284,4,FALSE),1)*G208)</f>
        <v>0</v>
      </c>
      <c r="J208" s="21">
        <f t="shared" ca="1" si="21"/>
        <v>43159</v>
      </c>
      <c r="K208" s="4">
        <f t="shared" ca="1" si="22"/>
        <v>0</v>
      </c>
      <c r="M208" s="21">
        <f t="shared" ca="1" si="27"/>
        <v>43159</v>
      </c>
      <c r="N208" s="37">
        <f t="shared" ca="1" si="23"/>
        <v>0</v>
      </c>
      <c r="O208" s="4">
        <f ca="1">IFERROR(AVERAGEIF(N$5:$N208,"&gt;="&amp;_xlfn.PERCENTILE.EXC(N$5:$N208,0.2)),0)</f>
        <v>0</v>
      </c>
      <c r="Q208" s="21">
        <f t="shared" ca="1" si="24"/>
        <v>43159</v>
      </c>
      <c r="R208" s="4">
        <f ca="1">MIN(O208,PREMISSAS!$C$13)</f>
        <v>0</v>
      </c>
      <c r="S208" s="240"/>
      <c r="T208" s="240"/>
    </row>
    <row r="209" spans="2:20" x14ac:dyDescent="0.25">
      <c r="B209" s="21" t="str">
        <f t="shared" ca="1" si="25"/>
        <v>13º 2034</v>
      </c>
      <c r="C209" s="22">
        <f ca="1">IF(B209="","",IF(LEFT(B209,2)="13",C208,IF(MONTH(B209)=1,C208*(1+PREMISSAS!$C$57),C208)))</f>
        <v>0</v>
      </c>
      <c r="E209" s="18">
        <v>205</v>
      </c>
      <c r="F209" s="21">
        <f t="shared" ca="1" si="26"/>
        <v>43190</v>
      </c>
      <c r="G209" s="22">
        <f ca="1">IFERROR(VLOOKUP(F209,RESULTADOS!$O$5:$P$543,2,FALSE),VLOOKUP(F209,$B$5:$C$724,2,FALSE))</f>
        <v>0</v>
      </c>
      <c r="H209" s="4">
        <f ca="1">IF(F209&lt;PREMISSAS!$D$7,0,IFERROR(VLOOKUP(IF(LEFT(F209,2)="13",DATE(YEAR(F208),12,31),F209),IPCA!$A$3:$D$284,4,FALSE),1)*G209)</f>
        <v>0</v>
      </c>
      <c r="J209" s="21">
        <f t="shared" ca="1" si="21"/>
        <v>43190</v>
      </c>
      <c r="K209" s="4">
        <f t="shared" ca="1" si="22"/>
        <v>0</v>
      </c>
      <c r="M209" s="21">
        <f t="shared" ca="1" si="27"/>
        <v>43190</v>
      </c>
      <c r="N209" s="37">
        <f t="shared" ca="1" si="23"/>
        <v>0</v>
      </c>
      <c r="O209" s="4">
        <f ca="1">IFERROR(AVERAGEIF(N$5:$N209,"&gt;="&amp;_xlfn.PERCENTILE.EXC(N$5:$N209,0.2)),0)</f>
        <v>0</v>
      </c>
      <c r="Q209" s="21">
        <f t="shared" ca="1" si="24"/>
        <v>43190</v>
      </c>
      <c r="R209" s="4">
        <f ca="1">MIN(O209,PREMISSAS!$C$13)</f>
        <v>0</v>
      </c>
      <c r="S209" s="240"/>
      <c r="T209" s="240"/>
    </row>
    <row r="210" spans="2:20" x14ac:dyDescent="0.25">
      <c r="B210" s="21">
        <f t="shared" ca="1" si="25"/>
        <v>49309</v>
      </c>
      <c r="C210" s="22">
        <f ca="1">IF(B210="","",IF(LEFT(B210,2)="13",C209,IF(MONTH(B210)=1,C209*(1+PREMISSAS!$C$57),C209)))</f>
        <v>0</v>
      </c>
      <c r="E210" s="18">
        <v>206</v>
      </c>
      <c r="F210" s="21">
        <f t="shared" ca="1" si="26"/>
        <v>43220</v>
      </c>
      <c r="G210" s="22">
        <f ca="1">IFERROR(VLOOKUP(F210,RESULTADOS!$O$5:$P$543,2,FALSE),VLOOKUP(F210,$B$5:$C$724,2,FALSE))</f>
        <v>0</v>
      </c>
      <c r="H210" s="4">
        <f ca="1">IF(F210&lt;PREMISSAS!$D$7,0,IFERROR(VLOOKUP(IF(LEFT(F210,2)="13",DATE(YEAR(F209),12,31),F210),IPCA!$A$3:$D$284,4,FALSE),1)*G210)</f>
        <v>0</v>
      </c>
      <c r="J210" s="21">
        <f t="shared" ca="1" si="21"/>
        <v>43220</v>
      </c>
      <c r="K210" s="4">
        <f t="shared" ca="1" si="22"/>
        <v>0</v>
      </c>
      <c r="M210" s="21">
        <f t="shared" ca="1" si="27"/>
        <v>43220</v>
      </c>
      <c r="N210" s="37">
        <f t="shared" ca="1" si="23"/>
        <v>0</v>
      </c>
      <c r="O210" s="4">
        <f ca="1">IFERROR(AVERAGEIF(N$5:$N210,"&gt;="&amp;_xlfn.PERCENTILE.EXC(N$5:$N210,0.2)),0)</f>
        <v>0</v>
      </c>
      <c r="Q210" s="21">
        <f t="shared" ca="1" si="24"/>
        <v>43220</v>
      </c>
      <c r="R210" s="4">
        <f ca="1">MIN(O210,PREMISSAS!$C$13)</f>
        <v>0</v>
      </c>
      <c r="S210" s="240"/>
      <c r="T210" s="240"/>
    </row>
    <row r="211" spans="2:20" x14ac:dyDescent="0.25">
      <c r="B211" s="21">
        <f t="shared" ca="1" si="25"/>
        <v>49340</v>
      </c>
      <c r="C211" s="22">
        <f ca="1">IF(B211="","",IF(LEFT(B211,2)="13",C210,IF(MONTH(B211)=1,C210*(1+PREMISSAS!$C$57),C210)))</f>
        <v>0</v>
      </c>
      <c r="E211" s="18">
        <v>207</v>
      </c>
      <c r="F211" s="21">
        <f t="shared" ca="1" si="26"/>
        <v>43251</v>
      </c>
      <c r="G211" s="22">
        <f ca="1">IFERROR(VLOOKUP(F211,RESULTADOS!$O$5:$P$543,2,FALSE),VLOOKUP(F211,$B$5:$C$724,2,FALSE))</f>
        <v>0</v>
      </c>
      <c r="H211" s="4">
        <f ca="1">IF(F211&lt;PREMISSAS!$D$7,0,IFERROR(VLOOKUP(IF(LEFT(F211,2)="13",DATE(YEAR(F210),12,31),F211),IPCA!$A$3:$D$284,4,FALSE),1)*G211)</f>
        <v>0</v>
      </c>
      <c r="J211" s="21">
        <f t="shared" ca="1" si="21"/>
        <v>43251</v>
      </c>
      <c r="K211" s="4">
        <f t="shared" ca="1" si="22"/>
        <v>0</v>
      </c>
      <c r="M211" s="21">
        <f t="shared" ca="1" si="27"/>
        <v>43251</v>
      </c>
      <c r="N211" s="37">
        <f t="shared" ca="1" si="23"/>
        <v>0</v>
      </c>
      <c r="O211" s="4">
        <f ca="1">IFERROR(AVERAGEIF(N$5:$N211,"&gt;="&amp;_xlfn.PERCENTILE.EXC(N$5:$N211,0.2)),0)</f>
        <v>0</v>
      </c>
      <c r="Q211" s="21">
        <f t="shared" ca="1" si="24"/>
        <v>43251</v>
      </c>
      <c r="R211" s="4">
        <f ca="1">MIN(O211,PREMISSAS!$C$13)</f>
        <v>0</v>
      </c>
      <c r="S211" s="240"/>
      <c r="T211" s="240"/>
    </row>
    <row r="212" spans="2:20" x14ac:dyDescent="0.25">
      <c r="B212" s="21">
        <f t="shared" ca="1" si="25"/>
        <v>49368</v>
      </c>
      <c r="C212" s="22">
        <f ca="1">IF(B212="","",IF(LEFT(B212,2)="13",C211,IF(MONTH(B212)=1,C211*(1+PREMISSAS!$C$57),C211)))</f>
        <v>0</v>
      </c>
      <c r="E212" s="18">
        <v>208</v>
      </c>
      <c r="F212" s="21">
        <f t="shared" ca="1" si="26"/>
        <v>43281</v>
      </c>
      <c r="G212" s="22">
        <f ca="1">IFERROR(VLOOKUP(F212,RESULTADOS!$O$5:$P$543,2,FALSE),VLOOKUP(F212,$B$5:$C$724,2,FALSE))</f>
        <v>0</v>
      </c>
      <c r="H212" s="4">
        <f ca="1">IF(F212&lt;PREMISSAS!$D$7,0,IFERROR(VLOOKUP(IF(LEFT(F212,2)="13",DATE(YEAR(F211),12,31),F212),IPCA!$A$3:$D$284,4,FALSE),1)*G212)</f>
        <v>0</v>
      </c>
      <c r="J212" s="21">
        <f t="shared" ca="1" si="21"/>
        <v>43281</v>
      </c>
      <c r="K212" s="4">
        <f t="shared" ca="1" si="22"/>
        <v>0</v>
      </c>
      <c r="M212" s="21">
        <f t="shared" ca="1" si="27"/>
        <v>43281</v>
      </c>
      <c r="N212" s="37">
        <f t="shared" ca="1" si="23"/>
        <v>0</v>
      </c>
      <c r="O212" s="4">
        <f ca="1">IFERROR(AVERAGEIF(N$5:$N212,"&gt;="&amp;_xlfn.PERCENTILE.EXC(N$5:$N212,0.2)),0)</f>
        <v>0</v>
      </c>
      <c r="Q212" s="21">
        <f t="shared" ca="1" si="24"/>
        <v>43281</v>
      </c>
      <c r="R212" s="4">
        <f ca="1">MIN(O212,PREMISSAS!$C$13)</f>
        <v>0</v>
      </c>
      <c r="S212" s="240"/>
      <c r="T212" s="240"/>
    </row>
    <row r="213" spans="2:20" x14ac:dyDescent="0.25">
      <c r="B213" s="21">
        <f t="shared" ca="1" si="25"/>
        <v>49399</v>
      </c>
      <c r="C213" s="22">
        <f ca="1">IF(B213="","",IF(LEFT(B213,2)="13",C212,IF(MONTH(B213)=1,C212*(1+PREMISSAS!$C$57),C212)))</f>
        <v>0</v>
      </c>
      <c r="E213" s="18">
        <v>209</v>
      </c>
      <c r="F213" s="21">
        <f t="shared" ca="1" si="26"/>
        <v>43312</v>
      </c>
      <c r="G213" s="22">
        <f ca="1">IFERROR(VLOOKUP(F213,RESULTADOS!$O$5:$P$543,2,FALSE),VLOOKUP(F213,$B$5:$C$724,2,FALSE))</f>
        <v>0</v>
      </c>
      <c r="H213" s="4">
        <f ca="1">IF(F213&lt;PREMISSAS!$D$7,0,IFERROR(VLOOKUP(IF(LEFT(F213,2)="13",DATE(YEAR(F212),12,31),F213),IPCA!$A$3:$D$284,4,FALSE),1)*G213)</f>
        <v>0</v>
      </c>
      <c r="J213" s="21">
        <f t="shared" ca="1" si="21"/>
        <v>43312</v>
      </c>
      <c r="K213" s="4">
        <f t="shared" ca="1" si="22"/>
        <v>0</v>
      </c>
      <c r="M213" s="21">
        <f t="shared" ca="1" si="27"/>
        <v>43312</v>
      </c>
      <c r="N213" s="37">
        <f t="shared" ca="1" si="23"/>
        <v>0</v>
      </c>
      <c r="O213" s="4">
        <f ca="1">IFERROR(AVERAGEIF(N$5:$N213,"&gt;="&amp;_xlfn.PERCENTILE.EXC(N$5:$N213,0.2)),0)</f>
        <v>0</v>
      </c>
      <c r="Q213" s="21">
        <f t="shared" ca="1" si="24"/>
        <v>43312</v>
      </c>
      <c r="R213" s="4">
        <f ca="1">MIN(O213,PREMISSAS!$C$13)</f>
        <v>0</v>
      </c>
      <c r="S213" s="240"/>
      <c r="T213" s="240"/>
    </row>
    <row r="214" spans="2:20" x14ac:dyDescent="0.25">
      <c r="B214" s="21">
        <f t="shared" ca="1" si="25"/>
        <v>49429</v>
      </c>
      <c r="C214" s="22">
        <f ca="1">IF(B214="","",IF(LEFT(B214,2)="13",C213,IF(MONTH(B214)=1,C213*(1+PREMISSAS!$C$57),C213)))</f>
        <v>0</v>
      </c>
      <c r="E214" s="18">
        <v>210</v>
      </c>
      <c r="F214" s="21">
        <f t="shared" ca="1" si="26"/>
        <v>43343</v>
      </c>
      <c r="G214" s="22">
        <f ca="1">IFERROR(VLOOKUP(F214,RESULTADOS!$O$5:$P$543,2,FALSE),VLOOKUP(F214,$B$5:$C$724,2,FALSE))</f>
        <v>0</v>
      </c>
      <c r="H214" s="4">
        <f ca="1">IF(F214&lt;PREMISSAS!$D$7,0,IFERROR(VLOOKUP(IF(LEFT(F214,2)="13",DATE(YEAR(F213),12,31),F214),IPCA!$A$3:$D$284,4,FALSE),1)*G214)</f>
        <v>0</v>
      </c>
      <c r="J214" s="21">
        <f t="shared" ca="1" si="21"/>
        <v>43343</v>
      </c>
      <c r="K214" s="4">
        <f t="shared" ca="1" si="22"/>
        <v>0</v>
      </c>
      <c r="M214" s="21">
        <f t="shared" ca="1" si="27"/>
        <v>43343</v>
      </c>
      <c r="N214" s="37">
        <f t="shared" ca="1" si="23"/>
        <v>0</v>
      </c>
      <c r="O214" s="4">
        <f ca="1">IFERROR(AVERAGEIF(N$5:$N214,"&gt;="&amp;_xlfn.PERCENTILE.EXC(N$5:$N214,0.2)),0)</f>
        <v>0</v>
      </c>
      <c r="Q214" s="21">
        <f t="shared" ca="1" si="24"/>
        <v>43343</v>
      </c>
      <c r="R214" s="4">
        <f ca="1">MIN(O214,PREMISSAS!$C$13)</f>
        <v>0</v>
      </c>
      <c r="S214" s="240"/>
      <c r="T214" s="240"/>
    </row>
    <row r="215" spans="2:20" x14ac:dyDescent="0.25">
      <c r="B215" s="21">
        <f t="shared" ca="1" si="25"/>
        <v>49460</v>
      </c>
      <c r="C215" s="22">
        <f ca="1">IF(B215="","",IF(LEFT(B215,2)="13",C214,IF(MONTH(B215)=1,C214*(1+PREMISSAS!$C$57),C214)))</f>
        <v>0</v>
      </c>
      <c r="E215" s="18">
        <v>211</v>
      </c>
      <c r="F215" s="21">
        <f t="shared" ca="1" si="26"/>
        <v>43373</v>
      </c>
      <c r="G215" s="22">
        <f ca="1">IFERROR(VLOOKUP(F215,RESULTADOS!$O$5:$P$543,2,FALSE),VLOOKUP(F215,$B$5:$C$724,2,FALSE))</f>
        <v>0</v>
      </c>
      <c r="H215" s="4">
        <f ca="1">IF(F215&lt;PREMISSAS!$D$7,0,IFERROR(VLOOKUP(IF(LEFT(F215,2)="13",DATE(YEAR(F214),12,31),F215),IPCA!$A$3:$D$284,4,FALSE),1)*G215)</f>
        <v>0</v>
      </c>
      <c r="J215" s="21">
        <f t="shared" ca="1" si="21"/>
        <v>43373</v>
      </c>
      <c r="K215" s="4">
        <f t="shared" ca="1" si="22"/>
        <v>0</v>
      </c>
      <c r="M215" s="21">
        <f t="shared" ca="1" si="27"/>
        <v>43373</v>
      </c>
      <c r="N215" s="37">
        <f t="shared" ca="1" si="23"/>
        <v>0</v>
      </c>
      <c r="O215" s="4">
        <f ca="1">IFERROR(AVERAGEIF(N$5:$N215,"&gt;="&amp;_xlfn.PERCENTILE.EXC(N$5:$N215,0.2)),0)</f>
        <v>0</v>
      </c>
      <c r="Q215" s="21">
        <f t="shared" ca="1" si="24"/>
        <v>43373</v>
      </c>
      <c r="R215" s="4">
        <f ca="1">MIN(O215,PREMISSAS!$C$13)</f>
        <v>0</v>
      </c>
      <c r="S215" s="240"/>
      <c r="T215" s="240"/>
    </row>
    <row r="216" spans="2:20" x14ac:dyDescent="0.25">
      <c r="B216" s="21">
        <f t="shared" ca="1" si="25"/>
        <v>49490</v>
      </c>
      <c r="C216" s="22">
        <f ca="1">IF(B216="","",IF(LEFT(B216,2)="13",C215,IF(MONTH(B216)=1,C215*(1+PREMISSAS!$C$57),C215)))</f>
        <v>0</v>
      </c>
      <c r="E216" s="18">
        <v>212</v>
      </c>
      <c r="F216" s="21">
        <f t="shared" ca="1" si="26"/>
        <v>43404</v>
      </c>
      <c r="G216" s="22">
        <f ca="1">IFERROR(VLOOKUP(F216,RESULTADOS!$O$5:$P$543,2,FALSE),VLOOKUP(F216,$B$5:$C$724,2,FALSE))</f>
        <v>0</v>
      </c>
      <c r="H216" s="4">
        <f ca="1">IF(F216&lt;PREMISSAS!$D$7,0,IFERROR(VLOOKUP(IF(LEFT(F216,2)="13",DATE(YEAR(F215),12,31),F216),IPCA!$A$3:$D$284,4,FALSE),1)*G216)</f>
        <v>0</v>
      </c>
      <c r="J216" s="21">
        <f t="shared" ca="1" si="21"/>
        <v>43404</v>
      </c>
      <c r="K216" s="4">
        <f t="shared" ca="1" si="22"/>
        <v>0</v>
      </c>
      <c r="M216" s="21">
        <f t="shared" ca="1" si="27"/>
        <v>43404</v>
      </c>
      <c r="N216" s="37">
        <f t="shared" ca="1" si="23"/>
        <v>0</v>
      </c>
      <c r="O216" s="4">
        <f ca="1">IFERROR(AVERAGEIF(N$5:$N216,"&gt;="&amp;_xlfn.PERCENTILE.EXC(N$5:$N216,0.2)),0)</f>
        <v>0</v>
      </c>
      <c r="Q216" s="21">
        <f t="shared" ca="1" si="24"/>
        <v>43404</v>
      </c>
      <c r="R216" s="4">
        <f ca="1">MIN(O216,PREMISSAS!$C$13)</f>
        <v>0</v>
      </c>
      <c r="S216" s="240"/>
      <c r="T216" s="240"/>
    </row>
    <row r="217" spans="2:20" x14ac:dyDescent="0.25">
      <c r="B217" s="21">
        <f t="shared" ca="1" si="25"/>
        <v>49521</v>
      </c>
      <c r="C217" s="22">
        <f ca="1">IF(B217="","",IF(LEFT(B217,2)="13",C216,IF(MONTH(B217)=1,C216*(1+PREMISSAS!$C$57),C216)))</f>
        <v>0</v>
      </c>
      <c r="E217" s="18">
        <v>213</v>
      </c>
      <c r="F217" s="21">
        <f t="shared" ca="1" si="26"/>
        <v>43434</v>
      </c>
      <c r="G217" s="22">
        <f ca="1">IFERROR(VLOOKUP(F217,RESULTADOS!$O$5:$P$543,2,FALSE),VLOOKUP(F217,$B$5:$C$724,2,FALSE))</f>
        <v>0</v>
      </c>
      <c r="H217" s="4">
        <f ca="1">IF(F217&lt;PREMISSAS!$D$7,0,IFERROR(VLOOKUP(IF(LEFT(F217,2)="13",DATE(YEAR(F216),12,31),F217),IPCA!$A$3:$D$284,4,FALSE),1)*G217)</f>
        <v>0</v>
      </c>
      <c r="J217" s="21">
        <f t="shared" ca="1" si="21"/>
        <v>43434</v>
      </c>
      <c r="K217" s="4">
        <f t="shared" ca="1" si="22"/>
        <v>0</v>
      </c>
      <c r="M217" s="21">
        <f t="shared" ca="1" si="27"/>
        <v>43434</v>
      </c>
      <c r="N217" s="37">
        <f t="shared" ca="1" si="23"/>
        <v>0</v>
      </c>
      <c r="O217" s="4">
        <f ca="1">IFERROR(AVERAGEIF(N$5:$N217,"&gt;="&amp;_xlfn.PERCENTILE.EXC(N$5:$N217,0.2)),0)</f>
        <v>0</v>
      </c>
      <c r="Q217" s="21">
        <f t="shared" ca="1" si="24"/>
        <v>43434</v>
      </c>
      <c r="R217" s="4">
        <f ca="1">MIN(O217,PREMISSAS!$C$13)</f>
        <v>0</v>
      </c>
      <c r="S217" s="240"/>
      <c r="T217" s="240"/>
    </row>
    <row r="218" spans="2:20" x14ac:dyDescent="0.25">
      <c r="B218" s="21">
        <f t="shared" ca="1" si="25"/>
        <v>49552</v>
      </c>
      <c r="C218" s="22">
        <f ca="1">IF(B218="","",IF(LEFT(B218,2)="13",C217,IF(MONTH(B218)=1,C217*(1+PREMISSAS!$C$57),C217)))</f>
        <v>0</v>
      </c>
      <c r="E218" s="18">
        <v>214</v>
      </c>
      <c r="F218" s="21" t="str">
        <f t="shared" ca="1" si="26"/>
        <v>13º 2018</v>
      </c>
      <c r="G218" s="22">
        <f ca="1">IFERROR(VLOOKUP(F218,RESULTADOS!$O$5:$P$543,2,FALSE),VLOOKUP(F218,$B$5:$C$724,2,FALSE))</f>
        <v>0</v>
      </c>
      <c r="H218" s="4">
        <f ca="1">IF(F218&lt;PREMISSAS!$D$7,0,IFERROR(VLOOKUP(IF(LEFT(F218,2)="13",DATE(YEAR(F217),12,31),F218),IPCA!$A$3:$D$284,4,FALSE),1)*G218)</f>
        <v>0</v>
      </c>
      <c r="J218" s="21" t="str">
        <f t="shared" ca="1" si="21"/>
        <v>13º 2018</v>
      </c>
      <c r="K218" s="4">
        <f t="shared" ca="1" si="22"/>
        <v>0</v>
      </c>
      <c r="M218" s="21" t="str">
        <f t="shared" ca="1" si="27"/>
        <v>13º 2018</v>
      </c>
      <c r="N218" s="37">
        <f t="shared" ca="1" si="23"/>
        <v>0</v>
      </c>
      <c r="O218" s="4">
        <f ca="1">IFERROR(AVERAGEIF(N$5:$N218,"&gt;="&amp;_xlfn.PERCENTILE.EXC(N$5:$N218,0.2)),0)</f>
        <v>0</v>
      </c>
      <c r="Q218" s="21" t="str">
        <f t="shared" ca="1" si="24"/>
        <v>13º 2018</v>
      </c>
      <c r="R218" s="4">
        <f ca="1">MIN(O218,PREMISSAS!$C$13)</f>
        <v>0</v>
      </c>
      <c r="S218" s="240"/>
      <c r="T218" s="240"/>
    </row>
    <row r="219" spans="2:20" x14ac:dyDescent="0.25">
      <c r="B219" s="21">
        <f t="shared" ca="1" si="25"/>
        <v>49582</v>
      </c>
      <c r="C219" s="22">
        <f ca="1">IF(B219="","",IF(LEFT(B219,2)="13",C218,IF(MONTH(B219)=1,C218*(1+PREMISSAS!$C$57),C218)))</f>
        <v>0</v>
      </c>
      <c r="E219" s="18">
        <v>215</v>
      </c>
      <c r="F219" s="21">
        <f t="shared" ca="1" si="26"/>
        <v>43465</v>
      </c>
      <c r="G219" s="22">
        <f ca="1">IFERROR(VLOOKUP(F219,RESULTADOS!$O$5:$P$543,2,FALSE),VLOOKUP(F219,$B$5:$C$724,2,FALSE))</f>
        <v>0</v>
      </c>
      <c r="H219" s="4">
        <f ca="1">IF(F219&lt;PREMISSAS!$D$7,0,IFERROR(VLOOKUP(IF(LEFT(F219,2)="13",DATE(YEAR(F218),12,31),F219),IPCA!$A$3:$D$284,4,FALSE),1)*G219)</f>
        <v>0</v>
      </c>
      <c r="J219" s="21">
        <f t="shared" ca="1" si="21"/>
        <v>43465</v>
      </c>
      <c r="K219" s="4">
        <f t="shared" ca="1" si="22"/>
        <v>0</v>
      </c>
      <c r="M219" s="21">
        <f t="shared" ca="1" si="27"/>
        <v>43465</v>
      </c>
      <c r="N219" s="37">
        <f t="shared" ca="1" si="23"/>
        <v>0</v>
      </c>
      <c r="O219" s="4">
        <f ca="1">IFERROR(AVERAGEIF(N$5:$N219,"&gt;="&amp;_xlfn.PERCENTILE.EXC(N$5:$N219,0.2)),0)</f>
        <v>0</v>
      </c>
      <c r="Q219" s="21">
        <f t="shared" ca="1" si="24"/>
        <v>43465</v>
      </c>
      <c r="R219" s="4">
        <f ca="1">MIN(O219,PREMISSAS!$C$13)</f>
        <v>0</v>
      </c>
      <c r="S219" s="240"/>
      <c r="T219" s="240"/>
    </row>
    <row r="220" spans="2:20" x14ac:dyDescent="0.25">
      <c r="B220" s="21">
        <f t="shared" ca="1" si="25"/>
        <v>49613</v>
      </c>
      <c r="C220" s="22">
        <f ca="1">IF(B220="","",IF(LEFT(B220,2)="13",C219,IF(MONTH(B220)=1,C219*(1+PREMISSAS!$C$57),C219)))</f>
        <v>0</v>
      </c>
      <c r="E220" s="18">
        <v>216</v>
      </c>
      <c r="F220" s="21">
        <f t="shared" ca="1" si="26"/>
        <v>43496</v>
      </c>
      <c r="G220" s="22">
        <f ca="1">IFERROR(VLOOKUP(F220,RESULTADOS!$O$5:$P$543,2,FALSE),VLOOKUP(F220,$B$5:$C$724,2,FALSE))</f>
        <v>0</v>
      </c>
      <c r="H220" s="4">
        <f ca="1">IF(F220&lt;PREMISSAS!$D$7,0,IFERROR(VLOOKUP(IF(LEFT(F220,2)="13",DATE(YEAR(F219),12,31),F220),IPCA!$A$3:$D$284,4,FALSE),1)*G220)</f>
        <v>0</v>
      </c>
      <c r="J220" s="21">
        <f t="shared" ca="1" si="21"/>
        <v>43496</v>
      </c>
      <c r="K220" s="4">
        <f t="shared" ca="1" si="22"/>
        <v>0</v>
      </c>
      <c r="M220" s="21">
        <f t="shared" ca="1" si="27"/>
        <v>43496</v>
      </c>
      <c r="N220" s="37">
        <f t="shared" ca="1" si="23"/>
        <v>0</v>
      </c>
      <c r="O220" s="4">
        <f ca="1">IFERROR(AVERAGEIF(N$5:$N220,"&gt;="&amp;_xlfn.PERCENTILE.EXC(N$5:$N220,0.2)),0)</f>
        <v>0</v>
      </c>
      <c r="Q220" s="21">
        <f t="shared" ca="1" si="24"/>
        <v>43496</v>
      </c>
      <c r="R220" s="4">
        <f ca="1">MIN(O220,PREMISSAS!$C$13)</f>
        <v>0</v>
      </c>
      <c r="S220" s="240"/>
      <c r="T220" s="240"/>
    </row>
    <row r="221" spans="2:20" x14ac:dyDescent="0.25">
      <c r="B221" s="21">
        <f t="shared" ca="1" si="25"/>
        <v>49643</v>
      </c>
      <c r="C221" s="22">
        <f ca="1">IF(B221="","",IF(LEFT(B221,2)="13",C220,IF(MONTH(B221)=1,C220*(1+PREMISSAS!$C$57),C220)))</f>
        <v>0</v>
      </c>
      <c r="E221" s="18">
        <v>217</v>
      </c>
      <c r="F221" s="21">
        <f t="shared" ca="1" si="26"/>
        <v>43524</v>
      </c>
      <c r="G221" s="22">
        <f ca="1">IFERROR(VLOOKUP(F221,RESULTADOS!$O$5:$P$543,2,FALSE),VLOOKUP(F221,$B$5:$C$724,2,FALSE))</f>
        <v>0</v>
      </c>
      <c r="H221" s="4">
        <f ca="1">IF(F221&lt;PREMISSAS!$D$7,0,IFERROR(VLOOKUP(IF(LEFT(F221,2)="13",DATE(YEAR(F220),12,31),F221),IPCA!$A$3:$D$284,4,FALSE),1)*G221)</f>
        <v>0</v>
      </c>
      <c r="J221" s="21">
        <f t="shared" ca="1" si="21"/>
        <v>43524</v>
      </c>
      <c r="K221" s="4">
        <f t="shared" ca="1" si="22"/>
        <v>0</v>
      </c>
      <c r="M221" s="21">
        <f t="shared" ca="1" si="27"/>
        <v>43524</v>
      </c>
      <c r="N221" s="37">
        <f t="shared" ca="1" si="23"/>
        <v>0</v>
      </c>
      <c r="O221" s="4">
        <f ca="1">IFERROR(AVERAGEIF(N$5:$N221,"&gt;="&amp;_xlfn.PERCENTILE.EXC(N$5:$N221,0.2)),0)</f>
        <v>0</v>
      </c>
      <c r="Q221" s="21">
        <f t="shared" ca="1" si="24"/>
        <v>43524</v>
      </c>
      <c r="R221" s="4">
        <f ca="1">MIN(O221,PREMISSAS!$C$13)</f>
        <v>0</v>
      </c>
      <c r="S221" s="240"/>
      <c r="T221" s="240"/>
    </row>
    <row r="222" spans="2:20" x14ac:dyDescent="0.25">
      <c r="B222" s="21" t="str">
        <f t="shared" ca="1" si="25"/>
        <v>13º 2035</v>
      </c>
      <c r="C222" s="22">
        <f ca="1">IF(B222="","",IF(LEFT(B222,2)="13",C221,IF(MONTH(B222)=1,C221*(1+PREMISSAS!$C$57),C221)))</f>
        <v>0</v>
      </c>
      <c r="E222" s="18">
        <v>218</v>
      </c>
      <c r="F222" s="21">
        <f t="shared" ca="1" si="26"/>
        <v>43555</v>
      </c>
      <c r="G222" s="22">
        <f ca="1">IFERROR(VLOOKUP(F222,RESULTADOS!$O$5:$P$543,2,FALSE),VLOOKUP(F222,$B$5:$C$724,2,FALSE))</f>
        <v>0</v>
      </c>
      <c r="H222" s="4">
        <f ca="1">IF(F222&lt;PREMISSAS!$D$7,0,IFERROR(VLOOKUP(IF(LEFT(F222,2)="13",DATE(YEAR(F221),12,31),F222),IPCA!$A$3:$D$284,4,FALSE),1)*G222)</f>
        <v>0</v>
      </c>
      <c r="J222" s="21">
        <f t="shared" ca="1" si="21"/>
        <v>43555</v>
      </c>
      <c r="K222" s="4">
        <f t="shared" ca="1" si="22"/>
        <v>0</v>
      </c>
      <c r="M222" s="21">
        <f t="shared" ca="1" si="27"/>
        <v>43555</v>
      </c>
      <c r="N222" s="37">
        <f t="shared" ca="1" si="23"/>
        <v>0</v>
      </c>
      <c r="O222" s="4">
        <f ca="1">IFERROR(AVERAGEIF(N$5:$N222,"&gt;="&amp;_xlfn.PERCENTILE.EXC(N$5:$N222,0.2)),0)</f>
        <v>0</v>
      </c>
      <c r="Q222" s="21">
        <f t="shared" ca="1" si="24"/>
        <v>43555</v>
      </c>
      <c r="R222" s="4">
        <f ca="1">MIN(O222,PREMISSAS!$C$13)</f>
        <v>0</v>
      </c>
      <c r="S222" s="240"/>
      <c r="T222" s="240"/>
    </row>
    <row r="223" spans="2:20" x14ac:dyDescent="0.25">
      <c r="B223" s="21">
        <f t="shared" ca="1" si="25"/>
        <v>49674</v>
      </c>
      <c r="C223" s="22">
        <f ca="1">IF(B223="","",IF(LEFT(B223,2)="13",C222,IF(MONTH(B223)=1,C222*(1+PREMISSAS!$C$57),C222)))</f>
        <v>0</v>
      </c>
      <c r="E223" s="18">
        <v>219</v>
      </c>
      <c r="F223" s="21">
        <f t="shared" ca="1" si="26"/>
        <v>43585</v>
      </c>
      <c r="G223" s="22">
        <f ca="1">IFERROR(VLOOKUP(F223,RESULTADOS!$O$5:$P$543,2,FALSE),VLOOKUP(F223,$B$5:$C$724,2,FALSE))</f>
        <v>0</v>
      </c>
      <c r="H223" s="4">
        <f ca="1">IF(F223&lt;PREMISSAS!$D$7,0,IFERROR(VLOOKUP(IF(LEFT(F223,2)="13",DATE(YEAR(F222),12,31),F223),IPCA!$A$3:$D$284,4,FALSE),1)*G223)</f>
        <v>0</v>
      </c>
      <c r="J223" s="21">
        <f t="shared" ca="1" si="21"/>
        <v>43585</v>
      </c>
      <c r="K223" s="4">
        <f t="shared" ca="1" si="22"/>
        <v>0</v>
      </c>
      <c r="M223" s="21">
        <f t="shared" ca="1" si="27"/>
        <v>43585</v>
      </c>
      <c r="N223" s="37">
        <f t="shared" ca="1" si="23"/>
        <v>0</v>
      </c>
      <c r="O223" s="4">
        <f ca="1">IFERROR(AVERAGEIF(N$5:$N223,"&gt;="&amp;_xlfn.PERCENTILE.EXC(N$5:$N223,0.2)),0)</f>
        <v>0</v>
      </c>
      <c r="Q223" s="21">
        <f t="shared" ca="1" si="24"/>
        <v>43585</v>
      </c>
      <c r="R223" s="4">
        <f ca="1">MIN(O223,PREMISSAS!$C$13)</f>
        <v>0</v>
      </c>
      <c r="S223" s="240"/>
      <c r="T223" s="240"/>
    </row>
    <row r="224" spans="2:20" x14ac:dyDescent="0.25">
      <c r="B224" s="21">
        <f t="shared" ca="1" si="25"/>
        <v>49705</v>
      </c>
      <c r="C224" s="22">
        <f ca="1">IF(B224="","",IF(LEFT(B224,2)="13",C223,IF(MONTH(B224)=1,C223*(1+PREMISSAS!$C$57),C223)))</f>
        <v>0</v>
      </c>
      <c r="E224" s="18">
        <v>220</v>
      </c>
      <c r="F224" s="21">
        <f t="shared" ca="1" si="26"/>
        <v>43616</v>
      </c>
      <c r="G224" s="22">
        <f ca="1">IFERROR(VLOOKUP(F224,RESULTADOS!$O$5:$P$543,2,FALSE),VLOOKUP(F224,$B$5:$C$724,2,FALSE))</f>
        <v>0</v>
      </c>
      <c r="H224" s="4">
        <f ca="1">IF(F224&lt;PREMISSAS!$D$7,0,IFERROR(VLOOKUP(IF(LEFT(F224,2)="13",DATE(YEAR(F223),12,31),F224),IPCA!$A$3:$D$284,4,FALSE),1)*G224)</f>
        <v>0</v>
      </c>
      <c r="J224" s="21">
        <f t="shared" ca="1" si="21"/>
        <v>43616</v>
      </c>
      <c r="K224" s="4">
        <f t="shared" ca="1" si="22"/>
        <v>0</v>
      </c>
      <c r="M224" s="21">
        <f t="shared" ca="1" si="27"/>
        <v>43616</v>
      </c>
      <c r="N224" s="37">
        <f t="shared" ca="1" si="23"/>
        <v>0</v>
      </c>
      <c r="O224" s="4">
        <f ca="1">IFERROR(AVERAGEIF(N$5:$N224,"&gt;="&amp;_xlfn.PERCENTILE.EXC(N$5:$N224,0.2)),0)</f>
        <v>0</v>
      </c>
      <c r="Q224" s="21">
        <f t="shared" ca="1" si="24"/>
        <v>43616</v>
      </c>
      <c r="R224" s="4">
        <f ca="1">MIN(O224,PREMISSAS!$C$13)</f>
        <v>0</v>
      </c>
      <c r="S224" s="240"/>
      <c r="T224" s="240"/>
    </row>
    <row r="225" spans="2:20" x14ac:dyDescent="0.25">
      <c r="B225" s="21">
        <f t="shared" ca="1" si="25"/>
        <v>49734</v>
      </c>
      <c r="C225" s="22">
        <f ca="1">IF(B225="","",IF(LEFT(B225,2)="13",C224,IF(MONTH(B225)=1,C224*(1+PREMISSAS!$C$57),C224)))</f>
        <v>0</v>
      </c>
      <c r="E225" s="18">
        <v>221</v>
      </c>
      <c r="F225" s="21">
        <f t="shared" ca="1" si="26"/>
        <v>43646</v>
      </c>
      <c r="G225" s="22">
        <f ca="1">IFERROR(VLOOKUP(F225,RESULTADOS!$O$5:$P$543,2,FALSE),VLOOKUP(F225,$B$5:$C$724,2,FALSE))</f>
        <v>0</v>
      </c>
      <c r="H225" s="4">
        <f ca="1">IF(F225&lt;PREMISSAS!$D$7,0,IFERROR(VLOOKUP(IF(LEFT(F225,2)="13",DATE(YEAR(F224),12,31),F225),IPCA!$A$3:$D$284,4,FALSE),1)*G225)</f>
        <v>0</v>
      </c>
      <c r="J225" s="21">
        <f t="shared" ca="1" si="21"/>
        <v>43646</v>
      </c>
      <c r="K225" s="4">
        <f t="shared" ca="1" si="22"/>
        <v>0</v>
      </c>
      <c r="M225" s="21">
        <f t="shared" ca="1" si="27"/>
        <v>43646</v>
      </c>
      <c r="N225" s="37">
        <f t="shared" ca="1" si="23"/>
        <v>0</v>
      </c>
      <c r="O225" s="4">
        <f ca="1">IFERROR(AVERAGEIF(N$5:$N225,"&gt;="&amp;_xlfn.PERCENTILE.EXC(N$5:$N225,0.2)),0)</f>
        <v>0</v>
      </c>
      <c r="Q225" s="21">
        <f t="shared" ca="1" si="24"/>
        <v>43646</v>
      </c>
      <c r="R225" s="4">
        <f ca="1">MIN(O225,PREMISSAS!$C$13)</f>
        <v>0</v>
      </c>
      <c r="S225" s="240"/>
      <c r="T225" s="240"/>
    </row>
    <row r="226" spans="2:20" x14ac:dyDescent="0.25">
      <c r="B226" s="21">
        <f t="shared" ca="1" si="25"/>
        <v>49765</v>
      </c>
      <c r="C226" s="22">
        <f ca="1">IF(B226="","",IF(LEFT(B226,2)="13",C225,IF(MONTH(B226)=1,C225*(1+PREMISSAS!$C$57),C225)))</f>
        <v>0</v>
      </c>
      <c r="E226" s="18">
        <v>222</v>
      </c>
      <c r="F226" s="21">
        <f t="shared" ca="1" si="26"/>
        <v>43677</v>
      </c>
      <c r="G226" s="22">
        <f ca="1">IFERROR(VLOOKUP(F226,RESULTADOS!$O$5:$P$543,2,FALSE),VLOOKUP(F226,$B$5:$C$724,2,FALSE))</f>
        <v>0</v>
      </c>
      <c r="H226" s="4">
        <f ca="1">IF(F226&lt;PREMISSAS!$D$7,0,IFERROR(VLOOKUP(IF(LEFT(F226,2)="13",DATE(YEAR(F225),12,31),F226),IPCA!$A$3:$D$284,4,FALSE),1)*G226)</f>
        <v>0</v>
      </c>
      <c r="J226" s="21">
        <f t="shared" ca="1" si="21"/>
        <v>43677</v>
      </c>
      <c r="K226" s="4">
        <f t="shared" ca="1" si="22"/>
        <v>0</v>
      </c>
      <c r="M226" s="21">
        <f t="shared" ca="1" si="27"/>
        <v>43677</v>
      </c>
      <c r="N226" s="37">
        <f t="shared" ca="1" si="23"/>
        <v>0</v>
      </c>
      <c r="O226" s="4">
        <f ca="1">IFERROR(AVERAGEIF(N$5:$N226,"&gt;="&amp;_xlfn.PERCENTILE.EXC(N$5:$N226,0.2)),0)</f>
        <v>0</v>
      </c>
      <c r="Q226" s="21">
        <f t="shared" ca="1" si="24"/>
        <v>43677</v>
      </c>
      <c r="R226" s="4">
        <f ca="1">MIN(O226,PREMISSAS!$C$13)</f>
        <v>0</v>
      </c>
      <c r="S226" s="240"/>
      <c r="T226" s="240"/>
    </row>
    <row r="227" spans="2:20" x14ac:dyDescent="0.25">
      <c r="B227" s="21">
        <f t="shared" ca="1" si="25"/>
        <v>49795</v>
      </c>
      <c r="C227" s="22">
        <f ca="1">IF(B227="","",IF(LEFT(B227,2)="13",C226,IF(MONTH(B227)=1,C226*(1+PREMISSAS!$C$57),C226)))</f>
        <v>0</v>
      </c>
      <c r="E227" s="18">
        <v>223</v>
      </c>
      <c r="F227" s="21">
        <f t="shared" ca="1" si="26"/>
        <v>43708</v>
      </c>
      <c r="G227" s="22">
        <f ca="1">IFERROR(VLOOKUP(F227,RESULTADOS!$O$5:$P$543,2,FALSE),VLOOKUP(F227,$B$5:$C$724,2,FALSE))</f>
        <v>0</v>
      </c>
      <c r="H227" s="4">
        <f ca="1">IF(F227&lt;PREMISSAS!$D$7,0,IFERROR(VLOOKUP(IF(LEFT(F227,2)="13",DATE(YEAR(F226),12,31),F227),IPCA!$A$3:$D$284,4,FALSE),1)*G227)</f>
        <v>0</v>
      </c>
      <c r="J227" s="21">
        <f t="shared" ca="1" si="21"/>
        <v>43708</v>
      </c>
      <c r="K227" s="4">
        <f t="shared" ca="1" si="22"/>
        <v>0</v>
      </c>
      <c r="M227" s="21">
        <f t="shared" ca="1" si="27"/>
        <v>43708</v>
      </c>
      <c r="N227" s="37">
        <f t="shared" ca="1" si="23"/>
        <v>0</v>
      </c>
      <c r="O227" s="4">
        <f ca="1">IFERROR(AVERAGEIF(N$5:$N227,"&gt;="&amp;_xlfn.PERCENTILE.EXC(N$5:$N227,0.2)),0)</f>
        <v>0</v>
      </c>
      <c r="Q227" s="21">
        <f t="shared" ca="1" si="24"/>
        <v>43708</v>
      </c>
      <c r="R227" s="4">
        <f ca="1">MIN(O227,PREMISSAS!$C$13)</f>
        <v>0</v>
      </c>
      <c r="S227" s="240"/>
      <c r="T227" s="240"/>
    </row>
    <row r="228" spans="2:20" x14ac:dyDescent="0.25">
      <c r="B228" s="21">
        <f t="shared" ca="1" si="25"/>
        <v>49826</v>
      </c>
      <c r="C228" s="22">
        <f ca="1">IF(B228="","",IF(LEFT(B228,2)="13",C227,IF(MONTH(B228)=1,C227*(1+PREMISSAS!$C$57),C227)))</f>
        <v>0</v>
      </c>
      <c r="E228" s="18">
        <v>224</v>
      </c>
      <c r="F228" s="21">
        <f t="shared" ca="1" si="26"/>
        <v>43738</v>
      </c>
      <c r="G228" s="22">
        <f ca="1">IFERROR(VLOOKUP(F228,RESULTADOS!$O$5:$P$543,2,FALSE),VLOOKUP(F228,$B$5:$C$724,2,FALSE))</f>
        <v>0</v>
      </c>
      <c r="H228" s="4">
        <f ca="1">IF(F228&lt;PREMISSAS!$D$7,0,IFERROR(VLOOKUP(IF(LEFT(F228,2)="13",DATE(YEAR(F227),12,31),F228),IPCA!$A$3:$D$284,4,FALSE),1)*G228)</f>
        <v>0</v>
      </c>
      <c r="J228" s="21">
        <f t="shared" ca="1" si="21"/>
        <v>43738</v>
      </c>
      <c r="K228" s="4">
        <f t="shared" ca="1" si="22"/>
        <v>0</v>
      </c>
      <c r="M228" s="21">
        <f t="shared" ca="1" si="27"/>
        <v>43738</v>
      </c>
      <c r="N228" s="37">
        <f t="shared" ca="1" si="23"/>
        <v>0</v>
      </c>
      <c r="O228" s="4">
        <f ca="1">IFERROR(AVERAGEIF(N$5:$N228,"&gt;="&amp;_xlfn.PERCENTILE.EXC(N$5:$N228,0.2)),0)</f>
        <v>0</v>
      </c>
      <c r="Q228" s="21">
        <f t="shared" ca="1" si="24"/>
        <v>43738</v>
      </c>
      <c r="R228" s="4">
        <f ca="1">MIN(O228,PREMISSAS!$C$13)</f>
        <v>0</v>
      </c>
      <c r="S228" s="240"/>
      <c r="T228" s="240"/>
    </row>
    <row r="229" spans="2:20" x14ac:dyDescent="0.25">
      <c r="B229" s="21">
        <f t="shared" ca="1" si="25"/>
        <v>49856</v>
      </c>
      <c r="C229" s="22">
        <f ca="1">IF(B229="","",IF(LEFT(B229,2)="13",C228,IF(MONTH(B229)=1,C228*(1+PREMISSAS!$C$57),C228)))</f>
        <v>0</v>
      </c>
      <c r="E229" s="18">
        <v>225</v>
      </c>
      <c r="F229" s="21">
        <f t="shared" ca="1" si="26"/>
        <v>43769</v>
      </c>
      <c r="G229" s="22">
        <f ca="1">IFERROR(VLOOKUP(F229,RESULTADOS!$O$5:$P$543,2,FALSE),VLOOKUP(F229,$B$5:$C$724,2,FALSE))</f>
        <v>0</v>
      </c>
      <c r="H229" s="4">
        <f ca="1">IF(F229&lt;PREMISSAS!$D$7,0,IFERROR(VLOOKUP(IF(LEFT(F229,2)="13",DATE(YEAR(F228),12,31),F229),IPCA!$A$3:$D$284,4,FALSE),1)*G229)</f>
        <v>0</v>
      </c>
      <c r="J229" s="21">
        <f t="shared" ca="1" si="21"/>
        <v>43769</v>
      </c>
      <c r="K229" s="4">
        <f t="shared" ca="1" si="22"/>
        <v>0</v>
      </c>
      <c r="M229" s="21">
        <f t="shared" ca="1" si="27"/>
        <v>43769</v>
      </c>
      <c r="N229" s="37">
        <f t="shared" ca="1" si="23"/>
        <v>0</v>
      </c>
      <c r="O229" s="4">
        <f ca="1">IFERROR(AVERAGEIF(N$5:$N229,"&gt;="&amp;_xlfn.PERCENTILE.EXC(N$5:$N229,0.2)),0)</f>
        <v>0</v>
      </c>
      <c r="Q229" s="21">
        <f t="shared" ca="1" si="24"/>
        <v>43769</v>
      </c>
      <c r="R229" s="4">
        <f ca="1">MIN(O229,PREMISSAS!$C$13)</f>
        <v>0</v>
      </c>
      <c r="S229" s="240"/>
      <c r="T229" s="240"/>
    </row>
    <row r="230" spans="2:20" x14ac:dyDescent="0.25">
      <c r="B230" s="21">
        <f t="shared" ca="1" si="25"/>
        <v>49887</v>
      </c>
      <c r="C230" s="22">
        <f ca="1">IF(B230="","",IF(LEFT(B230,2)="13",C229,IF(MONTH(B230)=1,C229*(1+PREMISSAS!$C$57),C229)))</f>
        <v>0</v>
      </c>
      <c r="E230" s="18">
        <v>226</v>
      </c>
      <c r="F230" s="21">
        <f t="shared" ca="1" si="26"/>
        <v>43799</v>
      </c>
      <c r="G230" s="22">
        <f ca="1">IFERROR(VLOOKUP(F230,RESULTADOS!$O$5:$P$543,2,FALSE),VLOOKUP(F230,$B$5:$C$724,2,FALSE))</f>
        <v>0</v>
      </c>
      <c r="H230" s="4">
        <f ca="1">IF(F230&lt;PREMISSAS!$D$7,0,IFERROR(VLOOKUP(IF(LEFT(F230,2)="13",DATE(YEAR(F229),12,31),F230),IPCA!$A$3:$D$284,4,FALSE),1)*G230)</f>
        <v>0</v>
      </c>
      <c r="J230" s="21">
        <f t="shared" ca="1" si="21"/>
        <v>43799</v>
      </c>
      <c r="K230" s="4">
        <f t="shared" ca="1" si="22"/>
        <v>0</v>
      </c>
      <c r="M230" s="21">
        <f t="shared" ca="1" si="27"/>
        <v>43799</v>
      </c>
      <c r="N230" s="37">
        <f t="shared" ca="1" si="23"/>
        <v>0</v>
      </c>
      <c r="O230" s="4">
        <f ca="1">IFERROR(AVERAGEIF(N$5:$N230,"&gt;="&amp;_xlfn.PERCENTILE.EXC(N$5:$N230,0.2)),0)</f>
        <v>0</v>
      </c>
      <c r="Q230" s="21">
        <f t="shared" ca="1" si="24"/>
        <v>43799</v>
      </c>
      <c r="R230" s="4">
        <f ca="1">MIN(O230,PREMISSAS!$C$13)</f>
        <v>0</v>
      </c>
      <c r="S230" s="240"/>
      <c r="T230" s="240"/>
    </row>
    <row r="231" spans="2:20" x14ac:dyDescent="0.25">
      <c r="B231" s="21">
        <f t="shared" ca="1" si="25"/>
        <v>49918</v>
      </c>
      <c r="C231" s="22">
        <f ca="1">IF(B231="","",IF(LEFT(B231,2)="13",C230,IF(MONTH(B231)=1,C230*(1+PREMISSAS!$C$57),C230)))</f>
        <v>0</v>
      </c>
      <c r="E231" s="18">
        <v>227</v>
      </c>
      <c r="F231" s="21" t="str">
        <f t="shared" ca="1" si="26"/>
        <v>13º 2019</v>
      </c>
      <c r="G231" s="22">
        <f ca="1">IFERROR(VLOOKUP(F231,RESULTADOS!$O$5:$P$543,2,FALSE),VLOOKUP(F231,$B$5:$C$724,2,FALSE))</f>
        <v>0</v>
      </c>
      <c r="H231" s="4">
        <f ca="1">IF(F231&lt;PREMISSAS!$D$7,0,IFERROR(VLOOKUP(IF(LEFT(F231,2)="13",DATE(YEAR(F230),12,31),F231),IPCA!$A$3:$D$284,4,FALSE),1)*G231)</f>
        <v>0</v>
      </c>
      <c r="J231" s="21" t="str">
        <f t="shared" ca="1" si="21"/>
        <v>13º 2019</v>
      </c>
      <c r="K231" s="4">
        <f t="shared" ca="1" si="22"/>
        <v>0</v>
      </c>
      <c r="M231" s="21" t="str">
        <f t="shared" ca="1" si="27"/>
        <v>13º 2019</v>
      </c>
      <c r="N231" s="37">
        <f t="shared" ca="1" si="23"/>
        <v>0</v>
      </c>
      <c r="O231" s="4">
        <f ca="1">IFERROR(AVERAGEIF(N$5:$N231,"&gt;="&amp;_xlfn.PERCENTILE.EXC(N$5:$N231,0.2)),0)</f>
        <v>0</v>
      </c>
      <c r="Q231" s="21" t="str">
        <f t="shared" ca="1" si="24"/>
        <v>13º 2019</v>
      </c>
      <c r="R231" s="4">
        <f ca="1">MIN(O231,PREMISSAS!$C$13)</f>
        <v>0</v>
      </c>
      <c r="S231" s="240"/>
      <c r="T231" s="240"/>
    </row>
    <row r="232" spans="2:20" x14ac:dyDescent="0.25">
      <c r="B232" s="21">
        <f t="shared" ca="1" si="25"/>
        <v>49948</v>
      </c>
      <c r="C232" s="22">
        <f ca="1">IF(B232="","",IF(LEFT(B232,2)="13",C231,IF(MONTH(B232)=1,C231*(1+PREMISSAS!$C$57),C231)))</f>
        <v>0</v>
      </c>
      <c r="E232" s="18">
        <v>228</v>
      </c>
      <c r="F232" s="21">
        <f t="shared" ca="1" si="26"/>
        <v>43830</v>
      </c>
      <c r="G232" s="22">
        <f ca="1">IFERROR(VLOOKUP(F232,RESULTADOS!$O$5:$P$543,2,FALSE),VLOOKUP(F232,$B$5:$C$724,2,FALSE))</f>
        <v>0</v>
      </c>
      <c r="H232" s="4">
        <f ca="1">IF(F232&lt;PREMISSAS!$D$7,0,IFERROR(VLOOKUP(IF(LEFT(F232,2)="13",DATE(YEAR(F231),12,31),F232),IPCA!$A$3:$D$284,4,FALSE),1)*G232)</f>
        <v>0</v>
      </c>
      <c r="J232" s="21">
        <f t="shared" ca="1" si="21"/>
        <v>43830</v>
      </c>
      <c r="K232" s="4">
        <f t="shared" ca="1" si="22"/>
        <v>0</v>
      </c>
      <c r="M232" s="21">
        <f t="shared" ca="1" si="27"/>
        <v>43830</v>
      </c>
      <c r="N232" s="37">
        <f t="shared" ca="1" si="23"/>
        <v>0</v>
      </c>
      <c r="O232" s="4">
        <f ca="1">IFERROR(AVERAGEIF(N$5:$N232,"&gt;="&amp;_xlfn.PERCENTILE.EXC(N$5:$N232,0.2)),0)</f>
        <v>0</v>
      </c>
      <c r="Q232" s="21">
        <f t="shared" ca="1" si="24"/>
        <v>43830</v>
      </c>
      <c r="R232" s="4">
        <f ca="1">MIN(O232,PREMISSAS!$C$13)</f>
        <v>0</v>
      </c>
      <c r="S232" s="240"/>
      <c r="T232" s="240"/>
    </row>
    <row r="233" spans="2:20" x14ac:dyDescent="0.25">
      <c r="B233" s="21">
        <f t="shared" ca="1" si="25"/>
        <v>49979</v>
      </c>
      <c r="C233" s="22">
        <f ca="1">IF(B233="","",IF(LEFT(B233,2)="13",C232,IF(MONTH(B233)=1,C232*(1+PREMISSAS!$C$57),C232)))</f>
        <v>0</v>
      </c>
      <c r="E233" s="18">
        <v>229</v>
      </c>
      <c r="F233" s="21">
        <f t="shared" ca="1" si="26"/>
        <v>43861</v>
      </c>
      <c r="G233" s="22">
        <f ca="1">IFERROR(VLOOKUP(F233,RESULTADOS!$O$5:$P$543,2,FALSE),VLOOKUP(F233,$B$5:$C$724,2,FALSE))</f>
        <v>0</v>
      </c>
      <c r="H233" s="4">
        <f ca="1">IF(F233&lt;PREMISSAS!$D$7,0,IFERROR(VLOOKUP(IF(LEFT(F233,2)="13",DATE(YEAR(F232),12,31),F233),IPCA!$A$3:$D$284,4,FALSE),1)*G233)</f>
        <v>0</v>
      </c>
      <c r="J233" s="21">
        <f t="shared" ca="1" si="21"/>
        <v>43861</v>
      </c>
      <c r="K233" s="4">
        <f t="shared" ca="1" si="22"/>
        <v>0</v>
      </c>
      <c r="M233" s="21">
        <f t="shared" ca="1" si="27"/>
        <v>43861</v>
      </c>
      <c r="N233" s="37">
        <f t="shared" ca="1" si="23"/>
        <v>0</v>
      </c>
      <c r="O233" s="4">
        <f ca="1">IFERROR(AVERAGEIF(N$5:$N233,"&gt;="&amp;_xlfn.PERCENTILE.EXC(N$5:$N233,0.2)),0)</f>
        <v>0</v>
      </c>
      <c r="Q233" s="21">
        <f t="shared" ca="1" si="24"/>
        <v>43861</v>
      </c>
      <c r="R233" s="4">
        <f ca="1">MIN(O233,PREMISSAS!$C$13)</f>
        <v>0</v>
      </c>
      <c r="S233" s="240"/>
      <c r="T233" s="240"/>
    </row>
    <row r="234" spans="2:20" x14ac:dyDescent="0.25">
      <c r="B234" s="21">
        <f t="shared" ca="1" si="25"/>
        <v>50009</v>
      </c>
      <c r="C234" s="22">
        <f ca="1">IF(B234="","",IF(LEFT(B234,2)="13",C233,IF(MONTH(B234)=1,C233*(1+PREMISSAS!$C$57),C233)))</f>
        <v>0</v>
      </c>
      <c r="E234" s="18">
        <v>230</v>
      </c>
      <c r="F234" s="21">
        <f t="shared" ca="1" si="26"/>
        <v>43890</v>
      </c>
      <c r="G234" s="22">
        <f ca="1">IFERROR(VLOOKUP(F234,RESULTADOS!$O$5:$P$543,2,FALSE),VLOOKUP(F234,$B$5:$C$724,2,FALSE))</f>
        <v>0</v>
      </c>
      <c r="H234" s="4">
        <f ca="1">IF(F234&lt;PREMISSAS!$D$7,0,IFERROR(VLOOKUP(IF(LEFT(F234,2)="13",DATE(YEAR(F233),12,31),F234),IPCA!$A$3:$D$284,4,FALSE),1)*G234)</f>
        <v>0</v>
      </c>
      <c r="J234" s="21">
        <f t="shared" ca="1" si="21"/>
        <v>43890</v>
      </c>
      <c r="K234" s="4">
        <f t="shared" ca="1" si="22"/>
        <v>0</v>
      </c>
      <c r="M234" s="21">
        <f t="shared" ca="1" si="27"/>
        <v>43890</v>
      </c>
      <c r="N234" s="37">
        <f t="shared" ca="1" si="23"/>
        <v>0</v>
      </c>
      <c r="O234" s="4">
        <f ca="1">IFERROR(AVERAGEIF(N$5:$N234,"&gt;="&amp;_xlfn.PERCENTILE.EXC(N$5:$N234,0.2)),0)</f>
        <v>0</v>
      </c>
      <c r="Q234" s="21">
        <f t="shared" ca="1" si="24"/>
        <v>43890</v>
      </c>
      <c r="R234" s="4">
        <f ca="1">MIN(O234,PREMISSAS!$C$13)</f>
        <v>0</v>
      </c>
      <c r="S234" s="240"/>
      <c r="T234" s="240"/>
    </row>
    <row r="235" spans="2:20" x14ac:dyDescent="0.25">
      <c r="B235" s="21" t="str">
        <f t="shared" ca="1" si="25"/>
        <v>13º 2036</v>
      </c>
      <c r="C235" s="22">
        <f ca="1">IF(B235="","",IF(LEFT(B235,2)="13",C234,IF(MONTH(B235)=1,C234*(1+PREMISSAS!$C$57),C234)))</f>
        <v>0</v>
      </c>
      <c r="E235" s="18">
        <v>231</v>
      </c>
      <c r="F235" s="21">
        <f t="shared" ca="1" si="26"/>
        <v>43921</v>
      </c>
      <c r="G235" s="22">
        <f ca="1">IFERROR(VLOOKUP(F235,RESULTADOS!$O$5:$P$543,2,FALSE),VLOOKUP(F235,$B$5:$C$724,2,FALSE))</f>
        <v>0</v>
      </c>
      <c r="H235" s="4">
        <f ca="1">IF(F235&lt;PREMISSAS!$D$7,0,IFERROR(VLOOKUP(IF(LEFT(F235,2)="13",DATE(YEAR(F234),12,31),F235),IPCA!$A$3:$D$284,4,FALSE),1)*G235)</f>
        <v>0</v>
      </c>
      <c r="J235" s="21">
        <f t="shared" ca="1" si="21"/>
        <v>43921</v>
      </c>
      <c r="K235" s="4">
        <f t="shared" ca="1" si="22"/>
        <v>0</v>
      </c>
      <c r="M235" s="21">
        <f t="shared" ca="1" si="27"/>
        <v>43921</v>
      </c>
      <c r="N235" s="37">
        <f t="shared" ca="1" si="23"/>
        <v>0</v>
      </c>
      <c r="O235" s="4">
        <f ca="1">IFERROR(AVERAGEIF(N$5:$N235,"&gt;="&amp;_xlfn.PERCENTILE.EXC(N$5:$N235,0.2)),0)</f>
        <v>0</v>
      </c>
      <c r="Q235" s="21">
        <f t="shared" ca="1" si="24"/>
        <v>43921</v>
      </c>
      <c r="R235" s="4">
        <f ca="1">MIN(O235,PREMISSAS!$C$13)</f>
        <v>0</v>
      </c>
      <c r="S235" s="240"/>
      <c r="T235" s="240"/>
    </row>
    <row r="236" spans="2:20" x14ac:dyDescent="0.25">
      <c r="B236" s="21">
        <f t="shared" ca="1" si="25"/>
        <v>50040</v>
      </c>
      <c r="C236" s="22">
        <f ca="1">IF(B236="","",IF(LEFT(B236,2)="13",C235,IF(MONTH(B236)=1,C235*(1+PREMISSAS!$C$57),C235)))</f>
        <v>0</v>
      </c>
      <c r="E236" s="18">
        <v>232</v>
      </c>
      <c r="F236" s="21">
        <f t="shared" ca="1" si="26"/>
        <v>43951</v>
      </c>
      <c r="G236" s="22">
        <f ca="1">IFERROR(VLOOKUP(F236,RESULTADOS!$O$5:$P$543,2,FALSE),VLOOKUP(F236,$B$5:$C$724,2,FALSE))</f>
        <v>0</v>
      </c>
      <c r="H236" s="4">
        <f ca="1">IF(F236&lt;PREMISSAS!$D$7,0,IFERROR(VLOOKUP(IF(LEFT(F236,2)="13",DATE(YEAR(F235),12,31),F236),IPCA!$A$3:$D$284,4,FALSE),1)*G236)</f>
        <v>0</v>
      </c>
      <c r="J236" s="21">
        <f t="shared" ca="1" si="21"/>
        <v>43951</v>
      </c>
      <c r="K236" s="4">
        <f t="shared" ca="1" si="22"/>
        <v>0</v>
      </c>
      <c r="M236" s="21">
        <f t="shared" ca="1" si="27"/>
        <v>43951</v>
      </c>
      <c r="N236" s="37">
        <f t="shared" ca="1" si="23"/>
        <v>0</v>
      </c>
      <c r="O236" s="4">
        <f ca="1">IFERROR(AVERAGEIF(N$5:$N236,"&gt;="&amp;_xlfn.PERCENTILE.EXC(N$5:$N236,0.2)),0)</f>
        <v>0</v>
      </c>
      <c r="Q236" s="21">
        <f t="shared" ca="1" si="24"/>
        <v>43951</v>
      </c>
      <c r="R236" s="4">
        <f ca="1">MIN(O236,PREMISSAS!$C$13)</f>
        <v>0</v>
      </c>
      <c r="S236" s="240"/>
      <c r="T236" s="240"/>
    </row>
    <row r="237" spans="2:20" x14ac:dyDescent="0.25">
      <c r="B237" s="21">
        <f t="shared" ca="1" si="25"/>
        <v>50071</v>
      </c>
      <c r="C237" s="22">
        <f ca="1">IF(B237="","",IF(LEFT(B237,2)="13",C236,IF(MONTH(B237)=1,C236*(1+PREMISSAS!$C$57),C236)))</f>
        <v>0</v>
      </c>
      <c r="E237" s="18">
        <v>233</v>
      </c>
      <c r="F237" s="21">
        <f t="shared" ca="1" si="26"/>
        <v>43982</v>
      </c>
      <c r="G237" s="22">
        <f ca="1">IFERROR(VLOOKUP(F237,RESULTADOS!$O$5:$P$543,2,FALSE),VLOOKUP(F237,$B$5:$C$724,2,FALSE))</f>
        <v>0</v>
      </c>
      <c r="H237" s="4">
        <f ca="1">IF(F237&lt;PREMISSAS!$D$7,0,IFERROR(VLOOKUP(IF(LEFT(F237,2)="13",DATE(YEAR(F236),12,31),F237),IPCA!$A$3:$D$284,4,FALSE),1)*G237)</f>
        <v>0</v>
      </c>
      <c r="J237" s="21">
        <f t="shared" ca="1" si="21"/>
        <v>43982</v>
      </c>
      <c r="K237" s="4">
        <f t="shared" ca="1" si="22"/>
        <v>0</v>
      </c>
      <c r="M237" s="21">
        <f t="shared" ca="1" si="27"/>
        <v>43982</v>
      </c>
      <c r="N237" s="37">
        <f t="shared" ca="1" si="23"/>
        <v>0</v>
      </c>
      <c r="O237" s="4">
        <f ca="1">IFERROR(AVERAGEIF(N$5:$N237,"&gt;="&amp;_xlfn.PERCENTILE.EXC(N$5:$N237,0.2)),0)</f>
        <v>0</v>
      </c>
      <c r="Q237" s="21">
        <f t="shared" ca="1" si="24"/>
        <v>43982</v>
      </c>
      <c r="R237" s="4">
        <f ca="1">MIN(O237,PREMISSAS!$C$13)</f>
        <v>0</v>
      </c>
      <c r="S237" s="240"/>
      <c r="T237" s="240"/>
    </row>
    <row r="238" spans="2:20" x14ac:dyDescent="0.25">
      <c r="B238" s="21">
        <f t="shared" ca="1" si="25"/>
        <v>50099</v>
      </c>
      <c r="C238" s="22">
        <f ca="1">IF(B238="","",IF(LEFT(B238,2)="13",C237,IF(MONTH(B238)=1,C237*(1+PREMISSAS!$C$57),C237)))</f>
        <v>0</v>
      </c>
      <c r="E238" s="18">
        <v>234</v>
      </c>
      <c r="F238" s="21">
        <f t="shared" ca="1" si="26"/>
        <v>44012</v>
      </c>
      <c r="G238" s="22">
        <f ca="1">IFERROR(VLOOKUP(F238,RESULTADOS!$O$5:$P$543,2,FALSE),VLOOKUP(F238,$B$5:$C$724,2,FALSE))</f>
        <v>0</v>
      </c>
      <c r="H238" s="4">
        <f ca="1">IF(F238&lt;PREMISSAS!$D$7,0,IFERROR(VLOOKUP(IF(LEFT(F238,2)="13",DATE(YEAR(F237),12,31),F238),IPCA!$A$3:$D$284,4,FALSE),1)*G238)</f>
        <v>0</v>
      </c>
      <c r="J238" s="21">
        <f t="shared" ca="1" si="21"/>
        <v>44012</v>
      </c>
      <c r="K238" s="4">
        <f t="shared" ca="1" si="22"/>
        <v>0</v>
      </c>
      <c r="M238" s="21">
        <f t="shared" ca="1" si="27"/>
        <v>44012</v>
      </c>
      <c r="N238" s="37">
        <f t="shared" ca="1" si="23"/>
        <v>0</v>
      </c>
      <c r="O238" s="4">
        <f ca="1">IFERROR(AVERAGEIF(N$5:$N238,"&gt;="&amp;_xlfn.PERCENTILE.EXC(N$5:$N238,0.2)),0)</f>
        <v>0</v>
      </c>
      <c r="Q238" s="21">
        <f t="shared" ca="1" si="24"/>
        <v>44012</v>
      </c>
      <c r="R238" s="4">
        <f ca="1">MIN(O238,PREMISSAS!$C$13)</f>
        <v>0</v>
      </c>
      <c r="S238" s="240"/>
      <c r="T238" s="240"/>
    </row>
    <row r="239" spans="2:20" x14ac:dyDescent="0.25">
      <c r="B239" s="21">
        <f t="shared" ca="1" si="25"/>
        <v>50130</v>
      </c>
      <c r="C239" s="22">
        <f ca="1">IF(B239="","",IF(LEFT(B239,2)="13",C238,IF(MONTH(B239)=1,C238*(1+PREMISSAS!$C$57),C238)))</f>
        <v>0</v>
      </c>
      <c r="E239" s="18">
        <v>235</v>
      </c>
      <c r="F239" s="21">
        <f t="shared" ca="1" si="26"/>
        <v>44043</v>
      </c>
      <c r="G239" s="22">
        <f ca="1">IFERROR(VLOOKUP(F239,RESULTADOS!$O$5:$P$543,2,FALSE),VLOOKUP(F239,$B$5:$C$724,2,FALSE))</f>
        <v>0</v>
      </c>
      <c r="H239" s="4">
        <f ca="1">IF(F239&lt;PREMISSAS!$D$7,0,IFERROR(VLOOKUP(IF(LEFT(F239,2)="13",DATE(YEAR(F238),12,31),F239),IPCA!$A$3:$D$284,4,FALSE),1)*G239)</f>
        <v>0</v>
      </c>
      <c r="J239" s="21">
        <f t="shared" ca="1" si="21"/>
        <v>44043</v>
      </c>
      <c r="K239" s="4">
        <f t="shared" ca="1" si="22"/>
        <v>0</v>
      </c>
      <c r="M239" s="21">
        <f t="shared" ca="1" si="27"/>
        <v>44043</v>
      </c>
      <c r="N239" s="37">
        <f t="shared" ca="1" si="23"/>
        <v>0</v>
      </c>
      <c r="O239" s="4">
        <f ca="1">IFERROR(AVERAGEIF(N$5:$N239,"&gt;="&amp;_xlfn.PERCENTILE.EXC(N$5:$N239,0.2)),0)</f>
        <v>0</v>
      </c>
      <c r="Q239" s="21">
        <f t="shared" ca="1" si="24"/>
        <v>44043</v>
      </c>
      <c r="R239" s="4">
        <f ca="1">MIN(O239,PREMISSAS!$C$13)</f>
        <v>0</v>
      </c>
      <c r="S239" s="240"/>
      <c r="T239" s="240"/>
    </row>
    <row r="240" spans="2:20" x14ac:dyDescent="0.25">
      <c r="B240" s="21">
        <f t="shared" ca="1" si="25"/>
        <v>50160</v>
      </c>
      <c r="C240" s="22">
        <f ca="1">IF(B240="","",IF(LEFT(B240,2)="13",C239,IF(MONTH(B240)=1,C239*(1+PREMISSAS!$C$57),C239)))</f>
        <v>0</v>
      </c>
      <c r="E240" s="18">
        <v>236</v>
      </c>
      <c r="F240" s="21">
        <f t="shared" ca="1" si="26"/>
        <v>44074</v>
      </c>
      <c r="G240" s="22">
        <f ca="1">IFERROR(VLOOKUP(F240,RESULTADOS!$O$5:$P$543,2,FALSE),VLOOKUP(F240,$B$5:$C$724,2,FALSE))</f>
        <v>0</v>
      </c>
      <c r="H240" s="4">
        <f ca="1">IF(F240&lt;PREMISSAS!$D$7,0,IFERROR(VLOOKUP(IF(LEFT(F240,2)="13",DATE(YEAR(F239),12,31),F240),IPCA!$A$3:$D$284,4,FALSE),1)*G240)</f>
        <v>0</v>
      </c>
      <c r="J240" s="21">
        <f t="shared" ca="1" si="21"/>
        <v>44074</v>
      </c>
      <c r="K240" s="4">
        <f t="shared" ca="1" si="22"/>
        <v>0</v>
      </c>
      <c r="M240" s="21">
        <f t="shared" ca="1" si="27"/>
        <v>44074</v>
      </c>
      <c r="N240" s="37">
        <f t="shared" ca="1" si="23"/>
        <v>0</v>
      </c>
      <c r="O240" s="4">
        <f ca="1">IFERROR(AVERAGEIF(N$5:$N240,"&gt;="&amp;_xlfn.PERCENTILE.EXC(N$5:$N240,0.2)),0)</f>
        <v>0</v>
      </c>
      <c r="Q240" s="21">
        <f t="shared" ca="1" si="24"/>
        <v>44074</v>
      </c>
      <c r="R240" s="4">
        <f ca="1">MIN(O240,PREMISSAS!$C$13)</f>
        <v>0</v>
      </c>
      <c r="S240" s="240"/>
      <c r="T240" s="240"/>
    </row>
    <row r="241" spans="2:20" x14ac:dyDescent="0.25">
      <c r="B241" s="21">
        <f t="shared" ca="1" si="25"/>
        <v>50191</v>
      </c>
      <c r="C241" s="22">
        <f ca="1">IF(B241="","",IF(LEFT(B241,2)="13",C240,IF(MONTH(B241)=1,C240*(1+PREMISSAS!$C$57),C240)))</f>
        <v>0</v>
      </c>
      <c r="E241" s="18">
        <v>237</v>
      </c>
      <c r="F241" s="21">
        <f t="shared" ca="1" si="26"/>
        <v>44104</v>
      </c>
      <c r="G241" s="22">
        <f ca="1">IFERROR(VLOOKUP(F241,RESULTADOS!$O$5:$P$543,2,FALSE),VLOOKUP(F241,$B$5:$C$724,2,FALSE))</f>
        <v>0</v>
      </c>
      <c r="H241" s="4">
        <f ca="1">IF(F241&lt;PREMISSAS!$D$7,0,IFERROR(VLOOKUP(IF(LEFT(F241,2)="13",DATE(YEAR(F240),12,31),F241),IPCA!$A$3:$D$284,4,FALSE),1)*G241)</f>
        <v>0</v>
      </c>
      <c r="J241" s="21">
        <f t="shared" ca="1" si="21"/>
        <v>44104</v>
      </c>
      <c r="K241" s="4">
        <f t="shared" ca="1" si="22"/>
        <v>0</v>
      </c>
      <c r="M241" s="21">
        <f t="shared" ca="1" si="27"/>
        <v>44104</v>
      </c>
      <c r="N241" s="37">
        <f t="shared" ca="1" si="23"/>
        <v>0</v>
      </c>
      <c r="O241" s="4">
        <f ca="1">IFERROR(AVERAGEIF(N$5:$N241,"&gt;="&amp;_xlfn.PERCENTILE.EXC(N$5:$N241,0.2)),0)</f>
        <v>0</v>
      </c>
      <c r="Q241" s="21">
        <f t="shared" ca="1" si="24"/>
        <v>44104</v>
      </c>
      <c r="R241" s="4">
        <f ca="1">MIN(O241,PREMISSAS!$C$13)</f>
        <v>0</v>
      </c>
      <c r="S241" s="240"/>
      <c r="T241" s="240"/>
    </row>
    <row r="242" spans="2:20" x14ac:dyDescent="0.25">
      <c r="B242" s="21">
        <f t="shared" ca="1" si="25"/>
        <v>50221</v>
      </c>
      <c r="C242" s="22">
        <f ca="1">IF(B242="","",IF(LEFT(B242,2)="13",C241,IF(MONTH(B242)=1,C241*(1+PREMISSAS!$C$57),C241)))</f>
        <v>0</v>
      </c>
      <c r="E242" s="18">
        <v>238</v>
      </c>
      <c r="F242" s="21">
        <f t="shared" ca="1" si="26"/>
        <v>44135</v>
      </c>
      <c r="G242" s="22">
        <f ca="1">IFERROR(VLOOKUP(F242,RESULTADOS!$O$5:$P$543,2,FALSE),VLOOKUP(F242,$B$5:$C$724,2,FALSE))</f>
        <v>0</v>
      </c>
      <c r="H242" s="4">
        <f ca="1">IF(F242&lt;PREMISSAS!$D$7,0,IFERROR(VLOOKUP(IF(LEFT(F242,2)="13",DATE(YEAR(F241),12,31),F242),IPCA!$A$3:$D$284,4,FALSE),1)*G242)</f>
        <v>0</v>
      </c>
      <c r="J242" s="21">
        <f t="shared" ca="1" si="21"/>
        <v>44135</v>
      </c>
      <c r="K242" s="4">
        <f t="shared" ca="1" si="22"/>
        <v>0</v>
      </c>
      <c r="M242" s="21">
        <f t="shared" ca="1" si="27"/>
        <v>44135</v>
      </c>
      <c r="N242" s="37">
        <f t="shared" ca="1" si="23"/>
        <v>0</v>
      </c>
      <c r="O242" s="4">
        <f ca="1">IFERROR(AVERAGEIF(N$5:$N242,"&gt;="&amp;_xlfn.PERCENTILE.EXC(N$5:$N242,0.2)),0)</f>
        <v>0</v>
      </c>
      <c r="Q242" s="21">
        <f t="shared" ca="1" si="24"/>
        <v>44135</v>
      </c>
      <c r="R242" s="4">
        <f ca="1">MIN(O242,PREMISSAS!$C$13)</f>
        <v>0</v>
      </c>
      <c r="S242" s="240"/>
      <c r="T242" s="240"/>
    </row>
    <row r="243" spans="2:20" x14ac:dyDescent="0.25">
      <c r="B243" s="21">
        <f t="shared" ca="1" si="25"/>
        <v>50252</v>
      </c>
      <c r="C243" s="22">
        <f ca="1">IF(B243="","",IF(LEFT(B243,2)="13",C242,IF(MONTH(B243)=1,C242*(1+PREMISSAS!$C$57),C242)))</f>
        <v>0</v>
      </c>
      <c r="E243" s="18">
        <v>239</v>
      </c>
      <c r="F243" s="21">
        <f t="shared" ca="1" si="26"/>
        <v>44165</v>
      </c>
      <c r="G243" s="22">
        <f ca="1">IFERROR(VLOOKUP(F243,RESULTADOS!$O$5:$P$543,2,FALSE),VLOOKUP(F243,$B$5:$C$724,2,FALSE))</f>
        <v>0</v>
      </c>
      <c r="H243" s="4">
        <f ca="1">IF(F243&lt;PREMISSAS!$D$7,0,IFERROR(VLOOKUP(IF(LEFT(F243,2)="13",DATE(YEAR(F242),12,31),F243),IPCA!$A$3:$D$284,4,FALSE),1)*G243)</f>
        <v>0</v>
      </c>
      <c r="J243" s="21">
        <f t="shared" ca="1" si="21"/>
        <v>44165</v>
      </c>
      <c r="K243" s="4">
        <f t="shared" ca="1" si="22"/>
        <v>0</v>
      </c>
      <c r="M243" s="21">
        <f t="shared" ca="1" si="27"/>
        <v>44165</v>
      </c>
      <c r="N243" s="37">
        <f t="shared" ca="1" si="23"/>
        <v>0</v>
      </c>
      <c r="O243" s="4">
        <f ca="1">IFERROR(AVERAGEIF(N$5:$N243,"&gt;="&amp;_xlfn.PERCENTILE.EXC(N$5:$N243,0.2)),0)</f>
        <v>0</v>
      </c>
      <c r="Q243" s="21">
        <f t="shared" ca="1" si="24"/>
        <v>44165</v>
      </c>
      <c r="R243" s="4">
        <f ca="1">MIN(O243,PREMISSAS!$C$13)</f>
        <v>0</v>
      </c>
      <c r="S243" s="240"/>
      <c r="T243" s="240"/>
    </row>
    <row r="244" spans="2:20" x14ac:dyDescent="0.25">
      <c r="B244" s="21" t="str">
        <f t="shared" ca="1" si="25"/>
        <v/>
      </c>
      <c r="C244" s="22" t="str">
        <f ca="1">IF(B244="","",IF(LEFT(B244,2)="13",C243,IF(MONTH(B244)=1,C243*(1+PREMISSAS!$C$57),C243)))</f>
        <v/>
      </c>
      <c r="E244" s="18">
        <v>240</v>
      </c>
      <c r="F244" s="21" t="str">
        <f t="shared" ca="1" si="26"/>
        <v>13º 2020</v>
      </c>
      <c r="G244" s="22">
        <f ca="1">IFERROR(VLOOKUP(F244,RESULTADOS!$O$5:$P$543,2,FALSE),VLOOKUP(F244,$B$5:$C$724,2,FALSE))</f>
        <v>0</v>
      </c>
      <c r="H244" s="4">
        <f ca="1">IF(F244&lt;PREMISSAS!$D$7,0,IFERROR(VLOOKUP(IF(LEFT(F244,2)="13",DATE(YEAR(F243),12,31),F244),IPCA!$A$3:$D$284,4,FALSE),1)*G244)</f>
        <v>0</v>
      </c>
      <c r="J244" s="21" t="str">
        <f t="shared" ca="1" si="21"/>
        <v>13º 2020</v>
      </c>
      <c r="K244" s="4">
        <f t="shared" ca="1" si="22"/>
        <v>0</v>
      </c>
      <c r="M244" s="21" t="str">
        <f t="shared" ca="1" si="27"/>
        <v>13º 2020</v>
      </c>
      <c r="N244" s="37">
        <f t="shared" ca="1" si="23"/>
        <v>0</v>
      </c>
      <c r="O244" s="4">
        <f ca="1">IFERROR(AVERAGEIF(N$5:$N244,"&gt;="&amp;_xlfn.PERCENTILE.EXC(N$5:$N244,0.2)),0)</f>
        <v>0</v>
      </c>
      <c r="Q244" s="21" t="str">
        <f t="shared" ca="1" si="24"/>
        <v>13º 2020</v>
      </c>
      <c r="R244" s="4">
        <f ca="1">MIN(O244,PREMISSAS!$C$13)</f>
        <v>0</v>
      </c>
      <c r="S244" s="240"/>
      <c r="T244" s="240"/>
    </row>
    <row r="245" spans="2:20" x14ac:dyDescent="0.25">
      <c r="B245" s="21" t="str">
        <f t="shared" ca="1" si="25"/>
        <v/>
      </c>
      <c r="C245" s="22" t="str">
        <f ca="1">IF(B245="","",IF(LEFT(B245,2)="13",C244,IF(MONTH(B245)=1,C244*(1+PREMISSAS!$C$57),C244)))</f>
        <v/>
      </c>
      <c r="E245" s="18">
        <v>241</v>
      </c>
      <c r="F245" s="21">
        <f t="shared" ca="1" si="26"/>
        <v>44196</v>
      </c>
      <c r="G245" s="22">
        <f ca="1">IFERROR(VLOOKUP(F245,RESULTADOS!$O$5:$P$543,2,FALSE),VLOOKUP(F245,$B$5:$C$724,2,FALSE))</f>
        <v>0</v>
      </c>
      <c r="H245" s="4">
        <f ca="1">IF(F245&lt;PREMISSAS!$D$7,0,IFERROR(VLOOKUP(IF(LEFT(F245,2)="13",DATE(YEAR(F244),12,31),F245),IPCA!$A$3:$D$284,4,FALSE),1)*G245)</f>
        <v>0</v>
      </c>
      <c r="J245" s="21">
        <f t="shared" ca="1" si="21"/>
        <v>44196</v>
      </c>
      <c r="K245" s="4">
        <f t="shared" ca="1" si="22"/>
        <v>0</v>
      </c>
      <c r="M245" s="21">
        <f t="shared" ca="1" si="27"/>
        <v>44196</v>
      </c>
      <c r="N245" s="37">
        <f t="shared" ca="1" si="23"/>
        <v>0</v>
      </c>
      <c r="O245" s="4">
        <f ca="1">IFERROR(AVERAGEIF(N$5:$N245,"&gt;="&amp;_xlfn.PERCENTILE.EXC(N$5:$N245,0.2)),0)</f>
        <v>0</v>
      </c>
      <c r="Q245" s="21">
        <f t="shared" ca="1" si="24"/>
        <v>44196</v>
      </c>
      <c r="R245" s="4">
        <f ca="1">MIN(O245,PREMISSAS!$C$13)</f>
        <v>0</v>
      </c>
      <c r="S245" s="240"/>
      <c r="T245" s="240"/>
    </row>
    <row r="246" spans="2:20" x14ac:dyDescent="0.25">
      <c r="B246" s="21" t="str">
        <f t="shared" ca="1" si="25"/>
        <v/>
      </c>
      <c r="C246" s="22" t="str">
        <f ca="1">IF(B246="","",IF(LEFT(B246,2)="13",C245,IF(MONTH(B246)=1,C245*(1+PREMISSAS!$C$57),C245)))</f>
        <v/>
      </c>
      <c r="E246" s="18">
        <v>242</v>
      </c>
      <c r="F246" s="21">
        <f t="shared" ca="1" si="26"/>
        <v>44227</v>
      </c>
      <c r="G246" s="22">
        <f ca="1">IFERROR(VLOOKUP(F246,RESULTADOS!$O$5:$P$543,2,FALSE),VLOOKUP(F246,$B$5:$C$724,2,FALSE))</f>
        <v>0</v>
      </c>
      <c r="H246" s="4">
        <f ca="1">IF(F246&lt;PREMISSAS!$D$7,0,IFERROR(VLOOKUP(IF(LEFT(F246,2)="13",DATE(YEAR(F245),12,31),F246),IPCA!$A$3:$D$284,4,FALSE),1)*G246)</f>
        <v>0</v>
      </c>
      <c r="J246" s="21">
        <f t="shared" ca="1" si="21"/>
        <v>44227</v>
      </c>
      <c r="K246" s="4">
        <f t="shared" ca="1" si="22"/>
        <v>0</v>
      </c>
      <c r="M246" s="21">
        <f t="shared" ca="1" si="27"/>
        <v>44227</v>
      </c>
      <c r="N246" s="37">
        <f t="shared" ca="1" si="23"/>
        <v>0</v>
      </c>
      <c r="O246" s="4">
        <f ca="1">IFERROR(AVERAGEIF(N$5:$N246,"&gt;="&amp;_xlfn.PERCENTILE.EXC(N$5:$N246,0.2)),0)</f>
        <v>0</v>
      </c>
      <c r="Q246" s="21">
        <f t="shared" ca="1" si="24"/>
        <v>44227</v>
      </c>
      <c r="R246" s="4">
        <f ca="1">MIN(O246,PREMISSAS!$C$13)</f>
        <v>0</v>
      </c>
      <c r="S246" s="240"/>
      <c r="T246" s="240"/>
    </row>
    <row r="247" spans="2:20" x14ac:dyDescent="0.25">
      <c r="B247" s="21" t="str">
        <f t="shared" ca="1" si="25"/>
        <v/>
      </c>
      <c r="C247" s="22" t="str">
        <f ca="1">IF(B247="","",IF(LEFT(B247,2)="13",C246,IF(MONTH(B247)=1,C246*(1+PREMISSAS!$C$57),C246)))</f>
        <v/>
      </c>
      <c r="E247" s="18">
        <v>243</v>
      </c>
      <c r="F247" s="21">
        <f t="shared" ca="1" si="26"/>
        <v>44255</v>
      </c>
      <c r="G247" s="22">
        <f ca="1">IFERROR(VLOOKUP(F247,RESULTADOS!$O$5:$P$543,2,FALSE),VLOOKUP(F247,$B$5:$C$724,2,FALSE))</f>
        <v>0</v>
      </c>
      <c r="H247" s="4">
        <f ca="1">IF(F247&lt;PREMISSAS!$D$7,0,IFERROR(VLOOKUP(IF(LEFT(F247,2)="13",DATE(YEAR(F246),12,31),F247),IPCA!$A$3:$D$284,4,FALSE),1)*G247)</f>
        <v>0</v>
      </c>
      <c r="J247" s="21">
        <f t="shared" ca="1" si="21"/>
        <v>44255</v>
      </c>
      <c r="K247" s="4">
        <f t="shared" ca="1" si="22"/>
        <v>0</v>
      </c>
      <c r="M247" s="21">
        <f t="shared" ca="1" si="27"/>
        <v>44255</v>
      </c>
      <c r="N247" s="37">
        <f t="shared" ca="1" si="23"/>
        <v>0</v>
      </c>
      <c r="O247" s="4">
        <f ca="1">IFERROR(AVERAGEIF(N$5:$N247,"&gt;="&amp;_xlfn.PERCENTILE.EXC(N$5:$N247,0.2)),0)</f>
        <v>0</v>
      </c>
      <c r="Q247" s="21">
        <f t="shared" ca="1" si="24"/>
        <v>44255</v>
      </c>
      <c r="R247" s="4">
        <f ca="1">MIN(O247,PREMISSAS!$C$13)</f>
        <v>0</v>
      </c>
      <c r="S247" s="240"/>
      <c r="T247" s="240"/>
    </row>
    <row r="248" spans="2:20" x14ac:dyDescent="0.25">
      <c r="B248" s="21" t="str">
        <f t="shared" ca="1" si="25"/>
        <v/>
      </c>
      <c r="C248" s="22" t="str">
        <f ca="1">IF(B248="","",IF(LEFT(B248,2)="13",C247,IF(MONTH(B248)=1,C247*(1+PREMISSAS!$C$57),C247)))</f>
        <v/>
      </c>
      <c r="E248" s="18">
        <v>244</v>
      </c>
      <c r="F248" s="21">
        <f t="shared" ca="1" si="26"/>
        <v>44286</v>
      </c>
      <c r="G248" s="22">
        <f ca="1">IFERROR(VLOOKUP(F248,RESULTADOS!$O$5:$P$543,2,FALSE),VLOOKUP(F248,$B$5:$C$724,2,FALSE))</f>
        <v>0</v>
      </c>
      <c r="H248" s="4">
        <f ca="1">IF(F248&lt;PREMISSAS!$D$7,0,IFERROR(VLOOKUP(IF(LEFT(F248,2)="13",DATE(YEAR(F247),12,31),F248),IPCA!$A$3:$D$284,4,FALSE),1)*G248)</f>
        <v>0</v>
      </c>
      <c r="J248" s="21">
        <f t="shared" ca="1" si="21"/>
        <v>44286</v>
      </c>
      <c r="K248" s="4">
        <f t="shared" ca="1" si="22"/>
        <v>0</v>
      </c>
      <c r="M248" s="21">
        <f t="shared" ca="1" si="27"/>
        <v>44286</v>
      </c>
      <c r="N248" s="37">
        <f t="shared" ca="1" si="23"/>
        <v>0</v>
      </c>
      <c r="O248" s="4">
        <f ca="1">IFERROR(AVERAGEIF(N$5:$N248,"&gt;="&amp;_xlfn.PERCENTILE.EXC(N$5:$N248,0.2)),0)</f>
        <v>0</v>
      </c>
      <c r="Q248" s="21">
        <f t="shared" ca="1" si="24"/>
        <v>44286</v>
      </c>
      <c r="R248" s="4">
        <f ca="1">MIN(O248,PREMISSAS!$C$13)</f>
        <v>0</v>
      </c>
      <c r="S248" s="240"/>
      <c r="T248" s="240"/>
    </row>
    <row r="249" spans="2:20" x14ac:dyDescent="0.25">
      <c r="B249" s="21" t="str">
        <f t="shared" ca="1" si="25"/>
        <v/>
      </c>
      <c r="C249" s="22" t="str">
        <f ca="1">IF(B249="","",IF(LEFT(B249,2)="13",C248,IF(MONTH(B249)=1,C248*(1+PREMISSAS!$C$57),C248)))</f>
        <v/>
      </c>
      <c r="E249" s="18">
        <v>245</v>
      </c>
      <c r="F249" s="21">
        <f t="shared" ca="1" si="26"/>
        <v>44316</v>
      </c>
      <c r="G249" s="22">
        <f ca="1">IFERROR(VLOOKUP(F249,RESULTADOS!$O$5:$P$543,2,FALSE),VLOOKUP(F249,$B$5:$C$724,2,FALSE))</f>
        <v>0</v>
      </c>
      <c r="H249" s="4">
        <f ca="1">IF(F249&lt;PREMISSAS!$D$7,0,IFERROR(VLOOKUP(IF(LEFT(F249,2)="13",DATE(YEAR(F248),12,31),F249),IPCA!$A$3:$D$284,4,FALSE),1)*G249)</f>
        <v>0</v>
      </c>
      <c r="J249" s="21">
        <f t="shared" ca="1" si="21"/>
        <v>44316</v>
      </c>
      <c r="K249" s="4">
        <f t="shared" ca="1" si="22"/>
        <v>0</v>
      </c>
      <c r="M249" s="21">
        <f t="shared" ca="1" si="27"/>
        <v>44316</v>
      </c>
      <c r="N249" s="37">
        <f t="shared" ca="1" si="23"/>
        <v>0</v>
      </c>
      <c r="O249" s="4">
        <f ca="1">IFERROR(AVERAGEIF(N$5:$N249,"&gt;="&amp;_xlfn.PERCENTILE.EXC(N$5:$N249,0.2)),0)</f>
        <v>0</v>
      </c>
      <c r="Q249" s="21">
        <f t="shared" ca="1" si="24"/>
        <v>44316</v>
      </c>
      <c r="R249" s="4">
        <f ca="1">MIN(O249,PREMISSAS!$C$13)</f>
        <v>0</v>
      </c>
      <c r="S249" s="240"/>
      <c r="T249" s="240"/>
    </row>
    <row r="250" spans="2:20" x14ac:dyDescent="0.25">
      <c r="B250" s="21" t="str">
        <f t="shared" ca="1" si="25"/>
        <v/>
      </c>
      <c r="C250" s="22" t="str">
        <f ca="1">IF(B250="","",IF(LEFT(B250,2)="13",C249,IF(MONTH(B250)=1,C249*(1+PREMISSAS!$C$57),C249)))</f>
        <v/>
      </c>
      <c r="E250" s="18">
        <v>246</v>
      </c>
      <c r="F250" s="21">
        <f t="shared" ca="1" si="26"/>
        <v>44347</v>
      </c>
      <c r="G250" s="22">
        <f ca="1">IFERROR(VLOOKUP(F250,RESULTADOS!$O$5:$P$543,2,FALSE),VLOOKUP(F250,$B$5:$C$724,2,FALSE))</f>
        <v>0</v>
      </c>
      <c r="H250" s="4">
        <f ca="1">IF(F250&lt;PREMISSAS!$D$7,0,IFERROR(VLOOKUP(IF(LEFT(F250,2)="13",DATE(YEAR(F249),12,31),F250),IPCA!$A$3:$D$284,4,FALSE),1)*G250)</f>
        <v>0</v>
      </c>
      <c r="J250" s="21">
        <f t="shared" ca="1" si="21"/>
        <v>44347</v>
      </c>
      <c r="K250" s="4">
        <f t="shared" ca="1" si="22"/>
        <v>0</v>
      </c>
      <c r="M250" s="21">
        <f t="shared" ca="1" si="27"/>
        <v>44347</v>
      </c>
      <c r="N250" s="37">
        <f t="shared" ca="1" si="23"/>
        <v>0</v>
      </c>
      <c r="O250" s="4">
        <f ca="1">IFERROR(AVERAGEIF(N$5:$N250,"&gt;="&amp;_xlfn.PERCENTILE.EXC(N$5:$N250,0.2)),0)</f>
        <v>0</v>
      </c>
      <c r="Q250" s="21">
        <f t="shared" ca="1" si="24"/>
        <v>44347</v>
      </c>
      <c r="R250" s="4">
        <f ca="1">MIN(O250,PREMISSAS!$C$13)</f>
        <v>0</v>
      </c>
      <c r="S250" s="240"/>
      <c r="T250" s="240"/>
    </row>
    <row r="251" spans="2:20" x14ac:dyDescent="0.25">
      <c r="B251" s="21" t="str">
        <f t="shared" ca="1" si="25"/>
        <v/>
      </c>
      <c r="C251" s="22" t="str">
        <f ca="1">IF(B251="","",IF(LEFT(B251,2)="13",C250,IF(MONTH(B251)=1,C250*(1+PREMISSAS!$C$57),C250)))</f>
        <v/>
      </c>
      <c r="E251" s="18">
        <v>247</v>
      </c>
      <c r="F251" s="21">
        <f t="shared" ca="1" si="26"/>
        <v>44377</v>
      </c>
      <c r="G251" s="22">
        <f ca="1">IFERROR(VLOOKUP(F251,RESULTADOS!$O$5:$P$543,2,FALSE),VLOOKUP(F251,$B$5:$C$724,2,FALSE))</f>
        <v>0</v>
      </c>
      <c r="H251" s="4">
        <f ca="1">IF(F251&lt;PREMISSAS!$D$7,0,IFERROR(VLOOKUP(IF(LEFT(F251,2)="13",DATE(YEAR(F250),12,31),F251),IPCA!$A$3:$D$284,4,FALSE),1)*G251)</f>
        <v>0</v>
      </c>
      <c r="J251" s="21">
        <f t="shared" ca="1" si="21"/>
        <v>44377</v>
      </c>
      <c r="K251" s="4">
        <f t="shared" ca="1" si="22"/>
        <v>0</v>
      </c>
      <c r="M251" s="21">
        <f t="shared" ca="1" si="27"/>
        <v>44377</v>
      </c>
      <c r="N251" s="37">
        <f t="shared" ca="1" si="23"/>
        <v>0</v>
      </c>
      <c r="O251" s="4">
        <f ca="1">IFERROR(AVERAGEIF(N$5:$N251,"&gt;="&amp;_xlfn.PERCENTILE.EXC(N$5:$N251,0.2)),0)</f>
        <v>0</v>
      </c>
      <c r="Q251" s="21">
        <f t="shared" ca="1" si="24"/>
        <v>44377</v>
      </c>
      <c r="R251" s="4">
        <f ca="1">MIN(O251,PREMISSAS!$C$13)</f>
        <v>0</v>
      </c>
      <c r="S251" s="240"/>
      <c r="T251" s="240"/>
    </row>
    <row r="252" spans="2:20" x14ac:dyDescent="0.25">
      <c r="B252" s="21" t="str">
        <f t="shared" ca="1" si="25"/>
        <v/>
      </c>
      <c r="C252" s="22" t="str">
        <f ca="1">IF(B252="","",IF(LEFT(B252,2)="13",C251,IF(MONTH(B252)=1,C251*(1+PREMISSAS!$C$57),C251)))</f>
        <v/>
      </c>
      <c r="E252" s="18">
        <v>248</v>
      </c>
      <c r="F252" s="21">
        <f t="shared" ca="1" si="26"/>
        <v>44408</v>
      </c>
      <c r="G252" s="22">
        <f ca="1">IFERROR(VLOOKUP(F252,RESULTADOS!$O$5:$P$543,2,FALSE),VLOOKUP(F252,$B$5:$C$724,2,FALSE))</f>
        <v>0</v>
      </c>
      <c r="H252" s="4">
        <f ca="1">IF(F252&lt;PREMISSAS!$D$7,0,IFERROR(VLOOKUP(IF(LEFT(F252,2)="13",DATE(YEAR(F251),12,31),F252),IPCA!$A$3:$D$284,4,FALSE),1)*G252)</f>
        <v>0</v>
      </c>
      <c r="J252" s="21">
        <f t="shared" ca="1" si="21"/>
        <v>44408</v>
      </c>
      <c r="K252" s="4">
        <f t="shared" ca="1" si="22"/>
        <v>0</v>
      </c>
      <c r="M252" s="21">
        <f t="shared" ca="1" si="27"/>
        <v>44408</v>
      </c>
      <c r="N252" s="37">
        <f t="shared" ca="1" si="23"/>
        <v>0</v>
      </c>
      <c r="O252" s="4">
        <f ca="1">IFERROR(AVERAGEIF(N$5:$N252,"&gt;="&amp;_xlfn.PERCENTILE.EXC(N$5:$N252,0.2)),0)</f>
        <v>0</v>
      </c>
      <c r="Q252" s="21">
        <f t="shared" ca="1" si="24"/>
        <v>44408</v>
      </c>
      <c r="R252" s="4">
        <f ca="1">MIN(O252,PREMISSAS!$C$13)</f>
        <v>0</v>
      </c>
      <c r="S252" s="240"/>
      <c r="T252" s="240"/>
    </row>
    <row r="253" spans="2:20" x14ac:dyDescent="0.25">
      <c r="B253" s="21" t="str">
        <f t="shared" ca="1" si="25"/>
        <v/>
      </c>
      <c r="C253" s="22" t="str">
        <f ca="1">IF(B253="","",IF(LEFT(B253,2)="13",C252,IF(MONTH(B253)=1,C252*(1+PREMISSAS!$C$57),C252)))</f>
        <v/>
      </c>
      <c r="E253" s="18">
        <v>249</v>
      </c>
      <c r="F253" s="21">
        <f t="shared" ca="1" si="26"/>
        <v>44439</v>
      </c>
      <c r="G253" s="22">
        <f ca="1">IFERROR(VLOOKUP(F253,RESULTADOS!$O$5:$P$543,2,FALSE),VLOOKUP(F253,$B$5:$C$724,2,FALSE))</f>
        <v>0</v>
      </c>
      <c r="H253" s="4">
        <f ca="1">IF(F253&lt;PREMISSAS!$D$7,0,IFERROR(VLOOKUP(IF(LEFT(F253,2)="13",DATE(YEAR(F252),12,31),F253),IPCA!$A$3:$D$284,4,FALSE),1)*G253)</f>
        <v>0</v>
      </c>
      <c r="J253" s="21">
        <f t="shared" ca="1" si="21"/>
        <v>44439</v>
      </c>
      <c r="K253" s="4">
        <f t="shared" ca="1" si="22"/>
        <v>0</v>
      </c>
      <c r="M253" s="21">
        <f t="shared" ca="1" si="27"/>
        <v>44439</v>
      </c>
      <c r="N253" s="37">
        <f t="shared" ca="1" si="23"/>
        <v>0</v>
      </c>
      <c r="O253" s="4">
        <f ca="1">IFERROR(AVERAGEIF(N$5:$N253,"&gt;="&amp;_xlfn.PERCENTILE.EXC(N$5:$N253,0.2)),0)</f>
        <v>0</v>
      </c>
      <c r="Q253" s="21">
        <f t="shared" ca="1" si="24"/>
        <v>44439</v>
      </c>
      <c r="R253" s="4">
        <f ca="1">MIN(O253,PREMISSAS!$C$13)</f>
        <v>0</v>
      </c>
      <c r="S253" s="240"/>
      <c r="T253" s="240"/>
    </row>
    <row r="254" spans="2:20" x14ac:dyDescent="0.25">
      <c r="B254" s="21" t="str">
        <f t="shared" ca="1" si="25"/>
        <v/>
      </c>
      <c r="C254" s="22" t="str">
        <f ca="1">IF(B254="","",IF(LEFT(B254,2)="13",C253,IF(MONTH(B254)=1,C253*(1+PREMISSAS!$C$57),C253)))</f>
        <v/>
      </c>
      <c r="E254" s="18">
        <v>250</v>
      </c>
      <c r="F254" s="21">
        <f t="shared" ca="1" si="26"/>
        <v>44469</v>
      </c>
      <c r="G254" s="22">
        <f ca="1">IFERROR(VLOOKUP(F254,RESULTADOS!$O$5:$P$543,2,FALSE),VLOOKUP(F254,$B$5:$C$724,2,FALSE))</f>
        <v>0</v>
      </c>
      <c r="H254" s="4">
        <f ca="1">IF(F254&lt;PREMISSAS!$D$7,0,IFERROR(VLOOKUP(IF(LEFT(F254,2)="13",DATE(YEAR(F253),12,31),F254),IPCA!$A$3:$D$284,4,FALSE),1)*G254)</f>
        <v>0</v>
      </c>
      <c r="J254" s="21">
        <f t="shared" ca="1" si="21"/>
        <v>44469</v>
      </c>
      <c r="K254" s="4">
        <f t="shared" ca="1" si="22"/>
        <v>0</v>
      </c>
      <c r="M254" s="21">
        <f t="shared" ca="1" si="27"/>
        <v>44469</v>
      </c>
      <c r="N254" s="37">
        <f t="shared" ca="1" si="23"/>
        <v>0</v>
      </c>
      <c r="O254" s="4">
        <f ca="1">IFERROR(AVERAGEIF(N$5:$N254,"&gt;="&amp;_xlfn.PERCENTILE.EXC(N$5:$N254,0.2)),0)</f>
        <v>0</v>
      </c>
      <c r="Q254" s="21">
        <f t="shared" ca="1" si="24"/>
        <v>44469</v>
      </c>
      <c r="R254" s="4">
        <f ca="1">MIN(O254,PREMISSAS!$C$13)</f>
        <v>0</v>
      </c>
      <c r="S254" s="240"/>
      <c r="T254" s="240"/>
    </row>
    <row r="255" spans="2:20" x14ac:dyDescent="0.25">
      <c r="B255" s="21" t="str">
        <f t="shared" ca="1" si="25"/>
        <v/>
      </c>
      <c r="C255" s="22" t="str">
        <f ca="1">IF(B255="","",IF(LEFT(B255,2)="13",C254,IF(MONTH(B255)=1,C254*(1+PREMISSAS!$C$57),C254)))</f>
        <v/>
      </c>
      <c r="E255" s="18">
        <v>251</v>
      </c>
      <c r="F255" s="21">
        <f t="shared" ca="1" si="26"/>
        <v>44500</v>
      </c>
      <c r="G255" s="22">
        <f ca="1">IFERROR(VLOOKUP(F255,RESULTADOS!$O$5:$P$543,2,FALSE),VLOOKUP(F255,$B$5:$C$724,2,FALSE))</f>
        <v>0</v>
      </c>
      <c r="H255" s="4">
        <f ca="1">IF(F255&lt;PREMISSAS!$D$7,0,IFERROR(VLOOKUP(IF(LEFT(F255,2)="13",DATE(YEAR(F254),12,31),F255),IPCA!$A$3:$D$284,4,FALSE),1)*G255)</f>
        <v>0</v>
      </c>
      <c r="J255" s="21">
        <f t="shared" ca="1" si="21"/>
        <v>44500</v>
      </c>
      <c r="K255" s="4">
        <f t="shared" ca="1" si="22"/>
        <v>0</v>
      </c>
      <c r="M255" s="21">
        <f t="shared" ca="1" si="27"/>
        <v>44500</v>
      </c>
      <c r="N255" s="37">
        <f t="shared" ca="1" si="23"/>
        <v>0</v>
      </c>
      <c r="O255" s="4">
        <f ca="1">IFERROR(AVERAGEIF(N$5:$N255,"&gt;="&amp;_xlfn.PERCENTILE.EXC(N$5:$N255,0.2)),0)</f>
        <v>0</v>
      </c>
      <c r="Q255" s="21">
        <f t="shared" ca="1" si="24"/>
        <v>44500</v>
      </c>
      <c r="R255" s="4">
        <f ca="1">MIN(O255,PREMISSAS!$C$13)</f>
        <v>0</v>
      </c>
      <c r="S255" s="240"/>
      <c r="T255" s="240"/>
    </row>
    <row r="256" spans="2:20" x14ac:dyDescent="0.25">
      <c r="B256" s="21" t="str">
        <f t="shared" ca="1" si="25"/>
        <v/>
      </c>
      <c r="C256" s="22" t="str">
        <f ca="1">IF(B256="","",IF(LEFT(B256,2)="13",C255,IF(MONTH(B256)=1,C255*(1+PREMISSAS!$C$57),C255)))</f>
        <v/>
      </c>
      <c r="E256" s="18">
        <v>252</v>
      </c>
      <c r="F256" s="21">
        <f t="shared" ca="1" si="26"/>
        <v>44530</v>
      </c>
      <c r="G256" s="22">
        <f ca="1">IFERROR(VLOOKUP(F256,RESULTADOS!$O$5:$P$543,2,FALSE),VLOOKUP(F256,$B$5:$C$724,2,FALSE))</f>
        <v>0</v>
      </c>
      <c r="H256" s="4">
        <f ca="1">IF(F256&lt;PREMISSAS!$D$7,0,IFERROR(VLOOKUP(IF(LEFT(F256,2)="13",DATE(YEAR(F255),12,31),F256),IPCA!$A$3:$D$284,4,FALSE),1)*G256)</f>
        <v>0</v>
      </c>
      <c r="J256" s="21">
        <f t="shared" ca="1" si="21"/>
        <v>44530</v>
      </c>
      <c r="K256" s="4">
        <f t="shared" ca="1" si="22"/>
        <v>0</v>
      </c>
      <c r="M256" s="21">
        <f t="shared" ca="1" si="27"/>
        <v>44530</v>
      </c>
      <c r="N256" s="37">
        <f t="shared" ca="1" si="23"/>
        <v>0</v>
      </c>
      <c r="O256" s="4">
        <f ca="1">IFERROR(AVERAGEIF(N$5:$N256,"&gt;="&amp;_xlfn.PERCENTILE.EXC(N$5:$N256,0.2)),0)</f>
        <v>0</v>
      </c>
      <c r="Q256" s="21">
        <f t="shared" ca="1" si="24"/>
        <v>44530</v>
      </c>
      <c r="R256" s="4">
        <f ca="1">MIN(O256,PREMISSAS!$C$13)</f>
        <v>0</v>
      </c>
      <c r="S256" s="240"/>
      <c r="T256" s="240"/>
    </row>
    <row r="257" spans="2:20" x14ac:dyDescent="0.25">
      <c r="B257" s="21" t="str">
        <f t="shared" ca="1" si="25"/>
        <v/>
      </c>
      <c r="C257" s="22" t="str">
        <f ca="1">IF(B257="","",IF(LEFT(B257,2)="13",C256,IF(MONTH(B257)=1,C256*(1+PREMISSAS!$C$57),C256)))</f>
        <v/>
      </c>
      <c r="E257" s="18">
        <v>253</v>
      </c>
      <c r="F257" s="21" t="str">
        <f t="shared" ca="1" si="26"/>
        <v>13º 2021</v>
      </c>
      <c r="G257" s="22">
        <f ca="1">IFERROR(VLOOKUP(F257,RESULTADOS!$O$5:$P$543,2,FALSE),VLOOKUP(F257,$B$5:$C$724,2,FALSE))</f>
        <v>0</v>
      </c>
      <c r="H257" s="4">
        <f ca="1">IF(F257&lt;PREMISSAS!$D$7,0,IFERROR(VLOOKUP(IF(LEFT(F257,2)="13",DATE(YEAR(F256),12,31),F257),IPCA!$A$3:$D$284,4,FALSE),1)*G257)</f>
        <v>0</v>
      </c>
      <c r="J257" s="21" t="str">
        <f t="shared" ca="1" si="21"/>
        <v>13º 2021</v>
      </c>
      <c r="K257" s="4">
        <f t="shared" ca="1" si="22"/>
        <v>0</v>
      </c>
      <c r="M257" s="21" t="str">
        <f t="shared" ca="1" si="27"/>
        <v>13º 2021</v>
      </c>
      <c r="N257" s="37">
        <f t="shared" ca="1" si="23"/>
        <v>0</v>
      </c>
      <c r="O257" s="4">
        <f ca="1">IFERROR(AVERAGEIF(N$5:$N257,"&gt;="&amp;_xlfn.PERCENTILE.EXC(N$5:$N257,0.2)),0)</f>
        <v>0</v>
      </c>
      <c r="Q257" s="21" t="str">
        <f t="shared" ca="1" si="24"/>
        <v>13º 2021</v>
      </c>
      <c r="R257" s="4">
        <f ca="1">MIN(O257,PREMISSAS!$C$13)</f>
        <v>0</v>
      </c>
      <c r="S257" s="240"/>
      <c r="T257" s="240"/>
    </row>
    <row r="258" spans="2:20" x14ac:dyDescent="0.25">
      <c r="B258" s="21" t="str">
        <f t="shared" ca="1" si="25"/>
        <v/>
      </c>
      <c r="C258" s="22" t="str">
        <f ca="1">IF(B258="","",IF(LEFT(B258,2)="13",C257,IF(MONTH(B258)=1,C257*(1+PREMISSAS!$C$57),C257)))</f>
        <v/>
      </c>
      <c r="E258" s="18">
        <v>254</v>
      </c>
      <c r="F258" s="21">
        <f t="shared" ca="1" si="26"/>
        <v>44561</v>
      </c>
      <c r="G258" s="22">
        <f ca="1">IFERROR(VLOOKUP(F258,RESULTADOS!$O$5:$P$543,2,FALSE),VLOOKUP(F258,$B$5:$C$724,2,FALSE))</f>
        <v>0</v>
      </c>
      <c r="H258" s="4">
        <f ca="1">IF(F258&lt;PREMISSAS!$D$7,0,IFERROR(VLOOKUP(IF(LEFT(F258,2)="13",DATE(YEAR(F257),12,31),F258),IPCA!$A$3:$D$284,4,FALSE),1)*G258)</f>
        <v>0</v>
      </c>
      <c r="J258" s="21">
        <f t="shared" ca="1" si="21"/>
        <v>44561</v>
      </c>
      <c r="K258" s="4">
        <f t="shared" ca="1" si="22"/>
        <v>0</v>
      </c>
      <c r="M258" s="21">
        <f t="shared" ca="1" si="27"/>
        <v>44561</v>
      </c>
      <c r="N258" s="37">
        <f t="shared" ca="1" si="23"/>
        <v>0</v>
      </c>
      <c r="O258" s="4">
        <f ca="1">IFERROR(AVERAGEIF(N$5:$N258,"&gt;="&amp;_xlfn.PERCENTILE.EXC(N$5:$N258,0.2)),0)</f>
        <v>0</v>
      </c>
      <c r="Q258" s="21">
        <f t="shared" ca="1" si="24"/>
        <v>44561</v>
      </c>
      <c r="R258" s="4">
        <f ca="1">MIN(O258,PREMISSAS!$C$13)</f>
        <v>0</v>
      </c>
      <c r="S258" s="240"/>
      <c r="T258" s="240"/>
    </row>
    <row r="259" spans="2:20" x14ac:dyDescent="0.25">
      <c r="B259" s="21" t="str">
        <f t="shared" ca="1" si="25"/>
        <v/>
      </c>
      <c r="C259" s="22" t="str">
        <f ca="1">IF(B259="","",IF(LEFT(B259,2)="13",C258,IF(MONTH(B259)=1,C258*(1+PREMISSAS!$C$57),C258)))</f>
        <v/>
      </c>
      <c r="E259" s="18">
        <v>255</v>
      </c>
      <c r="F259" s="21">
        <f t="shared" ca="1" si="26"/>
        <v>44592</v>
      </c>
      <c r="G259" s="22">
        <f ca="1">IFERROR(VLOOKUP(F259,RESULTADOS!$O$5:$P$543,2,FALSE),VLOOKUP(F259,$B$5:$C$724,2,FALSE))</f>
        <v>0</v>
      </c>
      <c r="H259" s="4">
        <f ca="1">IF(F259&lt;PREMISSAS!$D$7,0,IFERROR(VLOOKUP(IF(LEFT(F259,2)="13",DATE(YEAR(F258),12,31),F259),IPCA!$A$3:$D$284,4,FALSE),1)*G259)</f>
        <v>0</v>
      </c>
      <c r="J259" s="21">
        <f t="shared" ca="1" si="21"/>
        <v>44592</v>
      </c>
      <c r="K259" s="4">
        <f t="shared" ca="1" si="22"/>
        <v>0</v>
      </c>
      <c r="M259" s="21">
        <f t="shared" ca="1" si="27"/>
        <v>44592</v>
      </c>
      <c r="N259" s="37">
        <f t="shared" ca="1" si="23"/>
        <v>0</v>
      </c>
      <c r="O259" s="4">
        <f ca="1">IFERROR(AVERAGEIF(N$5:$N259,"&gt;="&amp;_xlfn.PERCENTILE.EXC(N$5:$N259,0.2)),0)</f>
        <v>0</v>
      </c>
      <c r="Q259" s="21">
        <f t="shared" ca="1" si="24"/>
        <v>44592</v>
      </c>
      <c r="R259" s="4">
        <f ca="1">MIN(O259,PREMISSAS!$C$13)</f>
        <v>0</v>
      </c>
      <c r="S259" s="240"/>
      <c r="T259" s="240"/>
    </row>
    <row r="260" spans="2:20" x14ac:dyDescent="0.25">
      <c r="B260" s="21" t="str">
        <f t="shared" ca="1" si="25"/>
        <v/>
      </c>
      <c r="C260" s="22" t="str">
        <f ca="1">IF(B260="","",IF(LEFT(B260,2)="13",C259,IF(MONTH(B260)=1,C259*(1+PREMISSAS!$C$57),C259)))</f>
        <v/>
      </c>
      <c r="E260" s="18">
        <v>256</v>
      </c>
      <c r="F260" s="21">
        <f t="shared" ca="1" si="26"/>
        <v>44620</v>
      </c>
      <c r="G260" s="22">
        <f ca="1">IFERROR(VLOOKUP(F260,RESULTADOS!$O$5:$P$543,2,FALSE),VLOOKUP(F260,$B$5:$C$724,2,FALSE))</f>
        <v>0</v>
      </c>
      <c r="H260" s="4">
        <f ca="1">IF(F260&lt;PREMISSAS!$D$7,0,IFERROR(VLOOKUP(IF(LEFT(F260,2)="13",DATE(YEAR(F259),12,31),F260),IPCA!$A$3:$D$284,4,FALSE),1)*G260)</f>
        <v>0</v>
      </c>
      <c r="J260" s="21">
        <f t="shared" ca="1" si="21"/>
        <v>44620</v>
      </c>
      <c r="K260" s="4">
        <f t="shared" ca="1" si="22"/>
        <v>0</v>
      </c>
      <c r="M260" s="21">
        <f t="shared" ca="1" si="27"/>
        <v>44620</v>
      </c>
      <c r="N260" s="37">
        <f t="shared" ca="1" si="23"/>
        <v>0</v>
      </c>
      <c r="O260" s="4">
        <f ca="1">IFERROR(AVERAGEIF(N$5:$N260,"&gt;="&amp;_xlfn.PERCENTILE.EXC(N$5:$N260,0.2)),0)</f>
        <v>0</v>
      </c>
      <c r="Q260" s="21">
        <f t="shared" ca="1" si="24"/>
        <v>44620</v>
      </c>
      <c r="R260" s="4">
        <f ca="1">MIN(O260,PREMISSAS!$C$13)</f>
        <v>0</v>
      </c>
      <c r="S260" s="240"/>
      <c r="T260" s="240"/>
    </row>
    <row r="261" spans="2:20" x14ac:dyDescent="0.25">
      <c r="B261" s="21" t="str">
        <f t="shared" ca="1" si="25"/>
        <v/>
      </c>
      <c r="C261" s="22" t="str">
        <f ca="1">IF(B261="","",IF(LEFT(B261,2)="13",C260,IF(MONTH(B261)=1,C260*(1+PREMISSAS!$C$57),C260)))</f>
        <v/>
      </c>
      <c r="E261" s="18">
        <v>257</v>
      </c>
      <c r="F261" s="21">
        <f t="shared" ca="1" si="26"/>
        <v>44651</v>
      </c>
      <c r="G261" s="22">
        <f ca="1">IFERROR(VLOOKUP(F261,RESULTADOS!$O$5:$P$543,2,FALSE),VLOOKUP(F261,$B$5:$C$724,2,FALSE))</f>
        <v>0</v>
      </c>
      <c r="H261" s="4">
        <f ca="1">IF(F261&lt;PREMISSAS!$D$7,0,IFERROR(VLOOKUP(IF(LEFT(F261,2)="13",DATE(YEAR(F260),12,31),F261),IPCA!$A$3:$D$284,4,FALSE),1)*G261)</f>
        <v>0</v>
      </c>
      <c r="J261" s="21">
        <f t="shared" ref="J261:J324" ca="1" si="28">F261</f>
        <v>44651</v>
      </c>
      <c r="K261" s="4">
        <f t="shared" ref="K261:K324" ca="1" si="29">G261</f>
        <v>0</v>
      </c>
      <c r="M261" s="21">
        <f t="shared" ca="1" si="27"/>
        <v>44651</v>
      </c>
      <c r="N261" s="37">
        <f t="shared" ca="1" si="23"/>
        <v>0</v>
      </c>
      <c r="O261" s="4">
        <f ca="1">IFERROR(AVERAGEIF(N$5:$N261,"&gt;="&amp;_xlfn.PERCENTILE.EXC(N$5:$N261,0.2)),0)</f>
        <v>0</v>
      </c>
      <c r="Q261" s="21">
        <f t="shared" ca="1" si="24"/>
        <v>44651</v>
      </c>
      <c r="R261" s="4">
        <f ca="1">MIN(O261,PREMISSAS!$C$13)</f>
        <v>0</v>
      </c>
      <c r="S261" s="240"/>
      <c r="T261" s="240"/>
    </row>
    <row r="262" spans="2:20" x14ac:dyDescent="0.25">
      <c r="B262" s="21" t="str">
        <f t="shared" ca="1" si="25"/>
        <v/>
      </c>
      <c r="C262" s="22" t="str">
        <f ca="1">IF(B262="","",IF(LEFT(B262,2)="13",C261,IF(MONTH(B262)=1,C261*(1+PREMISSAS!$C$57),C261)))</f>
        <v/>
      </c>
      <c r="E262" s="18">
        <v>258</v>
      </c>
      <c r="F262" s="21">
        <f t="shared" ca="1" si="26"/>
        <v>44681</v>
      </c>
      <c r="G262" s="22">
        <f ca="1">IFERROR(VLOOKUP(F262,RESULTADOS!$O$5:$P$543,2,FALSE),VLOOKUP(F262,$B$5:$C$724,2,FALSE))</f>
        <v>0</v>
      </c>
      <c r="H262" s="4">
        <f ca="1">IF(F262&lt;PREMISSAS!$D$7,0,IFERROR(VLOOKUP(IF(LEFT(F262,2)="13",DATE(YEAR(F261),12,31),F262),IPCA!$A$3:$D$284,4,FALSE),1)*G262)</f>
        <v>0</v>
      </c>
      <c r="J262" s="21">
        <f t="shared" ca="1" si="28"/>
        <v>44681</v>
      </c>
      <c r="K262" s="4">
        <f t="shared" ca="1" si="29"/>
        <v>0</v>
      </c>
      <c r="M262" s="21">
        <f t="shared" ca="1" si="27"/>
        <v>44681</v>
      </c>
      <c r="N262" s="37">
        <f t="shared" ref="N262:N325" ca="1" si="30">IFERROR(VLOOKUP(M262,$F$5:$H$628,3,FALSE),0)</f>
        <v>0</v>
      </c>
      <c r="O262" s="4">
        <f ca="1">IFERROR(AVERAGEIF(N$5:$N262,"&gt;="&amp;_xlfn.PERCENTILE.EXC(N$5:$N262,0.2)),0)</f>
        <v>0</v>
      </c>
      <c r="Q262" s="21">
        <f t="shared" ref="Q262:Q325" ca="1" si="31">M262</f>
        <v>44681</v>
      </c>
      <c r="R262" s="4">
        <f ca="1">MIN(O262,PREMISSAS!$C$13)</f>
        <v>0</v>
      </c>
      <c r="S262" s="240"/>
      <c r="T262" s="240"/>
    </row>
    <row r="263" spans="2:20" x14ac:dyDescent="0.25">
      <c r="B263" s="21" t="str">
        <f t="shared" ref="B263:B326" ca="1" si="32">IFERROR(IF(LEFT(B262,2)="13",DATE(RIGHT(B262,4),12,31),IF(EOMONTH(B262,0)&gt;$F$1,"",IF(MONTH(B262)=11,"13º "&amp;YEAR(B262),EOMONTH(B262,1)))),"")</f>
        <v/>
      </c>
      <c r="C263" s="22" t="str">
        <f ca="1">IF(B263="","",IF(LEFT(B263,2)="13",C262,IF(MONTH(B263)=1,C262*(1+PREMISSAS!$C$57),C262)))</f>
        <v/>
      </c>
      <c r="E263" s="18">
        <v>259</v>
      </c>
      <c r="F263" s="21">
        <f t="shared" ref="F263:F326" ca="1" si="33">IFERROR(IF(LEFT(F262,2)="13",DATE(RIGHT(F262,4),12,31),IF(EOMONTH(F262,0)&gt;$F$1,"",IF(MONTH(F262)=11,"13º "&amp;YEAR(F262),EOMONTH(F262,1)))),"")</f>
        <v>44712</v>
      </c>
      <c r="G263" s="22">
        <f ca="1">IFERROR(VLOOKUP(F263,RESULTADOS!$O$5:$P$543,2,FALSE),VLOOKUP(F263,$B$5:$C$724,2,FALSE))</f>
        <v>0</v>
      </c>
      <c r="H263" s="4">
        <f ca="1">IF(F263&lt;PREMISSAS!$D$7,0,IFERROR(VLOOKUP(IF(LEFT(F263,2)="13",DATE(YEAR(F262),12,31),F263),IPCA!$A$3:$D$284,4,FALSE),1)*G263)</f>
        <v>0</v>
      </c>
      <c r="J263" s="21">
        <f t="shared" ca="1" si="28"/>
        <v>44712</v>
      </c>
      <c r="K263" s="4">
        <f t="shared" ca="1" si="29"/>
        <v>0</v>
      </c>
      <c r="M263" s="21">
        <f t="shared" ref="M263:M326" ca="1" si="34">IFERROR(IF(LEFT(M262,2)="13",DATE(RIGHT(M262,4),12,31),IF(EOMONTH(M262,0)&gt;$F$1,"",IF(MONTH(M262)=11,"13º "&amp;YEAR(M262),EOMONTH(M262,1)))),"")</f>
        <v>44712</v>
      </c>
      <c r="N263" s="37">
        <f t="shared" ca="1" si="30"/>
        <v>0</v>
      </c>
      <c r="O263" s="4">
        <f ca="1">IFERROR(AVERAGEIF(N$5:$N263,"&gt;="&amp;_xlfn.PERCENTILE.EXC(N$5:$N263,0.2)),0)</f>
        <v>0</v>
      </c>
      <c r="Q263" s="21">
        <f t="shared" ca="1" si="31"/>
        <v>44712</v>
      </c>
      <c r="R263" s="4">
        <f ca="1">MIN(O263,PREMISSAS!$C$13)</f>
        <v>0</v>
      </c>
      <c r="S263" s="240"/>
      <c r="T263" s="240"/>
    </row>
    <row r="264" spans="2:20" x14ac:dyDescent="0.25">
      <c r="B264" s="21" t="str">
        <f t="shared" ca="1" si="32"/>
        <v/>
      </c>
      <c r="C264" s="22" t="str">
        <f ca="1">IF(B264="","",IF(LEFT(B264,2)="13",C263,IF(MONTH(B264)=1,C263*(1+PREMISSAS!$C$57),C263)))</f>
        <v/>
      </c>
      <c r="E264" s="18">
        <v>260</v>
      </c>
      <c r="F264" s="21">
        <f t="shared" ca="1" si="33"/>
        <v>44742</v>
      </c>
      <c r="G264" s="22">
        <f ca="1">IFERROR(VLOOKUP(F264,RESULTADOS!$O$5:$P$543,2,FALSE),VLOOKUP(F264,$B$5:$C$724,2,FALSE))</f>
        <v>0</v>
      </c>
      <c r="H264" s="4">
        <f ca="1">IF(F264&lt;PREMISSAS!$D$7,0,IFERROR(VLOOKUP(IF(LEFT(F264,2)="13",DATE(YEAR(F263),12,31),F264),IPCA!$A$3:$D$284,4,FALSE),1)*G264)</f>
        <v>0</v>
      </c>
      <c r="J264" s="21">
        <f t="shared" ca="1" si="28"/>
        <v>44742</v>
      </c>
      <c r="K264" s="4">
        <f t="shared" ca="1" si="29"/>
        <v>0</v>
      </c>
      <c r="M264" s="21">
        <f t="shared" ca="1" si="34"/>
        <v>44742</v>
      </c>
      <c r="N264" s="37">
        <f t="shared" ca="1" si="30"/>
        <v>0</v>
      </c>
      <c r="O264" s="4">
        <f ca="1">IFERROR(AVERAGEIF(N$5:$N264,"&gt;="&amp;_xlfn.PERCENTILE.EXC(N$5:$N264,0.2)),0)</f>
        <v>0</v>
      </c>
      <c r="Q264" s="21">
        <f t="shared" ca="1" si="31"/>
        <v>44742</v>
      </c>
      <c r="R264" s="4">
        <f ca="1">MIN(O264,PREMISSAS!$C$13)</f>
        <v>0</v>
      </c>
      <c r="S264" s="240"/>
      <c r="T264" s="240"/>
    </row>
    <row r="265" spans="2:20" x14ac:dyDescent="0.25">
      <c r="B265" s="21" t="str">
        <f t="shared" ca="1" si="32"/>
        <v/>
      </c>
      <c r="C265" s="22" t="str">
        <f ca="1">IF(B265="","",IF(LEFT(B265,2)="13",C264,IF(MONTH(B265)=1,C264*(1+PREMISSAS!$C$57),C264)))</f>
        <v/>
      </c>
      <c r="E265" s="18">
        <v>261</v>
      </c>
      <c r="F265" s="21">
        <f t="shared" ca="1" si="33"/>
        <v>44773</v>
      </c>
      <c r="G265" s="22">
        <f ca="1">IFERROR(VLOOKUP(F265,RESULTADOS!$O$5:$P$543,2,FALSE),VLOOKUP(F265,$B$5:$C$724,2,FALSE))</f>
        <v>0</v>
      </c>
      <c r="H265" s="4">
        <f ca="1">IF(F265&lt;PREMISSAS!$D$7,0,IFERROR(VLOOKUP(IF(LEFT(F265,2)="13",DATE(YEAR(F264),12,31),F265),IPCA!$A$3:$D$284,4,FALSE),1)*G265)</f>
        <v>0</v>
      </c>
      <c r="J265" s="21">
        <f t="shared" ca="1" si="28"/>
        <v>44773</v>
      </c>
      <c r="K265" s="4">
        <f t="shared" ca="1" si="29"/>
        <v>0</v>
      </c>
      <c r="M265" s="21">
        <f t="shared" ca="1" si="34"/>
        <v>44773</v>
      </c>
      <c r="N265" s="37">
        <f t="shared" ca="1" si="30"/>
        <v>0</v>
      </c>
      <c r="O265" s="4">
        <f ca="1">IFERROR(AVERAGEIF(N$5:$N265,"&gt;="&amp;_xlfn.PERCENTILE.EXC(N$5:$N265,0.2)),0)</f>
        <v>0</v>
      </c>
      <c r="Q265" s="21">
        <f t="shared" ca="1" si="31"/>
        <v>44773</v>
      </c>
      <c r="R265" s="4">
        <f ca="1">MIN(O265,PREMISSAS!$C$13)</f>
        <v>0</v>
      </c>
      <c r="S265" s="240"/>
      <c r="T265" s="240"/>
    </row>
    <row r="266" spans="2:20" x14ac:dyDescent="0.25">
      <c r="B266" s="21" t="str">
        <f t="shared" ca="1" si="32"/>
        <v/>
      </c>
      <c r="C266" s="22" t="str">
        <f ca="1">IF(B266="","",IF(LEFT(B266,2)="13",C265,IF(MONTH(B266)=1,C265*(1+PREMISSAS!$C$57),C265)))</f>
        <v/>
      </c>
      <c r="E266" s="18">
        <v>262</v>
      </c>
      <c r="F266" s="21">
        <f t="shared" ca="1" si="33"/>
        <v>44804</v>
      </c>
      <c r="G266" s="22">
        <f ca="1">IFERROR(VLOOKUP(F266,RESULTADOS!$O$5:$P$543,2,FALSE),VLOOKUP(F266,$B$5:$C$724,2,FALSE))</f>
        <v>0</v>
      </c>
      <c r="H266" s="4">
        <f ca="1">IF(F266&lt;PREMISSAS!$D$7,0,IFERROR(VLOOKUP(IF(LEFT(F266,2)="13",DATE(YEAR(F265),12,31),F266),IPCA!$A$3:$D$284,4,FALSE),1)*G266)</f>
        <v>0</v>
      </c>
      <c r="J266" s="21">
        <f t="shared" ca="1" si="28"/>
        <v>44804</v>
      </c>
      <c r="K266" s="4">
        <f t="shared" ca="1" si="29"/>
        <v>0</v>
      </c>
      <c r="M266" s="21">
        <f t="shared" ca="1" si="34"/>
        <v>44804</v>
      </c>
      <c r="N266" s="37">
        <f t="shared" ca="1" si="30"/>
        <v>0</v>
      </c>
      <c r="O266" s="4">
        <f ca="1">IFERROR(AVERAGEIF(N$5:$N266,"&gt;="&amp;_xlfn.PERCENTILE.EXC(N$5:$N266,0.2)),0)</f>
        <v>0</v>
      </c>
      <c r="Q266" s="21">
        <f t="shared" ca="1" si="31"/>
        <v>44804</v>
      </c>
      <c r="R266" s="4">
        <f ca="1">MIN(O266,PREMISSAS!$C$13)</f>
        <v>0</v>
      </c>
      <c r="S266" s="240"/>
      <c r="T266" s="240"/>
    </row>
    <row r="267" spans="2:20" x14ac:dyDescent="0.25">
      <c r="B267" s="21" t="str">
        <f t="shared" ca="1" si="32"/>
        <v/>
      </c>
      <c r="C267" s="22" t="str">
        <f ca="1">IF(B267="","",IF(LEFT(B267,2)="13",C266,IF(MONTH(B267)=1,C266*(1+PREMISSAS!$C$57),C266)))</f>
        <v/>
      </c>
      <c r="E267" s="18">
        <v>263</v>
      </c>
      <c r="F267" s="21">
        <f t="shared" ca="1" si="33"/>
        <v>44834</v>
      </c>
      <c r="G267" s="22">
        <f ca="1">IFERROR(VLOOKUP(F267,RESULTADOS!$O$5:$P$543,2,FALSE),VLOOKUP(F267,$B$5:$C$724,2,FALSE))</f>
        <v>0</v>
      </c>
      <c r="H267" s="4">
        <f ca="1">IF(F267&lt;PREMISSAS!$D$7,0,IFERROR(VLOOKUP(IF(LEFT(F267,2)="13",DATE(YEAR(F266),12,31),F267),IPCA!$A$3:$D$284,4,FALSE),1)*G267)</f>
        <v>0</v>
      </c>
      <c r="J267" s="21">
        <f t="shared" ca="1" si="28"/>
        <v>44834</v>
      </c>
      <c r="K267" s="4">
        <f t="shared" ca="1" si="29"/>
        <v>0</v>
      </c>
      <c r="M267" s="21">
        <f t="shared" ca="1" si="34"/>
        <v>44834</v>
      </c>
      <c r="N267" s="37">
        <f t="shared" ca="1" si="30"/>
        <v>0</v>
      </c>
      <c r="O267" s="4">
        <f ca="1">IFERROR(AVERAGEIF(N$5:$N267,"&gt;="&amp;_xlfn.PERCENTILE.EXC(N$5:$N267,0.2)),0)</f>
        <v>0</v>
      </c>
      <c r="Q267" s="21">
        <f t="shared" ca="1" si="31"/>
        <v>44834</v>
      </c>
      <c r="R267" s="4">
        <f ca="1">MIN(O267,PREMISSAS!$C$13)</f>
        <v>0</v>
      </c>
      <c r="S267" s="240"/>
      <c r="T267" s="240"/>
    </row>
    <row r="268" spans="2:20" x14ac:dyDescent="0.25">
      <c r="B268" s="21" t="str">
        <f t="shared" ca="1" si="32"/>
        <v/>
      </c>
      <c r="C268" s="22" t="str">
        <f ca="1">IF(B268="","",IF(LEFT(B268,2)="13",C267,IF(MONTH(B268)=1,C267*(1+PREMISSAS!$C$57),C267)))</f>
        <v/>
      </c>
      <c r="E268" s="18">
        <v>264</v>
      </c>
      <c r="F268" s="21">
        <f t="shared" ca="1" si="33"/>
        <v>44865</v>
      </c>
      <c r="G268" s="22">
        <f ca="1">IFERROR(VLOOKUP(F268,RESULTADOS!$O$5:$P$543,2,FALSE),VLOOKUP(F268,$B$5:$C$724,2,FALSE))</f>
        <v>0</v>
      </c>
      <c r="H268" s="4">
        <f ca="1">IF(F268&lt;PREMISSAS!$D$7,0,IFERROR(VLOOKUP(IF(LEFT(F268,2)="13",DATE(YEAR(F267),12,31),F268),IPCA!$A$3:$D$284,4,FALSE),1)*G268)</f>
        <v>0</v>
      </c>
      <c r="J268" s="21">
        <f t="shared" ca="1" si="28"/>
        <v>44865</v>
      </c>
      <c r="K268" s="4">
        <f t="shared" ca="1" si="29"/>
        <v>0</v>
      </c>
      <c r="M268" s="21">
        <f t="shared" ca="1" si="34"/>
        <v>44865</v>
      </c>
      <c r="N268" s="37">
        <f t="shared" ca="1" si="30"/>
        <v>0</v>
      </c>
      <c r="O268" s="4">
        <f ca="1">IFERROR(AVERAGEIF(N$5:$N268,"&gt;="&amp;_xlfn.PERCENTILE.EXC(N$5:$N268,0.2)),0)</f>
        <v>0</v>
      </c>
      <c r="Q268" s="21">
        <f t="shared" ca="1" si="31"/>
        <v>44865</v>
      </c>
      <c r="R268" s="4">
        <f ca="1">MIN(O268,PREMISSAS!$C$13)</f>
        <v>0</v>
      </c>
      <c r="S268" s="240"/>
      <c r="T268" s="240"/>
    </row>
    <row r="269" spans="2:20" x14ac:dyDescent="0.25">
      <c r="B269" s="21" t="str">
        <f t="shared" ca="1" si="32"/>
        <v/>
      </c>
      <c r="C269" s="22" t="str">
        <f ca="1">IF(B269="","",IF(LEFT(B269,2)="13",C268,IF(MONTH(B269)=1,C268*(1+PREMISSAS!$C$57),C268)))</f>
        <v/>
      </c>
      <c r="E269" s="18">
        <v>265</v>
      </c>
      <c r="F269" s="21">
        <f t="shared" ca="1" si="33"/>
        <v>44895</v>
      </c>
      <c r="G269" s="22">
        <f ca="1">IFERROR(VLOOKUP(F269,RESULTADOS!$O$5:$P$543,2,FALSE),VLOOKUP(F269,$B$5:$C$724,2,FALSE))</f>
        <v>0</v>
      </c>
      <c r="H269" s="4">
        <f ca="1">IF(F269&lt;PREMISSAS!$D$7,0,IFERROR(VLOOKUP(IF(LEFT(F269,2)="13",DATE(YEAR(F268),12,31),F269),IPCA!$A$3:$D$284,4,FALSE),1)*G269)</f>
        <v>0</v>
      </c>
      <c r="J269" s="21">
        <f t="shared" ca="1" si="28"/>
        <v>44895</v>
      </c>
      <c r="K269" s="4">
        <f t="shared" ca="1" si="29"/>
        <v>0</v>
      </c>
      <c r="M269" s="21">
        <f t="shared" ca="1" si="34"/>
        <v>44895</v>
      </c>
      <c r="N269" s="37">
        <f t="shared" ca="1" si="30"/>
        <v>0</v>
      </c>
      <c r="O269" s="4">
        <f ca="1">IFERROR(AVERAGEIF(N$5:$N269,"&gt;="&amp;_xlfn.PERCENTILE.EXC(N$5:$N269,0.2)),0)</f>
        <v>0</v>
      </c>
      <c r="Q269" s="21">
        <f t="shared" ca="1" si="31"/>
        <v>44895</v>
      </c>
      <c r="R269" s="4">
        <f ca="1">MIN(O269,PREMISSAS!$C$13)</f>
        <v>0</v>
      </c>
      <c r="S269" s="240"/>
      <c r="T269" s="240"/>
    </row>
    <row r="270" spans="2:20" x14ac:dyDescent="0.25">
      <c r="B270" s="21" t="str">
        <f t="shared" ca="1" si="32"/>
        <v/>
      </c>
      <c r="C270" s="22" t="str">
        <f ca="1">IF(B270="","",IF(LEFT(B270,2)="13",C269,IF(MONTH(B270)=1,C269*(1+PREMISSAS!$C$57),C269)))</f>
        <v/>
      </c>
      <c r="E270" s="18">
        <v>266</v>
      </c>
      <c r="F270" s="21" t="str">
        <f t="shared" ca="1" si="33"/>
        <v>13º 2022</v>
      </c>
      <c r="G270" s="22">
        <f ca="1">IFERROR(VLOOKUP(F270,RESULTADOS!$O$5:$P$543,2,FALSE),VLOOKUP(F270,$B$5:$C$724,2,FALSE))</f>
        <v>0</v>
      </c>
      <c r="H270" s="4">
        <f ca="1">IF(F270&lt;PREMISSAS!$D$7,0,IFERROR(VLOOKUP(IF(LEFT(F270,2)="13",DATE(YEAR(F269),12,31),F270),IPCA!$A$3:$D$284,4,FALSE),1)*G270)</f>
        <v>0</v>
      </c>
      <c r="J270" s="21" t="str">
        <f t="shared" ca="1" si="28"/>
        <v>13º 2022</v>
      </c>
      <c r="K270" s="4">
        <f t="shared" ca="1" si="29"/>
        <v>0</v>
      </c>
      <c r="M270" s="21" t="str">
        <f t="shared" ca="1" si="34"/>
        <v>13º 2022</v>
      </c>
      <c r="N270" s="37">
        <f t="shared" ca="1" si="30"/>
        <v>0</v>
      </c>
      <c r="O270" s="4">
        <f ca="1">IFERROR(AVERAGEIF(N$5:$N270,"&gt;="&amp;_xlfn.PERCENTILE.EXC(N$5:$N270,0.2)),0)</f>
        <v>0</v>
      </c>
      <c r="Q270" s="21" t="str">
        <f t="shared" ca="1" si="31"/>
        <v>13º 2022</v>
      </c>
      <c r="R270" s="4">
        <f ca="1">MIN(O270,PREMISSAS!$C$13)</f>
        <v>0</v>
      </c>
      <c r="S270" s="240"/>
      <c r="T270" s="240"/>
    </row>
    <row r="271" spans="2:20" x14ac:dyDescent="0.25">
      <c r="B271" s="21" t="str">
        <f t="shared" ca="1" si="32"/>
        <v/>
      </c>
      <c r="C271" s="22" t="str">
        <f ca="1">IF(B271="","",IF(LEFT(B271,2)="13",C270,IF(MONTH(B271)=1,C270*(1+PREMISSAS!$C$57),C270)))</f>
        <v/>
      </c>
      <c r="E271" s="18">
        <v>267</v>
      </c>
      <c r="F271" s="21">
        <f t="shared" ca="1" si="33"/>
        <v>44926</v>
      </c>
      <c r="G271" s="22">
        <f ca="1">IFERROR(VLOOKUP(F271,RESULTADOS!$O$5:$P$543,2,FALSE),VLOOKUP(F271,$B$5:$C$724,2,FALSE))</f>
        <v>0</v>
      </c>
      <c r="H271" s="4">
        <f ca="1">IF(F271&lt;PREMISSAS!$D$7,0,IFERROR(VLOOKUP(IF(LEFT(F271,2)="13",DATE(YEAR(F270),12,31),F271),IPCA!$A$3:$D$284,4,FALSE),1)*G271)</f>
        <v>0</v>
      </c>
      <c r="J271" s="21">
        <f t="shared" ca="1" si="28"/>
        <v>44926</v>
      </c>
      <c r="K271" s="4">
        <f t="shared" ca="1" si="29"/>
        <v>0</v>
      </c>
      <c r="M271" s="21">
        <f t="shared" ca="1" si="34"/>
        <v>44926</v>
      </c>
      <c r="N271" s="37">
        <f t="shared" ca="1" si="30"/>
        <v>0</v>
      </c>
      <c r="O271" s="4">
        <f ca="1">IFERROR(AVERAGEIF(N$5:$N271,"&gt;="&amp;_xlfn.PERCENTILE.EXC(N$5:$N271,0.2)),0)</f>
        <v>0</v>
      </c>
      <c r="Q271" s="21">
        <f t="shared" ca="1" si="31"/>
        <v>44926</v>
      </c>
      <c r="R271" s="4">
        <f ca="1">MIN(O271,PREMISSAS!$C$13)</f>
        <v>0</v>
      </c>
      <c r="S271" s="240"/>
      <c r="T271" s="240"/>
    </row>
    <row r="272" spans="2:20" x14ac:dyDescent="0.25">
      <c r="B272" s="21" t="str">
        <f t="shared" ca="1" si="32"/>
        <v/>
      </c>
      <c r="C272" s="22" t="str">
        <f ca="1">IF(B272="","",IF(LEFT(B272,2)="13",C271,IF(MONTH(B272)=1,C271*(1+PREMISSAS!$C$57),C271)))</f>
        <v/>
      </c>
      <c r="E272" s="18">
        <v>268</v>
      </c>
      <c r="F272" s="21">
        <f t="shared" ca="1" si="33"/>
        <v>44957</v>
      </c>
      <c r="G272" s="22">
        <f ca="1">IFERROR(VLOOKUP(F272,RESULTADOS!$O$5:$P$543,2,FALSE),VLOOKUP(F272,$B$5:$C$724,2,FALSE))</f>
        <v>0</v>
      </c>
      <c r="H272" s="4">
        <f ca="1">IF(F272&lt;PREMISSAS!$D$7,0,IFERROR(VLOOKUP(IF(LEFT(F272,2)="13",DATE(YEAR(F271),12,31),F272),IPCA!$A$3:$D$284,4,FALSE),1)*G272)</f>
        <v>0</v>
      </c>
      <c r="J272" s="21">
        <f t="shared" ca="1" si="28"/>
        <v>44957</v>
      </c>
      <c r="K272" s="4">
        <f t="shared" ca="1" si="29"/>
        <v>0</v>
      </c>
      <c r="M272" s="21">
        <f t="shared" ca="1" si="34"/>
        <v>44957</v>
      </c>
      <c r="N272" s="37">
        <f t="shared" ca="1" si="30"/>
        <v>0</v>
      </c>
      <c r="O272" s="4">
        <f ca="1">IFERROR(AVERAGEIF(N$5:$N272,"&gt;="&amp;_xlfn.PERCENTILE.EXC(N$5:$N272,0.2)),0)</f>
        <v>0</v>
      </c>
      <c r="Q272" s="21">
        <f t="shared" ca="1" si="31"/>
        <v>44957</v>
      </c>
      <c r="R272" s="4">
        <f ca="1">MIN(O272,PREMISSAS!$C$13)</f>
        <v>0</v>
      </c>
      <c r="S272" s="240"/>
      <c r="T272" s="240"/>
    </row>
    <row r="273" spans="2:20" x14ac:dyDescent="0.25">
      <c r="B273" s="21" t="str">
        <f t="shared" ca="1" si="32"/>
        <v/>
      </c>
      <c r="C273" s="22" t="str">
        <f ca="1">IF(B273="","",IF(LEFT(B273,2)="13",C272,IF(MONTH(B273)=1,C272*(1+PREMISSAS!$C$57),C272)))</f>
        <v/>
      </c>
      <c r="E273" s="18">
        <v>269</v>
      </c>
      <c r="F273" s="21">
        <f t="shared" ca="1" si="33"/>
        <v>44985</v>
      </c>
      <c r="G273" s="22">
        <f ca="1">IFERROR(VLOOKUP(F273,RESULTADOS!$O$5:$P$543,2,FALSE),VLOOKUP(F273,$B$5:$C$724,2,FALSE))</f>
        <v>0</v>
      </c>
      <c r="H273" s="4">
        <f ca="1">IF(F273&lt;PREMISSAS!$D$7,0,IFERROR(VLOOKUP(IF(LEFT(F273,2)="13",DATE(YEAR(F272),12,31),F273),IPCA!$A$3:$D$284,4,FALSE),1)*G273)</f>
        <v>0</v>
      </c>
      <c r="J273" s="21">
        <f t="shared" ca="1" si="28"/>
        <v>44985</v>
      </c>
      <c r="K273" s="4">
        <f t="shared" ca="1" si="29"/>
        <v>0</v>
      </c>
      <c r="M273" s="21">
        <f t="shared" ca="1" si="34"/>
        <v>44985</v>
      </c>
      <c r="N273" s="37">
        <f t="shared" ca="1" si="30"/>
        <v>0</v>
      </c>
      <c r="O273" s="4">
        <f ca="1">IFERROR(AVERAGEIF(N$5:$N273,"&gt;="&amp;_xlfn.PERCENTILE.EXC(N$5:$N273,0.2)),0)</f>
        <v>0</v>
      </c>
      <c r="Q273" s="21">
        <f t="shared" ca="1" si="31"/>
        <v>44985</v>
      </c>
      <c r="R273" s="4">
        <f ca="1">MIN(O273,PREMISSAS!$C$13)</f>
        <v>0</v>
      </c>
      <c r="S273" s="240"/>
      <c r="T273" s="240"/>
    </row>
    <row r="274" spans="2:20" x14ac:dyDescent="0.25">
      <c r="B274" s="21" t="str">
        <f t="shared" ca="1" si="32"/>
        <v/>
      </c>
      <c r="C274" s="22" t="str">
        <f ca="1">IF(B274="","",IF(LEFT(B274,2)="13",C273,IF(MONTH(B274)=1,C273*(1+PREMISSAS!$C$57),C273)))</f>
        <v/>
      </c>
      <c r="E274" s="18">
        <v>270</v>
      </c>
      <c r="F274" s="21">
        <f t="shared" ca="1" si="33"/>
        <v>45016</v>
      </c>
      <c r="G274" s="22">
        <f ca="1">IFERROR(VLOOKUP(F274,RESULTADOS!$O$5:$P$543,2,FALSE),VLOOKUP(F274,$B$5:$C$724,2,FALSE))</f>
        <v>0</v>
      </c>
      <c r="H274" s="4">
        <f ca="1">IF(F274&lt;PREMISSAS!$D$7,0,IFERROR(VLOOKUP(IF(LEFT(F274,2)="13",DATE(YEAR(F273),12,31),F274),IPCA!$A$3:$D$284,4,FALSE),1)*G274)</f>
        <v>0</v>
      </c>
      <c r="J274" s="21">
        <f t="shared" ca="1" si="28"/>
        <v>45016</v>
      </c>
      <c r="K274" s="4">
        <f t="shared" ca="1" si="29"/>
        <v>0</v>
      </c>
      <c r="M274" s="21">
        <f t="shared" ca="1" si="34"/>
        <v>45016</v>
      </c>
      <c r="N274" s="37">
        <f t="shared" ca="1" si="30"/>
        <v>0</v>
      </c>
      <c r="O274" s="4">
        <f ca="1">IFERROR(AVERAGEIF(N$5:$N274,"&gt;="&amp;_xlfn.PERCENTILE.EXC(N$5:$N274,0.2)),0)</f>
        <v>0</v>
      </c>
      <c r="Q274" s="21">
        <f t="shared" ca="1" si="31"/>
        <v>45016</v>
      </c>
      <c r="R274" s="4">
        <f ca="1">MIN(O274,PREMISSAS!$C$13)</f>
        <v>0</v>
      </c>
      <c r="S274" s="240"/>
      <c r="T274" s="240"/>
    </row>
    <row r="275" spans="2:20" x14ac:dyDescent="0.25">
      <c r="B275" s="21" t="str">
        <f t="shared" ca="1" si="32"/>
        <v/>
      </c>
      <c r="C275" s="22" t="str">
        <f ca="1">IF(B275="","",IF(LEFT(B275,2)="13",C274,IF(MONTH(B275)=1,C274*(1+PREMISSAS!$C$57),C274)))</f>
        <v/>
      </c>
      <c r="E275" s="18">
        <v>271</v>
      </c>
      <c r="F275" s="21">
        <f t="shared" ca="1" si="33"/>
        <v>45046</v>
      </c>
      <c r="G275" s="22">
        <f ca="1">IFERROR(VLOOKUP(F275,RESULTADOS!$O$5:$P$543,2,FALSE),VLOOKUP(F275,$B$5:$C$724,2,FALSE))</f>
        <v>0</v>
      </c>
      <c r="H275" s="4">
        <f ca="1">IF(F275&lt;PREMISSAS!$D$7,0,IFERROR(VLOOKUP(IF(LEFT(F275,2)="13",DATE(YEAR(F274),12,31),F275),IPCA!$A$3:$D$284,4,FALSE),1)*G275)</f>
        <v>0</v>
      </c>
      <c r="J275" s="21">
        <f t="shared" ca="1" si="28"/>
        <v>45046</v>
      </c>
      <c r="K275" s="4">
        <f t="shared" ca="1" si="29"/>
        <v>0</v>
      </c>
      <c r="M275" s="21">
        <f t="shared" ca="1" si="34"/>
        <v>45046</v>
      </c>
      <c r="N275" s="37">
        <f t="shared" ca="1" si="30"/>
        <v>0</v>
      </c>
      <c r="O275" s="4">
        <f ca="1">IFERROR(AVERAGEIF(N$5:$N275,"&gt;="&amp;_xlfn.PERCENTILE.EXC(N$5:$N275,0.2)),0)</f>
        <v>0</v>
      </c>
      <c r="Q275" s="21">
        <f t="shared" ca="1" si="31"/>
        <v>45046</v>
      </c>
      <c r="R275" s="4">
        <f ca="1">MIN(O275,PREMISSAS!$C$13)</f>
        <v>0</v>
      </c>
      <c r="S275" s="240"/>
      <c r="T275" s="240"/>
    </row>
    <row r="276" spans="2:20" x14ac:dyDescent="0.25">
      <c r="B276" s="21" t="str">
        <f t="shared" ca="1" si="32"/>
        <v/>
      </c>
      <c r="C276" s="22" t="str">
        <f ca="1">IF(B276="","",IF(LEFT(B276,2)="13",C275,IF(MONTH(B276)=1,C275*(1+PREMISSAS!$C$57),C275)))</f>
        <v/>
      </c>
      <c r="E276" s="18">
        <v>272</v>
      </c>
      <c r="F276" s="21">
        <f t="shared" ca="1" si="33"/>
        <v>45077</v>
      </c>
      <c r="G276" s="22">
        <f ca="1">IFERROR(VLOOKUP(F276,RESULTADOS!$O$5:$P$543,2,FALSE),VLOOKUP(F276,$B$5:$C$724,2,FALSE))</f>
        <v>0</v>
      </c>
      <c r="H276" s="4">
        <f ca="1">IF(F276&lt;PREMISSAS!$D$7,0,IFERROR(VLOOKUP(IF(LEFT(F276,2)="13",DATE(YEAR(F275),12,31),F276),IPCA!$A$3:$D$284,4,FALSE),1)*G276)</f>
        <v>0</v>
      </c>
      <c r="J276" s="21">
        <f t="shared" ca="1" si="28"/>
        <v>45077</v>
      </c>
      <c r="K276" s="4">
        <f t="shared" ca="1" si="29"/>
        <v>0</v>
      </c>
      <c r="M276" s="21">
        <f t="shared" ca="1" si="34"/>
        <v>45077</v>
      </c>
      <c r="N276" s="37">
        <f t="shared" ca="1" si="30"/>
        <v>0</v>
      </c>
      <c r="O276" s="4">
        <f ca="1">IFERROR(AVERAGEIF(N$5:$N276,"&gt;="&amp;_xlfn.PERCENTILE.EXC(N$5:$N276,0.2)),0)</f>
        <v>0</v>
      </c>
      <c r="Q276" s="21">
        <f t="shared" ca="1" si="31"/>
        <v>45077</v>
      </c>
      <c r="R276" s="4">
        <f ca="1">MIN(O276,PREMISSAS!$C$13)</f>
        <v>0</v>
      </c>
      <c r="S276" s="240"/>
      <c r="T276" s="240"/>
    </row>
    <row r="277" spans="2:20" x14ac:dyDescent="0.25">
      <c r="B277" s="21" t="str">
        <f t="shared" ca="1" si="32"/>
        <v/>
      </c>
      <c r="C277" s="22" t="str">
        <f ca="1">IF(B277="","",IF(LEFT(B277,2)="13",C276,IF(MONTH(B277)=1,C276*(1+PREMISSAS!$C$57),C276)))</f>
        <v/>
      </c>
      <c r="E277" s="18">
        <v>273</v>
      </c>
      <c r="F277" s="21">
        <f t="shared" ca="1" si="33"/>
        <v>45107</v>
      </c>
      <c r="G277" s="22">
        <f ca="1">IFERROR(VLOOKUP(F277,RESULTADOS!$O$5:$P$543,2,FALSE),VLOOKUP(F277,$B$5:$C$724,2,FALSE))</f>
        <v>0</v>
      </c>
      <c r="H277" s="4">
        <f ca="1">IF(F277&lt;PREMISSAS!$D$7,0,IFERROR(VLOOKUP(IF(LEFT(F277,2)="13",DATE(YEAR(F276),12,31),F277),IPCA!$A$3:$D$284,4,FALSE),1)*G277)</f>
        <v>0</v>
      </c>
      <c r="J277" s="21">
        <f t="shared" ca="1" si="28"/>
        <v>45107</v>
      </c>
      <c r="K277" s="4">
        <f t="shared" ca="1" si="29"/>
        <v>0</v>
      </c>
      <c r="M277" s="21">
        <f t="shared" ca="1" si="34"/>
        <v>45107</v>
      </c>
      <c r="N277" s="37">
        <f t="shared" ca="1" si="30"/>
        <v>0</v>
      </c>
      <c r="O277" s="4">
        <f ca="1">IFERROR(AVERAGEIF(N$5:$N277,"&gt;="&amp;_xlfn.PERCENTILE.EXC(N$5:$N277,0.2)),0)</f>
        <v>0</v>
      </c>
      <c r="Q277" s="21">
        <f t="shared" ca="1" si="31"/>
        <v>45107</v>
      </c>
      <c r="R277" s="4">
        <f ca="1">MIN(O277,PREMISSAS!$C$13)</f>
        <v>0</v>
      </c>
      <c r="S277" s="240"/>
      <c r="T277" s="240"/>
    </row>
    <row r="278" spans="2:20" x14ac:dyDescent="0.25">
      <c r="B278" s="21" t="str">
        <f t="shared" ca="1" si="32"/>
        <v/>
      </c>
      <c r="C278" s="22" t="str">
        <f ca="1">IF(B278="","",IF(LEFT(B278,2)="13",C277,IF(MONTH(B278)=1,C277*(1+PREMISSAS!$C$57),C277)))</f>
        <v/>
      </c>
      <c r="E278" s="18">
        <v>274</v>
      </c>
      <c r="F278" s="21">
        <f t="shared" ca="1" si="33"/>
        <v>45138</v>
      </c>
      <c r="G278" s="22">
        <f ca="1">IFERROR(VLOOKUP(F278,RESULTADOS!$O$5:$P$543,2,FALSE),VLOOKUP(F278,$B$5:$C$724,2,FALSE))</f>
        <v>0</v>
      </c>
      <c r="H278" s="4">
        <f ca="1">IF(F278&lt;PREMISSAS!$D$7,0,IFERROR(VLOOKUP(IF(LEFT(F278,2)="13",DATE(YEAR(F277),12,31),F278),IPCA!$A$3:$D$284,4,FALSE),1)*G278)</f>
        <v>0</v>
      </c>
      <c r="J278" s="21">
        <f t="shared" ca="1" si="28"/>
        <v>45138</v>
      </c>
      <c r="K278" s="4">
        <f t="shared" ca="1" si="29"/>
        <v>0</v>
      </c>
      <c r="M278" s="21">
        <f t="shared" ca="1" si="34"/>
        <v>45138</v>
      </c>
      <c r="N278" s="37">
        <f t="shared" ca="1" si="30"/>
        <v>0</v>
      </c>
      <c r="O278" s="4">
        <f ca="1">IFERROR(AVERAGEIF(N$5:$N278,"&gt;="&amp;_xlfn.PERCENTILE.EXC(N$5:$N278,0.2)),0)</f>
        <v>0</v>
      </c>
      <c r="Q278" s="21">
        <f t="shared" ca="1" si="31"/>
        <v>45138</v>
      </c>
      <c r="R278" s="4">
        <f ca="1">MIN(O278,PREMISSAS!$C$13)</f>
        <v>0</v>
      </c>
      <c r="S278" s="240"/>
      <c r="T278" s="240"/>
    </row>
    <row r="279" spans="2:20" x14ac:dyDescent="0.25">
      <c r="B279" s="21" t="str">
        <f t="shared" ca="1" si="32"/>
        <v/>
      </c>
      <c r="C279" s="22" t="str">
        <f ca="1">IF(B279="","",IF(LEFT(B279,2)="13",C278,IF(MONTH(B279)=1,C278*(1+PREMISSAS!$C$57),C278)))</f>
        <v/>
      </c>
      <c r="E279" s="18">
        <v>275</v>
      </c>
      <c r="F279" s="21">
        <f t="shared" ca="1" si="33"/>
        <v>45169</v>
      </c>
      <c r="G279" s="22">
        <f ca="1">IFERROR(VLOOKUP(F279,RESULTADOS!$O$5:$P$543,2,FALSE),VLOOKUP(F279,$B$5:$C$724,2,FALSE))</f>
        <v>0</v>
      </c>
      <c r="H279" s="4">
        <f ca="1">IF(F279&lt;PREMISSAS!$D$7,0,IFERROR(VLOOKUP(IF(LEFT(F279,2)="13",DATE(YEAR(F278),12,31),F279),IPCA!$A$3:$D$284,4,FALSE),1)*G279)</f>
        <v>0</v>
      </c>
      <c r="J279" s="21">
        <f t="shared" ca="1" si="28"/>
        <v>45169</v>
      </c>
      <c r="K279" s="4">
        <f t="shared" ca="1" si="29"/>
        <v>0</v>
      </c>
      <c r="M279" s="21">
        <f t="shared" ca="1" si="34"/>
        <v>45169</v>
      </c>
      <c r="N279" s="37">
        <f t="shared" ca="1" si="30"/>
        <v>0</v>
      </c>
      <c r="O279" s="4">
        <f ca="1">IFERROR(AVERAGEIF(N$5:$N279,"&gt;="&amp;_xlfn.PERCENTILE.EXC(N$5:$N279,0.2)),0)</f>
        <v>0</v>
      </c>
      <c r="Q279" s="21">
        <f t="shared" ca="1" si="31"/>
        <v>45169</v>
      </c>
      <c r="R279" s="4">
        <f ca="1">MIN(O279,PREMISSAS!$C$13)</f>
        <v>0</v>
      </c>
      <c r="S279" s="240"/>
      <c r="T279" s="240"/>
    </row>
    <row r="280" spans="2:20" x14ac:dyDescent="0.25">
      <c r="B280" s="21" t="str">
        <f t="shared" ca="1" si="32"/>
        <v/>
      </c>
      <c r="C280" s="22" t="str">
        <f ca="1">IF(B280="","",IF(LEFT(B280,2)="13",C279,IF(MONTH(B280)=1,C279*(1+PREMISSAS!$C$57),C279)))</f>
        <v/>
      </c>
      <c r="E280" s="18">
        <v>276</v>
      </c>
      <c r="F280" s="21">
        <f t="shared" ca="1" si="33"/>
        <v>45199</v>
      </c>
      <c r="G280" s="22">
        <f ca="1">IFERROR(VLOOKUP(F280,RESULTADOS!$O$5:$P$543,2,FALSE),VLOOKUP(F280,$B$5:$C$724,2,FALSE))</f>
        <v>0</v>
      </c>
      <c r="H280" s="4">
        <f ca="1">IF(F280&lt;PREMISSAS!$D$7,0,IFERROR(VLOOKUP(IF(LEFT(F280,2)="13",DATE(YEAR(F279),12,31),F280),IPCA!$A$3:$D$284,4,FALSE),1)*G280)</f>
        <v>0</v>
      </c>
      <c r="J280" s="21">
        <f t="shared" ca="1" si="28"/>
        <v>45199</v>
      </c>
      <c r="K280" s="4">
        <f t="shared" ca="1" si="29"/>
        <v>0</v>
      </c>
      <c r="M280" s="21">
        <f t="shared" ca="1" si="34"/>
        <v>45199</v>
      </c>
      <c r="N280" s="37">
        <f t="shared" ca="1" si="30"/>
        <v>0</v>
      </c>
      <c r="O280" s="4">
        <f ca="1">IFERROR(AVERAGEIF(N$5:$N280,"&gt;="&amp;_xlfn.PERCENTILE.EXC(N$5:$N280,0.2)),0)</f>
        <v>0</v>
      </c>
      <c r="Q280" s="21">
        <f t="shared" ca="1" si="31"/>
        <v>45199</v>
      </c>
      <c r="R280" s="4">
        <f ca="1">MIN(O280,PREMISSAS!$C$13)</f>
        <v>0</v>
      </c>
      <c r="S280" s="240"/>
      <c r="T280" s="240"/>
    </row>
    <row r="281" spans="2:20" x14ac:dyDescent="0.25">
      <c r="B281" s="21" t="str">
        <f t="shared" ca="1" si="32"/>
        <v/>
      </c>
      <c r="C281" s="22" t="str">
        <f ca="1">IF(B281="","",IF(LEFT(B281,2)="13",C280,IF(MONTH(B281)=1,C280*(1+PREMISSAS!$C$57),C280)))</f>
        <v/>
      </c>
      <c r="E281" s="18">
        <v>277</v>
      </c>
      <c r="F281" s="21">
        <f t="shared" ca="1" si="33"/>
        <v>45230</v>
      </c>
      <c r="G281" s="22">
        <f ca="1">IFERROR(VLOOKUP(F281,RESULTADOS!$O$5:$P$543,2,FALSE),VLOOKUP(F281,$B$5:$C$724,2,FALSE))</f>
        <v>0</v>
      </c>
      <c r="H281" s="4">
        <f ca="1">IF(F281&lt;PREMISSAS!$D$7,0,IFERROR(VLOOKUP(IF(LEFT(F281,2)="13",DATE(YEAR(F280),12,31),F281),IPCA!$A$3:$D$284,4,FALSE),1)*G281)</f>
        <v>0</v>
      </c>
      <c r="J281" s="21">
        <f t="shared" ca="1" si="28"/>
        <v>45230</v>
      </c>
      <c r="K281" s="4">
        <f t="shared" ca="1" si="29"/>
        <v>0</v>
      </c>
      <c r="M281" s="21">
        <f t="shared" ca="1" si="34"/>
        <v>45230</v>
      </c>
      <c r="N281" s="37">
        <f t="shared" ca="1" si="30"/>
        <v>0</v>
      </c>
      <c r="O281" s="4">
        <f ca="1">IFERROR(AVERAGEIF(N$5:$N281,"&gt;="&amp;_xlfn.PERCENTILE.EXC(N$5:$N281,0.2)),0)</f>
        <v>0</v>
      </c>
      <c r="Q281" s="21">
        <f t="shared" ca="1" si="31"/>
        <v>45230</v>
      </c>
      <c r="R281" s="4">
        <f ca="1">MIN(O281,PREMISSAS!$C$13)</f>
        <v>0</v>
      </c>
      <c r="S281" s="240"/>
      <c r="T281" s="240"/>
    </row>
    <row r="282" spans="2:20" x14ac:dyDescent="0.25">
      <c r="B282" s="21" t="str">
        <f t="shared" ca="1" si="32"/>
        <v/>
      </c>
      <c r="C282" s="22" t="str">
        <f ca="1">IF(B282="","",IF(LEFT(B282,2)="13",C281,IF(MONTH(B282)=1,C281*(1+PREMISSAS!$C$57),C281)))</f>
        <v/>
      </c>
      <c r="E282" s="18">
        <v>278</v>
      </c>
      <c r="F282" s="21">
        <f t="shared" ca="1" si="33"/>
        <v>45260</v>
      </c>
      <c r="G282" s="22">
        <f ca="1">IFERROR(VLOOKUP(F282,RESULTADOS!$O$5:$P$543,2,FALSE),VLOOKUP(F282,$B$5:$C$724,2,FALSE))</f>
        <v>0</v>
      </c>
      <c r="H282" s="4">
        <f ca="1">IF(F282&lt;PREMISSAS!$D$7,0,IFERROR(VLOOKUP(IF(LEFT(F282,2)="13",DATE(YEAR(F281),12,31),F282),IPCA!$A$3:$D$284,4,FALSE),1)*G282)</f>
        <v>0</v>
      </c>
      <c r="J282" s="21">
        <f t="shared" ca="1" si="28"/>
        <v>45260</v>
      </c>
      <c r="K282" s="4">
        <f t="shared" ca="1" si="29"/>
        <v>0</v>
      </c>
      <c r="M282" s="21">
        <f t="shared" ca="1" si="34"/>
        <v>45260</v>
      </c>
      <c r="N282" s="37">
        <f t="shared" ca="1" si="30"/>
        <v>0</v>
      </c>
      <c r="O282" s="4">
        <f ca="1">IFERROR(AVERAGEIF(N$5:$N282,"&gt;="&amp;_xlfn.PERCENTILE.EXC(N$5:$N282,0.2)),0)</f>
        <v>0</v>
      </c>
      <c r="Q282" s="21">
        <f t="shared" ca="1" si="31"/>
        <v>45260</v>
      </c>
      <c r="R282" s="4">
        <f ca="1">MIN(O282,PREMISSAS!$C$13)</f>
        <v>0</v>
      </c>
      <c r="S282" s="240"/>
      <c r="T282" s="240"/>
    </row>
    <row r="283" spans="2:20" x14ac:dyDescent="0.25">
      <c r="B283" s="21" t="str">
        <f t="shared" ca="1" si="32"/>
        <v/>
      </c>
      <c r="C283" s="22" t="str">
        <f ca="1">IF(B283="","",IF(LEFT(B283,2)="13",C282,IF(MONTH(B283)=1,C282*(1+PREMISSAS!$C$57),C282)))</f>
        <v/>
      </c>
      <c r="E283" s="18">
        <v>279</v>
      </c>
      <c r="F283" s="21" t="str">
        <f t="shared" ca="1" si="33"/>
        <v>13º 2023</v>
      </c>
      <c r="G283" s="22">
        <f ca="1">IFERROR(VLOOKUP(F283,RESULTADOS!$O$5:$P$543,2,FALSE),VLOOKUP(F283,$B$5:$C$724,2,FALSE))</f>
        <v>0</v>
      </c>
      <c r="H283" s="4">
        <f ca="1">IF(F283&lt;PREMISSAS!$D$7,0,IFERROR(VLOOKUP(IF(LEFT(F283,2)="13",DATE(YEAR(F282),12,31),F283),IPCA!$A$3:$D$284,4,FALSE),1)*G283)</f>
        <v>0</v>
      </c>
      <c r="J283" s="21" t="str">
        <f t="shared" ca="1" si="28"/>
        <v>13º 2023</v>
      </c>
      <c r="K283" s="4">
        <f t="shared" ca="1" si="29"/>
        <v>0</v>
      </c>
      <c r="M283" s="21" t="str">
        <f t="shared" ca="1" si="34"/>
        <v>13º 2023</v>
      </c>
      <c r="N283" s="37">
        <f t="shared" ca="1" si="30"/>
        <v>0</v>
      </c>
      <c r="O283" s="4">
        <f ca="1">IFERROR(AVERAGEIF(N$5:$N283,"&gt;="&amp;_xlfn.PERCENTILE.EXC(N$5:$N283,0.2)),0)</f>
        <v>0</v>
      </c>
      <c r="Q283" s="21" t="str">
        <f t="shared" ca="1" si="31"/>
        <v>13º 2023</v>
      </c>
      <c r="R283" s="4">
        <f ca="1">MIN(O283,PREMISSAS!$C$13)</f>
        <v>0</v>
      </c>
      <c r="S283" s="240"/>
      <c r="T283" s="240"/>
    </row>
    <row r="284" spans="2:20" x14ac:dyDescent="0.25">
      <c r="B284" s="21" t="str">
        <f t="shared" ca="1" si="32"/>
        <v/>
      </c>
      <c r="C284" s="22" t="str">
        <f ca="1">IF(B284="","",IF(LEFT(B284,2)="13",C283,IF(MONTH(B284)=1,C283*(1+PREMISSAS!$C$57),C283)))</f>
        <v/>
      </c>
      <c r="E284" s="18">
        <v>280</v>
      </c>
      <c r="F284" s="21">
        <f t="shared" ca="1" si="33"/>
        <v>45291</v>
      </c>
      <c r="G284" s="22">
        <f ca="1">IFERROR(VLOOKUP(F284,RESULTADOS!$O$5:$P$543,2,FALSE),VLOOKUP(F284,$B$5:$C$724,2,FALSE))</f>
        <v>0</v>
      </c>
      <c r="H284" s="4">
        <f ca="1">IF(F284&lt;PREMISSAS!$D$7,0,IFERROR(VLOOKUP(IF(LEFT(F284,2)="13",DATE(YEAR(F283),12,31),F284),IPCA!$A$3:$D$284,4,FALSE),1)*G284)</f>
        <v>0</v>
      </c>
      <c r="J284" s="21">
        <f t="shared" ca="1" si="28"/>
        <v>45291</v>
      </c>
      <c r="K284" s="4">
        <f t="shared" ca="1" si="29"/>
        <v>0</v>
      </c>
      <c r="M284" s="21">
        <f t="shared" ca="1" si="34"/>
        <v>45291</v>
      </c>
      <c r="N284" s="37">
        <f t="shared" ca="1" si="30"/>
        <v>0</v>
      </c>
      <c r="O284" s="4">
        <f ca="1">IFERROR(AVERAGEIF(N$5:$N284,"&gt;="&amp;_xlfn.PERCENTILE.EXC(N$5:$N284,0.2)),0)</f>
        <v>0</v>
      </c>
      <c r="Q284" s="21">
        <f t="shared" ca="1" si="31"/>
        <v>45291</v>
      </c>
      <c r="R284" s="4">
        <f ca="1">MIN(O284,PREMISSAS!$C$13)</f>
        <v>0</v>
      </c>
      <c r="S284" s="240"/>
      <c r="T284" s="240"/>
    </row>
    <row r="285" spans="2:20" x14ac:dyDescent="0.25">
      <c r="B285" s="21" t="str">
        <f t="shared" ca="1" si="32"/>
        <v/>
      </c>
      <c r="C285" s="22" t="str">
        <f ca="1">IF(B285="","",IF(LEFT(B285,2)="13",C284,IF(MONTH(B285)=1,C284*(1+PREMISSAS!$C$57),C284)))</f>
        <v/>
      </c>
      <c r="E285" s="18">
        <v>281</v>
      </c>
      <c r="F285" s="21">
        <f t="shared" ca="1" si="33"/>
        <v>45322</v>
      </c>
      <c r="G285" s="22">
        <f ca="1">IFERROR(VLOOKUP(F285,RESULTADOS!$O$5:$P$543,2,FALSE),VLOOKUP(F285,$B$5:$C$724,2,FALSE))</f>
        <v>0</v>
      </c>
      <c r="H285" s="4">
        <f ca="1">IF(F285&lt;PREMISSAS!$D$7,0,IFERROR(VLOOKUP(IF(LEFT(F285,2)="13",DATE(YEAR(F284),12,31),F285),IPCA!$A$3:$D$284,4,FALSE),1)*G285)</f>
        <v>0</v>
      </c>
      <c r="J285" s="21">
        <f t="shared" ca="1" si="28"/>
        <v>45322</v>
      </c>
      <c r="K285" s="4">
        <f t="shared" ca="1" si="29"/>
        <v>0</v>
      </c>
      <c r="M285" s="21">
        <f t="shared" ca="1" si="34"/>
        <v>45322</v>
      </c>
      <c r="N285" s="37">
        <f t="shared" ca="1" si="30"/>
        <v>0</v>
      </c>
      <c r="O285" s="4">
        <f ca="1">IFERROR(AVERAGEIF(N$5:$N285,"&gt;="&amp;_xlfn.PERCENTILE.EXC(N$5:$N285,0.2)),0)</f>
        <v>0</v>
      </c>
      <c r="Q285" s="21">
        <f t="shared" ca="1" si="31"/>
        <v>45322</v>
      </c>
      <c r="R285" s="4">
        <f ca="1">MIN(O285,PREMISSAS!$C$13)</f>
        <v>0</v>
      </c>
      <c r="S285" s="240"/>
      <c r="T285" s="240"/>
    </row>
    <row r="286" spans="2:20" x14ac:dyDescent="0.25">
      <c r="B286" s="21" t="str">
        <f t="shared" ca="1" si="32"/>
        <v/>
      </c>
      <c r="C286" s="22" t="str">
        <f ca="1">IF(B286="","",IF(LEFT(B286,2)="13",C285,IF(MONTH(B286)=1,C285*(1+PREMISSAS!$C$57),C285)))</f>
        <v/>
      </c>
      <c r="E286" s="18">
        <v>282</v>
      </c>
      <c r="F286" s="21">
        <f t="shared" ca="1" si="33"/>
        <v>45351</v>
      </c>
      <c r="G286" s="22">
        <f ca="1">IFERROR(VLOOKUP(F286,RESULTADOS!$O$5:$P$543,2,FALSE),VLOOKUP(F286,$B$5:$C$724,2,FALSE))</f>
        <v>0</v>
      </c>
      <c r="H286" s="4">
        <f ca="1">IF(F286&lt;PREMISSAS!$D$7,0,IFERROR(VLOOKUP(IF(LEFT(F286,2)="13",DATE(YEAR(F285),12,31),F286),IPCA!$A$3:$D$284,4,FALSE),1)*G286)</f>
        <v>0</v>
      </c>
      <c r="J286" s="21">
        <f t="shared" ca="1" si="28"/>
        <v>45351</v>
      </c>
      <c r="K286" s="4">
        <f t="shared" ca="1" si="29"/>
        <v>0</v>
      </c>
      <c r="M286" s="21">
        <f t="shared" ca="1" si="34"/>
        <v>45351</v>
      </c>
      <c r="N286" s="37">
        <f t="shared" ca="1" si="30"/>
        <v>0</v>
      </c>
      <c r="O286" s="4">
        <f ca="1">IFERROR(AVERAGEIF(N$5:$N286,"&gt;="&amp;_xlfn.PERCENTILE.EXC(N$5:$N286,0.2)),0)</f>
        <v>0</v>
      </c>
      <c r="Q286" s="21">
        <f t="shared" ca="1" si="31"/>
        <v>45351</v>
      </c>
      <c r="R286" s="4">
        <f ca="1">MIN(O286,PREMISSAS!$C$13)</f>
        <v>0</v>
      </c>
      <c r="S286" s="240"/>
      <c r="T286" s="240"/>
    </row>
    <row r="287" spans="2:20" x14ac:dyDescent="0.25">
      <c r="B287" s="21" t="str">
        <f t="shared" ca="1" si="32"/>
        <v/>
      </c>
      <c r="C287" s="22" t="str">
        <f ca="1">IF(B287="","",IF(LEFT(B287,2)="13",C286,IF(MONTH(B287)=1,C286*(1+PREMISSAS!$C$57),C286)))</f>
        <v/>
      </c>
      <c r="E287" s="18">
        <v>283</v>
      </c>
      <c r="F287" s="21">
        <f t="shared" ca="1" si="33"/>
        <v>45382</v>
      </c>
      <c r="G287" s="22">
        <f ca="1">IFERROR(VLOOKUP(F287,RESULTADOS!$O$5:$P$543,2,FALSE),VLOOKUP(F287,$B$5:$C$724,2,FALSE))</f>
        <v>0</v>
      </c>
      <c r="H287" s="4">
        <f ca="1">IF(F287&lt;PREMISSAS!$D$7,0,IFERROR(VLOOKUP(IF(LEFT(F287,2)="13",DATE(YEAR(F286),12,31),F287),IPCA!$A$3:$D$284,4,FALSE),1)*G287)</f>
        <v>0</v>
      </c>
      <c r="J287" s="21">
        <f t="shared" ca="1" si="28"/>
        <v>45382</v>
      </c>
      <c r="K287" s="4">
        <f t="shared" ca="1" si="29"/>
        <v>0</v>
      </c>
      <c r="M287" s="21">
        <f t="shared" ca="1" si="34"/>
        <v>45382</v>
      </c>
      <c r="N287" s="37">
        <f t="shared" ca="1" si="30"/>
        <v>0</v>
      </c>
      <c r="O287" s="4">
        <f ca="1">IFERROR(AVERAGEIF(N$5:$N287,"&gt;="&amp;_xlfn.PERCENTILE.EXC(N$5:$N287,0.2)),0)</f>
        <v>0</v>
      </c>
      <c r="Q287" s="21">
        <f t="shared" ca="1" si="31"/>
        <v>45382</v>
      </c>
      <c r="R287" s="4">
        <f ca="1">MIN(O287,PREMISSAS!$C$13)</f>
        <v>0</v>
      </c>
      <c r="S287" s="240"/>
      <c r="T287" s="240"/>
    </row>
    <row r="288" spans="2:20" x14ac:dyDescent="0.25">
      <c r="B288" s="21" t="str">
        <f t="shared" ca="1" si="32"/>
        <v/>
      </c>
      <c r="C288" s="22" t="str">
        <f ca="1">IF(B288="","",IF(LEFT(B288,2)="13",C287,IF(MONTH(B288)=1,C287*(1+PREMISSAS!$C$57),C287)))</f>
        <v/>
      </c>
      <c r="E288" s="18">
        <v>284</v>
      </c>
      <c r="F288" s="21">
        <f t="shared" ca="1" si="33"/>
        <v>45412</v>
      </c>
      <c r="G288" s="22">
        <f ca="1">IFERROR(VLOOKUP(F288,RESULTADOS!$O$5:$P$543,2,FALSE),VLOOKUP(F288,$B$5:$C$724,2,FALSE))</f>
        <v>0</v>
      </c>
      <c r="H288" s="4">
        <f ca="1">IF(F288&lt;PREMISSAS!$D$7,0,IFERROR(VLOOKUP(IF(LEFT(F288,2)="13",DATE(YEAR(F287),12,31),F288),IPCA!$A$3:$D$284,4,FALSE),1)*G288)</f>
        <v>0</v>
      </c>
      <c r="J288" s="21">
        <f t="shared" ca="1" si="28"/>
        <v>45412</v>
      </c>
      <c r="K288" s="4">
        <f t="shared" ca="1" si="29"/>
        <v>0</v>
      </c>
      <c r="M288" s="21">
        <f t="shared" ca="1" si="34"/>
        <v>45412</v>
      </c>
      <c r="N288" s="37">
        <f t="shared" ca="1" si="30"/>
        <v>0</v>
      </c>
      <c r="O288" s="4">
        <f ca="1">IFERROR(AVERAGEIF(N$5:$N288,"&gt;="&amp;_xlfn.PERCENTILE.EXC(N$5:$N288,0.2)),0)</f>
        <v>0</v>
      </c>
      <c r="Q288" s="21">
        <f t="shared" ca="1" si="31"/>
        <v>45412</v>
      </c>
      <c r="R288" s="4">
        <f ca="1">MIN(O288,PREMISSAS!$C$13)</f>
        <v>0</v>
      </c>
      <c r="S288" s="240"/>
      <c r="T288" s="240"/>
    </row>
    <row r="289" spans="2:20" x14ac:dyDescent="0.25">
      <c r="B289" s="21" t="str">
        <f t="shared" ca="1" si="32"/>
        <v/>
      </c>
      <c r="C289" s="22" t="str">
        <f ca="1">IF(B289="","",IF(LEFT(B289,2)="13",C288,IF(MONTH(B289)=1,C288*(1+PREMISSAS!$C$57),C288)))</f>
        <v/>
      </c>
      <c r="E289" s="18">
        <v>285</v>
      </c>
      <c r="F289" s="21">
        <f t="shared" ca="1" si="33"/>
        <v>45443</v>
      </c>
      <c r="G289" s="22">
        <f ca="1">IFERROR(VLOOKUP(F289,RESULTADOS!$O$5:$P$543,2,FALSE),VLOOKUP(F289,$B$5:$C$724,2,FALSE))</f>
        <v>0</v>
      </c>
      <c r="H289" s="4">
        <f ca="1">IF(F289&lt;PREMISSAS!$D$7,0,IFERROR(VLOOKUP(IF(LEFT(F289,2)="13",DATE(YEAR(F288),12,31),F289),IPCA!$A$3:$D$284,4,FALSE),1)*G289)</f>
        <v>0</v>
      </c>
      <c r="J289" s="21">
        <f t="shared" ca="1" si="28"/>
        <v>45443</v>
      </c>
      <c r="K289" s="4">
        <f t="shared" ca="1" si="29"/>
        <v>0</v>
      </c>
      <c r="M289" s="21">
        <f t="shared" ca="1" si="34"/>
        <v>45443</v>
      </c>
      <c r="N289" s="37">
        <f t="shared" ca="1" si="30"/>
        <v>0</v>
      </c>
      <c r="O289" s="4">
        <f ca="1">IFERROR(AVERAGEIF(N$5:$N289,"&gt;="&amp;_xlfn.PERCENTILE.EXC(N$5:$N289,0.2)),0)</f>
        <v>0</v>
      </c>
      <c r="Q289" s="21">
        <f t="shared" ca="1" si="31"/>
        <v>45443</v>
      </c>
      <c r="R289" s="4">
        <f ca="1">MIN(O289,PREMISSAS!$C$13)</f>
        <v>0</v>
      </c>
      <c r="S289" s="240"/>
      <c r="T289" s="240"/>
    </row>
    <row r="290" spans="2:20" x14ac:dyDescent="0.25">
      <c r="B290" s="21" t="str">
        <f t="shared" ca="1" si="32"/>
        <v/>
      </c>
      <c r="C290" s="22" t="str">
        <f ca="1">IF(B290="","",IF(LEFT(B290,2)="13",C289,IF(MONTH(B290)=1,C289*(1+PREMISSAS!$C$57),C289)))</f>
        <v/>
      </c>
      <c r="E290" s="18">
        <v>286</v>
      </c>
      <c r="F290" s="21">
        <f t="shared" ca="1" si="33"/>
        <v>45473</v>
      </c>
      <c r="G290" s="22">
        <f ca="1">IFERROR(VLOOKUP(F290,RESULTADOS!$O$5:$P$543,2,FALSE),VLOOKUP(F290,$B$5:$C$724,2,FALSE))</f>
        <v>0</v>
      </c>
      <c r="H290" s="4">
        <f ca="1">IF(F290&lt;PREMISSAS!$D$7,0,IFERROR(VLOOKUP(IF(LEFT(F290,2)="13",DATE(YEAR(F289),12,31),F290),IPCA!$A$3:$D$284,4,FALSE),1)*G290)</f>
        <v>0</v>
      </c>
      <c r="J290" s="21">
        <f t="shared" ca="1" si="28"/>
        <v>45473</v>
      </c>
      <c r="K290" s="4">
        <f t="shared" ca="1" si="29"/>
        <v>0</v>
      </c>
      <c r="M290" s="21">
        <f t="shared" ca="1" si="34"/>
        <v>45473</v>
      </c>
      <c r="N290" s="37">
        <f t="shared" ca="1" si="30"/>
        <v>0</v>
      </c>
      <c r="O290" s="4">
        <f ca="1">IFERROR(AVERAGEIF(N$5:$N290,"&gt;="&amp;_xlfn.PERCENTILE.EXC(N$5:$N290,0.2)),0)</f>
        <v>0</v>
      </c>
      <c r="Q290" s="21">
        <f t="shared" ca="1" si="31"/>
        <v>45473</v>
      </c>
      <c r="R290" s="4">
        <f ca="1">MIN(O290,PREMISSAS!$C$13)</f>
        <v>0</v>
      </c>
      <c r="S290" s="240"/>
      <c r="T290" s="240"/>
    </row>
    <row r="291" spans="2:20" x14ac:dyDescent="0.25">
      <c r="B291" s="21" t="str">
        <f t="shared" ca="1" si="32"/>
        <v/>
      </c>
      <c r="C291" s="22" t="str">
        <f ca="1">IF(B291="","",IF(LEFT(B291,2)="13",C290,IF(MONTH(B291)=1,C290*(1+PREMISSAS!$C$57),C290)))</f>
        <v/>
      </c>
      <c r="E291" s="18">
        <v>287</v>
      </c>
      <c r="F291" s="21">
        <f t="shared" ca="1" si="33"/>
        <v>45504</v>
      </c>
      <c r="G291" s="22">
        <f ca="1">IFERROR(VLOOKUP(F291,RESULTADOS!$O$5:$P$543,2,FALSE),VLOOKUP(F291,$B$5:$C$724,2,FALSE))</f>
        <v>0</v>
      </c>
      <c r="H291" s="4">
        <f ca="1">IF(F291&lt;PREMISSAS!$D$7,0,IFERROR(VLOOKUP(IF(LEFT(F291,2)="13",DATE(YEAR(F290),12,31),F291),IPCA!$A$3:$D$284,4,FALSE),1)*G291)</f>
        <v>0</v>
      </c>
      <c r="J291" s="21">
        <f t="shared" ca="1" si="28"/>
        <v>45504</v>
      </c>
      <c r="K291" s="4">
        <f t="shared" ca="1" si="29"/>
        <v>0</v>
      </c>
      <c r="M291" s="21">
        <f t="shared" ca="1" si="34"/>
        <v>45504</v>
      </c>
      <c r="N291" s="37">
        <f t="shared" ca="1" si="30"/>
        <v>0</v>
      </c>
      <c r="O291" s="4">
        <f ca="1">IFERROR(AVERAGEIF(N$5:$N291,"&gt;="&amp;_xlfn.PERCENTILE.EXC(N$5:$N291,0.2)),0)</f>
        <v>0</v>
      </c>
      <c r="Q291" s="21">
        <f t="shared" ca="1" si="31"/>
        <v>45504</v>
      </c>
      <c r="R291" s="4">
        <f ca="1">MIN(O291,PREMISSAS!$C$13)</f>
        <v>0</v>
      </c>
      <c r="S291" s="240"/>
      <c r="T291" s="240"/>
    </row>
    <row r="292" spans="2:20" x14ac:dyDescent="0.25">
      <c r="B292" s="21" t="str">
        <f t="shared" ca="1" si="32"/>
        <v/>
      </c>
      <c r="C292" s="22" t="str">
        <f ca="1">IF(B292="","",IF(LEFT(B292,2)="13",C291,IF(MONTH(B292)=1,C291*(1+PREMISSAS!$C$57),C291)))</f>
        <v/>
      </c>
      <c r="E292" s="18">
        <v>288</v>
      </c>
      <c r="F292" s="21">
        <f t="shared" ca="1" si="33"/>
        <v>45535</v>
      </c>
      <c r="G292" s="22">
        <f ca="1">IFERROR(VLOOKUP(F292,RESULTADOS!$O$5:$P$543,2,FALSE),VLOOKUP(F292,$B$5:$C$724,2,FALSE))</f>
        <v>0</v>
      </c>
      <c r="H292" s="4">
        <f ca="1">IF(F292&lt;PREMISSAS!$D$7,0,IFERROR(VLOOKUP(IF(LEFT(F292,2)="13",DATE(YEAR(F291),12,31),F292),IPCA!$A$3:$D$284,4,FALSE),1)*G292)</f>
        <v>0</v>
      </c>
      <c r="J292" s="21">
        <f t="shared" ca="1" si="28"/>
        <v>45535</v>
      </c>
      <c r="K292" s="4">
        <f t="shared" ca="1" si="29"/>
        <v>0</v>
      </c>
      <c r="M292" s="21">
        <f t="shared" ca="1" si="34"/>
        <v>45535</v>
      </c>
      <c r="N292" s="37">
        <f t="shared" ca="1" si="30"/>
        <v>0</v>
      </c>
      <c r="O292" s="4">
        <f ca="1">IFERROR(AVERAGEIF(N$5:$N292,"&gt;="&amp;_xlfn.PERCENTILE.EXC(N$5:$N292,0.2)),0)</f>
        <v>0</v>
      </c>
      <c r="Q292" s="21">
        <f t="shared" ca="1" si="31"/>
        <v>45535</v>
      </c>
      <c r="R292" s="4">
        <f ca="1">MIN(O292,PREMISSAS!$C$13)</f>
        <v>0</v>
      </c>
      <c r="S292" s="240"/>
      <c r="T292" s="240"/>
    </row>
    <row r="293" spans="2:20" x14ac:dyDescent="0.25">
      <c r="B293" s="21" t="str">
        <f t="shared" ca="1" si="32"/>
        <v/>
      </c>
      <c r="C293" s="22" t="str">
        <f ca="1">IF(B293="","",IF(LEFT(B293,2)="13",C292,IF(MONTH(B293)=1,C292*(1+PREMISSAS!$C$57),C292)))</f>
        <v/>
      </c>
      <c r="E293" s="18">
        <v>289</v>
      </c>
      <c r="F293" s="21">
        <f t="shared" ca="1" si="33"/>
        <v>45565</v>
      </c>
      <c r="G293" s="22">
        <f ca="1">IFERROR(VLOOKUP(F293,RESULTADOS!$O$5:$P$543,2,FALSE),VLOOKUP(F293,$B$5:$C$724,2,FALSE))</f>
        <v>0</v>
      </c>
      <c r="H293" s="4">
        <f ca="1">IF(F293&lt;PREMISSAS!$D$7,0,IFERROR(VLOOKUP(IF(LEFT(F293,2)="13",DATE(YEAR(F292),12,31),F293),IPCA!$A$3:$D$284,4,FALSE),1)*G293)</f>
        <v>0</v>
      </c>
      <c r="J293" s="21">
        <f t="shared" ca="1" si="28"/>
        <v>45565</v>
      </c>
      <c r="K293" s="4">
        <f t="shared" ca="1" si="29"/>
        <v>0</v>
      </c>
      <c r="M293" s="21">
        <f t="shared" ca="1" si="34"/>
        <v>45565</v>
      </c>
      <c r="N293" s="37">
        <f t="shared" ca="1" si="30"/>
        <v>0</v>
      </c>
      <c r="O293" s="4">
        <f ca="1">IFERROR(AVERAGEIF(N$5:$N293,"&gt;="&amp;_xlfn.PERCENTILE.EXC(N$5:$N293,0.2)),0)</f>
        <v>0</v>
      </c>
      <c r="Q293" s="21">
        <f t="shared" ca="1" si="31"/>
        <v>45565</v>
      </c>
      <c r="R293" s="4">
        <f ca="1">MIN(O293,PREMISSAS!$C$13)</f>
        <v>0</v>
      </c>
      <c r="S293" s="240"/>
      <c r="T293" s="240"/>
    </row>
    <row r="294" spans="2:20" x14ac:dyDescent="0.25">
      <c r="B294" s="21" t="str">
        <f t="shared" ca="1" si="32"/>
        <v/>
      </c>
      <c r="C294" s="22" t="str">
        <f ca="1">IF(B294="","",IF(LEFT(B294,2)="13",C293,IF(MONTH(B294)=1,C293*(1+PREMISSAS!$C$57),C293)))</f>
        <v/>
      </c>
      <c r="E294" s="18">
        <v>290</v>
      </c>
      <c r="F294" s="21">
        <f t="shared" ca="1" si="33"/>
        <v>45596</v>
      </c>
      <c r="G294" s="22">
        <f ca="1">IFERROR(VLOOKUP(F294,RESULTADOS!$O$5:$P$543,2,FALSE),VLOOKUP(F294,$B$5:$C$724,2,FALSE))</f>
        <v>0</v>
      </c>
      <c r="H294" s="4">
        <f ca="1">IF(F294&lt;PREMISSAS!$D$7,0,IFERROR(VLOOKUP(IF(LEFT(F294,2)="13",DATE(YEAR(F293),12,31),F294),IPCA!$A$3:$D$284,4,FALSE),1)*G294)</f>
        <v>0</v>
      </c>
      <c r="J294" s="21">
        <f t="shared" ca="1" si="28"/>
        <v>45596</v>
      </c>
      <c r="K294" s="4">
        <f t="shared" ca="1" si="29"/>
        <v>0</v>
      </c>
      <c r="M294" s="21">
        <f t="shared" ca="1" si="34"/>
        <v>45596</v>
      </c>
      <c r="N294" s="37">
        <f t="shared" ca="1" si="30"/>
        <v>0</v>
      </c>
      <c r="O294" s="4">
        <f ca="1">IFERROR(AVERAGEIF(N$5:$N294,"&gt;="&amp;_xlfn.PERCENTILE.EXC(N$5:$N294,0.2)),0)</f>
        <v>0</v>
      </c>
      <c r="Q294" s="21">
        <f t="shared" ca="1" si="31"/>
        <v>45596</v>
      </c>
      <c r="R294" s="4">
        <f ca="1">MIN(O294,PREMISSAS!$C$13)</f>
        <v>0</v>
      </c>
      <c r="S294" s="240"/>
      <c r="T294" s="240"/>
    </row>
    <row r="295" spans="2:20" x14ac:dyDescent="0.25">
      <c r="B295" s="21" t="str">
        <f t="shared" ca="1" si="32"/>
        <v/>
      </c>
      <c r="C295" s="22" t="str">
        <f ca="1">IF(B295="","",IF(LEFT(B295,2)="13",C294,IF(MONTH(B295)=1,C294*(1+PREMISSAS!$C$57),C294)))</f>
        <v/>
      </c>
      <c r="E295" s="18">
        <v>291</v>
      </c>
      <c r="F295" s="21">
        <f t="shared" ca="1" si="33"/>
        <v>45626</v>
      </c>
      <c r="G295" s="22">
        <f ca="1">IFERROR(VLOOKUP(F295,RESULTADOS!$O$5:$P$543,2,FALSE),VLOOKUP(F295,$B$5:$C$724,2,FALSE))</f>
        <v>0</v>
      </c>
      <c r="H295" s="4">
        <f ca="1">IF(F295&lt;PREMISSAS!$D$7,0,IFERROR(VLOOKUP(IF(LEFT(F295,2)="13",DATE(YEAR(F294),12,31),F295),IPCA!$A$3:$D$284,4,FALSE),1)*G295)</f>
        <v>0</v>
      </c>
      <c r="J295" s="21">
        <f t="shared" ca="1" si="28"/>
        <v>45626</v>
      </c>
      <c r="K295" s="4">
        <f t="shared" ca="1" si="29"/>
        <v>0</v>
      </c>
      <c r="M295" s="21">
        <f t="shared" ca="1" si="34"/>
        <v>45626</v>
      </c>
      <c r="N295" s="37">
        <f t="shared" ca="1" si="30"/>
        <v>0</v>
      </c>
      <c r="O295" s="4">
        <f ca="1">IFERROR(AVERAGEIF(N$5:$N295,"&gt;="&amp;_xlfn.PERCENTILE.EXC(N$5:$N295,0.2)),0)</f>
        <v>0</v>
      </c>
      <c r="Q295" s="21">
        <f t="shared" ca="1" si="31"/>
        <v>45626</v>
      </c>
      <c r="R295" s="4">
        <f ca="1">MIN(O295,PREMISSAS!$C$13)</f>
        <v>0</v>
      </c>
      <c r="S295" s="240"/>
      <c r="T295" s="240"/>
    </row>
    <row r="296" spans="2:20" x14ac:dyDescent="0.25">
      <c r="B296" s="21" t="str">
        <f t="shared" ca="1" si="32"/>
        <v/>
      </c>
      <c r="C296" s="22" t="str">
        <f ca="1">IF(B296="","",IF(LEFT(B296,2)="13",C295,IF(MONTH(B296)=1,C295*(1+PREMISSAS!$C$57),C295)))</f>
        <v/>
      </c>
      <c r="E296" s="18">
        <v>292</v>
      </c>
      <c r="F296" s="21" t="str">
        <f t="shared" ca="1" si="33"/>
        <v>13º 2024</v>
      </c>
      <c r="G296" s="22">
        <f ca="1">IFERROR(VLOOKUP(F296,RESULTADOS!$O$5:$P$543,2,FALSE),VLOOKUP(F296,$B$5:$C$724,2,FALSE))</f>
        <v>0</v>
      </c>
      <c r="H296" s="4">
        <f ca="1">IF(F296&lt;PREMISSAS!$D$7,0,IFERROR(VLOOKUP(IF(LEFT(F296,2)="13",DATE(YEAR(F295),12,31),F296),IPCA!$A$3:$D$284,4,FALSE),1)*G296)</f>
        <v>0</v>
      </c>
      <c r="J296" s="21" t="str">
        <f t="shared" ca="1" si="28"/>
        <v>13º 2024</v>
      </c>
      <c r="K296" s="4">
        <f t="shared" ca="1" si="29"/>
        <v>0</v>
      </c>
      <c r="M296" s="21" t="str">
        <f t="shared" ca="1" si="34"/>
        <v>13º 2024</v>
      </c>
      <c r="N296" s="37">
        <f t="shared" ca="1" si="30"/>
        <v>0</v>
      </c>
      <c r="O296" s="4">
        <f ca="1">IFERROR(AVERAGEIF(N$5:$N296,"&gt;="&amp;_xlfn.PERCENTILE.EXC(N$5:$N296,0.2)),0)</f>
        <v>0</v>
      </c>
      <c r="Q296" s="21" t="str">
        <f t="shared" ca="1" si="31"/>
        <v>13º 2024</v>
      </c>
      <c r="R296" s="4">
        <f ca="1">MIN(O296,PREMISSAS!$C$13)</f>
        <v>0</v>
      </c>
      <c r="S296" s="240"/>
      <c r="T296" s="240"/>
    </row>
    <row r="297" spans="2:20" x14ac:dyDescent="0.25">
      <c r="B297" s="21" t="str">
        <f t="shared" ca="1" si="32"/>
        <v/>
      </c>
      <c r="C297" s="22" t="str">
        <f ca="1">IF(B297="","",IF(LEFT(B297,2)="13",C296,IF(MONTH(B297)=1,C296*(1+PREMISSAS!$C$57),C296)))</f>
        <v/>
      </c>
      <c r="E297" s="18">
        <v>293</v>
      </c>
      <c r="F297" s="21">
        <f t="shared" ca="1" si="33"/>
        <v>45657</v>
      </c>
      <c r="G297" s="22">
        <f ca="1">IFERROR(VLOOKUP(F297,RESULTADOS!$O$5:$P$543,2,FALSE),VLOOKUP(F297,$B$5:$C$724,2,FALSE))</f>
        <v>0</v>
      </c>
      <c r="H297" s="4">
        <f ca="1">IF(F297&lt;PREMISSAS!$D$7,0,IFERROR(VLOOKUP(IF(LEFT(F297,2)="13",DATE(YEAR(F296),12,31),F297),IPCA!$A$3:$D$284,4,FALSE),1)*G297)</f>
        <v>0</v>
      </c>
      <c r="J297" s="21">
        <f t="shared" ca="1" si="28"/>
        <v>45657</v>
      </c>
      <c r="K297" s="4">
        <f t="shared" ca="1" si="29"/>
        <v>0</v>
      </c>
      <c r="M297" s="21">
        <f t="shared" ca="1" si="34"/>
        <v>45657</v>
      </c>
      <c r="N297" s="37">
        <f t="shared" ca="1" si="30"/>
        <v>0</v>
      </c>
      <c r="O297" s="4">
        <f ca="1">IFERROR(AVERAGEIF(N$5:$N297,"&gt;="&amp;_xlfn.PERCENTILE.EXC(N$5:$N297,0.2)),0)</f>
        <v>0</v>
      </c>
      <c r="Q297" s="21">
        <f t="shared" ca="1" si="31"/>
        <v>45657</v>
      </c>
      <c r="R297" s="4">
        <f ca="1">MIN(O297,PREMISSAS!$C$13)</f>
        <v>0</v>
      </c>
      <c r="S297" s="240"/>
      <c r="T297" s="240"/>
    </row>
    <row r="298" spans="2:20" x14ac:dyDescent="0.25">
      <c r="B298" s="21" t="str">
        <f t="shared" ca="1" si="32"/>
        <v/>
      </c>
      <c r="C298" s="22" t="str">
        <f ca="1">IF(B298="","",IF(LEFT(B298,2)="13",C297,IF(MONTH(B298)=1,C297*(1+PREMISSAS!$C$57),C297)))</f>
        <v/>
      </c>
      <c r="E298" s="18">
        <v>294</v>
      </c>
      <c r="F298" s="21">
        <f t="shared" ca="1" si="33"/>
        <v>45688</v>
      </c>
      <c r="G298" s="22">
        <f ca="1">IFERROR(VLOOKUP(F298,RESULTADOS!$O$5:$P$543,2,FALSE),VLOOKUP(F298,$B$5:$C$724,2,FALSE))</f>
        <v>0</v>
      </c>
      <c r="H298" s="4">
        <f ca="1">IF(F298&lt;PREMISSAS!$D$7,0,IFERROR(VLOOKUP(IF(LEFT(F298,2)="13",DATE(YEAR(F297),12,31),F298),IPCA!$A$3:$D$284,4,FALSE),1)*G298)</f>
        <v>0</v>
      </c>
      <c r="J298" s="21">
        <f t="shared" ca="1" si="28"/>
        <v>45688</v>
      </c>
      <c r="K298" s="4">
        <f t="shared" ca="1" si="29"/>
        <v>0</v>
      </c>
      <c r="M298" s="21">
        <f t="shared" ca="1" si="34"/>
        <v>45688</v>
      </c>
      <c r="N298" s="37">
        <f t="shared" ca="1" si="30"/>
        <v>0</v>
      </c>
      <c r="O298" s="4">
        <f ca="1">IFERROR(AVERAGEIF(N$5:$N298,"&gt;="&amp;_xlfn.PERCENTILE.EXC(N$5:$N298,0.2)),0)</f>
        <v>0</v>
      </c>
      <c r="Q298" s="21">
        <f t="shared" ca="1" si="31"/>
        <v>45688</v>
      </c>
      <c r="R298" s="4">
        <f ca="1">MIN(O298,PREMISSAS!$C$13)</f>
        <v>0</v>
      </c>
      <c r="S298" s="240"/>
      <c r="T298" s="240"/>
    </row>
    <row r="299" spans="2:20" x14ac:dyDescent="0.25">
      <c r="B299" s="21" t="str">
        <f t="shared" ca="1" si="32"/>
        <v/>
      </c>
      <c r="C299" s="22" t="str">
        <f ca="1">IF(B299="","",IF(LEFT(B299,2)="13",C298,IF(MONTH(B299)=1,C298*(1+PREMISSAS!$C$57),C298)))</f>
        <v/>
      </c>
      <c r="E299" s="18">
        <v>295</v>
      </c>
      <c r="F299" s="21">
        <f t="shared" ca="1" si="33"/>
        <v>45716</v>
      </c>
      <c r="G299" s="22">
        <f ca="1">IFERROR(VLOOKUP(F299,RESULTADOS!$O$5:$P$543,2,FALSE),VLOOKUP(F299,$B$5:$C$724,2,FALSE))</f>
        <v>0</v>
      </c>
      <c r="H299" s="4">
        <f ca="1">IF(F299&lt;PREMISSAS!$D$7,0,IFERROR(VLOOKUP(IF(LEFT(F299,2)="13",DATE(YEAR(F298),12,31),F299),IPCA!$A$3:$D$284,4,FALSE),1)*G299)</f>
        <v>0</v>
      </c>
      <c r="J299" s="21">
        <f t="shared" ca="1" si="28"/>
        <v>45716</v>
      </c>
      <c r="K299" s="4">
        <f t="shared" ca="1" si="29"/>
        <v>0</v>
      </c>
      <c r="M299" s="21">
        <f t="shared" ca="1" si="34"/>
        <v>45716</v>
      </c>
      <c r="N299" s="37">
        <f t="shared" ca="1" si="30"/>
        <v>0</v>
      </c>
      <c r="O299" s="4">
        <f ca="1">IFERROR(AVERAGEIF(N$5:$N299,"&gt;="&amp;_xlfn.PERCENTILE.EXC(N$5:$N299,0.2)),0)</f>
        <v>0</v>
      </c>
      <c r="Q299" s="21">
        <f t="shared" ca="1" si="31"/>
        <v>45716</v>
      </c>
      <c r="R299" s="4">
        <f ca="1">MIN(O299,PREMISSAS!$C$13)</f>
        <v>0</v>
      </c>
      <c r="S299" s="240"/>
      <c r="T299" s="240"/>
    </row>
    <row r="300" spans="2:20" x14ac:dyDescent="0.25">
      <c r="B300" s="21" t="str">
        <f t="shared" ca="1" si="32"/>
        <v/>
      </c>
      <c r="C300" s="22" t="str">
        <f ca="1">IF(B300="","",IF(LEFT(B300,2)="13",C299,IF(MONTH(B300)=1,C299*(1+PREMISSAS!$C$57),C299)))</f>
        <v/>
      </c>
      <c r="E300" s="18">
        <v>296</v>
      </c>
      <c r="F300" s="21">
        <f t="shared" ca="1" si="33"/>
        <v>45747</v>
      </c>
      <c r="G300" s="22">
        <f ca="1">IFERROR(VLOOKUP(F300,RESULTADOS!$O$5:$P$543,2,FALSE),VLOOKUP(F300,$B$5:$C$724,2,FALSE))</f>
        <v>0</v>
      </c>
      <c r="H300" s="4">
        <f ca="1">IF(F300&lt;PREMISSAS!$D$7,0,IFERROR(VLOOKUP(IF(LEFT(F300,2)="13",DATE(YEAR(F299),12,31),F300),IPCA!$A$3:$D$284,4,FALSE),1)*G300)</f>
        <v>0</v>
      </c>
      <c r="J300" s="21">
        <f t="shared" ca="1" si="28"/>
        <v>45747</v>
      </c>
      <c r="K300" s="4">
        <f t="shared" ca="1" si="29"/>
        <v>0</v>
      </c>
      <c r="M300" s="21">
        <f t="shared" ca="1" si="34"/>
        <v>45747</v>
      </c>
      <c r="N300" s="37">
        <f t="shared" ca="1" si="30"/>
        <v>0</v>
      </c>
      <c r="O300" s="4">
        <f ca="1">IFERROR(AVERAGEIF(N$5:$N300,"&gt;="&amp;_xlfn.PERCENTILE.EXC(N$5:$N300,0.2)),0)</f>
        <v>0</v>
      </c>
      <c r="Q300" s="21">
        <f t="shared" ca="1" si="31"/>
        <v>45747</v>
      </c>
      <c r="R300" s="4">
        <f ca="1">MIN(O300,PREMISSAS!$C$13)</f>
        <v>0</v>
      </c>
      <c r="S300" s="240"/>
      <c r="T300" s="240"/>
    </row>
    <row r="301" spans="2:20" x14ac:dyDescent="0.25">
      <c r="B301" s="21" t="str">
        <f t="shared" ca="1" si="32"/>
        <v/>
      </c>
      <c r="C301" s="22" t="str">
        <f ca="1">IF(B301="","",IF(LEFT(B301,2)="13",C300,IF(MONTH(B301)=1,C300*(1+PREMISSAS!$C$57),C300)))</f>
        <v/>
      </c>
      <c r="E301" s="18">
        <v>297</v>
      </c>
      <c r="F301" s="21">
        <f t="shared" ca="1" si="33"/>
        <v>45777</v>
      </c>
      <c r="G301" s="22">
        <f ca="1">IFERROR(VLOOKUP(F301,RESULTADOS!$O$5:$P$543,2,FALSE),VLOOKUP(F301,$B$5:$C$724,2,FALSE))</f>
        <v>0</v>
      </c>
      <c r="H301" s="4">
        <f ca="1">IF(F301&lt;PREMISSAS!$D$7,0,IFERROR(VLOOKUP(IF(LEFT(F301,2)="13",DATE(YEAR(F300),12,31),F301),IPCA!$A$3:$D$284,4,FALSE),1)*G301)</f>
        <v>0</v>
      </c>
      <c r="J301" s="21">
        <f t="shared" ca="1" si="28"/>
        <v>45777</v>
      </c>
      <c r="K301" s="4">
        <f t="shared" ca="1" si="29"/>
        <v>0</v>
      </c>
      <c r="M301" s="21">
        <f t="shared" ca="1" si="34"/>
        <v>45777</v>
      </c>
      <c r="N301" s="37">
        <f t="shared" ca="1" si="30"/>
        <v>0</v>
      </c>
      <c r="O301" s="4">
        <f ca="1">IFERROR(AVERAGEIF(N$5:$N301,"&gt;="&amp;_xlfn.PERCENTILE.EXC(N$5:$N301,0.2)),0)</f>
        <v>0</v>
      </c>
      <c r="Q301" s="21">
        <f t="shared" ca="1" si="31"/>
        <v>45777</v>
      </c>
      <c r="R301" s="4">
        <f ca="1">MIN(O301,PREMISSAS!$C$13)</f>
        <v>0</v>
      </c>
      <c r="S301" s="240"/>
      <c r="T301" s="240"/>
    </row>
    <row r="302" spans="2:20" x14ac:dyDescent="0.25">
      <c r="B302" s="21" t="str">
        <f t="shared" ca="1" si="32"/>
        <v/>
      </c>
      <c r="C302" s="22" t="str">
        <f ca="1">IF(B302="","",IF(LEFT(B302,2)="13",C301,IF(MONTH(B302)=1,C301*(1+PREMISSAS!$C$57),C301)))</f>
        <v/>
      </c>
      <c r="E302" s="18">
        <v>298</v>
      </c>
      <c r="F302" s="21">
        <f t="shared" ca="1" si="33"/>
        <v>45808</v>
      </c>
      <c r="G302" s="22">
        <f ca="1">IFERROR(VLOOKUP(F302,RESULTADOS!$O$5:$P$543,2,FALSE),VLOOKUP(F302,$B$5:$C$724,2,FALSE))</f>
        <v>0</v>
      </c>
      <c r="H302" s="4">
        <f ca="1">IF(F302&lt;PREMISSAS!$D$7,0,IFERROR(VLOOKUP(IF(LEFT(F302,2)="13",DATE(YEAR(F301),12,31),F302),IPCA!$A$3:$D$284,4,FALSE),1)*G302)</f>
        <v>0</v>
      </c>
      <c r="J302" s="21">
        <f t="shared" ca="1" si="28"/>
        <v>45808</v>
      </c>
      <c r="K302" s="4">
        <f t="shared" ca="1" si="29"/>
        <v>0</v>
      </c>
      <c r="M302" s="21">
        <f t="shared" ca="1" si="34"/>
        <v>45808</v>
      </c>
      <c r="N302" s="37">
        <f t="shared" ca="1" si="30"/>
        <v>0</v>
      </c>
      <c r="O302" s="4">
        <f ca="1">IFERROR(AVERAGEIF(N$5:$N302,"&gt;="&amp;_xlfn.PERCENTILE.EXC(N$5:$N302,0.2)),0)</f>
        <v>0</v>
      </c>
      <c r="Q302" s="21">
        <f t="shared" ca="1" si="31"/>
        <v>45808</v>
      </c>
      <c r="R302" s="4">
        <f ca="1">MIN(O302,PREMISSAS!$C$13)</f>
        <v>0</v>
      </c>
      <c r="S302" s="240"/>
      <c r="T302" s="240"/>
    </row>
    <row r="303" spans="2:20" x14ac:dyDescent="0.25">
      <c r="B303" s="21" t="str">
        <f t="shared" ca="1" si="32"/>
        <v/>
      </c>
      <c r="C303" s="22" t="str">
        <f ca="1">IF(B303="","",IF(LEFT(B303,2)="13",C302,IF(MONTH(B303)=1,C302*(1+PREMISSAS!$C$57),C302)))</f>
        <v/>
      </c>
      <c r="E303" s="18">
        <v>299</v>
      </c>
      <c r="F303" s="21">
        <f t="shared" ca="1" si="33"/>
        <v>45838</v>
      </c>
      <c r="G303" s="22">
        <f ca="1">IFERROR(VLOOKUP(F303,RESULTADOS!$O$5:$P$543,2,FALSE),VLOOKUP(F303,$B$5:$C$724,2,FALSE))</f>
        <v>0</v>
      </c>
      <c r="H303" s="4">
        <f ca="1">IF(F303&lt;PREMISSAS!$D$7,0,IFERROR(VLOOKUP(IF(LEFT(F303,2)="13",DATE(YEAR(F302),12,31),F303),IPCA!$A$3:$D$284,4,FALSE),1)*G303)</f>
        <v>0</v>
      </c>
      <c r="J303" s="21">
        <f t="shared" ca="1" si="28"/>
        <v>45838</v>
      </c>
      <c r="K303" s="4">
        <f t="shared" ca="1" si="29"/>
        <v>0</v>
      </c>
      <c r="M303" s="21">
        <f t="shared" ca="1" si="34"/>
        <v>45838</v>
      </c>
      <c r="N303" s="37">
        <f t="shared" ca="1" si="30"/>
        <v>0</v>
      </c>
      <c r="O303" s="4">
        <f ca="1">IFERROR(AVERAGEIF(N$5:$N303,"&gt;="&amp;_xlfn.PERCENTILE.EXC(N$5:$N303,0.2)),0)</f>
        <v>0</v>
      </c>
      <c r="Q303" s="21">
        <f t="shared" ca="1" si="31"/>
        <v>45838</v>
      </c>
      <c r="R303" s="4">
        <f ca="1">MIN(O303,PREMISSAS!$C$13)</f>
        <v>0</v>
      </c>
      <c r="S303" s="240"/>
      <c r="T303" s="240"/>
    </row>
    <row r="304" spans="2:20" x14ac:dyDescent="0.25">
      <c r="B304" s="21" t="str">
        <f t="shared" ca="1" si="32"/>
        <v/>
      </c>
      <c r="C304" s="22" t="str">
        <f ca="1">IF(B304="","",IF(LEFT(B304,2)="13",C303,IF(MONTH(B304)=1,C303*(1+PREMISSAS!$C$57),C303)))</f>
        <v/>
      </c>
      <c r="E304" s="18">
        <v>300</v>
      </c>
      <c r="F304" s="21">
        <f t="shared" ca="1" si="33"/>
        <v>45869</v>
      </c>
      <c r="G304" s="22">
        <f ca="1">IFERROR(VLOOKUP(F304,RESULTADOS!$O$5:$P$543,2,FALSE),VLOOKUP(F304,$B$5:$C$724,2,FALSE))</f>
        <v>0</v>
      </c>
      <c r="H304" s="4">
        <f ca="1">IF(F304&lt;PREMISSAS!$D$7,0,IFERROR(VLOOKUP(IF(LEFT(F304,2)="13",DATE(YEAR(F303),12,31),F304),IPCA!$A$3:$D$284,4,FALSE),1)*G304)</f>
        <v>0</v>
      </c>
      <c r="J304" s="21">
        <f t="shared" ca="1" si="28"/>
        <v>45869</v>
      </c>
      <c r="K304" s="4">
        <f t="shared" ca="1" si="29"/>
        <v>0</v>
      </c>
      <c r="M304" s="21">
        <f t="shared" ca="1" si="34"/>
        <v>45869</v>
      </c>
      <c r="N304" s="37">
        <f t="shared" ca="1" si="30"/>
        <v>0</v>
      </c>
      <c r="O304" s="4">
        <f ca="1">IFERROR(AVERAGEIF(N$5:$N304,"&gt;="&amp;_xlfn.PERCENTILE.EXC(N$5:$N304,0.2)),0)</f>
        <v>0</v>
      </c>
      <c r="Q304" s="21">
        <f t="shared" ca="1" si="31"/>
        <v>45869</v>
      </c>
      <c r="R304" s="4">
        <f ca="1">MIN(O304,PREMISSAS!$C$13)</f>
        <v>0</v>
      </c>
      <c r="S304" s="240"/>
      <c r="T304" s="240"/>
    </row>
    <row r="305" spans="2:20" x14ac:dyDescent="0.25">
      <c r="B305" s="21" t="str">
        <f t="shared" ca="1" si="32"/>
        <v/>
      </c>
      <c r="C305" s="22" t="str">
        <f ca="1">IF(B305="","",IF(LEFT(B305,2)="13",C304,IF(MONTH(B305)=1,C304*(1+PREMISSAS!$C$57),C304)))</f>
        <v/>
      </c>
      <c r="E305" s="18">
        <v>301</v>
      </c>
      <c r="F305" s="21">
        <f t="shared" ca="1" si="33"/>
        <v>45900</v>
      </c>
      <c r="G305" s="22">
        <f ca="1">IFERROR(VLOOKUP(F305,RESULTADOS!$O$5:$P$543,2,FALSE),VLOOKUP(F305,$B$5:$C$724,2,FALSE))</f>
        <v>0</v>
      </c>
      <c r="H305" s="4">
        <f ca="1">IF(F305&lt;PREMISSAS!$D$7,0,IFERROR(VLOOKUP(IF(LEFT(F305,2)="13",DATE(YEAR(F304),12,31),F305),IPCA!$A$3:$D$284,4,FALSE),1)*G305)</f>
        <v>0</v>
      </c>
      <c r="J305" s="21">
        <f t="shared" ca="1" si="28"/>
        <v>45900</v>
      </c>
      <c r="K305" s="4">
        <f t="shared" ca="1" si="29"/>
        <v>0</v>
      </c>
      <c r="M305" s="21">
        <f t="shared" ca="1" si="34"/>
        <v>45900</v>
      </c>
      <c r="N305" s="37">
        <f t="shared" ca="1" si="30"/>
        <v>0</v>
      </c>
      <c r="O305" s="4">
        <f ca="1">IFERROR(AVERAGEIF(N$5:$N305,"&gt;="&amp;_xlfn.PERCENTILE.EXC(N$5:$N305,0.2)),0)</f>
        <v>0</v>
      </c>
      <c r="Q305" s="21">
        <f t="shared" ca="1" si="31"/>
        <v>45900</v>
      </c>
      <c r="R305" s="4">
        <f ca="1">MIN(O305,PREMISSAS!$C$13)</f>
        <v>0</v>
      </c>
      <c r="S305" s="240"/>
      <c r="T305" s="240"/>
    </row>
    <row r="306" spans="2:20" x14ac:dyDescent="0.25">
      <c r="B306" s="21" t="str">
        <f t="shared" ca="1" si="32"/>
        <v/>
      </c>
      <c r="C306" s="22" t="str">
        <f ca="1">IF(B306="","",IF(LEFT(B306,2)="13",C305,IF(MONTH(B306)=1,C305*(1+PREMISSAS!$C$57),C305)))</f>
        <v/>
      </c>
      <c r="E306" s="18">
        <v>302</v>
      </c>
      <c r="F306" s="21">
        <f t="shared" ca="1" si="33"/>
        <v>45930</v>
      </c>
      <c r="G306" s="22">
        <f ca="1">IFERROR(VLOOKUP(F306,RESULTADOS!$O$5:$P$543,2,FALSE),VLOOKUP(F306,$B$5:$C$724,2,FALSE))</f>
        <v>0</v>
      </c>
      <c r="H306" s="4">
        <f ca="1">IF(F306&lt;PREMISSAS!$D$7,0,IFERROR(VLOOKUP(IF(LEFT(F306,2)="13",DATE(YEAR(F305),12,31),F306),IPCA!$A$3:$D$284,4,FALSE),1)*G306)</f>
        <v>0</v>
      </c>
      <c r="J306" s="21">
        <f t="shared" ca="1" si="28"/>
        <v>45930</v>
      </c>
      <c r="K306" s="4">
        <f t="shared" ca="1" si="29"/>
        <v>0</v>
      </c>
      <c r="M306" s="21">
        <f t="shared" ca="1" si="34"/>
        <v>45930</v>
      </c>
      <c r="N306" s="37">
        <f t="shared" ca="1" si="30"/>
        <v>0</v>
      </c>
      <c r="O306" s="4">
        <f ca="1">IFERROR(AVERAGEIF(N$5:$N306,"&gt;="&amp;_xlfn.PERCENTILE.EXC(N$5:$N306,0.2)),0)</f>
        <v>0</v>
      </c>
      <c r="Q306" s="21">
        <f t="shared" ca="1" si="31"/>
        <v>45930</v>
      </c>
      <c r="R306" s="4">
        <f ca="1">MIN(O306,PREMISSAS!$C$13)</f>
        <v>0</v>
      </c>
      <c r="S306" s="240"/>
      <c r="T306" s="240"/>
    </row>
    <row r="307" spans="2:20" x14ac:dyDescent="0.25">
      <c r="B307" s="21" t="str">
        <f t="shared" ca="1" si="32"/>
        <v/>
      </c>
      <c r="C307" s="22" t="str">
        <f ca="1">IF(B307="","",IF(LEFT(B307,2)="13",C306,IF(MONTH(B307)=1,C306*(1+PREMISSAS!$C$57),C306)))</f>
        <v/>
      </c>
      <c r="E307" s="18">
        <v>303</v>
      </c>
      <c r="F307" s="21">
        <f t="shared" ca="1" si="33"/>
        <v>45961</v>
      </c>
      <c r="G307" s="22">
        <f ca="1">IFERROR(VLOOKUP(F307,RESULTADOS!$O$5:$P$543,2,FALSE),VLOOKUP(F307,$B$5:$C$724,2,FALSE))</f>
        <v>0</v>
      </c>
      <c r="H307" s="4">
        <f ca="1">IF(F307&lt;PREMISSAS!$D$7,0,IFERROR(VLOOKUP(IF(LEFT(F307,2)="13",DATE(YEAR(F306),12,31),F307),IPCA!$A$3:$D$284,4,FALSE),1)*G307)</f>
        <v>0</v>
      </c>
      <c r="J307" s="21">
        <f t="shared" ca="1" si="28"/>
        <v>45961</v>
      </c>
      <c r="K307" s="4">
        <f t="shared" ca="1" si="29"/>
        <v>0</v>
      </c>
      <c r="M307" s="21">
        <f t="shared" ca="1" si="34"/>
        <v>45961</v>
      </c>
      <c r="N307" s="37">
        <f t="shared" ca="1" si="30"/>
        <v>0</v>
      </c>
      <c r="O307" s="4">
        <f ca="1">IFERROR(AVERAGEIF(N$5:$N307,"&gt;="&amp;_xlfn.PERCENTILE.EXC(N$5:$N307,0.2)),0)</f>
        <v>0</v>
      </c>
      <c r="Q307" s="21">
        <f t="shared" ca="1" si="31"/>
        <v>45961</v>
      </c>
      <c r="R307" s="4">
        <f ca="1">MIN(O307,PREMISSAS!$C$13)</f>
        <v>0</v>
      </c>
      <c r="S307" s="240"/>
      <c r="T307" s="240"/>
    </row>
    <row r="308" spans="2:20" x14ac:dyDescent="0.25">
      <c r="B308" s="21" t="str">
        <f t="shared" ca="1" si="32"/>
        <v/>
      </c>
      <c r="C308" s="22" t="str">
        <f ca="1">IF(B308="","",IF(LEFT(B308,2)="13",C307,IF(MONTH(B308)=1,C307*(1+PREMISSAS!$C$57),C307)))</f>
        <v/>
      </c>
      <c r="E308" s="18">
        <v>304</v>
      </c>
      <c r="F308" s="21">
        <f t="shared" ca="1" si="33"/>
        <v>45991</v>
      </c>
      <c r="G308" s="22">
        <f ca="1">IFERROR(VLOOKUP(F308,RESULTADOS!$O$5:$P$543,2,FALSE),VLOOKUP(F308,$B$5:$C$724,2,FALSE))</f>
        <v>0</v>
      </c>
      <c r="H308" s="4">
        <f ca="1">IF(F308&lt;PREMISSAS!$D$7,0,IFERROR(VLOOKUP(IF(LEFT(F308,2)="13",DATE(YEAR(F307),12,31),F308),IPCA!$A$3:$D$284,4,FALSE),1)*G308)</f>
        <v>0</v>
      </c>
      <c r="J308" s="21">
        <f t="shared" ca="1" si="28"/>
        <v>45991</v>
      </c>
      <c r="K308" s="4">
        <f t="shared" ca="1" si="29"/>
        <v>0</v>
      </c>
      <c r="M308" s="21">
        <f t="shared" ca="1" si="34"/>
        <v>45991</v>
      </c>
      <c r="N308" s="37">
        <f t="shared" ca="1" si="30"/>
        <v>0</v>
      </c>
      <c r="O308" s="4">
        <f ca="1">IFERROR(AVERAGEIF(N$5:$N308,"&gt;="&amp;_xlfn.PERCENTILE.EXC(N$5:$N308,0.2)),0)</f>
        <v>0</v>
      </c>
      <c r="Q308" s="21">
        <f t="shared" ca="1" si="31"/>
        <v>45991</v>
      </c>
      <c r="R308" s="4">
        <f ca="1">MIN(O308,PREMISSAS!$C$13)</f>
        <v>0</v>
      </c>
      <c r="S308" s="240"/>
      <c r="T308" s="240"/>
    </row>
    <row r="309" spans="2:20" x14ac:dyDescent="0.25">
      <c r="B309" s="21" t="str">
        <f t="shared" ca="1" si="32"/>
        <v/>
      </c>
      <c r="C309" s="22" t="str">
        <f ca="1">IF(B309="","",IF(LEFT(B309,2)="13",C308,IF(MONTH(B309)=1,C308*(1+PREMISSAS!$C$57),C308)))</f>
        <v/>
      </c>
      <c r="E309" s="18">
        <v>305</v>
      </c>
      <c r="F309" s="21" t="str">
        <f t="shared" ca="1" si="33"/>
        <v>13º 2025</v>
      </c>
      <c r="G309" s="22">
        <f ca="1">IFERROR(VLOOKUP(F309,RESULTADOS!$O$5:$P$543,2,FALSE),VLOOKUP(F309,$B$5:$C$724,2,FALSE))</f>
        <v>0</v>
      </c>
      <c r="H309" s="4">
        <f ca="1">IF(F309&lt;PREMISSAS!$D$7,0,IFERROR(VLOOKUP(IF(LEFT(F309,2)="13",DATE(YEAR(F308),12,31),F309),IPCA!$A$3:$D$284,4,FALSE),1)*G309)</f>
        <v>0</v>
      </c>
      <c r="J309" s="21" t="str">
        <f t="shared" ca="1" si="28"/>
        <v>13º 2025</v>
      </c>
      <c r="K309" s="4">
        <f t="shared" ca="1" si="29"/>
        <v>0</v>
      </c>
      <c r="M309" s="21" t="str">
        <f t="shared" ca="1" si="34"/>
        <v>13º 2025</v>
      </c>
      <c r="N309" s="37">
        <f t="shared" ca="1" si="30"/>
        <v>0</v>
      </c>
      <c r="O309" s="4">
        <f ca="1">IFERROR(AVERAGEIF(N$5:$N309,"&gt;="&amp;_xlfn.PERCENTILE.EXC(N$5:$N309,0.2)),0)</f>
        <v>0</v>
      </c>
      <c r="Q309" s="21" t="str">
        <f t="shared" ca="1" si="31"/>
        <v>13º 2025</v>
      </c>
      <c r="R309" s="4">
        <f ca="1">MIN(O309,PREMISSAS!$C$13)</f>
        <v>0</v>
      </c>
      <c r="S309" s="240"/>
      <c r="T309" s="240"/>
    </row>
    <row r="310" spans="2:20" x14ac:dyDescent="0.25">
      <c r="B310" s="21" t="str">
        <f t="shared" ca="1" si="32"/>
        <v/>
      </c>
      <c r="C310" s="22" t="str">
        <f ca="1">IF(B310="","",IF(LEFT(B310,2)="13",C309,IF(MONTH(B310)=1,C309*(1+PREMISSAS!$C$57),C309)))</f>
        <v/>
      </c>
      <c r="E310" s="18">
        <v>306</v>
      </c>
      <c r="F310" s="21">
        <f t="shared" ca="1" si="33"/>
        <v>46022</v>
      </c>
      <c r="G310" s="22">
        <f ca="1">IFERROR(VLOOKUP(F310,RESULTADOS!$O$5:$P$543,2,FALSE),VLOOKUP(F310,$B$5:$C$724,2,FALSE))</f>
        <v>0</v>
      </c>
      <c r="H310" s="4">
        <f ca="1">IF(F310&lt;PREMISSAS!$D$7,0,IFERROR(VLOOKUP(IF(LEFT(F310,2)="13",DATE(YEAR(F309),12,31),F310),IPCA!$A$3:$D$284,4,FALSE),1)*G310)</f>
        <v>0</v>
      </c>
      <c r="J310" s="21">
        <f t="shared" ca="1" si="28"/>
        <v>46022</v>
      </c>
      <c r="K310" s="4">
        <f t="shared" ca="1" si="29"/>
        <v>0</v>
      </c>
      <c r="M310" s="21">
        <f t="shared" ca="1" si="34"/>
        <v>46022</v>
      </c>
      <c r="N310" s="37">
        <f t="shared" ca="1" si="30"/>
        <v>0</v>
      </c>
      <c r="O310" s="4">
        <f ca="1">IFERROR(AVERAGEIF(N$5:$N310,"&gt;="&amp;_xlfn.PERCENTILE.EXC(N$5:$N310,0.2)),0)</f>
        <v>0</v>
      </c>
      <c r="Q310" s="21">
        <f t="shared" ca="1" si="31"/>
        <v>46022</v>
      </c>
      <c r="R310" s="4">
        <f ca="1">MIN(O310,PREMISSAS!$C$13)</f>
        <v>0</v>
      </c>
      <c r="S310" s="240"/>
      <c r="T310" s="240"/>
    </row>
    <row r="311" spans="2:20" x14ac:dyDescent="0.25">
      <c r="B311" s="21" t="str">
        <f t="shared" ca="1" si="32"/>
        <v/>
      </c>
      <c r="C311" s="22" t="str">
        <f ca="1">IF(B311="","",IF(LEFT(B311,2)="13",C310,IF(MONTH(B311)=1,C310*(1+PREMISSAS!$C$57),C310)))</f>
        <v/>
      </c>
      <c r="E311" s="18">
        <v>307</v>
      </c>
      <c r="F311" s="21">
        <f t="shared" ca="1" si="33"/>
        <v>46053</v>
      </c>
      <c r="G311" s="22">
        <f ca="1">IFERROR(VLOOKUP(F311,RESULTADOS!$O$5:$P$543,2,FALSE),VLOOKUP(F311,$B$5:$C$724,2,FALSE))</f>
        <v>0</v>
      </c>
      <c r="H311" s="4">
        <f ca="1">IF(F311&lt;PREMISSAS!$D$7,0,IFERROR(VLOOKUP(IF(LEFT(F311,2)="13",DATE(YEAR(F310),12,31),F311),IPCA!$A$3:$D$284,4,FALSE),1)*G311)</f>
        <v>0</v>
      </c>
      <c r="J311" s="21">
        <f t="shared" ca="1" si="28"/>
        <v>46053</v>
      </c>
      <c r="K311" s="4">
        <f t="shared" ca="1" si="29"/>
        <v>0</v>
      </c>
      <c r="M311" s="21">
        <f t="shared" ca="1" si="34"/>
        <v>46053</v>
      </c>
      <c r="N311" s="37">
        <f t="shared" ca="1" si="30"/>
        <v>0</v>
      </c>
      <c r="O311" s="4">
        <f ca="1">IFERROR(AVERAGEIF(N$5:$N311,"&gt;="&amp;_xlfn.PERCENTILE.EXC(N$5:$N311,0.2)),0)</f>
        <v>0</v>
      </c>
      <c r="Q311" s="21">
        <f t="shared" ca="1" si="31"/>
        <v>46053</v>
      </c>
      <c r="R311" s="4">
        <f ca="1">MIN(O311,PREMISSAS!$C$13)</f>
        <v>0</v>
      </c>
      <c r="S311" s="240"/>
      <c r="T311" s="240"/>
    </row>
    <row r="312" spans="2:20" x14ac:dyDescent="0.25">
      <c r="B312" s="21" t="str">
        <f t="shared" ca="1" si="32"/>
        <v/>
      </c>
      <c r="C312" s="22" t="str">
        <f ca="1">IF(B312="","",IF(LEFT(B312,2)="13",C311,IF(MONTH(B312)=1,C311*(1+PREMISSAS!$C$57),C311)))</f>
        <v/>
      </c>
      <c r="E312" s="18">
        <v>308</v>
      </c>
      <c r="F312" s="21">
        <f t="shared" ca="1" si="33"/>
        <v>46081</v>
      </c>
      <c r="G312" s="22">
        <f ca="1">IFERROR(VLOOKUP(F312,RESULTADOS!$O$5:$P$543,2,FALSE),VLOOKUP(F312,$B$5:$C$724,2,FALSE))</f>
        <v>0</v>
      </c>
      <c r="H312" s="4">
        <f ca="1">IF(F312&lt;PREMISSAS!$D$7,0,IFERROR(VLOOKUP(IF(LEFT(F312,2)="13",DATE(YEAR(F311),12,31),F312),IPCA!$A$3:$D$284,4,FALSE),1)*G312)</f>
        <v>0</v>
      </c>
      <c r="J312" s="21">
        <f t="shared" ca="1" si="28"/>
        <v>46081</v>
      </c>
      <c r="K312" s="4">
        <f t="shared" ca="1" si="29"/>
        <v>0</v>
      </c>
      <c r="M312" s="21">
        <f t="shared" ca="1" si="34"/>
        <v>46081</v>
      </c>
      <c r="N312" s="37">
        <f t="shared" ca="1" si="30"/>
        <v>0</v>
      </c>
      <c r="O312" s="4">
        <f ca="1">IFERROR(AVERAGEIF(N$5:$N312,"&gt;="&amp;_xlfn.PERCENTILE.EXC(N$5:$N312,0.2)),0)</f>
        <v>0</v>
      </c>
      <c r="Q312" s="21">
        <f t="shared" ca="1" si="31"/>
        <v>46081</v>
      </c>
      <c r="R312" s="4">
        <f ca="1">MIN(O312,PREMISSAS!$C$13)</f>
        <v>0</v>
      </c>
      <c r="S312" s="240"/>
      <c r="T312" s="240"/>
    </row>
    <row r="313" spans="2:20" x14ac:dyDescent="0.25">
      <c r="B313" s="21" t="str">
        <f t="shared" ca="1" si="32"/>
        <v/>
      </c>
      <c r="C313" s="22" t="str">
        <f ca="1">IF(B313="","",IF(LEFT(B313,2)="13",C312,IF(MONTH(B313)=1,C312*(1+PREMISSAS!$C$57),C312)))</f>
        <v/>
      </c>
      <c r="E313" s="18">
        <v>309</v>
      </c>
      <c r="F313" s="21">
        <f t="shared" ca="1" si="33"/>
        <v>46112</v>
      </c>
      <c r="G313" s="22">
        <f ca="1">IFERROR(VLOOKUP(F313,RESULTADOS!$O$5:$P$543,2,FALSE),VLOOKUP(F313,$B$5:$C$724,2,FALSE))</f>
        <v>0</v>
      </c>
      <c r="H313" s="4">
        <f ca="1">IF(F313&lt;PREMISSAS!$D$7,0,IFERROR(VLOOKUP(IF(LEFT(F313,2)="13",DATE(YEAR(F312),12,31),F313),IPCA!$A$3:$D$284,4,FALSE),1)*G313)</f>
        <v>0</v>
      </c>
      <c r="J313" s="21">
        <f t="shared" ca="1" si="28"/>
        <v>46112</v>
      </c>
      <c r="K313" s="4">
        <f t="shared" ca="1" si="29"/>
        <v>0</v>
      </c>
      <c r="M313" s="21">
        <f t="shared" ca="1" si="34"/>
        <v>46112</v>
      </c>
      <c r="N313" s="37">
        <f t="shared" ca="1" si="30"/>
        <v>0</v>
      </c>
      <c r="O313" s="4">
        <f ca="1">IFERROR(AVERAGEIF(N$5:$N313,"&gt;="&amp;_xlfn.PERCENTILE.EXC(N$5:$N313,0.2)),0)</f>
        <v>0</v>
      </c>
      <c r="Q313" s="21">
        <f t="shared" ca="1" si="31"/>
        <v>46112</v>
      </c>
      <c r="R313" s="4">
        <f ca="1">MIN(O313,PREMISSAS!$C$13)</f>
        <v>0</v>
      </c>
      <c r="S313" s="240"/>
      <c r="T313" s="240"/>
    </row>
    <row r="314" spans="2:20" x14ac:dyDescent="0.25">
      <c r="B314" s="21" t="str">
        <f t="shared" ca="1" si="32"/>
        <v/>
      </c>
      <c r="C314" s="22" t="str">
        <f ca="1">IF(B314="","",IF(LEFT(B314,2)="13",C313,IF(MONTH(B314)=1,C313*(1+PREMISSAS!$C$57),C313)))</f>
        <v/>
      </c>
      <c r="E314" s="18">
        <v>310</v>
      </c>
      <c r="F314" s="21">
        <f t="shared" ca="1" si="33"/>
        <v>46142</v>
      </c>
      <c r="G314" s="22">
        <f ca="1">IFERROR(VLOOKUP(F314,RESULTADOS!$O$5:$P$543,2,FALSE),VLOOKUP(F314,$B$5:$C$724,2,FALSE))</f>
        <v>0</v>
      </c>
      <c r="H314" s="4">
        <f ca="1">IF(F314&lt;PREMISSAS!$D$7,0,IFERROR(VLOOKUP(IF(LEFT(F314,2)="13",DATE(YEAR(F313),12,31),F314),IPCA!$A$3:$D$284,4,FALSE),1)*G314)</f>
        <v>0</v>
      </c>
      <c r="J314" s="21">
        <f t="shared" ca="1" si="28"/>
        <v>46142</v>
      </c>
      <c r="K314" s="4">
        <f t="shared" ca="1" si="29"/>
        <v>0</v>
      </c>
      <c r="M314" s="21">
        <f t="shared" ca="1" si="34"/>
        <v>46142</v>
      </c>
      <c r="N314" s="37">
        <f t="shared" ca="1" si="30"/>
        <v>0</v>
      </c>
      <c r="O314" s="4">
        <f ca="1">IFERROR(AVERAGEIF(N$5:$N314,"&gt;="&amp;_xlfn.PERCENTILE.EXC(N$5:$N314,0.2)),0)</f>
        <v>0</v>
      </c>
      <c r="Q314" s="21">
        <f t="shared" ca="1" si="31"/>
        <v>46142</v>
      </c>
      <c r="R314" s="4">
        <f ca="1">MIN(O314,PREMISSAS!$C$13)</f>
        <v>0</v>
      </c>
      <c r="S314" s="240"/>
      <c r="T314" s="240"/>
    </row>
    <row r="315" spans="2:20" x14ac:dyDescent="0.25">
      <c r="B315" s="21" t="str">
        <f t="shared" ca="1" si="32"/>
        <v/>
      </c>
      <c r="C315" s="22" t="str">
        <f ca="1">IF(B315="","",IF(LEFT(B315,2)="13",C314,IF(MONTH(B315)=1,C314*(1+PREMISSAS!$C$57),C314)))</f>
        <v/>
      </c>
      <c r="E315" s="18">
        <v>311</v>
      </c>
      <c r="F315" s="21">
        <f t="shared" ca="1" si="33"/>
        <v>46173</v>
      </c>
      <c r="G315" s="22">
        <f ca="1">IFERROR(VLOOKUP(F315,RESULTADOS!$O$5:$P$543,2,FALSE),VLOOKUP(F315,$B$5:$C$724,2,FALSE))</f>
        <v>0</v>
      </c>
      <c r="H315" s="4">
        <f ca="1">IF(F315&lt;PREMISSAS!$D$7,0,IFERROR(VLOOKUP(IF(LEFT(F315,2)="13",DATE(YEAR(F314),12,31),F315),IPCA!$A$3:$D$284,4,FALSE),1)*G315)</f>
        <v>0</v>
      </c>
      <c r="J315" s="21">
        <f t="shared" ca="1" si="28"/>
        <v>46173</v>
      </c>
      <c r="K315" s="4">
        <f t="shared" ca="1" si="29"/>
        <v>0</v>
      </c>
      <c r="M315" s="21">
        <f t="shared" ca="1" si="34"/>
        <v>46173</v>
      </c>
      <c r="N315" s="37">
        <f t="shared" ca="1" si="30"/>
        <v>0</v>
      </c>
      <c r="O315" s="4">
        <f ca="1">IFERROR(AVERAGEIF(N$5:$N315,"&gt;="&amp;_xlfn.PERCENTILE.EXC(N$5:$N315,0.2)),0)</f>
        <v>0</v>
      </c>
      <c r="Q315" s="21">
        <f t="shared" ca="1" si="31"/>
        <v>46173</v>
      </c>
      <c r="R315" s="4">
        <f ca="1">MIN(O315,PREMISSAS!$C$13)</f>
        <v>0</v>
      </c>
      <c r="S315" s="240"/>
      <c r="T315" s="240"/>
    </row>
    <row r="316" spans="2:20" x14ac:dyDescent="0.25">
      <c r="B316" s="21" t="str">
        <f t="shared" ca="1" si="32"/>
        <v/>
      </c>
      <c r="C316" s="22" t="str">
        <f ca="1">IF(B316="","",IF(LEFT(B316,2)="13",C315,IF(MONTH(B316)=1,C315*(1+PREMISSAS!$C$57),C315)))</f>
        <v/>
      </c>
      <c r="E316" s="18">
        <v>312</v>
      </c>
      <c r="F316" s="21">
        <f t="shared" ca="1" si="33"/>
        <v>46203</v>
      </c>
      <c r="G316" s="22">
        <f ca="1">IFERROR(VLOOKUP(F316,RESULTADOS!$O$5:$P$543,2,FALSE),VLOOKUP(F316,$B$5:$C$724,2,FALSE))</f>
        <v>0</v>
      </c>
      <c r="H316" s="4">
        <f ca="1">IF(F316&lt;PREMISSAS!$D$7,0,IFERROR(VLOOKUP(IF(LEFT(F316,2)="13",DATE(YEAR(F315),12,31),F316),IPCA!$A$3:$D$284,4,FALSE),1)*G316)</f>
        <v>0</v>
      </c>
      <c r="J316" s="21">
        <f t="shared" ca="1" si="28"/>
        <v>46203</v>
      </c>
      <c r="K316" s="4">
        <f t="shared" ca="1" si="29"/>
        <v>0</v>
      </c>
      <c r="M316" s="21">
        <f t="shared" ca="1" si="34"/>
        <v>46203</v>
      </c>
      <c r="N316" s="37">
        <f t="shared" ca="1" si="30"/>
        <v>0</v>
      </c>
      <c r="O316" s="4">
        <f ca="1">IFERROR(AVERAGEIF(N$5:$N316,"&gt;="&amp;_xlfn.PERCENTILE.EXC(N$5:$N316,0.2)),0)</f>
        <v>0</v>
      </c>
      <c r="Q316" s="21">
        <f t="shared" ca="1" si="31"/>
        <v>46203</v>
      </c>
      <c r="R316" s="4">
        <f ca="1">MIN(O316,PREMISSAS!$C$13)</f>
        <v>0</v>
      </c>
      <c r="S316" s="240"/>
      <c r="T316" s="240"/>
    </row>
    <row r="317" spans="2:20" x14ac:dyDescent="0.25">
      <c r="B317" s="21" t="str">
        <f t="shared" ca="1" si="32"/>
        <v/>
      </c>
      <c r="C317" s="22" t="str">
        <f ca="1">IF(B317="","",IF(LEFT(B317,2)="13",C316,IF(MONTH(B317)=1,C316*(1+PREMISSAS!$C$57),C316)))</f>
        <v/>
      </c>
      <c r="E317" s="18">
        <v>313</v>
      </c>
      <c r="F317" s="21">
        <f t="shared" ca="1" si="33"/>
        <v>46234</v>
      </c>
      <c r="G317" s="22">
        <f ca="1">IFERROR(VLOOKUP(F317,RESULTADOS!$O$5:$P$543,2,FALSE),VLOOKUP(F317,$B$5:$C$724,2,FALSE))</f>
        <v>0</v>
      </c>
      <c r="H317" s="4">
        <f ca="1">IF(F317&lt;PREMISSAS!$D$7,0,IFERROR(VLOOKUP(IF(LEFT(F317,2)="13",DATE(YEAR(F316),12,31),F317),IPCA!$A$3:$D$284,4,FALSE),1)*G317)</f>
        <v>0</v>
      </c>
      <c r="J317" s="21">
        <f t="shared" ca="1" si="28"/>
        <v>46234</v>
      </c>
      <c r="K317" s="4">
        <f t="shared" ca="1" si="29"/>
        <v>0</v>
      </c>
      <c r="M317" s="21">
        <f t="shared" ca="1" si="34"/>
        <v>46234</v>
      </c>
      <c r="N317" s="37">
        <f t="shared" ca="1" si="30"/>
        <v>0</v>
      </c>
      <c r="O317" s="4">
        <f ca="1">IFERROR(AVERAGEIF(N$5:$N317,"&gt;="&amp;_xlfn.PERCENTILE.EXC(N$5:$N317,0.2)),0)</f>
        <v>0</v>
      </c>
      <c r="Q317" s="21">
        <f t="shared" ca="1" si="31"/>
        <v>46234</v>
      </c>
      <c r="R317" s="4">
        <f ca="1">MIN(O317,PREMISSAS!$C$13)</f>
        <v>0</v>
      </c>
      <c r="S317" s="240"/>
      <c r="T317" s="240"/>
    </row>
    <row r="318" spans="2:20" x14ac:dyDescent="0.25">
      <c r="B318" s="21" t="str">
        <f t="shared" ca="1" si="32"/>
        <v/>
      </c>
      <c r="C318" s="22" t="str">
        <f ca="1">IF(B318="","",IF(LEFT(B318,2)="13",C317,IF(MONTH(B318)=1,C317*(1+PREMISSAS!$C$57),C317)))</f>
        <v/>
      </c>
      <c r="E318" s="18">
        <v>314</v>
      </c>
      <c r="F318" s="21">
        <f t="shared" ca="1" si="33"/>
        <v>46265</v>
      </c>
      <c r="G318" s="22">
        <f ca="1">IFERROR(VLOOKUP(F318,RESULTADOS!$O$5:$P$543,2,FALSE),VLOOKUP(F318,$B$5:$C$724,2,FALSE))</f>
        <v>0</v>
      </c>
      <c r="H318" s="4">
        <f ca="1">IF(F318&lt;PREMISSAS!$D$7,0,IFERROR(VLOOKUP(IF(LEFT(F318,2)="13",DATE(YEAR(F317),12,31),F318),IPCA!$A$3:$D$284,4,FALSE),1)*G318)</f>
        <v>0</v>
      </c>
      <c r="J318" s="21">
        <f t="shared" ca="1" si="28"/>
        <v>46265</v>
      </c>
      <c r="K318" s="4">
        <f t="shared" ca="1" si="29"/>
        <v>0</v>
      </c>
      <c r="M318" s="21">
        <f t="shared" ca="1" si="34"/>
        <v>46265</v>
      </c>
      <c r="N318" s="37">
        <f t="shared" ca="1" si="30"/>
        <v>0</v>
      </c>
      <c r="O318" s="4">
        <f ca="1">IFERROR(AVERAGEIF(N$5:$N318,"&gt;="&amp;_xlfn.PERCENTILE.EXC(N$5:$N318,0.2)),0)</f>
        <v>0</v>
      </c>
      <c r="Q318" s="21">
        <f t="shared" ca="1" si="31"/>
        <v>46265</v>
      </c>
      <c r="R318" s="4">
        <f ca="1">MIN(O318,PREMISSAS!$C$13)</f>
        <v>0</v>
      </c>
      <c r="S318" s="240"/>
      <c r="T318" s="240"/>
    </row>
    <row r="319" spans="2:20" x14ac:dyDescent="0.25">
      <c r="B319" s="21" t="str">
        <f t="shared" ca="1" si="32"/>
        <v/>
      </c>
      <c r="C319" s="22" t="str">
        <f ca="1">IF(B319="","",IF(LEFT(B319,2)="13",C318,IF(MONTH(B319)=1,C318*(1+PREMISSAS!$C$57),C318)))</f>
        <v/>
      </c>
      <c r="E319" s="18">
        <v>315</v>
      </c>
      <c r="F319" s="21">
        <f t="shared" ca="1" si="33"/>
        <v>46295</v>
      </c>
      <c r="G319" s="22">
        <f ca="1">IFERROR(VLOOKUP(F319,RESULTADOS!$O$5:$P$543,2,FALSE),VLOOKUP(F319,$B$5:$C$724,2,FALSE))</f>
        <v>0</v>
      </c>
      <c r="H319" s="4">
        <f ca="1">IF(F319&lt;PREMISSAS!$D$7,0,IFERROR(VLOOKUP(IF(LEFT(F319,2)="13",DATE(YEAR(F318),12,31),F319),IPCA!$A$3:$D$284,4,FALSE),1)*G319)</f>
        <v>0</v>
      </c>
      <c r="J319" s="21">
        <f t="shared" ca="1" si="28"/>
        <v>46295</v>
      </c>
      <c r="K319" s="4">
        <f t="shared" ca="1" si="29"/>
        <v>0</v>
      </c>
      <c r="M319" s="21">
        <f t="shared" ca="1" si="34"/>
        <v>46295</v>
      </c>
      <c r="N319" s="37">
        <f t="shared" ca="1" si="30"/>
        <v>0</v>
      </c>
      <c r="O319" s="4">
        <f ca="1">IFERROR(AVERAGEIF(N$5:$N319,"&gt;="&amp;_xlfn.PERCENTILE.EXC(N$5:$N319,0.2)),0)</f>
        <v>0</v>
      </c>
      <c r="Q319" s="21">
        <f t="shared" ca="1" si="31"/>
        <v>46295</v>
      </c>
      <c r="R319" s="4">
        <f ca="1">MIN(O319,PREMISSAS!$C$13)</f>
        <v>0</v>
      </c>
      <c r="S319" s="240"/>
      <c r="T319" s="240"/>
    </row>
    <row r="320" spans="2:20" x14ac:dyDescent="0.25">
      <c r="B320" s="21" t="str">
        <f t="shared" ca="1" si="32"/>
        <v/>
      </c>
      <c r="C320" s="22" t="str">
        <f ca="1">IF(B320="","",IF(LEFT(B320,2)="13",C319,IF(MONTH(B320)=1,C319*(1+PREMISSAS!$C$57),C319)))</f>
        <v/>
      </c>
      <c r="E320" s="18">
        <v>316</v>
      </c>
      <c r="F320" s="21">
        <f t="shared" ca="1" si="33"/>
        <v>46326</v>
      </c>
      <c r="G320" s="22">
        <f ca="1">IFERROR(VLOOKUP(F320,RESULTADOS!$O$5:$P$543,2,FALSE),VLOOKUP(F320,$B$5:$C$724,2,FALSE))</f>
        <v>0</v>
      </c>
      <c r="H320" s="4">
        <f ca="1">IF(F320&lt;PREMISSAS!$D$7,0,IFERROR(VLOOKUP(IF(LEFT(F320,2)="13",DATE(YEAR(F319),12,31),F320),IPCA!$A$3:$D$284,4,FALSE),1)*G320)</f>
        <v>0</v>
      </c>
      <c r="J320" s="21">
        <f t="shared" ca="1" si="28"/>
        <v>46326</v>
      </c>
      <c r="K320" s="4">
        <f t="shared" ca="1" si="29"/>
        <v>0</v>
      </c>
      <c r="M320" s="21">
        <f t="shared" ca="1" si="34"/>
        <v>46326</v>
      </c>
      <c r="N320" s="37">
        <f t="shared" ca="1" si="30"/>
        <v>0</v>
      </c>
      <c r="O320" s="4">
        <f ca="1">IFERROR(AVERAGEIF(N$5:$N320,"&gt;="&amp;_xlfn.PERCENTILE.EXC(N$5:$N320,0.2)),0)</f>
        <v>0</v>
      </c>
      <c r="Q320" s="21">
        <f t="shared" ca="1" si="31"/>
        <v>46326</v>
      </c>
      <c r="R320" s="4">
        <f ca="1">MIN(O320,PREMISSAS!$C$13)</f>
        <v>0</v>
      </c>
      <c r="S320" s="240"/>
      <c r="T320" s="240"/>
    </row>
    <row r="321" spans="2:20" x14ac:dyDescent="0.25">
      <c r="B321" s="21" t="str">
        <f t="shared" ca="1" si="32"/>
        <v/>
      </c>
      <c r="C321" s="22" t="str">
        <f ca="1">IF(B321="","",IF(LEFT(B321,2)="13",C320,IF(MONTH(B321)=1,C320*(1+PREMISSAS!$C$57),C320)))</f>
        <v/>
      </c>
      <c r="E321" s="18">
        <v>317</v>
      </c>
      <c r="F321" s="21">
        <f t="shared" ca="1" si="33"/>
        <v>46356</v>
      </c>
      <c r="G321" s="22">
        <f ca="1">IFERROR(VLOOKUP(F321,RESULTADOS!$O$5:$P$543,2,FALSE),VLOOKUP(F321,$B$5:$C$724,2,FALSE))</f>
        <v>0</v>
      </c>
      <c r="H321" s="4">
        <f ca="1">IF(F321&lt;PREMISSAS!$D$7,0,IFERROR(VLOOKUP(IF(LEFT(F321,2)="13",DATE(YEAR(F320),12,31),F321),IPCA!$A$3:$D$284,4,FALSE),1)*G321)</f>
        <v>0</v>
      </c>
      <c r="J321" s="21">
        <f t="shared" ca="1" si="28"/>
        <v>46356</v>
      </c>
      <c r="K321" s="4">
        <f t="shared" ca="1" si="29"/>
        <v>0</v>
      </c>
      <c r="M321" s="21">
        <f t="shared" ca="1" si="34"/>
        <v>46356</v>
      </c>
      <c r="N321" s="37">
        <f t="shared" ca="1" si="30"/>
        <v>0</v>
      </c>
      <c r="O321" s="4">
        <f ca="1">IFERROR(AVERAGEIF(N$5:$N321,"&gt;="&amp;_xlfn.PERCENTILE.EXC(N$5:$N321,0.2)),0)</f>
        <v>0</v>
      </c>
      <c r="Q321" s="21">
        <f t="shared" ca="1" si="31"/>
        <v>46356</v>
      </c>
      <c r="R321" s="4">
        <f ca="1">MIN(O321,PREMISSAS!$C$13)</f>
        <v>0</v>
      </c>
      <c r="S321" s="240"/>
      <c r="T321" s="240"/>
    </row>
    <row r="322" spans="2:20" x14ac:dyDescent="0.25">
      <c r="B322" s="21" t="str">
        <f t="shared" ca="1" si="32"/>
        <v/>
      </c>
      <c r="C322" s="22" t="str">
        <f ca="1">IF(B322="","",IF(LEFT(B322,2)="13",C321,IF(MONTH(B322)=1,C321*(1+PREMISSAS!$C$57),C321)))</f>
        <v/>
      </c>
      <c r="E322" s="18">
        <v>318</v>
      </c>
      <c r="F322" s="21" t="str">
        <f t="shared" ca="1" si="33"/>
        <v>13º 2026</v>
      </c>
      <c r="G322" s="22">
        <f ca="1">IFERROR(VLOOKUP(F322,RESULTADOS!$O$5:$P$543,2,FALSE),VLOOKUP(F322,$B$5:$C$724,2,FALSE))</f>
        <v>0</v>
      </c>
      <c r="H322" s="4">
        <f ca="1">IF(F322&lt;PREMISSAS!$D$7,0,IFERROR(VLOOKUP(IF(LEFT(F322,2)="13",DATE(YEAR(F321),12,31),F322),IPCA!$A$3:$D$284,4,FALSE),1)*G322)</f>
        <v>0</v>
      </c>
      <c r="J322" s="21" t="str">
        <f t="shared" ca="1" si="28"/>
        <v>13º 2026</v>
      </c>
      <c r="K322" s="4">
        <f t="shared" ca="1" si="29"/>
        <v>0</v>
      </c>
      <c r="M322" s="21" t="str">
        <f t="shared" ca="1" si="34"/>
        <v>13º 2026</v>
      </c>
      <c r="N322" s="37">
        <f t="shared" ca="1" si="30"/>
        <v>0</v>
      </c>
      <c r="O322" s="4">
        <f ca="1">IFERROR(AVERAGEIF(N$5:$N322,"&gt;="&amp;_xlfn.PERCENTILE.EXC(N$5:$N322,0.2)),0)</f>
        <v>0</v>
      </c>
      <c r="Q322" s="21" t="str">
        <f t="shared" ca="1" si="31"/>
        <v>13º 2026</v>
      </c>
      <c r="R322" s="4">
        <f ca="1">MIN(O322,PREMISSAS!$C$13)</f>
        <v>0</v>
      </c>
      <c r="S322" s="240"/>
      <c r="T322" s="240"/>
    </row>
    <row r="323" spans="2:20" x14ac:dyDescent="0.25">
      <c r="B323" s="21" t="str">
        <f t="shared" ca="1" si="32"/>
        <v/>
      </c>
      <c r="C323" s="22" t="str">
        <f ca="1">IF(B323="","",IF(LEFT(B323,2)="13",C322,IF(MONTH(B323)=1,C322*(1+PREMISSAS!$C$57),C322)))</f>
        <v/>
      </c>
      <c r="E323" s="18">
        <v>319</v>
      </c>
      <c r="F323" s="21">
        <f t="shared" ca="1" si="33"/>
        <v>46387</v>
      </c>
      <c r="G323" s="22">
        <f ca="1">IFERROR(VLOOKUP(F323,RESULTADOS!$O$5:$P$543,2,FALSE),VLOOKUP(F323,$B$5:$C$724,2,FALSE))</f>
        <v>0</v>
      </c>
      <c r="H323" s="4">
        <f ca="1">IF(F323&lt;PREMISSAS!$D$7,0,IFERROR(VLOOKUP(IF(LEFT(F323,2)="13",DATE(YEAR(F322),12,31),F323),IPCA!$A$3:$D$284,4,FALSE),1)*G323)</f>
        <v>0</v>
      </c>
      <c r="J323" s="21">
        <f t="shared" ca="1" si="28"/>
        <v>46387</v>
      </c>
      <c r="K323" s="4">
        <f t="shared" ca="1" si="29"/>
        <v>0</v>
      </c>
      <c r="M323" s="21">
        <f t="shared" ca="1" si="34"/>
        <v>46387</v>
      </c>
      <c r="N323" s="37">
        <f t="shared" ca="1" si="30"/>
        <v>0</v>
      </c>
      <c r="O323" s="4">
        <f ca="1">IFERROR(AVERAGEIF(N$5:$N323,"&gt;="&amp;_xlfn.PERCENTILE.EXC(N$5:$N323,0.2)),0)</f>
        <v>0</v>
      </c>
      <c r="Q323" s="21">
        <f t="shared" ca="1" si="31"/>
        <v>46387</v>
      </c>
      <c r="R323" s="4">
        <f ca="1">MIN(O323,PREMISSAS!$C$13)</f>
        <v>0</v>
      </c>
      <c r="S323" s="240"/>
      <c r="T323" s="240"/>
    </row>
    <row r="324" spans="2:20" x14ac:dyDescent="0.25">
      <c r="B324" s="21" t="str">
        <f t="shared" ca="1" si="32"/>
        <v/>
      </c>
      <c r="C324" s="22" t="str">
        <f ca="1">IF(B324="","",IF(LEFT(B324,2)="13",C323,IF(MONTH(B324)=1,C323*(1+PREMISSAS!$C$57),C323)))</f>
        <v/>
      </c>
      <c r="E324" s="18">
        <v>320</v>
      </c>
      <c r="F324" s="21">
        <f t="shared" ca="1" si="33"/>
        <v>46418</v>
      </c>
      <c r="G324" s="22">
        <f ca="1">IFERROR(VLOOKUP(F324,RESULTADOS!$O$5:$P$543,2,FALSE),VLOOKUP(F324,$B$5:$C$724,2,FALSE))</f>
        <v>0</v>
      </c>
      <c r="H324" s="4">
        <f ca="1">IF(F324&lt;PREMISSAS!$D$7,0,IFERROR(VLOOKUP(IF(LEFT(F324,2)="13",DATE(YEAR(F323),12,31),F324),IPCA!$A$3:$D$284,4,FALSE),1)*G324)</f>
        <v>0</v>
      </c>
      <c r="J324" s="21">
        <f t="shared" ca="1" si="28"/>
        <v>46418</v>
      </c>
      <c r="K324" s="4">
        <f t="shared" ca="1" si="29"/>
        <v>0</v>
      </c>
      <c r="M324" s="21">
        <f t="shared" ca="1" si="34"/>
        <v>46418</v>
      </c>
      <c r="N324" s="37">
        <f t="shared" ca="1" si="30"/>
        <v>0</v>
      </c>
      <c r="O324" s="4">
        <f ca="1">IFERROR(AVERAGEIF(N$5:$N324,"&gt;="&amp;_xlfn.PERCENTILE.EXC(N$5:$N324,0.2)),0)</f>
        <v>0</v>
      </c>
      <c r="Q324" s="21">
        <f t="shared" ca="1" si="31"/>
        <v>46418</v>
      </c>
      <c r="R324" s="4">
        <f ca="1">MIN(O324,PREMISSAS!$C$13)</f>
        <v>0</v>
      </c>
      <c r="S324" s="240"/>
      <c r="T324" s="240"/>
    </row>
    <row r="325" spans="2:20" x14ac:dyDescent="0.25">
      <c r="B325" s="21" t="str">
        <f t="shared" ca="1" si="32"/>
        <v/>
      </c>
      <c r="C325" s="22" t="str">
        <f ca="1">IF(B325="","",IF(LEFT(B325,2)="13",C324,IF(MONTH(B325)=1,C324*(1+PREMISSAS!$C$57),C324)))</f>
        <v/>
      </c>
      <c r="E325" s="18">
        <v>321</v>
      </c>
      <c r="F325" s="21">
        <f t="shared" ca="1" si="33"/>
        <v>46446</v>
      </c>
      <c r="G325" s="22">
        <f ca="1">IFERROR(VLOOKUP(F325,RESULTADOS!$O$5:$P$543,2,FALSE),VLOOKUP(F325,$B$5:$C$724,2,FALSE))</f>
        <v>0</v>
      </c>
      <c r="H325" s="4">
        <f ca="1">IF(F325&lt;PREMISSAS!$D$7,0,IFERROR(VLOOKUP(IF(LEFT(F325,2)="13",DATE(YEAR(F324),12,31),F325),IPCA!$A$3:$D$284,4,FALSE),1)*G325)</f>
        <v>0</v>
      </c>
      <c r="J325" s="21">
        <f t="shared" ref="J325:J388" ca="1" si="35">F325</f>
        <v>46446</v>
      </c>
      <c r="K325" s="4">
        <f t="shared" ref="K325:K388" ca="1" si="36">G325</f>
        <v>0</v>
      </c>
      <c r="M325" s="21">
        <f t="shared" ca="1" si="34"/>
        <v>46446</v>
      </c>
      <c r="N325" s="37">
        <f t="shared" ca="1" si="30"/>
        <v>0</v>
      </c>
      <c r="O325" s="4">
        <f ca="1">IFERROR(AVERAGEIF(N$5:$N325,"&gt;="&amp;_xlfn.PERCENTILE.EXC(N$5:$N325,0.2)),0)</f>
        <v>0</v>
      </c>
      <c r="Q325" s="21">
        <f t="shared" ca="1" si="31"/>
        <v>46446</v>
      </c>
      <c r="R325" s="4">
        <f ca="1">MIN(O325,PREMISSAS!$C$13)</f>
        <v>0</v>
      </c>
      <c r="S325" s="240"/>
      <c r="T325" s="240"/>
    </row>
    <row r="326" spans="2:20" x14ac:dyDescent="0.25">
      <c r="B326" s="21" t="str">
        <f t="shared" ca="1" si="32"/>
        <v/>
      </c>
      <c r="C326" s="22" t="str">
        <f ca="1">IF(B326="","",IF(LEFT(B326,2)="13",C325,IF(MONTH(B326)=1,C325*(1+PREMISSAS!$C$57),C325)))</f>
        <v/>
      </c>
      <c r="E326" s="18">
        <v>322</v>
      </c>
      <c r="F326" s="21">
        <f t="shared" ca="1" si="33"/>
        <v>46477</v>
      </c>
      <c r="G326" s="22">
        <f ca="1">IFERROR(VLOOKUP(F326,RESULTADOS!$O$5:$P$543,2,FALSE),VLOOKUP(F326,$B$5:$C$724,2,FALSE))</f>
        <v>0</v>
      </c>
      <c r="H326" s="4">
        <f ca="1">IF(F326&lt;PREMISSAS!$D$7,0,IFERROR(VLOOKUP(IF(LEFT(F326,2)="13",DATE(YEAR(F325),12,31),F326),IPCA!$A$3:$D$284,4,FALSE),1)*G326)</f>
        <v>0</v>
      </c>
      <c r="J326" s="21">
        <f t="shared" ca="1" si="35"/>
        <v>46477</v>
      </c>
      <c r="K326" s="4">
        <f t="shared" ca="1" si="36"/>
        <v>0</v>
      </c>
      <c r="M326" s="21">
        <f t="shared" ca="1" si="34"/>
        <v>46477</v>
      </c>
      <c r="N326" s="37">
        <f t="shared" ref="N326:N389" ca="1" si="37">IFERROR(VLOOKUP(M326,$F$5:$H$628,3,FALSE),0)</f>
        <v>0</v>
      </c>
      <c r="O326" s="4">
        <f ca="1">IFERROR(AVERAGEIF(N$5:$N326,"&gt;="&amp;_xlfn.PERCENTILE.EXC(N$5:$N326,0.2)),0)</f>
        <v>0</v>
      </c>
      <c r="Q326" s="21">
        <f t="shared" ref="Q326:Q389" ca="1" si="38">M326</f>
        <v>46477</v>
      </c>
      <c r="R326" s="4">
        <f ca="1">MIN(O326,PREMISSAS!$C$13)</f>
        <v>0</v>
      </c>
      <c r="S326" s="240"/>
      <c r="T326" s="240"/>
    </row>
    <row r="327" spans="2:20" x14ac:dyDescent="0.25">
      <c r="B327" s="21" t="str">
        <f t="shared" ref="B327:B390" ca="1" si="39">IFERROR(IF(LEFT(B326,2)="13",DATE(RIGHT(B326,4),12,31),IF(EOMONTH(B326,0)&gt;$F$1,"",IF(MONTH(B326)=11,"13º "&amp;YEAR(B326),EOMONTH(B326,1)))),"")</f>
        <v/>
      </c>
      <c r="C327" s="22" t="str">
        <f ca="1">IF(B327="","",IF(LEFT(B327,2)="13",C326,IF(MONTH(B327)=1,C326*(1+PREMISSAS!$C$57),C326)))</f>
        <v/>
      </c>
      <c r="E327" s="18">
        <v>323</v>
      </c>
      <c r="F327" s="21">
        <f t="shared" ref="F327:F390" ca="1" si="40">IFERROR(IF(LEFT(F326,2)="13",DATE(RIGHT(F326,4),12,31),IF(EOMONTH(F326,0)&gt;$F$1,"",IF(MONTH(F326)=11,"13º "&amp;YEAR(F326),EOMONTH(F326,1)))),"")</f>
        <v>46507</v>
      </c>
      <c r="G327" s="22">
        <f ca="1">IFERROR(VLOOKUP(F327,RESULTADOS!$O$5:$P$543,2,FALSE),VLOOKUP(F327,$B$5:$C$724,2,FALSE))</f>
        <v>0</v>
      </c>
      <c r="H327" s="4">
        <f ca="1">IF(F327&lt;PREMISSAS!$D$7,0,IFERROR(VLOOKUP(IF(LEFT(F327,2)="13",DATE(YEAR(F326),12,31),F327),IPCA!$A$3:$D$284,4,FALSE),1)*G327)</f>
        <v>0</v>
      </c>
      <c r="J327" s="21">
        <f t="shared" ca="1" si="35"/>
        <v>46507</v>
      </c>
      <c r="K327" s="4">
        <f t="shared" ca="1" si="36"/>
        <v>0</v>
      </c>
      <c r="M327" s="21">
        <f t="shared" ref="M327:M390" ca="1" si="41">IFERROR(IF(LEFT(M326,2)="13",DATE(RIGHT(M326,4),12,31),IF(EOMONTH(M326,0)&gt;$F$1,"",IF(MONTH(M326)=11,"13º "&amp;YEAR(M326),EOMONTH(M326,1)))),"")</f>
        <v>46507</v>
      </c>
      <c r="N327" s="37">
        <f t="shared" ca="1" si="37"/>
        <v>0</v>
      </c>
      <c r="O327" s="4">
        <f ca="1">IFERROR(AVERAGEIF(N$5:$N327,"&gt;="&amp;_xlfn.PERCENTILE.EXC(N$5:$N327,0.2)),0)</f>
        <v>0</v>
      </c>
      <c r="Q327" s="21">
        <f t="shared" ca="1" si="38"/>
        <v>46507</v>
      </c>
      <c r="R327" s="4">
        <f ca="1">MIN(O327,PREMISSAS!$C$13)</f>
        <v>0</v>
      </c>
      <c r="S327" s="240"/>
      <c r="T327" s="240"/>
    </row>
    <row r="328" spans="2:20" x14ac:dyDescent="0.25">
      <c r="B328" s="21" t="str">
        <f t="shared" ca="1" si="39"/>
        <v/>
      </c>
      <c r="C328" s="22" t="str">
        <f ca="1">IF(B328="","",IF(LEFT(B328,2)="13",C327,IF(MONTH(B328)=1,C327*(1+PREMISSAS!$C$57),C327)))</f>
        <v/>
      </c>
      <c r="E328" s="18">
        <v>324</v>
      </c>
      <c r="F328" s="21">
        <f t="shared" ca="1" si="40"/>
        <v>46538</v>
      </c>
      <c r="G328" s="22">
        <f ca="1">IFERROR(VLOOKUP(F328,RESULTADOS!$O$5:$P$543,2,FALSE),VLOOKUP(F328,$B$5:$C$724,2,FALSE))</f>
        <v>0</v>
      </c>
      <c r="H328" s="4">
        <f ca="1">IF(F328&lt;PREMISSAS!$D$7,0,IFERROR(VLOOKUP(IF(LEFT(F328,2)="13",DATE(YEAR(F327),12,31),F328),IPCA!$A$3:$D$284,4,FALSE),1)*G328)</f>
        <v>0</v>
      </c>
      <c r="J328" s="21">
        <f t="shared" ca="1" si="35"/>
        <v>46538</v>
      </c>
      <c r="K328" s="4">
        <f t="shared" ca="1" si="36"/>
        <v>0</v>
      </c>
      <c r="M328" s="21">
        <f t="shared" ca="1" si="41"/>
        <v>46538</v>
      </c>
      <c r="N328" s="37">
        <f t="shared" ca="1" si="37"/>
        <v>0</v>
      </c>
      <c r="O328" s="4">
        <f ca="1">IFERROR(AVERAGEIF(N$5:$N328,"&gt;="&amp;_xlfn.PERCENTILE.EXC(N$5:$N328,0.2)),0)</f>
        <v>0</v>
      </c>
      <c r="Q328" s="21">
        <f t="shared" ca="1" si="38"/>
        <v>46538</v>
      </c>
      <c r="R328" s="4">
        <f ca="1">MIN(O328,PREMISSAS!$C$13)</f>
        <v>0</v>
      </c>
      <c r="S328" s="240"/>
      <c r="T328" s="240"/>
    </row>
    <row r="329" spans="2:20" x14ac:dyDescent="0.25">
      <c r="B329" s="21" t="str">
        <f t="shared" ca="1" si="39"/>
        <v/>
      </c>
      <c r="C329" s="22" t="str">
        <f ca="1">IF(B329="","",IF(LEFT(B329,2)="13",C328,IF(MONTH(B329)=1,C328*(1+PREMISSAS!$C$57),C328)))</f>
        <v/>
      </c>
      <c r="E329" s="18">
        <v>325</v>
      </c>
      <c r="F329" s="21">
        <f t="shared" ca="1" si="40"/>
        <v>46568</v>
      </c>
      <c r="G329" s="22">
        <f ca="1">IFERROR(VLOOKUP(F329,RESULTADOS!$O$5:$P$543,2,FALSE),VLOOKUP(F329,$B$5:$C$724,2,FALSE))</f>
        <v>0</v>
      </c>
      <c r="H329" s="4">
        <f ca="1">IF(F329&lt;PREMISSAS!$D$7,0,IFERROR(VLOOKUP(IF(LEFT(F329,2)="13",DATE(YEAR(F328),12,31),F329),IPCA!$A$3:$D$284,4,FALSE),1)*G329)</f>
        <v>0</v>
      </c>
      <c r="J329" s="21">
        <f t="shared" ca="1" si="35"/>
        <v>46568</v>
      </c>
      <c r="K329" s="4">
        <f t="shared" ca="1" si="36"/>
        <v>0</v>
      </c>
      <c r="M329" s="21">
        <f t="shared" ca="1" si="41"/>
        <v>46568</v>
      </c>
      <c r="N329" s="37">
        <f t="shared" ca="1" si="37"/>
        <v>0</v>
      </c>
      <c r="O329" s="4">
        <f ca="1">IFERROR(AVERAGEIF(N$5:$N329,"&gt;="&amp;_xlfn.PERCENTILE.EXC(N$5:$N329,0.2)),0)</f>
        <v>0</v>
      </c>
      <c r="Q329" s="21">
        <f t="shared" ca="1" si="38"/>
        <v>46568</v>
      </c>
      <c r="R329" s="4">
        <f ca="1">MIN(O329,PREMISSAS!$C$13)</f>
        <v>0</v>
      </c>
      <c r="S329" s="240"/>
      <c r="T329" s="240"/>
    </row>
    <row r="330" spans="2:20" x14ac:dyDescent="0.25">
      <c r="B330" s="21" t="str">
        <f t="shared" ca="1" si="39"/>
        <v/>
      </c>
      <c r="C330" s="22" t="str">
        <f ca="1">IF(B330="","",IF(LEFT(B330,2)="13",C329,IF(MONTH(B330)=1,C329*(1+PREMISSAS!$C$57),C329)))</f>
        <v/>
      </c>
      <c r="E330" s="18">
        <v>326</v>
      </c>
      <c r="F330" s="21">
        <f t="shared" ca="1" si="40"/>
        <v>46599</v>
      </c>
      <c r="G330" s="22">
        <f ca="1">IFERROR(VLOOKUP(F330,RESULTADOS!$O$5:$P$543,2,FALSE),VLOOKUP(F330,$B$5:$C$724,2,FALSE))</f>
        <v>0</v>
      </c>
      <c r="H330" s="4">
        <f ca="1">IF(F330&lt;PREMISSAS!$D$7,0,IFERROR(VLOOKUP(IF(LEFT(F330,2)="13",DATE(YEAR(F329),12,31),F330),IPCA!$A$3:$D$284,4,FALSE),1)*G330)</f>
        <v>0</v>
      </c>
      <c r="J330" s="21">
        <f t="shared" ca="1" si="35"/>
        <v>46599</v>
      </c>
      <c r="K330" s="4">
        <f t="shared" ca="1" si="36"/>
        <v>0</v>
      </c>
      <c r="M330" s="21">
        <f t="shared" ca="1" si="41"/>
        <v>46599</v>
      </c>
      <c r="N330" s="37">
        <f t="shared" ca="1" si="37"/>
        <v>0</v>
      </c>
      <c r="O330" s="4">
        <f ca="1">IFERROR(AVERAGEIF(N$5:$N330,"&gt;="&amp;_xlfn.PERCENTILE.EXC(N$5:$N330,0.2)),0)</f>
        <v>0</v>
      </c>
      <c r="Q330" s="21">
        <f t="shared" ca="1" si="38"/>
        <v>46599</v>
      </c>
      <c r="R330" s="4">
        <f ca="1">MIN(O330,PREMISSAS!$C$13)</f>
        <v>0</v>
      </c>
      <c r="S330" s="240"/>
      <c r="T330" s="240"/>
    </row>
    <row r="331" spans="2:20" x14ac:dyDescent="0.25">
      <c r="B331" s="21" t="str">
        <f t="shared" ca="1" si="39"/>
        <v/>
      </c>
      <c r="C331" s="22" t="str">
        <f ca="1">IF(B331="","",IF(LEFT(B331,2)="13",C330,IF(MONTH(B331)=1,C330*(1+PREMISSAS!$C$57),C330)))</f>
        <v/>
      </c>
      <c r="E331" s="18">
        <v>327</v>
      </c>
      <c r="F331" s="21">
        <f t="shared" ca="1" si="40"/>
        <v>46630</v>
      </c>
      <c r="G331" s="22">
        <f ca="1">IFERROR(VLOOKUP(F331,RESULTADOS!$O$5:$P$543,2,FALSE),VLOOKUP(F331,$B$5:$C$724,2,FALSE))</f>
        <v>0</v>
      </c>
      <c r="H331" s="4">
        <f ca="1">IF(F331&lt;PREMISSAS!$D$7,0,IFERROR(VLOOKUP(IF(LEFT(F331,2)="13",DATE(YEAR(F330),12,31),F331),IPCA!$A$3:$D$284,4,FALSE),1)*G331)</f>
        <v>0</v>
      </c>
      <c r="J331" s="21">
        <f t="shared" ca="1" si="35"/>
        <v>46630</v>
      </c>
      <c r="K331" s="4">
        <f t="shared" ca="1" si="36"/>
        <v>0</v>
      </c>
      <c r="M331" s="21">
        <f t="shared" ca="1" si="41"/>
        <v>46630</v>
      </c>
      <c r="N331" s="37">
        <f t="shared" ca="1" si="37"/>
        <v>0</v>
      </c>
      <c r="O331" s="4">
        <f ca="1">IFERROR(AVERAGEIF(N$5:$N331,"&gt;="&amp;_xlfn.PERCENTILE.EXC(N$5:$N331,0.2)),0)</f>
        <v>0</v>
      </c>
      <c r="Q331" s="21">
        <f t="shared" ca="1" si="38"/>
        <v>46630</v>
      </c>
      <c r="R331" s="4">
        <f ca="1">MIN(O331,PREMISSAS!$C$13)</f>
        <v>0</v>
      </c>
      <c r="S331" s="240"/>
      <c r="T331" s="240"/>
    </row>
    <row r="332" spans="2:20" x14ac:dyDescent="0.25">
      <c r="B332" s="21" t="str">
        <f t="shared" ca="1" si="39"/>
        <v/>
      </c>
      <c r="C332" s="22" t="str">
        <f ca="1">IF(B332="","",IF(LEFT(B332,2)="13",C331,IF(MONTH(B332)=1,C331*(1+PREMISSAS!$C$57),C331)))</f>
        <v/>
      </c>
      <c r="E332" s="18">
        <v>328</v>
      </c>
      <c r="F332" s="21">
        <f t="shared" ca="1" si="40"/>
        <v>46660</v>
      </c>
      <c r="G332" s="22">
        <f ca="1">IFERROR(VLOOKUP(F332,RESULTADOS!$O$5:$P$543,2,FALSE),VLOOKUP(F332,$B$5:$C$724,2,FALSE))</f>
        <v>0</v>
      </c>
      <c r="H332" s="4">
        <f ca="1">IF(F332&lt;PREMISSAS!$D$7,0,IFERROR(VLOOKUP(IF(LEFT(F332,2)="13",DATE(YEAR(F331),12,31),F332),IPCA!$A$3:$D$284,4,FALSE),1)*G332)</f>
        <v>0</v>
      </c>
      <c r="J332" s="21">
        <f t="shared" ca="1" si="35"/>
        <v>46660</v>
      </c>
      <c r="K332" s="4">
        <f t="shared" ca="1" si="36"/>
        <v>0</v>
      </c>
      <c r="M332" s="21">
        <f t="shared" ca="1" si="41"/>
        <v>46660</v>
      </c>
      <c r="N332" s="37">
        <f t="shared" ca="1" si="37"/>
        <v>0</v>
      </c>
      <c r="O332" s="4">
        <f ca="1">IFERROR(AVERAGEIF(N$5:$N332,"&gt;="&amp;_xlfn.PERCENTILE.EXC(N$5:$N332,0.2)),0)</f>
        <v>0</v>
      </c>
      <c r="Q332" s="21">
        <f t="shared" ca="1" si="38"/>
        <v>46660</v>
      </c>
      <c r="R332" s="4">
        <f ca="1">MIN(O332,PREMISSAS!$C$13)</f>
        <v>0</v>
      </c>
      <c r="S332" s="240"/>
      <c r="T332" s="240"/>
    </row>
    <row r="333" spans="2:20" x14ac:dyDescent="0.25">
      <c r="B333" s="21" t="str">
        <f t="shared" ca="1" si="39"/>
        <v/>
      </c>
      <c r="C333" s="22" t="str">
        <f ca="1">IF(B333="","",IF(LEFT(B333,2)="13",C332,IF(MONTH(B333)=1,C332*(1+PREMISSAS!$C$57),C332)))</f>
        <v/>
      </c>
      <c r="E333" s="18">
        <v>329</v>
      </c>
      <c r="F333" s="21">
        <f t="shared" ca="1" si="40"/>
        <v>46691</v>
      </c>
      <c r="G333" s="22">
        <f ca="1">IFERROR(VLOOKUP(F333,RESULTADOS!$O$5:$P$543,2,FALSE),VLOOKUP(F333,$B$5:$C$724,2,FALSE))</f>
        <v>0</v>
      </c>
      <c r="H333" s="4">
        <f ca="1">IF(F333&lt;PREMISSAS!$D$7,0,IFERROR(VLOOKUP(IF(LEFT(F333,2)="13",DATE(YEAR(F332),12,31),F333),IPCA!$A$3:$D$284,4,FALSE),1)*G333)</f>
        <v>0</v>
      </c>
      <c r="J333" s="21">
        <f t="shared" ca="1" si="35"/>
        <v>46691</v>
      </c>
      <c r="K333" s="4">
        <f t="shared" ca="1" si="36"/>
        <v>0</v>
      </c>
      <c r="M333" s="21">
        <f t="shared" ca="1" si="41"/>
        <v>46691</v>
      </c>
      <c r="N333" s="37">
        <f t="shared" ca="1" si="37"/>
        <v>0</v>
      </c>
      <c r="O333" s="4">
        <f ca="1">IFERROR(AVERAGEIF(N$5:$N333,"&gt;="&amp;_xlfn.PERCENTILE.EXC(N$5:$N333,0.2)),0)</f>
        <v>0</v>
      </c>
      <c r="Q333" s="21">
        <f t="shared" ca="1" si="38"/>
        <v>46691</v>
      </c>
      <c r="R333" s="4">
        <f ca="1">MIN(O333,PREMISSAS!$C$13)</f>
        <v>0</v>
      </c>
      <c r="S333" s="240"/>
      <c r="T333" s="240"/>
    </row>
    <row r="334" spans="2:20" x14ac:dyDescent="0.25">
      <c r="B334" s="21" t="str">
        <f t="shared" ca="1" si="39"/>
        <v/>
      </c>
      <c r="C334" s="22" t="str">
        <f ca="1">IF(B334="","",IF(LEFT(B334,2)="13",C333,IF(MONTH(B334)=1,C333*(1+PREMISSAS!$C$57),C333)))</f>
        <v/>
      </c>
      <c r="E334" s="18">
        <v>330</v>
      </c>
      <c r="F334" s="21">
        <f t="shared" ca="1" si="40"/>
        <v>46721</v>
      </c>
      <c r="G334" s="22">
        <f ca="1">IFERROR(VLOOKUP(F334,RESULTADOS!$O$5:$P$543,2,FALSE),VLOOKUP(F334,$B$5:$C$724,2,FALSE))</f>
        <v>0</v>
      </c>
      <c r="H334" s="4">
        <f ca="1">IF(F334&lt;PREMISSAS!$D$7,0,IFERROR(VLOOKUP(IF(LEFT(F334,2)="13",DATE(YEAR(F333),12,31),F334),IPCA!$A$3:$D$284,4,FALSE),1)*G334)</f>
        <v>0</v>
      </c>
      <c r="J334" s="21">
        <f t="shared" ca="1" si="35"/>
        <v>46721</v>
      </c>
      <c r="K334" s="4">
        <f t="shared" ca="1" si="36"/>
        <v>0</v>
      </c>
      <c r="M334" s="21">
        <f t="shared" ca="1" si="41"/>
        <v>46721</v>
      </c>
      <c r="N334" s="37">
        <f t="shared" ca="1" si="37"/>
        <v>0</v>
      </c>
      <c r="O334" s="4">
        <f ca="1">IFERROR(AVERAGEIF(N$5:$N334,"&gt;="&amp;_xlfn.PERCENTILE.EXC(N$5:$N334,0.2)),0)</f>
        <v>0</v>
      </c>
      <c r="Q334" s="21">
        <f t="shared" ca="1" si="38"/>
        <v>46721</v>
      </c>
      <c r="R334" s="4">
        <f ca="1">MIN(O334,PREMISSAS!$C$13)</f>
        <v>0</v>
      </c>
      <c r="S334" s="240"/>
      <c r="T334" s="240"/>
    </row>
    <row r="335" spans="2:20" x14ac:dyDescent="0.25">
      <c r="B335" s="21" t="str">
        <f t="shared" ca="1" si="39"/>
        <v/>
      </c>
      <c r="C335" s="22" t="str">
        <f ca="1">IF(B335="","",IF(LEFT(B335,2)="13",C334,IF(MONTH(B335)=1,C334*(1+PREMISSAS!$C$57),C334)))</f>
        <v/>
      </c>
      <c r="E335" s="18">
        <v>331</v>
      </c>
      <c r="F335" s="21" t="str">
        <f t="shared" ca="1" si="40"/>
        <v>13º 2027</v>
      </c>
      <c r="G335" s="22">
        <f ca="1">IFERROR(VLOOKUP(F335,RESULTADOS!$O$5:$P$543,2,FALSE),VLOOKUP(F335,$B$5:$C$724,2,FALSE))</f>
        <v>0</v>
      </c>
      <c r="H335" s="4">
        <f ca="1">IF(F335&lt;PREMISSAS!$D$7,0,IFERROR(VLOOKUP(IF(LEFT(F335,2)="13",DATE(YEAR(F334),12,31),F335),IPCA!$A$3:$D$284,4,FALSE),1)*G335)</f>
        <v>0</v>
      </c>
      <c r="J335" s="21" t="str">
        <f t="shared" ca="1" si="35"/>
        <v>13º 2027</v>
      </c>
      <c r="K335" s="4">
        <f t="shared" ca="1" si="36"/>
        <v>0</v>
      </c>
      <c r="M335" s="21" t="str">
        <f t="shared" ca="1" si="41"/>
        <v>13º 2027</v>
      </c>
      <c r="N335" s="37">
        <f t="shared" ca="1" si="37"/>
        <v>0</v>
      </c>
      <c r="O335" s="4">
        <f ca="1">IFERROR(AVERAGEIF(N$5:$N335,"&gt;="&amp;_xlfn.PERCENTILE.EXC(N$5:$N335,0.2)),0)</f>
        <v>0</v>
      </c>
      <c r="Q335" s="21" t="str">
        <f t="shared" ca="1" si="38"/>
        <v>13º 2027</v>
      </c>
      <c r="R335" s="4">
        <f ca="1">MIN(O335,PREMISSAS!$C$13)</f>
        <v>0</v>
      </c>
      <c r="S335" s="240"/>
      <c r="T335" s="240"/>
    </row>
    <row r="336" spans="2:20" x14ac:dyDescent="0.25">
      <c r="B336" s="21" t="str">
        <f t="shared" ca="1" si="39"/>
        <v/>
      </c>
      <c r="C336" s="22" t="str">
        <f ca="1">IF(B336="","",IF(LEFT(B336,2)="13",C335,IF(MONTH(B336)=1,C335*(1+PREMISSAS!$C$57),C335)))</f>
        <v/>
      </c>
      <c r="E336" s="18">
        <v>332</v>
      </c>
      <c r="F336" s="21">
        <f t="shared" ca="1" si="40"/>
        <v>46752</v>
      </c>
      <c r="G336" s="22">
        <f ca="1">IFERROR(VLOOKUP(F336,RESULTADOS!$O$5:$P$543,2,FALSE),VLOOKUP(F336,$B$5:$C$724,2,FALSE))</f>
        <v>0</v>
      </c>
      <c r="H336" s="4">
        <f ca="1">IF(F336&lt;PREMISSAS!$D$7,0,IFERROR(VLOOKUP(IF(LEFT(F336,2)="13",DATE(YEAR(F335),12,31),F336),IPCA!$A$3:$D$284,4,FALSE),1)*G336)</f>
        <v>0</v>
      </c>
      <c r="J336" s="21">
        <f t="shared" ca="1" si="35"/>
        <v>46752</v>
      </c>
      <c r="K336" s="4">
        <f t="shared" ca="1" si="36"/>
        <v>0</v>
      </c>
      <c r="M336" s="21">
        <f t="shared" ca="1" si="41"/>
        <v>46752</v>
      </c>
      <c r="N336" s="37">
        <f t="shared" ca="1" si="37"/>
        <v>0</v>
      </c>
      <c r="O336" s="4">
        <f ca="1">IFERROR(AVERAGEIF(N$5:$N336,"&gt;="&amp;_xlfn.PERCENTILE.EXC(N$5:$N336,0.2)),0)</f>
        <v>0</v>
      </c>
      <c r="Q336" s="21">
        <f t="shared" ca="1" si="38"/>
        <v>46752</v>
      </c>
      <c r="R336" s="4">
        <f ca="1">MIN(O336,PREMISSAS!$C$13)</f>
        <v>0</v>
      </c>
      <c r="S336" s="240"/>
      <c r="T336" s="240"/>
    </row>
    <row r="337" spans="2:20" x14ac:dyDescent="0.25">
      <c r="B337" s="21" t="str">
        <f t="shared" ca="1" si="39"/>
        <v/>
      </c>
      <c r="C337" s="22" t="str">
        <f ca="1">IF(B337="","",IF(LEFT(B337,2)="13",C336,IF(MONTH(B337)=1,C336*(1+PREMISSAS!$C$57),C336)))</f>
        <v/>
      </c>
      <c r="E337" s="18">
        <v>333</v>
      </c>
      <c r="F337" s="21">
        <f t="shared" ca="1" si="40"/>
        <v>46783</v>
      </c>
      <c r="G337" s="22">
        <f ca="1">IFERROR(VLOOKUP(F337,RESULTADOS!$O$5:$P$543,2,FALSE),VLOOKUP(F337,$B$5:$C$724,2,FALSE))</f>
        <v>0</v>
      </c>
      <c r="H337" s="4">
        <f ca="1">IF(F337&lt;PREMISSAS!$D$7,0,IFERROR(VLOOKUP(IF(LEFT(F337,2)="13",DATE(YEAR(F336),12,31),F337),IPCA!$A$3:$D$284,4,FALSE),1)*G337)</f>
        <v>0</v>
      </c>
      <c r="J337" s="21">
        <f t="shared" ca="1" si="35"/>
        <v>46783</v>
      </c>
      <c r="K337" s="4">
        <f t="shared" ca="1" si="36"/>
        <v>0</v>
      </c>
      <c r="M337" s="21">
        <f t="shared" ca="1" si="41"/>
        <v>46783</v>
      </c>
      <c r="N337" s="37">
        <f t="shared" ca="1" si="37"/>
        <v>0</v>
      </c>
      <c r="O337" s="4">
        <f ca="1">IFERROR(AVERAGEIF(N$5:$N337,"&gt;="&amp;_xlfn.PERCENTILE.EXC(N$5:$N337,0.2)),0)</f>
        <v>0</v>
      </c>
      <c r="Q337" s="21">
        <f t="shared" ca="1" si="38"/>
        <v>46783</v>
      </c>
      <c r="R337" s="4">
        <f ca="1">MIN(O337,PREMISSAS!$C$13)</f>
        <v>0</v>
      </c>
      <c r="S337" s="240"/>
      <c r="T337" s="240"/>
    </row>
    <row r="338" spans="2:20" x14ac:dyDescent="0.25">
      <c r="B338" s="21" t="str">
        <f t="shared" ca="1" si="39"/>
        <v/>
      </c>
      <c r="C338" s="22" t="str">
        <f ca="1">IF(B338="","",IF(LEFT(B338,2)="13",C337,IF(MONTH(B338)=1,C337*(1+PREMISSAS!$C$57),C337)))</f>
        <v/>
      </c>
      <c r="E338" s="18">
        <v>334</v>
      </c>
      <c r="F338" s="21">
        <f t="shared" ca="1" si="40"/>
        <v>46812</v>
      </c>
      <c r="G338" s="22">
        <f ca="1">IFERROR(VLOOKUP(F338,RESULTADOS!$O$5:$P$543,2,FALSE),VLOOKUP(F338,$B$5:$C$724,2,FALSE))</f>
        <v>0</v>
      </c>
      <c r="H338" s="4">
        <f ca="1">IF(F338&lt;PREMISSAS!$D$7,0,IFERROR(VLOOKUP(IF(LEFT(F338,2)="13",DATE(YEAR(F337),12,31),F338),IPCA!$A$3:$D$284,4,FALSE),1)*G338)</f>
        <v>0</v>
      </c>
      <c r="J338" s="21">
        <f t="shared" ca="1" si="35"/>
        <v>46812</v>
      </c>
      <c r="K338" s="4">
        <f t="shared" ca="1" si="36"/>
        <v>0</v>
      </c>
      <c r="M338" s="21">
        <f t="shared" ca="1" si="41"/>
        <v>46812</v>
      </c>
      <c r="N338" s="37">
        <f t="shared" ca="1" si="37"/>
        <v>0</v>
      </c>
      <c r="O338" s="4">
        <f ca="1">IFERROR(AVERAGEIF(N$5:$N338,"&gt;="&amp;_xlfn.PERCENTILE.EXC(N$5:$N338,0.2)),0)</f>
        <v>0</v>
      </c>
      <c r="Q338" s="21">
        <f t="shared" ca="1" si="38"/>
        <v>46812</v>
      </c>
      <c r="R338" s="4">
        <f ca="1">MIN(O338,PREMISSAS!$C$13)</f>
        <v>0</v>
      </c>
      <c r="S338" s="240"/>
      <c r="T338" s="240"/>
    </row>
    <row r="339" spans="2:20" x14ac:dyDescent="0.25">
      <c r="B339" s="21" t="str">
        <f t="shared" ca="1" si="39"/>
        <v/>
      </c>
      <c r="C339" s="22" t="str">
        <f ca="1">IF(B339="","",IF(LEFT(B339,2)="13",C338,IF(MONTH(B339)=1,C338*(1+PREMISSAS!$C$57),C338)))</f>
        <v/>
      </c>
      <c r="E339" s="18">
        <v>335</v>
      </c>
      <c r="F339" s="21">
        <f t="shared" ca="1" si="40"/>
        <v>46843</v>
      </c>
      <c r="G339" s="22">
        <f ca="1">IFERROR(VLOOKUP(F339,RESULTADOS!$O$5:$P$543,2,FALSE),VLOOKUP(F339,$B$5:$C$724,2,FALSE))</f>
        <v>0</v>
      </c>
      <c r="H339" s="4">
        <f ca="1">IF(F339&lt;PREMISSAS!$D$7,0,IFERROR(VLOOKUP(IF(LEFT(F339,2)="13",DATE(YEAR(F338),12,31),F339),IPCA!$A$3:$D$284,4,FALSE),1)*G339)</f>
        <v>0</v>
      </c>
      <c r="J339" s="21">
        <f t="shared" ca="1" si="35"/>
        <v>46843</v>
      </c>
      <c r="K339" s="4">
        <f t="shared" ca="1" si="36"/>
        <v>0</v>
      </c>
      <c r="M339" s="21">
        <f t="shared" ca="1" si="41"/>
        <v>46843</v>
      </c>
      <c r="N339" s="37">
        <f t="shared" ca="1" si="37"/>
        <v>0</v>
      </c>
      <c r="O339" s="4">
        <f ca="1">IFERROR(AVERAGEIF(N$5:$N339,"&gt;="&amp;_xlfn.PERCENTILE.EXC(N$5:$N339,0.2)),0)</f>
        <v>0</v>
      </c>
      <c r="Q339" s="21">
        <f t="shared" ca="1" si="38"/>
        <v>46843</v>
      </c>
      <c r="R339" s="4">
        <f ca="1">MIN(O339,PREMISSAS!$C$13)</f>
        <v>0</v>
      </c>
      <c r="S339" s="240"/>
      <c r="T339" s="240"/>
    </row>
    <row r="340" spans="2:20" x14ac:dyDescent="0.25">
      <c r="B340" s="21" t="str">
        <f t="shared" ca="1" si="39"/>
        <v/>
      </c>
      <c r="C340" s="22" t="str">
        <f ca="1">IF(B340="","",IF(LEFT(B340,2)="13",C339,IF(MONTH(B340)=1,C339*(1+PREMISSAS!$C$57),C339)))</f>
        <v/>
      </c>
      <c r="E340" s="18">
        <v>336</v>
      </c>
      <c r="F340" s="21">
        <f t="shared" ca="1" si="40"/>
        <v>46873</v>
      </c>
      <c r="G340" s="22">
        <f ca="1">IFERROR(VLOOKUP(F340,RESULTADOS!$O$5:$P$543,2,FALSE),VLOOKUP(F340,$B$5:$C$724,2,FALSE))</f>
        <v>0</v>
      </c>
      <c r="H340" s="4">
        <f ca="1">IF(F340&lt;PREMISSAS!$D$7,0,IFERROR(VLOOKUP(IF(LEFT(F340,2)="13",DATE(YEAR(F339),12,31),F340),IPCA!$A$3:$D$284,4,FALSE),1)*G340)</f>
        <v>0</v>
      </c>
      <c r="J340" s="21">
        <f t="shared" ca="1" si="35"/>
        <v>46873</v>
      </c>
      <c r="K340" s="4">
        <f t="shared" ca="1" si="36"/>
        <v>0</v>
      </c>
      <c r="M340" s="21">
        <f t="shared" ca="1" si="41"/>
        <v>46873</v>
      </c>
      <c r="N340" s="37">
        <f t="shared" ca="1" si="37"/>
        <v>0</v>
      </c>
      <c r="O340" s="4">
        <f ca="1">IFERROR(AVERAGEIF(N$5:$N340,"&gt;="&amp;_xlfn.PERCENTILE.EXC(N$5:$N340,0.2)),0)</f>
        <v>0</v>
      </c>
      <c r="Q340" s="21">
        <f t="shared" ca="1" si="38"/>
        <v>46873</v>
      </c>
      <c r="R340" s="4">
        <f ca="1">MIN(O340,PREMISSAS!$C$13)</f>
        <v>0</v>
      </c>
      <c r="S340" s="240"/>
      <c r="T340" s="240"/>
    </row>
    <row r="341" spans="2:20" x14ac:dyDescent="0.25">
      <c r="B341" s="21" t="str">
        <f t="shared" ca="1" si="39"/>
        <v/>
      </c>
      <c r="C341" s="22" t="str">
        <f ca="1">IF(B341="","",IF(LEFT(B341,2)="13",C340,IF(MONTH(B341)=1,C340*(1+PREMISSAS!$C$57),C340)))</f>
        <v/>
      </c>
      <c r="E341" s="18">
        <v>337</v>
      </c>
      <c r="F341" s="21">
        <f t="shared" ca="1" si="40"/>
        <v>46904</v>
      </c>
      <c r="G341" s="22">
        <f ca="1">IFERROR(VLOOKUP(F341,RESULTADOS!$O$5:$P$543,2,FALSE),VLOOKUP(F341,$B$5:$C$724,2,FALSE))</f>
        <v>0</v>
      </c>
      <c r="H341" s="4">
        <f ca="1">IF(F341&lt;PREMISSAS!$D$7,0,IFERROR(VLOOKUP(IF(LEFT(F341,2)="13",DATE(YEAR(F340),12,31),F341),IPCA!$A$3:$D$284,4,FALSE),1)*G341)</f>
        <v>0</v>
      </c>
      <c r="J341" s="21">
        <f t="shared" ca="1" si="35"/>
        <v>46904</v>
      </c>
      <c r="K341" s="4">
        <f t="shared" ca="1" si="36"/>
        <v>0</v>
      </c>
      <c r="M341" s="21">
        <f t="shared" ca="1" si="41"/>
        <v>46904</v>
      </c>
      <c r="N341" s="37">
        <f t="shared" ca="1" si="37"/>
        <v>0</v>
      </c>
      <c r="O341" s="4">
        <f ca="1">IFERROR(AVERAGEIF(N$5:$N341,"&gt;="&amp;_xlfn.PERCENTILE.EXC(N$5:$N341,0.2)),0)</f>
        <v>0</v>
      </c>
      <c r="Q341" s="21">
        <f t="shared" ca="1" si="38"/>
        <v>46904</v>
      </c>
      <c r="R341" s="4">
        <f ca="1">MIN(O341,PREMISSAS!$C$13)</f>
        <v>0</v>
      </c>
      <c r="S341" s="240"/>
      <c r="T341" s="240"/>
    </row>
    <row r="342" spans="2:20" x14ac:dyDescent="0.25">
      <c r="B342" s="21" t="str">
        <f t="shared" ca="1" si="39"/>
        <v/>
      </c>
      <c r="C342" s="22" t="str">
        <f ca="1">IF(B342="","",IF(LEFT(B342,2)="13",C341,IF(MONTH(B342)=1,C341*(1+PREMISSAS!$C$57),C341)))</f>
        <v/>
      </c>
      <c r="E342" s="18">
        <v>338</v>
      </c>
      <c r="F342" s="21">
        <f t="shared" ca="1" si="40"/>
        <v>46934</v>
      </c>
      <c r="G342" s="22">
        <f ca="1">IFERROR(VLOOKUP(F342,RESULTADOS!$O$5:$P$543,2,FALSE),VLOOKUP(F342,$B$5:$C$724,2,FALSE))</f>
        <v>0</v>
      </c>
      <c r="H342" s="4">
        <f ca="1">IF(F342&lt;PREMISSAS!$D$7,0,IFERROR(VLOOKUP(IF(LEFT(F342,2)="13",DATE(YEAR(F341),12,31),F342),IPCA!$A$3:$D$284,4,FALSE),1)*G342)</f>
        <v>0</v>
      </c>
      <c r="J342" s="21">
        <f t="shared" ca="1" si="35"/>
        <v>46934</v>
      </c>
      <c r="K342" s="4">
        <f t="shared" ca="1" si="36"/>
        <v>0</v>
      </c>
      <c r="M342" s="21">
        <f t="shared" ca="1" si="41"/>
        <v>46934</v>
      </c>
      <c r="N342" s="37">
        <f t="shared" ca="1" si="37"/>
        <v>0</v>
      </c>
      <c r="O342" s="4">
        <f ca="1">IFERROR(AVERAGEIF(N$5:$N342,"&gt;="&amp;_xlfn.PERCENTILE.EXC(N$5:$N342,0.2)),0)</f>
        <v>0</v>
      </c>
      <c r="Q342" s="21">
        <f t="shared" ca="1" si="38"/>
        <v>46934</v>
      </c>
      <c r="R342" s="4">
        <f ca="1">MIN(O342,PREMISSAS!$C$13)</f>
        <v>0</v>
      </c>
      <c r="S342" s="240"/>
      <c r="T342" s="240"/>
    </row>
    <row r="343" spans="2:20" x14ac:dyDescent="0.25">
      <c r="B343" s="21" t="str">
        <f t="shared" ca="1" si="39"/>
        <v/>
      </c>
      <c r="C343" s="22" t="str">
        <f ca="1">IF(B343="","",IF(LEFT(B343,2)="13",C342,IF(MONTH(B343)=1,C342*(1+PREMISSAS!$C$57),C342)))</f>
        <v/>
      </c>
      <c r="E343" s="18">
        <v>339</v>
      </c>
      <c r="F343" s="21">
        <f t="shared" ca="1" si="40"/>
        <v>46965</v>
      </c>
      <c r="G343" s="22">
        <f ca="1">IFERROR(VLOOKUP(F343,RESULTADOS!$O$5:$P$543,2,FALSE),VLOOKUP(F343,$B$5:$C$724,2,FALSE))</f>
        <v>0</v>
      </c>
      <c r="H343" s="4">
        <f ca="1">IF(F343&lt;PREMISSAS!$D$7,0,IFERROR(VLOOKUP(IF(LEFT(F343,2)="13",DATE(YEAR(F342),12,31),F343),IPCA!$A$3:$D$284,4,FALSE),1)*G343)</f>
        <v>0</v>
      </c>
      <c r="J343" s="21">
        <f t="shared" ca="1" si="35"/>
        <v>46965</v>
      </c>
      <c r="K343" s="4">
        <f t="shared" ca="1" si="36"/>
        <v>0</v>
      </c>
      <c r="M343" s="21">
        <f t="shared" ca="1" si="41"/>
        <v>46965</v>
      </c>
      <c r="N343" s="37">
        <f t="shared" ca="1" si="37"/>
        <v>0</v>
      </c>
      <c r="O343" s="4">
        <f ca="1">IFERROR(AVERAGEIF(N$5:$N343,"&gt;="&amp;_xlfn.PERCENTILE.EXC(N$5:$N343,0.2)),0)</f>
        <v>0</v>
      </c>
      <c r="Q343" s="21">
        <f t="shared" ca="1" si="38"/>
        <v>46965</v>
      </c>
      <c r="R343" s="4">
        <f ca="1">MIN(O343,PREMISSAS!$C$13)</f>
        <v>0</v>
      </c>
      <c r="S343" s="240"/>
      <c r="T343" s="240"/>
    </row>
    <row r="344" spans="2:20" x14ac:dyDescent="0.25">
      <c r="B344" s="21" t="str">
        <f t="shared" ca="1" si="39"/>
        <v/>
      </c>
      <c r="C344" s="22" t="str">
        <f ca="1">IF(B344="","",IF(LEFT(B344,2)="13",C343,IF(MONTH(B344)=1,C343*(1+PREMISSAS!$C$57),C343)))</f>
        <v/>
      </c>
      <c r="E344" s="18">
        <v>340</v>
      </c>
      <c r="F344" s="21">
        <f t="shared" ca="1" si="40"/>
        <v>46996</v>
      </c>
      <c r="G344" s="22">
        <f ca="1">IFERROR(VLOOKUP(F344,RESULTADOS!$O$5:$P$543,2,FALSE),VLOOKUP(F344,$B$5:$C$724,2,FALSE))</f>
        <v>0</v>
      </c>
      <c r="H344" s="4">
        <f ca="1">IF(F344&lt;PREMISSAS!$D$7,0,IFERROR(VLOOKUP(IF(LEFT(F344,2)="13",DATE(YEAR(F343),12,31),F344),IPCA!$A$3:$D$284,4,FALSE),1)*G344)</f>
        <v>0</v>
      </c>
      <c r="J344" s="21">
        <f t="shared" ca="1" si="35"/>
        <v>46996</v>
      </c>
      <c r="K344" s="4">
        <f t="shared" ca="1" si="36"/>
        <v>0</v>
      </c>
      <c r="M344" s="21">
        <f t="shared" ca="1" si="41"/>
        <v>46996</v>
      </c>
      <c r="N344" s="37">
        <f t="shared" ca="1" si="37"/>
        <v>0</v>
      </c>
      <c r="O344" s="4">
        <f ca="1">IFERROR(AVERAGEIF(N$5:$N344,"&gt;="&amp;_xlfn.PERCENTILE.EXC(N$5:$N344,0.2)),0)</f>
        <v>0</v>
      </c>
      <c r="Q344" s="21">
        <f t="shared" ca="1" si="38"/>
        <v>46996</v>
      </c>
      <c r="R344" s="4">
        <f ca="1">MIN(O344,PREMISSAS!$C$13)</f>
        <v>0</v>
      </c>
      <c r="S344" s="240"/>
      <c r="T344" s="240"/>
    </row>
    <row r="345" spans="2:20" x14ac:dyDescent="0.25">
      <c r="B345" s="21" t="str">
        <f t="shared" ca="1" si="39"/>
        <v/>
      </c>
      <c r="C345" s="22" t="str">
        <f ca="1">IF(B345="","",IF(LEFT(B345,2)="13",C344,IF(MONTH(B345)=1,C344*(1+PREMISSAS!$C$57),C344)))</f>
        <v/>
      </c>
      <c r="E345" s="18">
        <v>341</v>
      </c>
      <c r="F345" s="21">
        <f t="shared" ca="1" si="40"/>
        <v>47026</v>
      </c>
      <c r="G345" s="22">
        <f ca="1">IFERROR(VLOOKUP(F345,RESULTADOS!$O$5:$P$543,2,FALSE),VLOOKUP(F345,$B$5:$C$724,2,FALSE))</f>
        <v>0</v>
      </c>
      <c r="H345" s="4">
        <f ca="1">IF(F345&lt;PREMISSAS!$D$7,0,IFERROR(VLOOKUP(IF(LEFT(F345,2)="13",DATE(YEAR(F344),12,31),F345),IPCA!$A$3:$D$284,4,FALSE),1)*G345)</f>
        <v>0</v>
      </c>
      <c r="J345" s="21">
        <f t="shared" ca="1" si="35"/>
        <v>47026</v>
      </c>
      <c r="K345" s="4">
        <f t="shared" ca="1" si="36"/>
        <v>0</v>
      </c>
      <c r="M345" s="21">
        <f t="shared" ca="1" si="41"/>
        <v>47026</v>
      </c>
      <c r="N345" s="37">
        <f t="shared" ca="1" si="37"/>
        <v>0</v>
      </c>
      <c r="O345" s="4">
        <f ca="1">IFERROR(AVERAGEIF(N$5:$N345,"&gt;="&amp;_xlfn.PERCENTILE.EXC(N$5:$N345,0.2)),0)</f>
        <v>0</v>
      </c>
      <c r="Q345" s="21">
        <f t="shared" ca="1" si="38"/>
        <v>47026</v>
      </c>
      <c r="R345" s="4">
        <f ca="1">MIN(O345,PREMISSAS!$C$13)</f>
        <v>0</v>
      </c>
      <c r="S345" s="240"/>
      <c r="T345" s="240"/>
    </row>
    <row r="346" spans="2:20" x14ac:dyDescent="0.25">
      <c r="B346" s="21" t="str">
        <f t="shared" ca="1" si="39"/>
        <v/>
      </c>
      <c r="C346" s="22" t="str">
        <f ca="1">IF(B346="","",IF(LEFT(B346,2)="13",C345,IF(MONTH(B346)=1,C345*(1+PREMISSAS!$C$57),C345)))</f>
        <v/>
      </c>
      <c r="E346" s="18">
        <v>342</v>
      </c>
      <c r="F346" s="21">
        <f t="shared" ca="1" si="40"/>
        <v>47057</v>
      </c>
      <c r="G346" s="22">
        <f ca="1">IFERROR(VLOOKUP(F346,RESULTADOS!$O$5:$P$543,2,FALSE),VLOOKUP(F346,$B$5:$C$724,2,FALSE))</f>
        <v>0</v>
      </c>
      <c r="H346" s="4">
        <f ca="1">IF(F346&lt;PREMISSAS!$D$7,0,IFERROR(VLOOKUP(IF(LEFT(F346,2)="13",DATE(YEAR(F345),12,31),F346),IPCA!$A$3:$D$284,4,FALSE),1)*G346)</f>
        <v>0</v>
      </c>
      <c r="J346" s="21">
        <f t="shared" ca="1" si="35"/>
        <v>47057</v>
      </c>
      <c r="K346" s="4">
        <f t="shared" ca="1" si="36"/>
        <v>0</v>
      </c>
      <c r="M346" s="21">
        <f t="shared" ca="1" si="41"/>
        <v>47057</v>
      </c>
      <c r="N346" s="37">
        <f t="shared" ca="1" si="37"/>
        <v>0</v>
      </c>
      <c r="O346" s="4">
        <f ca="1">IFERROR(AVERAGEIF(N$5:$N346,"&gt;="&amp;_xlfn.PERCENTILE.EXC(N$5:$N346,0.2)),0)</f>
        <v>0</v>
      </c>
      <c r="Q346" s="21">
        <f t="shared" ca="1" si="38"/>
        <v>47057</v>
      </c>
      <c r="R346" s="4">
        <f ca="1">MIN(O346,PREMISSAS!$C$13)</f>
        <v>0</v>
      </c>
      <c r="S346" s="240"/>
      <c r="T346" s="240"/>
    </row>
    <row r="347" spans="2:20" x14ac:dyDescent="0.25">
      <c r="B347" s="21" t="str">
        <f t="shared" ca="1" si="39"/>
        <v/>
      </c>
      <c r="C347" s="22" t="str">
        <f ca="1">IF(B347="","",IF(LEFT(B347,2)="13",C346,IF(MONTH(B347)=1,C346*(1+PREMISSAS!$C$57),C346)))</f>
        <v/>
      </c>
      <c r="E347" s="18">
        <v>343</v>
      </c>
      <c r="F347" s="21">
        <f t="shared" ca="1" si="40"/>
        <v>47087</v>
      </c>
      <c r="G347" s="22">
        <f ca="1">IFERROR(VLOOKUP(F347,RESULTADOS!$O$5:$P$543,2,FALSE),VLOOKUP(F347,$B$5:$C$724,2,FALSE))</f>
        <v>0</v>
      </c>
      <c r="H347" s="4">
        <f ca="1">IF(F347&lt;PREMISSAS!$D$7,0,IFERROR(VLOOKUP(IF(LEFT(F347,2)="13",DATE(YEAR(F346),12,31),F347),IPCA!$A$3:$D$284,4,FALSE),1)*G347)</f>
        <v>0</v>
      </c>
      <c r="J347" s="21">
        <f t="shared" ca="1" si="35"/>
        <v>47087</v>
      </c>
      <c r="K347" s="4">
        <f t="shared" ca="1" si="36"/>
        <v>0</v>
      </c>
      <c r="M347" s="21">
        <f t="shared" ca="1" si="41"/>
        <v>47087</v>
      </c>
      <c r="N347" s="37">
        <f t="shared" ca="1" si="37"/>
        <v>0</v>
      </c>
      <c r="O347" s="4">
        <f ca="1">IFERROR(AVERAGEIF(N$5:$N347,"&gt;="&amp;_xlfn.PERCENTILE.EXC(N$5:$N347,0.2)),0)</f>
        <v>0</v>
      </c>
      <c r="Q347" s="21">
        <f t="shared" ca="1" si="38"/>
        <v>47087</v>
      </c>
      <c r="R347" s="4">
        <f ca="1">MIN(O347,PREMISSAS!$C$13)</f>
        <v>0</v>
      </c>
      <c r="S347" s="240"/>
      <c r="T347" s="240"/>
    </row>
    <row r="348" spans="2:20" x14ac:dyDescent="0.25">
      <c r="B348" s="21" t="str">
        <f t="shared" ca="1" si="39"/>
        <v/>
      </c>
      <c r="C348" s="22" t="str">
        <f ca="1">IF(B348="","",IF(LEFT(B348,2)="13",C347,IF(MONTH(B348)=1,C347*(1+PREMISSAS!$C$57),C347)))</f>
        <v/>
      </c>
      <c r="E348" s="18">
        <v>344</v>
      </c>
      <c r="F348" s="21" t="str">
        <f t="shared" ca="1" si="40"/>
        <v>13º 2028</v>
      </c>
      <c r="G348" s="22">
        <f ca="1">IFERROR(VLOOKUP(F348,RESULTADOS!$O$5:$P$543,2,FALSE),VLOOKUP(F348,$B$5:$C$724,2,FALSE))</f>
        <v>0</v>
      </c>
      <c r="H348" s="4">
        <f ca="1">IF(F348&lt;PREMISSAS!$D$7,0,IFERROR(VLOOKUP(IF(LEFT(F348,2)="13",DATE(YEAR(F347),12,31),F348),IPCA!$A$3:$D$284,4,FALSE),1)*G348)</f>
        <v>0</v>
      </c>
      <c r="J348" s="21" t="str">
        <f t="shared" ca="1" si="35"/>
        <v>13º 2028</v>
      </c>
      <c r="K348" s="4">
        <f t="shared" ca="1" si="36"/>
        <v>0</v>
      </c>
      <c r="M348" s="21" t="str">
        <f t="shared" ca="1" si="41"/>
        <v>13º 2028</v>
      </c>
      <c r="N348" s="37">
        <f t="shared" ca="1" si="37"/>
        <v>0</v>
      </c>
      <c r="O348" s="4">
        <f ca="1">IFERROR(AVERAGEIF(N$5:$N348,"&gt;="&amp;_xlfn.PERCENTILE.EXC(N$5:$N348,0.2)),0)</f>
        <v>0</v>
      </c>
      <c r="Q348" s="21" t="str">
        <f t="shared" ca="1" si="38"/>
        <v>13º 2028</v>
      </c>
      <c r="R348" s="4">
        <f ca="1">MIN(O348,PREMISSAS!$C$13)</f>
        <v>0</v>
      </c>
      <c r="S348" s="240"/>
      <c r="T348" s="240"/>
    </row>
    <row r="349" spans="2:20" x14ac:dyDescent="0.25">
      <c r="B349" s="21" t="str">
        <f t="shared" ca="1" si="39"/>
        <v/>
      </c>
      <c r="C349" s="22" t="str">
        <f ca="1">IF(B349="","",IF(LEFT(B349,2)="13",C348,IF(MONTH(B349)=1,C348*(1+PREMISSAS!$C$57),C348)))</f>
        <v/>
      </c>
      <c r="E349" s="18">
        <v>345</v>
      </c>
      <c r="F349" s="21">
        <f t="shared" ca="1" si="40"/>
        <v>47118</v>
      </c>
      <c r="G349" s="22">
        <f ca="1">IFERROR(VLOOKUP(F349,RESULTADOS!$O$5:$P$543,2,FALSE),VLOOKUP(F349,$B$5:$C$724,2,FALSE))</f>
        <v>0</v>
      </c>
      <c r="H349" s="4">
        <f ca="1">IF(F349&lt;PREMISSAS!$D$7,0,IFERROR(VLOOKUP(IF(LEFT(F349,2)="13",DATE(YEAR(F348),12,31),F349),IPCA!$A$3:$D$284,4,FALSE),1)*G349)</f>
        <v>0</v>
      </c>
      <c r="J349" s="21">
        <f t="shared" ca="1" si="35"/>
        <v>47118</v>
      </c>
      <c r="K349" s="4">
        <f t="shared" ca="1" si="36"/>
        <v>0</v>
      </c>
      <c r="M349" s="21">
        <f t="shared" ca="1" si="41"/>
        <v>47118</v>
      </c>
      <c r="N349" s="37">
        <f t="shared" ca="1" si="37"/>
        <v>0</v>
      </c>
      <c r="O349" s="4">
        <f ca="1">IFERROR(AVERAGEIF(N$5:$N349,"&gt;="&amp;_xlfn.PERCENTILE.EXC(N$5:$N349,0.2)),0)</f>
        <v>0</v>
      </c>
      <c r="Q349" s="21">
        <f t="shared" ca="1" si="38"/>
        <v>47118</v>
      </c>
      <c r="R349" s="4">
        <f ca="1">MIN(O349,PREMISSAS!$C$13)</f>
        <v>0</v>
      </c>
      <c r="S349" s="240"/>
      <c r="T349" s="240"/>
    </row>
    <row r="350" spans="2:20" x14ac:dyDescent="0.25">
      <c r="B350" s="21" t="str">
        <f t="shared" ca="1" si="39"/>
        <v/>
      </c>
      <c r="C350" s="22" t="str">
        <f ca="1">IF(B350="","",IF(LEFT(B350,2)="13",C349,IF(MONTH(B350)=1,C349*(1+PREMISSAS!$C$57),C349)))</f>
        <v/>
      </c>
      <c r="E350" s="18">
        <v>346</v>
      </c>
      <c r="F350" s="21">
        <f t="shared" ca="1" si="40"/>
        <v>47149</v>
      </c>
      <c r="G350" s="22">
        <f ca="1">IFERROR(VLOOKUP(F350,RESULTADOS!$O$5:$P$543,2,FALSE),VLOOKUP(F350,$B$5:$C$724,2,FALSE))</f>
        <v>0</v>
      </c>
      <c r="H350" s="4">
        <f ca="1">IF(F350&lt;PREMISSAS!$D$7,0,IFERROR(VLOOKUP(IF(LEFT(F350,2)="13",DATE(YEAR(F349),12,31),F350),IPCA!$A$3:$D$284,4,FALSE),1)*G350)</f>
        <v>0</v>
      </c>
      <c r="J350" s="21">
        <f t="shared" ca="1" si="35"/>
        <v>47149</v>
      </c>
      <c r="K350" s="4">
        <f t="shared" ca="1" si="36"/>
        <v>0</v>
      </c>
      <c r="M350" s="21">
        <f t="shared" ca="1" si="41"/>
        <v>47149</v>
      </c>
      <c r="N350" s="37">
        <f t="shared" ca="1" si="37"/>
        <v>0</v>
      </c>
      <c r="O350" s="4">
        <f ca="1">IFERROR(AVERAGEIF(N$5:$N350,"&gt;="&amp;_xlfn.PERCENTILE.EXC(N$5:$N350,0.2)),0)</f>
        <v>0</v>
      </c>
      <c r="Q350" s="21">
        <f t="shared" ca="1" si="38"/>
        <v>47149</v>
      </c>
      <c r="R350" s="4">
        <f ca="1">MIN(O350,PREMISSAS!$C$13)</f>
        <v>0</v>
      </c>
      <c r="S350" s="240"/>
      <c r="T350" s="240"/>
    </row>
    <row r="351" spans="2:20" x14ac:dyDescent="0.25">
      <c r="B351" s="21" t="str">
        <f t="shared" ca="1" si="39"/>
        <v/>
      </c>
      <c r="C351" s="22" t="str">
        <f ca="1">IF(B351="","",IF(LEFT(B351,2)="13",C350,IF(MONTH(B351)=1,C350*(1+PREMISSAS!$C$57),C350)))</f>
        <v/>
      </c>
      <c r="E351" s="18">
        <v>347</v>
      </c>
      <c r="F351" s="21">
        <f t="shared" ca="1" si="40"/>
        <v>47177</v>
      </c>
      <c r="G351" s="22">
        <f ca="1">IFERROR(VLOOKUP(F351,RESULTADOS!$O$5:$P$543,2,FALSE),VLOOKUP(F351,$B$5:$C$724,2,FALSE))</f>
        <v>0</v>
      </c>
      <c r="H351" s="4">
        <f ca="1">IF(F351&lt;PREMISSAS!$D$7,0,IFERROR(VLOOKUP(IF(LEFT(F351,2)="13",DATE(YEAR(F350),12,31),F351),IPCA!$A$3:$D$284,4,FALSE),1)*G351)</f>
        <v>0</v>
      </c>
      <c r="J351" s="21">
        <f t="shared" ca="1" si="35"/>
        <v>47177</v>
      </c>
      <c r="K351" s="4">
        <f t="shared" ca="1" si="36"/>
        <v>0</v>
      </c>
      <c r="M351" s="21">
        <f t="shared" ca="1" si="41"/>
        <v>47177</v>
      </c>
      <c r="N351" s="37">
        <f t="shared" ca="1" si="37"/>
        <v>0</v>
      </c>
      <c r="O351" s="4">
        <f ca="1">IFERROR(AVERAGEIF(N$5:$N351,"&gt;="&amp;_xlfn.PERCENTILE.EXC(N$5:$N351,0.2)),0)</f>
        <v>0</v>
      </c>
      <c r="Q351" s="21">
        <f t="shared" ca="1" si="38"/>
        <v>47177</v>
      </c>
      <c r="R351" s="4">
        <f ca="1">MIN(O351,PREMISSAS!$C$13)</f>
        <v>0</v>
      </c>
      <c r="S351" s="240"/>
      <c r="T351" s="240"/>
    </row>
    <row r="352" spans="2:20" x14ac:dyDescent="0.25">
      <c r="B352" s="21" t="str">
        <f t="shared" ca="1" si="39"/>
        <v/>
      </c>
      <c r="C352" s="22" t="str">
        <f ca="1">IF(B352="","",IF(LEFT(B352,2)="13",C351,IF(MONTH(B352)=1,C351*(1+PREMISSAS!$C$57),C351)))</f>
        <v/>
      </c>
      <c r="E352" s="18">
        <v>348</v>
      </c>
      <c r="F352" s="21">
        <f t="shared" ca="1" si="40"/>
        <v>47208</v>
      </c>
      <c r="G352" s="22">
        <f ca="1">IFERROR(VLOOKUP(F352,RESULTADOS!$O$5:$P$543,2,FALSE),VLOOKUP(F352,$B$5:$C$724,2,FALSE))</f>
        <v>0</v>
      </c>
      <c r="H352" s="4">
        <f ca="1">IF(F352&lt;PREMISSAS!$D$7,0,IFERROR(VLOOKUP(IF(LEFT(F352,2)="13",DATE(YEAR(F351),12,31),F352),IPCA!$A$3:$D$284,4,FALSE),1)*G352)</f>
        <v>0</v>
      </c>
      <c r="J352" s="21">
        <f t="shared" ca="1" si="35"/>
        <v>47208</v>
      </c>
      <c r="K352" s="4">
        <f t="shared" ca="1" si="36"/>
        <v>0</v>
      </c>
      <c r="M352" s="21">
        <f t="shared" ca="1" si="41"/>
        <v>47208</v>
      </c>
      <c r="N352" s="37">
        <f t="shared" ca="1" si="37"/>
        <v>0</v>
      </c>
      <c r="O352" s="4">
        <f ca="1">IFERROR(AVERAGEIF(N$5:$N352,"&gt;="&amp;_xlfn.PERCENTILE.EXC(N$5:$N352,0.2)),0)</f>
        <v>0</v>
      </c>
      <c r="Q352" s="21">
        <f t="shared" ca="1" si="38"/>
        <v>47208</v>
      </c>
      <c r="R352" s="4">
        <f ca="1">MIN(O352,PREMISSAS!$C$13)</f>
        <v>0</v>
      </c>
      <c r="S352" s="240"/>
      <c r="T352" s="240"/>
    </row>
    <row r="353" spans="2:20" x14ac:dyDescent="0.25">
      <c r="B353" s="21" t="str">
        <f t="shared" ca="1" si="39"/>
        <v/>
      </c>
      <c r="C353" s="22" t="str">
        <f ca="1">IF(B353="","",IF(LEFT(B353,2)="13",C352,IF(MONTH(B353)=1,C352*(1+PREMISSAS!$C$57),C352)))</f>
        <v/>
      </c>
      <c r="E353" s="18">
        <v>349</v>
      </c>
      <c r="F353" s="21">
        <f t="shared" ca="1" si="40"/>
        <v>47238</v>
      </c>
      <c r="G353" s="22">
        <f ca="1">IFERROR(VLOOKUP(F353,RESULTADOS!$O$5:$P$543,2,FALSE),VLOOKUP(F353,$B$5:$C$724,2,FALSE))</f>
        <v>0</v>
      </c>
      <c r="H353" s="4">
        <f ca="1">IF(F353&lt;PREMISSAS!$D$7,0,IFERROR(VLOOKUP(IF(LEFT(F353,2)="13",DATE(YEAR(F352),12,31),F353),IPCA!$A$3:$D$284,4,FALSE),1)*G353)</f>
        <v>0</v>
      </c>
      <c r="J353" s="21">
        <f t="shared" ca="1" si="35"/>
        <v>47238</v>
      </c>
      <c r="K353" s="4">
        <f t="shared" ca="1" si="36"/>
        <v>0</v>
      </c>
      <c r="M353" s="21">
        <f t="shared" ca="1" si="41"/>
        <v>47238</v>
      </c>
      <c r="N353" s="37">
        <f t="shared" ca="1" si="37"/>
        <v>0</v>
      </c>
      <c r="O353" s="4">
        <f ca="1">IFERROR(AVERAGEIF(N$5:$N353,"&gt;="&amp;_xlfn.PERCENTILE.EXC(N$5:$N353,0.2)),0)</f>
        <v>0</v>
      </c>
      <c r="Q353" s="21">
        <f t="shared" ca="1" si="38"/>
        <v>47238</v>
      </c>
      <c r="R353" s="4">
        <f ca="1">MIN(O353,PREMISSAS!$C$13)</f>
        <v>0</v>
      </c>
      <c r="S353" s="240"/>
      <c r="T353" s="240"/>
    </row>
    <row r="354" spans="2:20" x14ac:dyDescent="0.25">
      <c r="B354" s="21" t="str">
        <f t="shared" ca="1" si="39"/>
        <v/>
      </c>
      <c r="C354" s="22" t="str">
        <f ca="1">IF(B354="","",IF(LEFT(B354,2)="13",C353,IF(MONTH(B354)=1,C353*(1+PREMISSAS!$C$57),C353)))</f>
        <v/>
      </c>
      <c r="E354" s="18">
        <v>350</v>
      </c>
      <c r="F354" s="21">
        <f t="shared" ca="1" si="40"/>
        <v>47269</v>
      </c>
      <c r="G354" s="22">
        <f ca="1">IFERROR(VLOOKUP(F354,RESULTADOS!$O$5:$P$543,2,FALSE),VLOOKUP(F354,$B$5:$C$724,2,FALSE))</f>
        <v>0</v>
      </c>
      <c r="H354" s="4">
        <f ca="1">IF(F354&lt;PREMISSAS!$D$7,0,IFERROR(VLOOKUP(IF(LEFT(F354,2)="13",DATE(YEAR(F353),12,31),F354),IPCA!$A$3:$D$284,4,FALSE),1)*G354)</f>
        <v>0</v>
      </c>
      <c r="J354" s="21">
        <f t="shared" ca="1" si="35"/>
        <v>47269</v>
      </c>
      <c r="K354" s="4">
        <f t="shared" ca="1" si="36"/>
        <v>0</v>
      </c>
      <c r="M354" s="21">
        <f t="shared" ca="1" si="41"/>
        <v>47269</v>
      </c>
      <c r="N354" s="37">
        <f t="shared" ca="1" si="37"/>
        <v>0</v>
      </c>
      <c r="O354" s="4">
        <f ca="1">IFERROR(AVERAGEIF(N$5:$N354,"&gt;="&amp;_xlfn.PERCENTILE.EXC(N$5:$N354,0.2)),0)</f>
        <v>0</v>
      </c>
      <c r="Q354" s="21">
        <f t="shared" ca="1" si="38"/>
        <v>47269</v>
      </c>
      <c r="R354" s="4">
        <f ca="1">MIN(O354,PREMISSAS!$C$13)</f>
        <v>0</v>
      </c>
      <c r="S354" s="240"/>
      <c r="T354" s="240"/>
    </row>
    <row r="355" spans="2:20" x14ac:dyDescent="0.25">
      <c r="B355" s="21" t="str">
        <f t="shared" ca="1" si="39"/>
        <v/>
      </c>
      <c r="C355" s="22" t="str">
        <f ca="1">IF(B355="","",IF(LEFT(B355,2)="13",C354,IF(MONTH(B355)=1,C354*(1+PREMISSAS!$C$57),C354)))</f>
        <v/>
      </c>
      <c r="E355" s="18">
        <v>351</v>
      </c>
      <c r="F355" s="21">
        <f t="shared" ca="1" si="40"/>
        <v>47299</v>
      </c>
      <c r="G355" s="22">
        <f ca="1">IFERROR(VLOOKUP(F355,RESULTADOS!$O$5:$P$543,2,FALSE),VLOOKUP(F355,$B$5:$C$724,2,FALSE))</f>
        <v>0</v>
      </c>
      <c r="H355" s="4">
        <f ca="1">IF(F355&lt;PREMISSAS!$D$7,0,IFERROR(VLOOKUP(IF(LEFT(F355,2)="13",DATE(YEAR(F354),12,31),F355),IPCA!$A$3:$D$284,4,FALSE),1)*G355)</f>
        <v>0</v>
      </c>
      <c r="J355" s="21">
        <f t="shared" ca="1" si="35"/>
        <v>47299</v>
      </c>
      <c r="K355" s="4">
        <f t="shared" ca="1" si="36"/>
        <v>0</v>
      </c>
      <c r="M355" s="21">
        <f t="shared" ca="1" si="41"/>
        <v>47299</v>
      </c>
      <c r="N355" s="37">
        <f t="shared" ca="1" si="37"/>
        <v>0</v>
      </c>
      <c r="O355" s="4">
        <f ca="1">IFERROR(AVERAGEIF(N$5:$N355,"&gt;="&amp;_xlfn.PERCENTILE.EXC(N$5:$N355,0.2)),0)</f>
        <v>0</v>
      </c>
      <c r="Q355" s="21">
        <f t="shared" ca="1" si="38"/>
        <v>47299</v>
      </c>
      <c r="R355" s="4">
        <f ca="1">MIN(O355,PREMISSAS!$C$13)</f>
        <v>0</v>
      </c>
      <c r="S355" s="240"/>
      <c r="T355" s="240"/>
    </row>
    <row r="356" spans="2:20" x14ac:dyDescent="0.25">
      <c r="B356" s="21" t="str">
        <f t="shared" ca="1" si="39"/>
        <v/>
      </c>
      <c r="C356" s="22" t="str">
        <f ca="1">IF(B356="","",IF(LEFT(B356,2)="13",C355,IF(MONTH(B356)=1,C355*(1+PREMISSAS!$C$57),C355)))</f>
        <v/>
      </c>
      <c r="E356" s="18">
        <v>352</v>
      </c>
      <c r="F356" s="21">
        <f t="shared" ca="1" si="40"/>
        <v>47330</v>
      </c>
      <c r="G356" s="22">
        <f ca="1">IFERROR(VLOOKUP(F356,RESULTADOS!$O$5:$P$543,2,FALSE),VLOOKUP(F356,$B$5:$C$724,2,FALSE))</f>
        <v>0</v>
      </c>
      <c r="H356" s="4">
        <f ca="1">IF(F356&lt;PREMISSAS!$D$7,0,IFERROR(VLOOKUP(IF(LEFT(F356,2)="13",DATE(YEAR(F355),12,31),F356),IPCA!$A$3:$D$284,4,FALSE),1)*G356)</f>
        <v>0</v>
      </c>
      <c r="J356" s="21">
        <f t="shared" ca="1" si="35"/>
        <v>47330</v>
      </c>
      <c r="K356" s="4">
        <f t="shared" ca="1" si="36"/>
        <v>0</v>
      </c>
      <c r="M356" s="21">
        <f t="shared" ca="1" si="41"/>
        <v>47330</v>
      </c>
      <c r="N356" s="37">
        <f t="shared" ca="1" si="37"/>
        <v>0</v>
      </c>
      <c r="O356" s="4">
        <f ca="1">IFERROR(AVERAGEIF(N$5:$N356,"&gt;="&amp;_xlfn.PERCENTILE.EXC(N$5:$N356,0.2)),0)</f>
        <v>0</v>
      </c>
      <c r="Q356" s="21">
        <f t="shared" ca="1" si="38"/>
        <v>47330</v>
      </c>
      <c r="R356" s="4">
        <f ca="1">MIN(O356,PREMISSAS!$C$13)</f>
        <v>0</v>
      </c>
      <c r="S356" s="240"/>
      <c r="T356" s="240"/>
    </row>
    <row r="357" spans="2:20" x14ac:dyDescent="0.25">
      <c r="B357" s="21" t="str">
        <f t="shared" ca="1" si="39"/>
        <v/>
      </c>
      <c r="C357" s="22" t="str">
        <f ca="1">IF(B357="","",IF(LEFT(B357,2)="13",C356,IF(MONTH(B357)=1,C356*(1+PREMISSAS!$C$57),C356)))</f>
        <v/>
      </c>
      <c r="E357" s="18">
        <v>353</v>
      </c>
      <c r="F357" s="21">
        <f t="shared" ca="1" si="40"/>
        <v>47361</v>
      </c>
      <c r="G357" s="22">
        <f ca="1">IFERROR(VLOOKUP(F357,RESULTADOS!$O$5:$P$543,2,FALSE),VLOOKUP(F357,$B$5:$C$724,2,FALSE))</f>
        <v>0</v>
      </c>
      <c r="H357" s="4">
        <f ca="1">IF(F357&lt;PREMISSAS!$D$7,0,IFERROR(VLOOKUP(IF(LEFT(F357,2)="13",DATE(YEAR(F356),12,31),F357),IPCA!$A$3:$D$284,4,FALSE),1)*G357)</f>
        <v>0</v>
      </c>
      <c r="J357" s="21">
        <f t="shared" ca="1" si="35"/>
        <v>47361</v>
      </c>
      <c r="K357" s="4">
        <f t="shared" ca="1" si="36"/>
        <v>0</v>
      </c>
      <c r="M357" s="21">
        <f t="shared" ca="1" si="41"/>
        <v>47361</v>
      </c>
      <c r="N357" s="37">
        <f t="shared" ca="1" si="37"/>
        <v>0</v>
      </c>
      <c r="O357" s="4">
        <f ca="1">IFERROR(AVERAGEIF(N$5:$N357,"&gt;="&amp;_xlfn.PERCENTILE.EXC(N$5:$N357,0.2)),0)</f>
        <v>0</v>
      </c>
      <c r="Q357" s="21">
        <f t="shared" ca="1" si="38"/>
        <v>47361</v>
      </c>
      <c r="R357" s="4">
        <f ca="1">MIN(O357,PREMISSAS!$C$13)</f>
        <v>0</v>
      </c>
      <c r="S357" s="240"/>
      <c r="T357" s="240"/>
    </row>
    <row r="358" spans="2:20" x14ac:dyDescent="0.25">
      <c r="B358" s="21" t="str">
        <f t="shared" ca="1" si="39"/>
        <v/>
      </c>
      <c r="C358" s="22" t="str">
        <f ca="1">IF(B358="","",IF(LEFT(B358,2)="13",C357,IF(MONTH(B358)=1,C357*(1+PREMISSAS!$C$57),C357)))</f>
        <v/>
      </c>
      <c r="E358" s="18">
        <v>354</v>
      </c>
      <c r="F358" s="21">
        <f t="shared" ca="1" si="40"/>
        <v>47391</v>
      </c>
      <c r="G358" s="22">
        <f ca="1">IFERROR(VLOOKUP(F358,RESULTADOS!$O$5:$P$543,2,FALSE),VLOOKUP(F358,$B$5:$C$724,2,FALSE))</f>
        <v>0</v>
      </c>
      <c r="H358" s="4">
        <f ca="1">IF(F358&lt;PREMISSAS!$D$7,0,IFERROR(VLOOKUP(IF(LEFT(F358,2)="13",DATE(YEAR(F357),12,31),F358),IPCA!$A$3:$D$284,4,FALSE),1)*G358)</f>
        <v>0</v>
      </c>
      <c r="J358" s="21">
        <f t="shared" ca="1" si="35"/>
        <v>47391</v>
      </c>
      <c r="K358" s="4">
        <f t="shared" ca="1" si="36"/>
        <v>0</v>
      </c>
      <c r="M358" s="21">
        <f t="shared" ca="1" si="41"/>
        <v>47391</v>
      </c>
      <c r="N358" s="37">
        <f t="shared" ca="1" si="37"/>
        <v>0</v>
      </c>
      <c r="O358" s="4">
        <f ca="1">IFERROR(AVERAGEIF(N$5:$N358,"&gt;="&amp;_xlfn.PERCENTILE.EXC(N$5:$N358,0.2)),0)</f>
        <v>0</v>
      </c>
      <c r="Q358" s="21">
        <f t="shared" ca="1" si="38"/>
        <v>47391</v>
      </c>
      <c r="R358" s="4">
        <f ca="1">MIN(O358,PREMISSAS!$C$13)</f>
        <v>0</v>
      </c>
      <c r="S358" s="240"/>
      <c r="T358" s="240"/>
    </row>
    <row r="359" spans="2:20" x14ac:dyDescent="0.25">
      <c r="B359" s="21" t="str">
        <f t="shared" ca="1" si="39"/>
        <v/>
      </c>
      <c r="C359" s="22" t="str">
        <f ca="1">IF(B359="","",IF(LEFT(B359,2)="13",C358,IF(MONTH(B359)=1,C358*(1+PREMISSAS!$C$57),C358)))</f>
        <v/>
      </c>
      <c r="E359" s="18">
        <v>355</v>
      </c>
      <c r="F359" s="21">
        <f t="shared" ca="1" si="40"/>
        <v>47422</v>
      </c>
      <c r="G359" s="22">
        <f ca="1">IFERROR(VLOOKUP(F359,RESULTADOS!$O$5:$P$543,2,FALSE),VLOOKUP(F359,$B$5:$C$724,2,FALSE))</f>
        <v>0</v>
      </c>
      <c r="H359" s="4">
        <f ca="1">IF(F359&lt;PREMISSAS!$D$7,0,IFERROR(VLOOKUP(IF(LEFT(F359,2)="13",DATE(YEAR(F358),12,31),F359),IPCA!$A$3:$D$284,4,FALSE),1)*G359)</f>
        <v>0</v>
      </c>
      <c r="J359" s="21">
        <f t="shared" ca="1" si="35"/>
        <v>47422</v>
      </c>
      <c r="K359" s="4">
        <f t="shared" ca="1" si="36"/>
        <v>0</v>
      </c>
      <c r="M359" s="21">
        <f t="shared" ca="1" si="41"/>
        <v>47422</v>
      </c>
      <c r="N359" s="37">
        <f t="shared" ca="1" si="37"/>
        <v>0</v>
      </c>
      <c r="O359" s="4">
        <f ca="1">IFERROR(AVERAGEIF(N$5:$N359,"&gt;="&amp;_xlfn.PERCENTILE.EXC(N$5:$N359,0.2)),0)</f>
        <v>0</v>
      </c>
      <c r="Q359" s="21">
        <f t="shared" ca="1" si="38"/>
        <v>47422</v>
      </c>
      <c r="R359" s="4">
        <f ca="1">MIN(O359,PREMISSAS!$C$13)</f>
        <v>0</v>
      </c>
      <c r="S359" s="240"/>
      <c r="T359" s="240"/>
    </row>
    <row r="360" spans="2:20" x14ac:dyDescent="0.25">
      <c r="B360" s="21" t="str">
        <f t="shared" ca="1" si="39"/>
        <v/>
      </c>
      <c r="C360" s="22" t="str">
        <f ca="1">IF(B360="","",IF(LEFT(B360,2)="13",C359,IF(MONTH(B360)=1,C359*(1+PREMISSAS!$C$57),C359)))</f>
        <v/>
      </c>
      <c r="E360" s="18">
        <v>356</v>
      </c>
      <c r="F360" s="21">
        <f t="shared" ca="1" si="40"/>
        <v>47452</v>
      </c>
      <c r="G360" s="22">
        <f ca="1">IFERROR(VLOOKUP(F360,RESULTADOS!$O$5:$P$543,2,FALSE),VLOOKUP(F360,$B$5:$C$724,2,FALSE))</f>
        <v>0</v>
      </c>
      <c r="H360" s="4">
        <f ca="1">IF(F360&lt;PREMISSAS!$D$7,0,IFERROR(VLOOKUP(IF(LEFT(F360,2)="13",DATE(YEAR(F359),12,31),F360),IPCA!$A$3:$D$284,4,FALSE),1)*G360)</f>
        <v>0</v>
      </c>
      <c r="J360" s="21">
        <f t="shared" ca="1" si="35"/>
        <v>47452</v>
      </c>
      <c r="K360" s="4">
        <f t="shared" ca="1" si="36"/>
        <v>0</v>
      </c>
      <c r="M360" s="21">
        <f t="shared" ca="1" si="41"/>
        <v>47452</v>
      </c>
      <c r="N360" s="37">
        <f t="shared" ca="1" si="37"/>
        <v>0</v>
      </c>
      <c r="O360" s="4">
        <f ca="1">IFERROR(AVERAGEIF(N$5:$N360,"&gt;="&amp;_xlfn.PERCENTILE.EXC(N$5:$N360,0.2)),0)</f>
        <v>0</v>
      </c>
      <c r="Q360" s="21">
        <f t="shared" ca="1" si="38"/>
        <v>47452</v>
      </c>
      <c r="R360" s="4">
        <f ca="1">MIN(O360,PREMISSAS!$C$13)</f>
        <v>0</v>
      </c>
      <c r="S360" s="240"/>
      <c r="T360" s="240"/>
    </row>
    <row r="361" spans="2:20" x14ac:dyDescent="0.25">
      <c r="B361" s="21" t="str">
        <f t="shared" ca="1" si="39"/>
        <v/>
      </c>
      <c r="C361" s="22" t="str">
        <f ca="1">IF(B361="","",IF(LEFT(B361,2)="13",C360,IF(MONTH(B361)=1,C360*(1+PREMISSAS!$C$57),C360)))</f>
        <v/>
      </c>
      <c r="E361" s="18">
        <v>357</v>
      </c>
      <c r="F361" s="21" t="str">
        <f t="shared" ca="1" si="40"/>
        <v>13º 2029</v>
      </c>
      <c r="G361" s="22">
        <f ca="1">IFERROR(VLOOKUP(F361,RESULTADOS!$O$5:$P$543,2,FALSE),VLOOKUP(F361,$B$5:$C$724,2,FALSE))</f>
        <v>0</v>
      </c>
      <c r="H361" s="4">
        <f ca="1">IF(F361&lt;PREMISSAS!$D$7,0,IFERROR(VLOOKUP(IF(LEFT(F361,2)="13",DATE(YEAR(F360),12,31),F361),IPCA!$A$3:$D$284,4,FALSE),1)*G361)</f>
        <v>0</v>
      </c>
      <c r="J361" s="21" t="str">
        <f t="shared" ca="1" si="35"/>
        <v>13º 2029</v>
      </c>
      <c r="K361" s="4">
        <f t="shared" ca="1" si="36"/>
        <v>0</v>
      </c>
      <c r="M361" s="21" t="str">
        <f t="shared" ca="1" si="41"/>
        <v>13º 2029</v>
      </c>
      <c r="N361" s="37">
        <f t="shared" ca="1" si="37"/>
        <v>0</v>
      </c>
      <c r="O361" s="4">
        <f ca="1">IFERROR(AVERAGEIF(N$5:$N361,"&gt;="&amp;_xlfn.PERCENTILE.EXC(N$5:$N361,0.2)),0)</f>
        <v>0</v>
      </c>
      <c r="Q361" s="21" t="str">
        <f t="shared" ca="1" si="38"/>
        <v>13º 2029</v>
      </c>
      <c r="R361" s="4">
        <f ca="1">MIN(O361,PREMISSAS!$C$13)</f>
        <v>0</v>
      </c>
      <c r="S361" s="240"/>
      <c r="T361" s="240"/>
    </row>
    <row r="362" spans="2:20" x14ac:dyDescent="0.25">
      <c r="B362" s="21" t="str">
        <f t="shared" ca="1" si="39"/>
        <v/>
      </c>
      <c r="C362" s="22" t="str">
        <f ca="1">IF(B362="","",IF(LEFT(B362,2)="13",C361,IF(MONTH(B362)=1,C361*(1+PREMISSAS!$C$57),C361)))</f>
        <v/>
      </c>
      <c r="E362" s="18">
        <v>358</v>
      </c>
      <c r="F362" s="21">
        <f t="shared" ca="1" si="40"/>
        <v>47483</v>
      </c>
      <c r="G362" s="22">
        <f ca="1">IFERROR(VLOOKUP(F362,RESULTADOS!$O$5:$P$543,2,FALSE),VLOOKUP(F362,$B$5:$C$724,2,FALSE))</f>
        <v>0</v>
      </c>
      <c r="H362" s="4">
        <f ca="1">IF(F362&lt;PREMISSAS!$D$7,0,IFERROR(VLOOKUP(IF(LEFT(F362,2)="13",DATE(YEAR(F361),12,31),F362),IPCA!$A$3:$D$284,4,FALSE),1)*G362)</f>
        <v>0</v>
      </c>
      <c r="J362" s="21">
        <f t="shared" ca="1" si="35"/>
        <v>47483</v>
      </c>
      <c r="K362" s="4">
        <f t="shared" ca="1" si="36"/>
        <v>0</v>
      </c>
      <c r="M362" s="21">
        <f t="shared" ca="1" si="41"/>
        <v>47483</v>
      </c>
      <c r="N362" s="37">
        <f t="shared" ca="1" si="37"/>
        <v>0</v>
      </c>
      <c r="O362" s="4">
        <f ca="1">IFERROR(AVERAGEIF(N$5:$N362,"&gt;="&amp;_xlfn.PERCENTILE.EXC(N$5:$N362,0.2)),0)</f>
        <v>0</v>
      </c>
      <c r="Q362" s="21">
        <f t="shared" ca="1" si="38"/>
        <v>47483</v>
      </c>
      <c r="R362" s="4">
        <f ca="1">MIN(O362,PREMISSAS!$C$13)</f>
        <v>0</v>
      </c>
      <c r="S362" s="240"/>
      <c r="T362" s="240"/>
    </row>
    <row r="363" spans="2:20" x14ac:dyDescent="0.25">
      <c r="B363" s="21" t="str">
        <f t="shared" ca="1" si="39"/>
        <v/>
      </c>
      <c r="C363" s="22" t="str">
        <f ca="1">IF(B363="","",IF(LEFT(B363,2)="13",C362,IF(MONTH(B363)=1,C362*(1+PREMISSAS!$C$57),C362)))</f>
        <v/>
      </c>
      <c r="E363" s="18">
        <v>359</v>
      </c>
      <c r="F363" s="21">
        <f t="shared" ca="1" si="40"/>
        <v>47514</v>
      </c>
      <c r="G363" s="22">
        <f ca="1">IFERROR(VLOOKUP(F363,RESULTADOS!$O$5:$P$543,2,FALSE),VLOOKUP(F363,$B$5:$C$724,2,FALSE))</f>
        <v>0</v>
      </c>
      <c r="H363" s="4">
        <f ca="1">IF(F363&lt;PREMISSAS!$D$7,0,IFERROR(VLOOKUP(IF(LEFT(F363,2)="13",DATE(YEAR(F362),12,31),F363),IPCA!$A$3:$D$284,4,FALSE),1)*G363)</f>
        <v>0</v>
      </c>
      <c r="J363" s="21">
        <f t="shared" ca="1" si="35"/>
        <v>47514</v>
      </c>
      <c r="K363" s="4">
        <f t="shared" ca="1" si="36"/>
        <v>0</v>
      </c>
      <c r="M363" s="21">
        <f t="shared" ca="1" si="41"/>
        <v>47514</v>
      </c>
      <c r="N363" s="37">
        <f t="shared" ca="1" si="37"/>
        <v>0</v>
      </c>
      <c r="O363" s="4">
        <f ca="1">IFERROR(AVERAGEIF(N$5:$N363,"&gt;="&amp;_xlfn.PERCENTILE.EXC(N$5:$N363,0.2)),0)</f>
        <v>0</v>
      </c>
      <c r="Q363" s="21">
        <f t="shared" ca="1" si="38"/>
        <v>47514</v>
      </c>
      <c r="R363" s="4">
        <f ca="1">MIN(O363,PREMISSAS!$C$13)</f>
        <v>0</v>
      </c>
      <c r="S363" s="240"/>
      <c r="T363" s="240"/>
    </row>
    <row r="364" spans="2:20" x14ac:dyDescent="0.25">
      <c r="B364" s="21" t="str">
        <f t="shared" ca="1" si="39"/>
        <v/>
      </c>
      <c r="C364" s="22" t="str">
        <f ca="1">IF(B364="","",IF(LEFT(B364,2)="13",C363,IF(MONTH(B364)=1,C363*(1+PREMISSAS!$C$57),C363)))</f>
        <v/>
      </c>
      <c r="E364" s="18">
        <v>360</v>
      </c>
      <c r="F364" s="21">
        <f t="shared" ca="1" si="40"/>
        <v>47542</v>
      </c>
      <c r="G364" s="22">
        <f ca="1">IFERROR(VLOOKUP(F364,RESULTADOS!$O$5:$P$543,2,FALSE),VLOOKUP(F364,$B$5:$C$724,2,FALSE))</f>
        <v>0</v>
      </c>
      <c r="H364" s="4">
        <f ca="1">IF(F364&lt;PREMISSAS!$D$7,0,IFERROR(VLOOKUP(IF(LEFT(F364,2)="13",DATE(YEAR(F363),12,31),F364),IPCA!$A$3:$D$284,4,FALSE),1)*G364)</f>
        <v>0</v>
      </c>
      <c r="J364" s="21">
        <f t="shared" ca="1" si="35"/>
        <v>47542</v>
      </c>
      <c r="K364" s="4">
        <f t="shared" ca="1" si="36"/>
        <v>0</v>
      </c>
      <c r="M364" s="21">
        <f t="shared" ca="1" si="41"/>
        <v>47542</v>
      </c>
      <c r="N364" s="37">
        <f t="shared" ca="1" si="37"/>
        <v>0</v>
      </c>
      <c r="O364" s="4">
        <f ca="1">IFERROR(AVERAGEIF(N$5:$N364,"&gt;="&amp;_xlfn.PERCENTILE.EXC(N$5:$N364,0.2)),0)</f>
        <v>0</v>
      </c>
      <c r="Q364" s="21">
        <f t="shared" ca="1" si="38"/>
        <v>47542</v>
      </c>
      <c r="R364" s="4">
        <f ca="1">MIN(O364,PREMISSAS!$C$13)</f>
        <v>0</v>
      </c>
      <c r="S364" s="240"/>
      <c r="T364" s="240"/>
    </row>
    <row r="365" spans="2:20" x14ac:dyDescent="0.25">
      <c r="B365" s="21" t="str">
        <f t="shared" ca="1" si="39"/>
        <v/>
      </c>
      <c r="C365" s="22" t="str">
        <f ca="1">IF(B365="","",IF(LEFT(B365,2)="13",C364,IF(MONTH(B365)=1,C364*(1+PREMISSAS!$C$57),C364)))</f>
        <v/>
      </c>
      <c r="E365" s="18">
        <v>361</v>
      </c>
      <c r="F365" s="21">
        <f t="shared" ca="1" si="40"/>
        <v>47573</v>
      </c>
      <c r="G365" s="22">
        <f ca="1">IFERROR(VLOOKUP(F365,RESULTADOS!$O$5:$P$543,2,FALSE),VLOOKUP(F365,$B$5:$C$724,2,FALSE))</f>
        <v>0</v>
      </c>
      <c r="H365" s="4">
        <f ca="1">IF(F365&lt;PREMISSAS!$D$7,0,IFERROR(VLOOKUP(IF(LEFT(F365,2)="13",DATE(YEAR(F364),12,31),F365),IPCA!$A$3:$D$284,4,FALSE),1)*G365)</f>
        <v>0</v>
      </c>
      <c r="J365" s="21">
        <f t="shared" ca="1" si="35"/>
        <v>47573</v>
      </c>
      <c r="K365" s="4">
        <f t="shared" ca="1" si="36"/>
        <v>0</v>
      </c>
      <c r="M365" s="21">
        <f t="shared" ca="1" si="41"/>
        <v>47573</v>
      </c>
      <c r="N365" s="37">
        <f t="shared" ca="1" si="37"/>
        <v>0</v>
      </c>
      <c r="O365" s="4">
        <f ca="1">IFERROR(AVERAGEIF(N$5:$N365,"&gt;="&amp;_xlfn.PERCENTILE.EXC(N$5:$N365,0.2)),0)</f>
        <v>0</v>
      </c>
      <c r="Q365" s="21">
        <f t="shared" ca="1" si="38"/>
        <v>47573</v>
      </c>
      <c r="R365" s="4">
        <f ca="1">MIN(O365,PREMISSAS!$C$13)</f>
        <v>0</v>
      </c>
      <c r="S365" s="240"/>
      <c r="T365" s="240"/>
    </row>
    <row r="366" spans="2:20" x14ac:dyDescent="0.25">
      <c r="B366" s="21" t="str">
        <f t="shared" ca="1" si="39"/>
        <v/>
      </c>
      <c r="C366" s="22" t="str">
        <f ca="1">IF(B366="","",IF(LEFT(B366,2)="13",C365,IF(MONTH(B366)=1,C365*(1+PREMISSAS!$C$57),C365)))</f>
        <v/>
      </c>
      <c r="E366" s="18">
        <v>362</v>
      </c>
      <c r="F366" s="21">
        <f t="shared" ca="1" si="40"/>
        <v>47603</v>
      </c>
      <c r="G366" s="22">
        <f ca="1">IFERROR(VLOOKUP(F366,RESULTADOS!$O$5:$P$543,2,FALSE),VLOOKUP(F366,$B$5:$C$724,2,FALSE))</f>
        <v>0</v>
      </c>
      <c r="H366" s="4">
        <f ca="1">IF(F366&lt;PREMISSAS!$D$7,0,IFERROR(VLOOKUP(IF(LEFT(F366,2)="13",DATE(YEAR(F365),12,31),F366),IPCA!$A$3:$D$284,4,FALSE),1)*G366)</f>
        <v>0</v>
      </c>
      <c r="J366" s="21">
        <f t="shared" ca="1" si="35"/>
        <v>47603</v>
      </c>
      <c r="K366" s="4">
        <f t="shared" ca="1" si="36"/>
        <v>0</v>
      </c>
      <c r="M366" s="21">
        <f t="shared" ca="1" si="41"/>
        <v>47603</v>
      </c>
      <c r="N366" s="37">
        <f t="shared" ca="1" si="37"/>
        <v>0</v>
      </c>
      <c r="O366" s="4">
        <f ca="1">IFERROR(AVERAGEIF(N$5:$N366,"&gt;="&amp;_xlfn.PERCENTILE.EXC(N$5:$N366,0.2)),0)</f>
        <v>0</v>
      </c>
      <c r="Q366" s="21">
        <f t="shared" ca="1" si="38"/>
        <v>47603</v>
      </c>
      <c r="R366" s="4">
        <f ca="1">MIN(O366,PREMISSAS!$C$13)</f>
        <v>0</v>
      </c>
      <c r="S366" s="240"/>
      <c r="T366" s="240"/>
    </row>
    <row r="367" spans="2:20" x14ac:dyDescent="0.25">
      <c r="B367" s="21" t="str">
        <f t="shared" ca="1" si="39"/>
        <v/>
      </c>
      <c r="C367" s="22" t="str">
        <f ca="1">IF(B367="","",IF(LEFT(B367,2)="13",C366,IF(MONTH(B367)=1,C366*(1+PREMISSAS!$C$57),C366)))</f>
        <v/>
      </c>
      <c r="E367" s="18">
        <v>363</v>
      </c>
      <c r="F367" s="21">
        <f t="shared" ca="1" si="40"/>
        <v>47634</v>
      </c>
      <c r="G367" s="22">
        <f ca="1">IFERROR(VLOOKUP(F367,RESULTADOS!$O$5:$P$543,2,FALSE),VLOOKUP(F367,$B$5:$C$724,2,FALSE))</f>
        <v>0</v>
      </c>
      <c r="H367" s="4">
        <f ca="1">IF(F367&lt;PREMISSAS!$D$7,0,IFERROR(VLOOKUP(IF(LEFT(F367,2)="13",DATE(YEAR(F366),12,31),F367),IPCA!$A$3:$D$284,4,FALSE),1)*G367)</f>
        <v>0</v>
      </c>
      <c r="J367" s="21">
        <f t="shared" ca="1" si="35"/>
        <v>47634</v>
      </c>
      <c r="K367" s="4">
        <f t="shared" ca="1" si="36"/>
        <v>0</v>
      </c>
      <c r="M367" s="21">
        <f t="shared" ca="1" si="41"/>
        <v>47634</v>
      </c>
      <c r="N367" s="37">
        <f t="shared" ca="1" si="37"/>
        <v>0</v>
      </c>
      <c r="O367" s="4">
        <f ca="1">IFERROR(AVERAGEIF(N$5:$N367,"&gt;="&amp;_xlfn.PERCENTILE.EXC(N$5:$N367,0.2)),0)</f>
        <v>0</v>
      </c>
      <c r="Q367" s="21">
        <f t="shared" ca="1" si="38"/>
        <v>47634</v>
      </c>
      <c r="R367" s="4">
        <f ca="1">MIN(O367,PREMISSAS!$C$13)</f>
        <v>0</v>
      </c>
      <c r="S367" s="240"/>
      <c r="T367" s="240"/>
    </row>
    <row r="368" spans="2:20" x14ac:dyDescent="0.25">
      <c r="B368" s="21" t="str">
        <f t="shared" ca="1" si="39"/>
        <v/>
      </c>
      <c r="C368" s="22" t="str">
        <f ca="1">IF(B368="","",IF(LEFT(B368,2)="13",C367,IF(MONTH(B368)=1,C367*(1+PREMISSAS!$C$57),C367)))</f>
        <v/>
      </c>
      <c r="E368" s="18">
        <v>364</v>
      </c>
      <c r="F368" s="21">
        <f t="shared" ca="1" si="40"/>
        <v>47664</v>
      </c>
      <c r="G368" s="22">
        <f ca="1">IFERROR(VLOOKUP(F368,RESULTADOS!$O$5:$P$543,2,FALSE),VLOOKUP(F368,$B$5:$C$724,2,FALSE))</f>
        <v>0</v>
      </c>
      <c r="H368" s="4">
        <f ca="1">IF(F368&lt;PREMISSAS!$D$7,0,IFERROR(VLOOKUP(IF(LEFT(F368,2)="13",DATE(YEAR(F367),12,31),F368),IPCA!$A$3:$D$284,4,FALSE),1)*G368)</f>
        <v>0</v>
      </c>
      <c r="J368" s="21">
        <f t="shared" ca="1" si="35"/>
        <v>47664</v>
      </c>
      <c r="K368" s="4">
        <f t="shared" ca="1" si="36"/>
        <v>0</v>
      </c>
      <c r="M368" s="21">
        <f t="shared" ca="1" si="41"/>
        <v>47664</v>
      </c>
      <c r="N368" s="37">
        <f t="shared" ca="1" si="37"/>
        <v>0</v>
      </c>
      <c r="O368" s="4">
        <f ca="1">IFERROR(AVERAGEIF(N$5:$N368,"&gt;="&amp;_xlfn.PERCENTILE.EXC(N$5:$N368,0.2)),0)</f>
        <v>0</v>
      </c>
      <c r="Q368" s="21">
        <f t="shared" ca="1" si="38"/>
        <v>47664</v>
      </c>
      <c r="R368" s="4">
        <f ca="1">MIN(O368,PREMISSAS!$C$13)</f>
        <v>0</v>
      </c>
      <c r="S368" s="240"/>
      <c r="T368" s="240"/>
    </row>
    <row r="369" spans="2:20" x14ac:dyDescent="0.25">
      <c r="B369" s="21" t="str">
        <f t="shared" ca="1" si="39"/>
        <v/>
      </c>
      <c r="C369" s="22" t="str">
        <f ca="1">IF(B369="","",IF(LEFT(B369,2)="13",C368,IF(MONTH(B369)=1,C368*(1+PREMISSAS!$C$57),C368)))</f>
        <v/>
      </c>
      <c r="E369" s="18">
        <v>365</v>
      </c>
      <c r="F369" s="21">
        <f t="shared" ca="1" si="40"/>
        <v>47695</v>
      </c>
      <c r="G369" s="22">
        <f ca="1">IFERROR(VLOOKUP(F369,RESULTADOS!$O$5:$P$543,2,FALSE),VLOOKUP(F369,$B$5:$C$724,2,FALSE))</f>
        <v>0</v>
      </c>
      <c r="H369" s="4">
        <f ca="1">IF(F369&lt;PREMISSAS!$D$7,0,IFERROR(VLOOKUP(IF(LEFT(F369,2)="13",DATE(YEAR(F368),12,31),F369),IPCA!$A$3:$D$284,4,FALSE),1)*G369)</f>
        <v>0</v>
      </c>
      <c r="J369" s="21">
        <f t="shared" ca="1" si="35"/>
        <v>47695</v>
      </c>
      <c r="K369" s="4">
        <f t="shared" ca="1" si="36"/>
        <v>0</v>
      </c>
      <c r="M369" s="21">
        <f t="shared" ca="1" si="41"/>
        <v>47695</v>
      </c>
      <c r="N369" s="37">
        <f t="shared" ca="1" si="37"/>
        <v>0</v>
      </c>
      <c r="O369" s="4">
        <f ca="1">IFERROR(AVERAGEIF(N$5:$N369,"&gt;="&amp;_xlfn.PERCENTILE.EXC(N$5:$N369,0.2)),0)</f>
        <v>0</v>
      </c>
      <c r="Q369" s="21">
        <f t="shared" ca="1" si="38"/>
        <v>47695</v>
      </c>
      <c r="R369" s="4">
        <f ca="1">MIN(O369,PREMISSAS!$C$13)</f>
        <v>0</v>
      </c>
      <c r="S369" s="240"/>
      <c r="T369" s="240"/>
    </row>
    <row r="370" spans="2:20" x14ac:dyDescent="0.25">
      <c r="B370" s="21" t="str">
        <f t="shared" ca="1" si="39"/>
        <v/>
      </c>
      <c r="C370" s="22" t="str">
        <f ca="1">IF(B370="","",IF(LEFT(B370,2)="13",C369,IF(MONTH(B370)=1,C369*(1+PREMISSAS!$C$57),C369)))</f>
        <v/>
      </c>
      <c r="E370" s="18">
        <v>366</v>
      </c>
      <c r="F370" s="21">
        <f t="shared" ca="1" si="40"/>
        <v>47726</v>
      </c>
      <c r="G370" s="22">
        <f ca="1">IFERROR(VLOOKUP(F370,RESULTADOS!$O$5:$P$543,2,FALSE),VLOOKUP(F370,$B$5:$C$724,2,FALSE))</f>
        <v>0</v>
      </c>
      <c r="H370" s="4">
        <f ca="1">IF(F370&lt;PREMISSAS!$D$7,0,IFERROR(VLOOKUP(IF(LEFT(F370,2)="13",DATE(YEAR(F369),12,31),F370),IPCA!$A$3:$D$284,4,FALSE),1)*G370)</f>
        <v>0</v>
      </c>
      <c r="J370" s="21">
        <f t="shared" ca="1" si="35"/>
        <v>47726</v>
      </c>
      <c r="K370" s="4">
        <f t="shared" ca="1" si="36"/>
        <v>0</v>
      </c>
      <c r="M370" s="21">
        <f t="shared" ca="1" si="41"/>
        <v>47726</v>
      </c>
      <c r="N370" s="37">
        <f t="shared" ca="1" si="37"/>
        <v>0</v>
      </c>
      <c r="O370" s="4">
        <f ca="1">IFERROR(AVERAGEIF(N$5:$N370,"&gt;="&amp;_xlfn.PERCENTILE.EXC(N$5:$N370,0.2)),0)</f>
        <v>0</v>
      </c>
      <c r="Q370" s="21">
        <f t="shared" ca="1" si="38"/>
        <v>47726</v>
      </c>
      <c r="R370" s="4">
        <f ca="1">MIN(O370,PREMISSAS!$C$13)</f>
        <v>0</v>
      </c>
      <c r="S370" s="240"/>
      <c r="T370" s="240"/>
    </row>
    <row r="371" spans="2:20" x14ac:dyDescent="0.25">
      <c r="B371" s="21" t="str">
        <f t="shared" ca="1" si="39"/>
        <v/>
      </c>
      <c r="C371" s="22" t="str">
        <f ca="1">IF(B371="","",IF(LEFT(B371,2)="13",C370,IF(MONTH(B371)=1,C370*(1+PREMISSAS!$C$57),C370)))</f>
        <v/>
      </c>
      <c r="E371" s="18">
        <v>367</v>
      </c>
      <c r="F371" s="21">
        <f t="shared" ca="1" si="40"/>
        <v>47756</v>
      </c>
      <c r="G371" s="22">
        <f ca="1">IFERROR(VLOOKUP(F371,RESULTADOS!$O$5:$P$543,2,FALSE),VLOOKUP(F371,$B$5:$C$724,2,FALSE))</f>
        <v>0</v>
      </c>
      <c r="H371" s="4">
        <f ca="1">IF(F371&lt;PREMISSAS!$D$7,0,IFERROR(VLOOKUP(IF(LEFT(F371,2)="13",DATE(YEAR(F370),12,31),F371),IPCA!$A$3:$D$284,4,FALSE),1)*G371)</f>
        <v>0</v>
      </c>
      <c r="J371" s="21">
        <f t="shared" ca="1" si="35"/>
        <v>47756</v>
      </c>
      <c r="K371" s="4">
        <f t="shared" ca="1" si="36"/>
        <v>0</v>
      </c>
      <c r="M371" s="21">
        <f t="shared" ca="1" si="41"/>
        <v>47756</v>
      </c>
      <c r="N371" s="37">
        <f t="shared" ca="1" si="37"/>
        <v>0</v>
      </c>
      <c r="O371" s="4">
        <f ca="1">IFERROR(AVERAGEIF(N$5:$N371,"&gt;="&amp;_xlfn.PERCENTILE.EXC(N$5:$N371,0.2)),0)</f>
        <v>0</v>
      </c>
      <c r="Q371" s="21">
        <f t="shared" ca="1" si="38"/>
        <v>47756</v>
      </c>
      <c r="R371" s="4">
        <f ca="1">MIN(O371,PREMISSAS!$C$13)</f>
        <v>0</v>
      </c>
      <c r="S371" s="240"/>
      <c r="T371" s="240"/>
    </row>
    <row r="372" spans="2:20" x14ac:dyDescent="0.25">
      <c r="B372" s="21" t="str">
        <f t="shared" ca="1" si="39"/>
        <v/>
      </c>
      <c r="C372" s="22" t="str">
        <f ca="1">IF(B372="","",IF(LEFT(B372,2)="13",C371,IF(MONTH(B372)=1,C371*(1+PREMISSAS!$C$57),C371)))</f>
        <v/>
      </c>
      <c r="E372" s="18">
        <v>368</v>
      </c>
      <c r="F372" s="21">
        <f t="shared" ca="1" si="40"/>
        <v>47787</v>
      </c>
      <c r="G372" s="22">
        <f ca="1">IFERROR(VLOOKUP(F372,RESULTADOS!$O$5:$P$543,2,FALSE),VLOOKUP(F372,$B$5:$C$724,2,FALSE))</f>
        <v>0</v>
      </c>
      <c r="H372" s="4">
        <f ca="1">IF(F372&lt;PREMISSAS!$D$7,0,IFERROR(VLOOKUP(IF(LEFT(F372,2)="13",DATE(YEAR(F371),12,31),F372),IPCA!$A$3:$D$284,4,FALSE),1)*G372)</f>
        <v>0</v>
      </c>
      <c r="J372" s="21">
        <f t="shared" ca="1" si="35"/>
        <v>47787</v>
      </c>
      <c r="K372" s="4">
        <f t="shared" ca="1" si="36"/>
        <v>0</v>
      </c>
      <c r="M372" s="21">
        <f t="shared" ca="1" si="41"/>
        <v>47787</v>
      </c>
      <c r="N372" s="37">
        <f t="shared" ca="1" si="37"/>
        <v>0</v>
      </c>
      <c r="O372" s="4">
        <f ca="1">IFERROR(AVERAGEIF(N$5:$N372,"&gt;="&amp;_xlfn.PERCENTILE.EXC(N$5:$N372,0.2)),0)</f>
        <v>0</v>
      </c>
      <c r="Q372" s="21">
        <f t="shared" ca="1" si="38"/>
        <v>47787</v>
      </c>
      <c r="R372" s="4">
        <f ca="1">MIN(O372,PREMISSAS!$C$13)</f>
        <v>0</v>
      </c>
      <c r="S372" s="240"/>
      <c r="T372" s="240"/>
    </row>
    <row r="373" spans="2:20" x14ac:dyDescent="0.25">
      <c r="B373" s="21" t="str">
        <f t="shared" ca="1" si="39"/>
        <v/>
      </c>
      <c r="C373" s="22" t="str">
        <f ca="1">IF(B373="","",IF(LEFT(B373,2)="13",C372,IF(MONTH(B373)=1,C372*(1+PREMISSAS!$C$57),C372)))</f>
        <v/>
      </c>
      <c r="E373" s="18">
        <v>369</v>
      </c>
      <c r="F373" s="21">
        <f t="shared" ca="1" si="40"/>
        <v>47817</v>
      </c>
      <c r="G373" s="22">
        <f ca="1">IFERROR(VLOOKUP(F373,RESULTADOS!$O$5:$P$543,2,FALSE),VLOOKUP(F373,$B$5:$C$724,2,FALSE))</f>
        <v>0</v>
      </c>
      <c r="H373" s="4">
        <f ca="1">IF(F373&lt;PREMISSAS!$D$7,0,IFERROR(VLOOKUP(IF(LEFT(F373,2)="13",DATE(YEAR(F372),12,31),F373),IPCA!$A$3:$D$284,4,FALSE),1)*G373)</f>
        <v>0</v>
      </c>
      <c r="J373" s="21">
        <f t="shared" ca="1" si="35"/>
        <v>47817</v>
      </c>
      <c r="K373" s="4">
        <f t="shared" ca="1" si="36"/>
        <v>0</v>
      </c>
      <c r="M373" s="21">
        <f t="shared" ca="1" si="41"/>
        <v>47817</v>
      </c>
      <c r="N373" s="37">
        <f t="shared" ca="1" si="37"/>
        <v>0</v>
      </c>
      <c r="O373" s="4">
        <f ca="1">IFERROR(AVERAGEIF(N$5:$N373,"&gt;="&amp;_xlfn.PERCENTILE.EXC(N$5:$N373,0.2)),0)</f>
        <v>0</v>
      </c>
      <c r="Q373" s="21">
        <f t="shared" ca="1" si="38"/>
        <v>47817</v>
      </c>
      <c r="R373" s="4">
        <f ca="1">MIN(O373,PREMISSAS!$C$13)</f>
        <v>0</v>
      </c>
      <c r="S373" s="240"/>
      <c r="T373" s="240"/>
    </row>
    <row r="374" spans="2:20" x14ac:dyDescent="0.25">
      <c r="B374" s="21" t="str">
        <f t="shared" ca="1" si="39"/>
        <v/>
      </c>
      <c r="C374" s="22" t="str">
        <f ca="1">IF(B374="","",IF(LEFT(B374,2)="13",C373,IF(MONTH(B374)=1,C373*(1+PREMISSAS!$C$57),C373)))</f>
        <v/>
      </c>
      <c r="E374" s="18">
        <v>370</v>
      </c>
      <c r="F374" s="21" t="str">
        <f t="shared" ca="1" si="40"/>
        <v>13º 2030</v>
      </c>
      <c r="G374" s="22">
        <f ca="1">IFERROR(VLOOKUP(F374,RESULTADOS!$O$5:$P$543,2,FALSE),VLOOKUP(F374,$B$5:$C$724,2,FALSE))</f>
        <v>0</v>
      </c>
      <c r="H374" s="4">
        <f ca="1">IF(F374&lt;PREMISSAS!$D$7,0,IFERROR(VLOOKUP(IF(LEFT(F374,2)="13",DATE(YEAR(F373),12,31),F374),IPCA!$A$3:$D$284,4,FALSE),1)*G374)</f>
        <v>0</v>
      </c>
      <c r="J374" s="21" t="str">
        <f t="shared" ca="1" si="35"/>
        <v>13º 2030</v>
      </c>
      <c r="K374" s="4">
        <f t="shared" ca="1" si="36"/>
        <v>0</v>
      </c>
      <c r="M374" s="21" t="str">
        <f t="shared" ca="1" si="41"/>
        <v>13º 2030</v>
      </c>
      <c r="N374" s="37">
        <f t="shared" ca="1" si="37"/>
        <v>0</v>
      </c>
      <c r="O374" s="4">
        <f ca="1">IFERROR(AVERAGEIF(N$5:$N374,"&gt;="&amp;_xlfn.PERCENTILE.EXC(N$5:$N374,0.2)),0)</f>
        <v>0</v>
      </c>
      <c r="Q374" s="21" t="str">
        <f t="shared" ca="1" si="38"/>
        <v>13º 2030</v>
      </c>
      <c r="R374" s="4">
        <f ca="1">MIN(O374,PREMISSAS!$C$13)</f>
        <v>0</v>
      </c>
      <c r="S374" s="240"/>
      <c r="T374" s="240"/>
    </row>
    <row r="375" spans="2:20" x14ac:dyDescent="0.25">
      <c r="B375" s="21" t="str">
        <f t="shared" ca="1" si="39"/>
        <v/>
      </c>
      <c r="C375" s="22" t="str">
        <f ca="1">IF(B375="","",IF(LEFT(B375,2)="13",C374,IF(MONTH(B375)=1,C374*(1+PREMISSAS!$C$57),C374)))</f>
        <v/>
      </c>
      <c r="E375" s="18">
        <v>371</v>
      </c>
      <c r="F375" s="21">
        <f t="shared" ca="1" si="40"/>
        <v>47848</v>
      </c>
      <c r="G375" s="22">
        <f ca="1">IFERROR(VLOOKUP(F375,RESULTADOS!$O$5:$P$543,2,FALSE),VLOOKUP(F375,$B$5:$C$724,2,FALSE))</f>
        <v>0</v>
      </c>
      <c r="H375" s="4">
        <f ca="1">IF(F375&lt;PREMISSAS!$D$7,0,IFERROR(VLOOKUP(IF(LEFT(F375,2)="13",DATE(YEAR(F374),12,31),F375),IPCA!$A$3:$D$284,4,FALSE),1)*G375)</f>
        <v>0</v>
      </c>
      <c r="J375" s="21">
        <f t="shared" ca="1" si="35"/>
        <v>47848</v>
      </c>
      <c r="K375" s="4">
        <f t="shared" ca="1" si="36"/>
        <v>0</v>
      </c>
      <c r="M375" s="21">
        <f t="shared" ca="1" si="41"/>
        <v>47848</v>
      </c>
      <c r="N375" s="37">
        <f t="shared" ca="1" si="37"/>
        <v>0</v>
      </c>
      <c r="O375" s="4">
        <f ca="1">IFERROR(AVERAGEIF(N$5:$N375,"&gt;="&amp;_xlfn.PERCENTILE.EXC(N$5:$N375,0.2)),0)</f>
        <v>0</v>
      </c>
      <c r="Q375" s="21">
        <f t="shared" ca="1" si="38"/>
        <v>47848</v>
      </c>
      <c r="R375" s="4">
        <f ca="1">MIN(O375,PREMISSAS!$C$13)</f>
        <v>0</v>
      </c>
      <c r="S375" s="240"/>
      <c r="T375" s="240"/>
    </row>
    <row r="376" spans="2:20" x14ac:dyDescent="0.25">
      <c r="B376" s="21" t="str">
        <f t="shared" ca="1" si="39"/>
        <v/>
      </c>
      <c r="C376" s="22" t="str">
        <f ca="1">IF(B376="","",IF(LEFT(B376,2)="13",C375,IF(MONTH(B376)=1,C375*(1+PREMISSAS!$C$57),C375)))</f>
        <v/>
      </c>
      <c r="E376" s="18">
        <v>372</v>
      </c>
      <c r="F376" s="21">
        <f t="shared" ca="1" si="40"/>
        <v>47879</v>
      </c>
      <c r="G376" s="22">
        <f ca="1">IFERROR(VLOOKUP(F376,RESULTADOS!$O$5:$P$543,2,FALSE),VLOOKUP(F376,$B$5:$C$724,2,FALSE))</f>
        <v>0</v>
      </c>
      <c r="H376" s="4">
        <f ca="1">IF(F376&lt;PREMISSAS!$D$7,0,IFERROR(VLOOKUP(IF(LEFT(F376,2)="13",DATE(YEAR(F375),12,31),F376),IPCA!$A$3:$D$284,4,FALSE),1)*G376)</f>
        <v>0</v>
      </c>
      <c r="J376" s="21">
        <f t="shared" ca="1" si="35"/>
        <v>47879</v>
      </c>
      <c r="K376" s="4">
        <f t="shared" ca="1" si="36"/>
        <v>0</v>
      </c>
      <c r="M376" s="21">
        <f t="shared" ca="1" si="41"/>
        <v>47879</v>
      </c>
      <c r="N376" s="37">
        <f t="shared" ca="1" si="37"/>
        <v>0</v>
      </c>
      <c r="O376" s="4">
        <f ca="1">IFERROR(AVERAGEIF(N$5:$N376,"&gt;="&amp;_xlfn.PERCENTILE.EXC(N$5:$N376,0.2)),0)</f>
        <v>0</v>
      </c>
      <c r="Q376" s="21">
        <f t="shared" ca="1" si="38"/>
        <v>47879</v>
      </c>
      <c r="R376" s="4">
        <f ca="1">MIN(O376,PREMISSAS!$C$13)</f>
        <v>0</v>
      </c>
      <c r="S376" s="240"/>
      <c r="T376" s="240"/>
    </row>
    <row r="377" spans="2:20" x14ac:dyDescent="0.25">
      <c r="B377" s="21" t="str">
        <f t="shared" ca="1" si="39"/>
        <v/>
      </c>
      <c r="C377" s="22" t="str">
        <f ca="1">IF(B377="","",IF(LEFT(B377,2)="13",C376,IF(MONTH(B377)=1,C376*(1+PREMISSAS!$C$57),C376)))</f>
        <v/>
      </c>
      <c r="E377" s="18">
        <v>373</v>
      </c>
      <c r="F377" s="21">
        <f t="shared" ca="1" si="40"/>
        <v>47907</v>
      </c>
      <c r="G377" s="22">
        <f ca="1">IFERROR(VLOOKUP(F377,RESULTADOS!$O$5:$P$543,2,FALSE),VLOOKUP(F377,$B$5:$C$724,2,FALSE))</f>
        <v>0</v>
      </c>
      <c r="H377" s="4">
        <f ca="1">IF(F377&lt;PREMISSAS!$D$7,0,IFERROR(VLOOKUP(IF(LEFT(F377,2)="13",DATE(YEAR(F376),12,31),F377),IPCA!$A$3:$D$284,4,FALSE),1)*G377)</f>
        <v>0</v>
      </c>
      <c r="J377" s="21">
        <f t="shared" ca="1" si="35"/>
        <v>47907</v>
      </c>
      <c r="K377" s="4">
        <f t="shared" ca="1" si="36"/>
        <v>0</v>
      </c>
      <c r="M377" s="21">
        <f t="shared" ca="1" si="41"/>
        <v>47907</v>
      </c>
      <c r="N377" s="37">
        <f t="shared" ca="1" si="37"/>
        <v>0</v>
      </c>
      <c r="O377" s="4">
        <f ca="1">IFERROR(AVERAGEIF(N$5:$N377,"&gt;="&amp;_xlfn.PERCENTILE.EXC(N$5:$N377,0.2)),0)</f>
        <v>0</v>
      </c>
      <c r="Q377" s="21">
        <f t="shared" ca="1" si="38"/>
        <v>47907</v>
      </c>
      <c r="R377" s="4">
        <f ca="1">MIN(O377,PREMISSAS!$C$13)</f>
        <v>0</v>
      </c>
      <c r="S377" s="240"/>
      <c r="T377" s="240"/>
    </row>
    <row r="378" spans="2:20" x14ac:dyDescent="0.25">
      <c r="B378" s="21" t="str">
        <f t="shared" ca="1" si="39"/>
        <v/>
      </c>
      <c r="C378" s="22" t="str">
        <f ca="1">IF(B378="","",IF(LEFT(B378,2)="13",C377,IF(MONTH(B378)=1,C377*(1+PREMISSAS!$C$57),C377)))</f>
        <v/>
      </c>
      <c r="E378" s="18">
        <v>374</v>
      </c>
      <c r="F378" s="21">
        <f t="shared" ca="1" si="40"/>
        <v>47938</v>
      </c>
      <c r="G378" s="22">
        <f ca="1">IFERROR(VLOOKUP(F378,RESULTADOS!$O$5:$P$543,2,FALSE),VLOOKUP(F378,$B$5:$C$724,2,FALSE))</f>
        <v>0</v>
      </c>
      <c r="H378" s="4">
        <f ca="1">IF(F378&lt;PREMISSAS!$D$7,0,IFERROR(VLOOKUP(IF(LEFT(F378,2)="13",DATE(YEAR(F377),12,31),F378),IPCA!$A$3:$D$284,4,FALSE),1)*G378)</f>
        <v>0</v>
      </c>
      <c r="J378" s="21">
        <f t="shared" ca="1" si="35"/>
        <v>47938</v>
      </c>
      <c r="K378" s="4">
        <f t="shared" ca="1" si="36"/>
        <v>0</v>
      </c>
      <c r="M378" s="21">
        <f t="shared" ca="1" si="41"/>
        <v>47938</v>
      </c>
      <c r="N378" s="37">
        <f t="shared" ca="1" si="37"/>
        <v>0</v>
      </c>
      <c r="O378" s="4">
        <f ca="1">IFERROR(AVERAGEIF(N$5:$N378,"&gt;="&amp;_xlfn.PERCENTILE.EXC(N$5:$N378,0.2)),0)</f>
        <v>0</v>
      </c>
      <c r="Q378" s="21">
        <f t="shared" ca="1" si="38"/>
        <v>47938</v>
      </c>
      <c r="R378" s="4">
        <f ca="1">MIN(O378,PREMISSAS!$C$13)</f>
        <v>0</v>
      </c>
      <c r="S378" s="240"/>
      <c r="T378" s="240"/>
    </row>
    <row r="379" spans="2:20" x14ac:dyDescent="0.25">
      <c r="B379" s="21" t="str">
        <f t="shared" ca="1" si="39"/>
        <v/>
      </c>
      <c r="C379" s="22" t="str">
        <f ca="1">IF(B379="","",IF(LEFT(B379,2)="13",C378,IF(MONTH(B379)=1,C378*(1+PREMISSAS!$C$57),C378)))</f>
        <v/>
      </c>
      <c r="E379" s="18">
        <v>375</v>
      </c>
      <c r="F379" s="21">
        <f t="shared" ca="1" si="40"/>
        <v>47968</v>
      </c>
      <c r="G379" s="22">
        <f ca="1">IFERROR(VLOOKUP(F379,RESULTADOS!$O$5:$P$543,2,FALSE),VLOOKUP(F379,$B$5:$C$724,2,FALSE))</f>
        <v>0</v>
      </c>
      <c r="H379" s="4">
        <f ca="1">IF(F379&lt;PREMISSAS!$D$7,0,IFERROR(VLOOKUP(IF(LEFT(F379,2)="13",DATE(YEAR(F378),12,31),F379),IPCA!$A$3:$D$284,4,FALSE),1)*G379)</f>
        <v>0</v>
      </c>
      <c r="J379" s="21">
        <f t="shared" ca="1" si="35"/>
        <v>47968</v>
      </c>
      <c r="K379" s="4">
        <f t="shared" ca="1" si="36"/>
        <v>0</v>
      </c>
      <c r="M379" s="21">
        <f t="shared" ca="1" si="41"/>
        <v>47968</v>
      </c>
      <c r="N379" s="37">
        <f t="shared" ca="1" si="37"/>
        <v>0</v>
      </c>
      <c r="O379" s="4">
        <f ca="1">IFERROR(AVERAGEIF(N$5:$N379,"&gt;="&amp;_xlfn.PERCENTILE.EXC(N$5:$N379,0.2)),0)</f>
        <v>0</v>
      </c>
      <c r="Q379" s="21">
        <f t="shared" ca="1" si="38"/>
        <v>47968</v>
      </c>
      <c r="R379" s="4">
        <f ca="1">MIN(O379,PREMISSAS!$C$13)</f>
        <v>0</v>
      </c>
      <c r="S379" s="240"/>
      <c r="T379" s="240"/>
    </row>
    <row r="380" spans="2:20" x14ac:dyDescent="0.25">
      <c r="B380" s="21" t="str">
        <f t="shared" ca="1" si="39"/>
        <v/>
      </c>
      <c r="C380" s="22" t="str">
        <f ca="1">IF(B380="","",IF(LEFT(B380,2)="13",C379,IF(MONTH(B380)=1,C379*(1+PREMISSAS!$C$57),C379)))</f>
        <v/>
      </c>
      <c r="E380" s="18">
        <v>376</v>
      </c>
      <c r="F380" s="21">
        <f t="shared" ca="1" si="40"/>
        <v>47999</v>
      </c>
      <c r="G380" s="22">
        <f ca="1">IFERROR(VLOOKUP(F380,RESULTADOS!$O$5:$P$543,2,FALSE),VLOOKUP(F380,$B$5:$C$724,2,FALSE))</f>
        <v>0</v>
      </c>
      <c r="H380" s="4">
        <f ca="1">IF(F380&lt;PREMISSAS!$D$7,0,IFERROR(VLOOKUP(IF(LEFT(F380,2)="13",DATE(YEAR(F379),12,31),F380),IPCA!$A$3:$D$284,4,FALSE),1)*G380)</f>
        <v>0</v>
      </c>
      <c r="J380" s="21">
        <f t="shared" ca="1" si="35"/>
        <v>47999</v>
      </c>
      <c r="K380" s="4">
        <f t="shared" ca="1" si="36"/>
        <v>0</v>
      </c>
      <c r="M380" s="21">
        <f t="shared" ca="1" si="41"/>
        <v>47999</v>
      </c>
      <c r="N380" s="37">
        <f t="shared" ca="1" si="37"/>
        <v>0</v>
      </c>
      <c r="O380" s="4">
        <f ca="1">IFERROR(AVERAGEIF(N$5:$N380,"&gt;="&amp;_xlfn.PERCENTILE.EXC(N$5:$N380,0.2)),0)</f>
        <v>0</v>
      </c>
      <c r="Q380" s="21">
        <f t="shared" ca="1" si="38"/>
        <v>47999</v>
      </c>
      <c r="R380" s="4">
        <f ca="1">MIN(O380,PREMISSAS!$C$13)</f>
        <v>0</v>
      </c>
      <c r="S380" s="240"/>
      <c r="T380" s="240"/>
    </row>
    <row r="381" spans="2:20" x14ac:dyDescent="0.25">
      <c r="B381" s="21" t="str">
        <f t="shared" ca="1" si="39"/>
        <v/>
      </c>
      <c r="C381" s="22" t="str">
        <f ca="1">IF(B381="","",IF(LEFT(B381,2)="13",C380,IF(MONTH(B381)=1,C380*(1+PREMISSAS!$C$57),C380)))</f>
        <v/>
      </c>
      <c r="E381" s="18">
        <v>377</v>
      </c>
      <c r="F381" s="21">
        <f t="shared" ca="1" si="40"/>
        <v>48029</v>
      </c>
      <c r="G381" s="22">
        <f ca="1">IFERROR(VLOOKUP(F381,RESULTADOS!$O$5:$P$543,2,FALSE),VLOOKUP(F381,$B$5:$C$724,2,FALSE))</f>
        <v>0</v>
      </c>
      <c r="H381" s="4">
        <f ca="1">IF(F381&lt;PREMISSAS!$D$7,0,IFERROR(VLOOKUP(IF(LEFT(F381,2)="13",DATE(YEAR(F380),12,31),F381),IPCA!$A$3:$D$284,4,FALSE),1)*G381)</f>
        <v>0</v>
      </c>
      <c r="J381" s="21">
        <f t="shared" ca="1" si="35"/>
        <v>48029</v>
      </c>
      <c r="K381" s="4">
        <f t="shared" ca="1" si="36"/>
        <v>0</v>
      </c>
      <c r="M381" s="21">
        <f t="shared" ca="1" si="41"/>
        <v>48029</v>
      </c>
      <c r="N381" s="37">
        <f t="shared" ca="1" si="37"/>
        <v>0</v>
      </c>
      <c r="O381" s="4">
        <f ca="1">IFERROR(AVERAGEIF(N$5:$N381,"&gt;="&amp;_xlfn.PERCENTILE.EXC(N$5:$N381,0.2)),0)</f>
        <v>0</v>
      </c>
      <c r="Q381" s="21">
        <f t="shared" ca="1" si="38"/>
        <v>48029</v>
      </c>
      <c r="R381" s="4">
        <f ca="1">MIN(O381,PREMISSAS!$C$13)</f>
        <v>0</v>
      </c>
      <c r="S381" s="240"/>
      <c r="T381" s="240"/>
    </row>
    <row r="382" spans="2:20" x14ac:dyDescent="0.25">
      <c r="B382" s="21" t="str">
        <f t="shared" ca="1" si="39"/>
        <v/>
      </c>
      <c r="C382" s="22" t="str">
        <f ca="1">IF(B382="","",IF(LEFT(B382,2)="13",C381,IF(MONTH(B382)=1,C381*(1+PREMISSAS!$C$57),C381)))</f>
        <v/>
      </c>
      <c r="E382" s="18">
        <v>378</v>
      </c>
      <c r="F382" s="21">
        <f t="shared" ca="1" si="40"/>
        <v>48060</v>
      </c>
      <c r="G382" s="22">
        <f ca="1">IFERROR(VLOOKUP(F382,RESULTADOS!$O$5:$P$543,2,FALSE),VLOOKUP(F382,$B$5:$C$724,2,FALSE))</f>
        <v>0</v>
      </c>
      <c r="H382" s="4">
        <f ca="1">IF(F382&lt;PREMISSAS!$D$7,0,IFERROR(VLOOKUP(IF(LEFT(F382,2)="13",DATE(YEAR(F381),12,31),F382),IPCA!$A$3:$D$284,4,FALSE),1)*G382)</f>
        <v>0</v>
      </c>
      <c r="J382" s="21">
        <f t="shared" ca="1" si="35"/>
        <v>48060</v>
      </c>
      <c r="K382" s="4">
        <f t="shared" ca="1" si="36"/>
        <v>0</v>
      </c>
      <c r="M382" s="21">
        <f t="shared" ca="1" si="41"/>
        <v>48060</v>
      </c>
      <c r="N382" s="37">
        <f t="shared" ca="1" si="37"/>
        <v>0</v>
      </c>
      <c r="O382" s="4">
        <f ca="1">IFERROR(AVERAGEIF(N$5:$N382,"&gt;="&amp;_xlfn.PERCENTILE.EXC(N$5:$N382,0.2)),0)</f>
        <v>0</v>
      </c>
      <c r="Q382" s="21">
        <f t="shared" ca="1" si="38"/>
        <v>48060</v>
      </c>
      <c r="R382" s="4">
        <f ca="1">MIN(O382,PREMISSAS!$C$13)</f>
        <v>0</v>
      </c>
      <c r="S382" s="240"/>
      <c r="T382" s="240"/>
    </row>
    <row r="383" spans="2:20" x14ac:dyDescent="0.25">
      <c r="B383" s="21" t="str">
        <f t="shared" ca="1" si="39"/>
        <v/>
      </c>
      <c r="C383" s="22" t="str">
        <f ca="1">IF(B383="","",IF(LEFT(B383,2)="13",C382,IF(MONTH(B383)=1,C382*(1+PREMISSAS!$C$57),C382)))</f>
        <v/>
      </c>
      <c r="E383" s="18">
        <v>379</v>
      </c>
      <c r="F383" s="21">
        <f t="shared" ca="1" si="40"/>
        <v>48091</v>
      </c>
      <c r="G383" s="22">
        <f ca="1">IFERROR(VLOOKUP(F383,RESULTADOS!$O$5:$P$543,2,FALSE),VLOOKUP(F383,$B$5:$C$724,2,FALSE))</f>
        <v>0</v>
      </c>
      <c r="H383" s="4">
        <f ca="1">IF(F383&lt;PREMISSAS!$D$7,0,IFERROR(VLOOKUP(IF(LEFT(F383,2)="13",DATE(YEAR(F382),12,31),F383),IPCA!$A$3:$D$284,4,FALSE),1)*G383)</f>
        <v>0</v>
      </c>
      <c r="J383" s="21">
        <f t="shared" ca="1" si="35"/>
        <v>48091</v>
      </c>
      <c r="K383" s="4">
        <f t="shared" ca="1" si="36"/>
        <v>0</v>
      </c>
      <c r="M383" s="21">
        <f t="shared" ca="1" si="41"/>
        <v>48091</v>
      </c>
      <c r="N383" s="37">
        <f t="shared" ca="1" si="37"/>
        <v>0</v>
      </c>
      <c r="O383" s="4">
        <f ca="1">IFERROR(AVERAGEIF(N$5:$N383,"&gt;="&amp;_xlfn.PERCENTILE.EXC(N$5:$N383,0.2)),0)</f>
        <v>0</v>
      </c>
      <c r="Q383" s="21">
        <f t="shared" ca="1" si="38"/>
        <v>48091</v>
      </c>
      <c r="R383" s="4">
        <f ca="1">MIN(O383,PREMISSAS!$C$13)</f>
        <v>0</v>
      </c>
      <c r="S383" s="240"/>
      <c r="T383" s="240"/>
    </row>
    <row r="384" spans="2:20" x14ac:dyDescent="0.25">
      <c r="B384" s="21" t="str">
        <f t="shared" ca="1" si="39"/>
        <v/>
      </c>
      <c r="C384" s="22" t="str">
        <f ca="1">IF(B384="","",IF(LEFT(B384,2)="13",C383,IF(MONTH(B384)=1,C383*(1+PREMISSAS!$C$57),C383)))</f>
        <v/>
      </c>
      <c r="E384" s="18">
        <v>380</v>
      </c>
      <c r="F384" s="21">
        <f t="shared" ca="1" si="40"/>
        <v>48121</v>
      </c>
      <c r="G384" s="22">
        <f ca="1">IFERROR(VLOOKUP(F384,RESULTADOS!$O$5:$P$543,2,FALSE),VLOOKUP(F384,$B$5:$C$724,2,FALSE))</f>
        <v>0</v>
      </c>
      <c r="H384" s="4">
        <f ca="1">IF(F384&lt;PREMISSAS!$D$7,0,IFERROR(VLOOKUP(IF(LEFT(F384,2)="13",DATE(YEAR(F383),12,31),F384),IPCA!$A$3:$D$284,4,FALSE),1)*G384)</f>
        <v>0</v>
      </c>
      <c r="J384" s="21">
        <f t="shared" ca="1" si="35"/>
        <v>48121</v>
      </c>
      <c r="K384" s="4">
        <f t="shared" ca="1" si="36"/>
        <v>0</v>
      </c>
      <c r="M384" s="21">
        <f t="shared" ca="1" si="41"/>
        <v>48121</v>
      </c>
      <c r="N384" s="37">
        <f t="shared" ca="1" si="37"/>
        <v>0</v>
      </c>
      <c r="O384" s="4">
        <f ca="1">IFERROR(AVERAGEIF(N$5:$N384,"&gt;="&amp;_xlfn.PERCENTILE.EXC(N$5:$N384,0.2)),0)</f>
        <v>0</v>
      </c>
      <c r="Q384" s="21">
        <f t="shared" ca="1" si="38"/>
        <v>48121</v>
      </c>
      <c r="R384" s="4">
        <f ca="1">MIN(O384,PREMISSAS!$C$13)</f>
        <v>0</v>
      </c>
      <c r="S384" s="240"/>
      <c r="T384" s="240"/>
    </row>
    <row r="385" spans="2:20" x14ac:dyDescent="0.25">
      <c r="B385" s="21" t="str">
        <f t="shared" ca="1" si="39"/>
        <v/>
      </c>
      <c r="C385" s="22" t="str">
        <f ca="1">IF(B385="","",IF(LEFT(B385,2)="13",C384,IF(MONTH(B385)=1,C384*(1+PREMISSAS!$C$57),C384)))</f>
        <v/>
      </c>
      <c r="E385" s="18">
        <v>381</v>
      </c>
      <c r="F385" s="21">
        <f t="shared" ca="1" si="40"/>
        <v>48152</v>
      </c>
      <c r="G385" s="22">
        <f ca="1">IFERROR(VLOOKUP(F385,RESULTADOS!$O$5:$P$543,2,FALSE),VLOOKUP(F385,$B$5:$C$724,2,FALSE))</f>
        <v>0</v>
      </c>
      <c r="H385" s="4">
        <f ca="1">IF(F385&lt;PREMISSAS!$D$7,0,IFERROR(VLOOKUP(IF(LEFT(F385,2)="13",DATE(YEAR(F384),12,31),F385),IPCA!$A$3:$D$284,4,FALSE),1)*G385)</f>
        <v>0</v>
      </c>
      <c r="J385" s="21">
        <f t="shared" ca="1" si="35"/>
        <v>48152</v>
      </c>
      <c r="K385" s="4">
        <f t="shared" ca="1" si="36"/>
        <v>0</v>
      </c>
      <c r="M385" s="21">
        <f t="shared" ca="1" si="41"/>
        <v>48152</v>
      </c>
      <c r="N385" s="37">
        <f t="shared" ca="1" si="37"/>
        <v>0</v>
      </c>
      <c r="O385" s="4">
        <f ca="1">IFERROR(AVERAGEIF(N$5:$N385,"&gt;="&amp;_xlfn.PERCENTILE.EXC(N$5:$N385,0.2)),0)</f>
        <v>0</v>
      </c>
      <c r="Q385" s="21">
        <f t="shared" ca="1" si="38"/>
        <v>48152</v>
      </c>
      <c r="R385" s="4">
        <f ca="1">MIN(O385,PREMISSAS!$C$13)</f>
        <v>0</v>
      </c>
      <c r="S385" s="240"/>
      <c r="T385" s="240"/>
    </row>
    <row r="386" spans="2:20" x14ac:dyDescent="0.25">
      <c r="B386" s="21" t="str">
        <f t="shared" ca="1" si="39"/>
        <v/>
      </c>
      <c r="C386" s="22" t="str">
        <f ca="1">IF(B386="","",IF(LEFT(B386,2)="13",C385,IF(MONTH(B386)=1,C385*(1+PREMISSAS!$C$57),C385)))</f>
        <v/>
      </c>
      <c r="E386" s="18">
        <v>382</v>
      </c>
      <c r="F386" s="21">
        <f t="shared" ca="1" si="40"/>
        <v>48182</v>
      </c>
      <c r="G386" s="22">
        <f ca="1">IFERROR(VLOOKUP(F386,RESULTADOS!$O$5:$P$543,2,FALSE),VLOOKUP(F386,$B$5:$C$724,2,FALSE))</f>
        <v>0</v>
      </c>
      <c r="H386" s="4">
        <f ca="1">IF(F386&lt;PREMISSAS!$D$7,0,IFERROR(VLOOKUP(IF(LEFT(F386,2)="13",DATE(YEAR(F385),12,31),F386),IPCA!$A$3:$D$284,4,FALSE),1)*G386)</f>
        <v>0</v>
      </c>
      <c r="J386" s="21">
        <f t="shared" ca="1" si="35"/>
        <v>48182</v>
      </c>
      <c r="K386" s="4">
        <f t="shared" ca="1" si="36"/>
        <v>0</v>
      </c>
      <c r="M386" s="21">
        <f t="shared" ca="1" si="41"/>
        <v>48182</v>
      </c>
      <c r="N386" s="37">
        <f t="shared" ca="1" si="37"/>
        <v>0</v>
      </c>
      <c r="O386" s="4">
        <f ca="1">IFERROR(AVERAGEIF(N$5:$N386,"&gt;="&amp;_xlfn.PERCENTILE.EXC(N$5:$N386,0.2)),0)</f>
        <v>0</v>
      </c>
      <c r="Q386" s="21">
        <f t="shared" ca="1" si="38"/>
        <v>48182</v>
      </c>
      <c r="R386" s="4">
        <f ca="1">MIN(O386,PREMISSAS!$C$13)</f>
        <v>0</v>
      </c>
      <c r="S386" s="240"/>
      <c r="T386" s="240"/>
    </row>
    <row r="387" spans="2:20" x14ac:dyDescent="0.25">
      <c r="B387" s="21" t="str">
        <f t="shared" ca="1" si="39"/>
        <v/>
      </c>
      <c r="C387" s="22" t="str">
        <f ca="1">IF(B387="","",IF(LEFT(B387,2)="13",C386,IF(MONTH(B387)=1,C386*(1+PREMISSAS!$C$57),C386)))</f>
        <v/>
      </c>
      <c r="E387" s="18">
        <v>383</v>
      </c>
      <c r="F387" s="21" t="str">
        <f t="shared" ca="1" si="40"/>
        <v>13º 2031</v>
      </c>
      <c r="G387" s="22">
        <f ca="1">IFERROR(VLOOKUP(F387,RESULTADOS!$O$5:$P$543,2,FALSE),VLOOKUP(F387,$B$5:$C$724,2,FALSE))</f>
        <v>0</v>
      </c>
      <c r="H387" s="4">
        <f ca="1">IF(F387&lt;PREMISSAS!$D$7,0,IFERROR(VLOOKUP(IF(LEFT(F387,2)="13",DATE(YEAR(F386),12,31),F387),IPCA!$A$3:$D$284,4,FALSE),1)*G387)</f>
        <v>0</v>
      </c>
      <c r="J387" s="21" t="str">
        <f t="shared" ca="1" si="35"/>
        <v>13º 2031</v>
      </c>
      <c r="K387" s="4">
        <f t="shared" ca="1" si="36"/>
        <v>0</v>
      </c>
      <c r="M387" s="21" t="str">
        <f t="shared" ca="1" si="41"/>
        <v>13º 2031</v>
      </c>
      <c r="N387" s="37">
        <f t="shared" ca="1" si="37"/>
        <v>0</v>
      </c>
      <c r="O387" s="4">
        <f ca="1">IFERROR(AVERAGEIF(N$5:$N387,"&gt;="&amp;_xlfn.PERCENTILE.EXC(N$5:$N387,0.2)),0)</f>
        <v>0</v>
      </c>
      <c r="Q387" s="21" t="str">
        <f t="shared" ca="1" si="38"/>
        <v>13º 2031</v>
      </c>
      <c r="R387" s="4">
        <f ca="1">MIN(O387,PREMISSAS!$C$13)</f>
        <v>0</v>
      </c>
      <c r="S387" s="240"/>
      <c r="T387" s="240"/>
    </row>
    <row r="388" spans="2:20" x14ac:dyDescent="0.25">
      <c r="B388" s="21" t="str">
        <f t="shared" ca="1" si="39"/>
        <v/>
      </c>
      <c r="C388" s="22" t="str">
        <f ca="1">IF(B388="","",IF(LEFT(B388,2)="13",C387,IF(MONTH(B388)=1,C387*(1+PREMISSAS!$C$57),C387)))</f>
        <v/>
      </c>
      <c r="E388" s="18">
        <v>384</v>
      </c>
      <c r="F388" s="21">
        <f t="shared" ca="1" si="40"/>
        <v>48213</v>
      </c>
      <c r="G388" s="22">
        <f ca="1">IFERROR(VLOOKUP(F388,RESULTADOS!$O$5:$P$543,2,FALSE),VLOOKUP(F388,$B$5:$C$724,2,FALSE))</f>
        <v>0</v>
      </c>
      <c r="H388" s="4">
        <f ca="1">IF(F388&lt;PREMISSAS!$D$7,0,IFERROR(VLOOKUP(IF(LEFT(F388,2)="13",DATE(YEAR(F387),12,31),F388),IPCA!$A$3:$D$284,4,FALSE),1)*G388)</f>
        <v>0</v>
      </c>
      <c r="J388" s="21">
        <f t="shared" ca="1" si="35"/>
        <v>48213</v>
      </c>
      <c r="K388" s="4">
        <f t="shared" ca="1" si="36"/>
        <v>0</v>
      </c>
      <c r="M388" s="21">
        <f t="shared" ca="1" si="41"/>
        <v>48213</v>
      </c>
      <c r="N388" s="37">
        <f t="shared" ca="1" si="37"/>
        <v>0</v>
      </c>
      <c r="O388" s="4">
        <f ca="1">IFERROR(AVERAGEIF(N$5:$N388,"&gt;="&amp;_xlfn.PERCENTILE.EXC(N$5:$N388,0.2)),0)</f>
        <v>0</v>
      </c>
      <c r="Q388" s="21">
        <f t="shared" ca="1" si="38"/>
        <v>48213</v>
      </c>
      <c r="R388" s="4">
        <f ca="1">MIN(O388,PREMISSAS!$C$13)</f>
        <v>0</v>
      </c>
      <c r="S388" s="240"/>
      <c r="T388" s="240"/>
    </row>
    <row r="389" spans="2:20" x14ac:dyDescent="0.25">
      <c r="B389" s="21" t="str">
        <f t="shared" ca="1" si="39"/>
        <v/>
      </c>
      <c r="C389" s="22" t="str">
        <f ca="1">IF(B389="","",IF(LEFT(B389,2)="13",C388,IF(MONTH(B389)=1,C388*(1+PREMISSAS!$C$57),C388)))</f>
        <v/>
      </c>
      <c r="E389" s="18">
        <v>385</v>
      </c>
      <c r="F389" s="21">
        <f t="shared" ca="1" si="40"/>
        <v>48244</v>
      </c>
      <c r="G389" s="22">
        <f ca="1">IFERROR(VLOOKUP(F389,RESULTADOS!$O$5:$P$543,2,FALSE),VLOOKUP(F389,$B$5:$C$724,2,FALSE))</f>
        <v>0</v>
      </c>
      <c r="H389" s="4">
        <f ca="1">IF(F389&lt;PREMISSAS!$D$7,0,IFERROR(VLOOKUP(IF(LEFT(F389,2)="13",DATE(YEAR(F388),12,31),F389),IPCA!$A$3:$D$284,4,FALSE),1)*G389)</f>
        <v>0</v>
      </c>
      <c r="J389" s="21">
        <f t="shared" ref="J389:J452" ca="1" si="42">F389</f>
        <v>48244</v>
      </c>
      <c r="K389" s="4">
        <f t="shared" ref="K389:K452" ca="1" si="43">G389</f>
        <v>0</v>
      </c>
      <c r="M389" s="21">
        <f t="shared" ca="1" si="41"/>
        <v>48244</v>
      </c>
      <c r="N389" s="37">
        <f t="shared" ca="1" si="37"/>
        <v>0</v>
      </c>
      <c r="O389" s="4">
        <f ca="1">IFERROR(AVERAGEIF(N$5:$N389,"&gt;="&amp;_xlfn.PERCENTILE.EXC(N$5:$N389,0.2)),0)</f>
        <v>0</v>
      </c>
      <c r="Q389" s="21">
        <f t="shared" ca="1" si="38"/>
        <v>48244</v>
      </c>
      <c r="R389" s="4">
        <f ca="1">MIN(O389,PREMISSAS!$C$13)</f>
        <v>0</v>
      </c>
      <c r="S389" s="240"/>
      <c r="T389" s="240"/>
    </row>
    <row r="390" spans="2:20" x14ac:dyDescent="0.25">
      <c r="B390" s="21" t="str">
        <f t="shared" ca="1" si="39"/>
        <v/>
      </c>
      <c r="C390" s="22" t="str">
        <f ca="1">IF(B390="","",IF(LEFT(B390,2)="13",C389,IF(MONTH(B390)=1,C389*(1+PREMISSAS!$C$57),C389)))</f>
        <v/>
      </c>
      <c r="E390" s="18">
        <v>386</v>
      </c>
      <c r="F390" s="21">
        <f t="shared" ca="1" si="40"/>
        <v>48273</v>
      </c>
      <c r="G390" s="22">
        <f ca="1">IFERROR(VLOOKUP(F390,RESULTADOS!$O$5:$P$543,2,FALSE),VLOOKUP(F390,$B$5:$C$724,2,FALSE))</f>
        <v>0</v>
      </c>
      <c r="H390" s="4">
        <f ca="1">IF(F390&lt;PREMISSAS!$D$7,0,IFERROR(VLOOKUP(IF(LEFT(F390,2)="13",DATE(YEAR(F389),12,31),F390),IPCA!$A$3:$D$284,4,FALSE),1)*G390)</f>
        <v>0</v>
      </c>
      <c r="J390" s="21">
        <f t="shared" ca="1" si="42"/>
        <v>48273</v>
      </c>
      <c r="K390" s="4">
        <f t="shared" ca="1" si="43"/>
        <v>0</v>
      </c>
      <c r="M390" s="21">
        <f t="shared" ca="1" si="41"/>
        <v>48273</v>
      </c>
      <c r="N390" s="37">
        <f t="shared" ref="N390:N453" ca="1" si="44">IFERROR(VLOOKUP(M390,$F$5:$H$628,3,FALSE),0)</f>
        <v>0</v>
      </c>
      <c r="O390" s="4">
        <f ca="1">IFERROR(AVERAGEIF(N$5:$N390,"&gt;="&amp;_xlfn.PERCENTILE.EXC(N$5:$N390,0.2)),0)</f>
        <v>0</v>
      </c>
      <c r="Q390" s="21">
        <f t="shared" ref="Q390:Q453" ca="1" si="45">M390</f>
        <v>48273</v>
      </c>
      <c r="R390" s="4">
        <f ca="1">MIN(O390,PREMISSAS!$C$13)</f>
        <v>0</v>
      </c>
      <c r="S390" s="240"/>
      <c r="T390" s="240"/>
    </row>
    <row r="391" spans="2:20" x14ac:dyDescent="0.25">
      <c r="B391" s="21" t="str">
        <f t="shared" ref="B391:B454" ca="1" si="46">IFERROR(IF(LEFT(B390,2)="13",DATE(RIGHT(B390,4),12,31),IF(EOMONTH(B390,0)&gt;$F$1,"",IF(MONTH(B390)=11,"13º "&amp;YEAR(B390),EOMONTH(B390,1)))),"")</f>
        <v/>
      </c>
      <c r="C391" s="22" t="str">
        <f ca="1">IF(B391="","",IF(LEFT(B391,2)="13",C390,IF(MONTH(B391)=1,C390*(1+PREMISSAS!$C$57),C390)))</f>
        <v/>
      </c>
      <c r="E391" s="18">
        <v>387</v>
      </c>
      <c r="F391" s="21">
        <f t="shared" ref="F391:F454" ca="1" si="47">IFERROR(IF(LEFT(F390,2)="13",DATE(RIGHT(F390,4),12,31),IF(EOMONTH(F390,0)&gt;$F$1,"",IF(MONTH(F390)=11,"13º "&amp;YEAR(F390),EOMONTH(F390,1)))),"")</f>
        <v>48304</v>
      </c>
      <c r="G391" s="22">
        <f ca="1">IFERROR(VLOOKUP(F391,RESULTADOS!$O$5:$P$543,2,FALSE),VLOOKUP(F391,$B$5:$C$724,2,FALSE))</f>
        <v>0</v>
      </c>
      <c r="H391" s="4">
        <f ca="1">IF(F391&lt;PREMISSAS!$D$7,0,IFERROR(VLOOKUP(IF(LEFT(F391,2)="13",DATE(YEAR(F390),12,31),F391),IPCA!$A$3:$D$284,4,FALSE),1)*G391)</f>
        <v>0</v>
      </c>
      <c r="J391" s="21">
        <f t="shared" ca="1" si="42"/>
        <v>48304</v>
      </c>
      <c r="K391" s="4">
        <f t="shared" ca="1" si="43"/>
        <v>0</v>
      </c>
      <c r="M391" s="21">
        <f t="shared" ref="M391:M454" ca="1" si="48">IFERROR(IF(LEFT(M390,2)="13",DATE(RIGHT(M390,4),12,31),IF(EOMONTH(M390,0)&gt;$F$1,"",IF(MONTH(M390)=11,"13º "&amp;YEAR(M390),EOMONTH(M390,1)))),"")</f>
        <v>48304</v>
      </c>
      <c r="N391" s="37">
        <f t="shared" ca="1" si="44"/>
        <v>0</v>
      </c>
      <c r="O391" s="4">
        <f ca="1">IFERROR(AVERAGEIF(N$5:$N391,"&gt;="&amp;_xlfn.PERCENTILE.EXC(N$5:$N391,0.2)),0)</f>
        <v>0</v>
      </c>
      <c r="Q391" s="21">
        <f t="shared" ca="1" si="45"/>
        <v>48304</v>
      </c>
      <c r="R391" s="4">
        <f ca="1">MIN(O391,PREMISSAS!$C$13)</f>
        <v>0</v>
      </c>
      <c r="S391" s="240"/>
      <c r="T391" s="240"/>
    </row>
    <row r="392" spans="2:20" x14ac:dyDescent="0.25">
      <c r="B392" s="21" t="str">
        <f t="shared" ca="1" si="46"/>
        <v/>
      </c>
      <c r="C392" s="22" t="str">
        <f ca="1">IF(B392="","",IF(LEFT(B392,2)="13",C391,IF(MONTH(B392)=1,C391*(1+PREMISSAS!$C$57),C391)))</f>
        <v/>
      </c>
      <c r="E392" s="18">
        <v>388</v>
      </c>
      <c r="F392" s="21">
        <f t="shared" ca="1" si="47"/>
        <v>48334</v>
      </c>
      <c r="G392" s="22">
        <f ca="1">IFERROR(VLOOKUP(F392,RESULTADOS!$O$5:$P$543,2,FALSE),VLOOKUP(F392,$B$5:$C$724,2,FALSE))</f>
        <v>0</v>
      </c>
      <c r="H392" s="4">
        <f ca="1">IF(F392&lt;PREMISSAS!$D$7,0,IFERROR(VLOOKUP(IF(LEFT(F392,2)="13",DATE(YEAR(F391),12,31),F392),IPCA!$A$3:$D$284,4,FALSE),1)*G392)</f>
        <v>0</v>
      </c>
      <c r="J392" s="21">
        <f t="shared" ca="1" si="42"/>
        <v>48334</v>
      </c>
      <c r="K392" s="4">
        <f t="shared" ca="1" si="43"/>
        <v>0</v>
      </c>
      <c r="M392" s="21">
        <f t="shared" ca="1" si="48"/>
        <v>48334</v>
      </c>
      <c r="N392" s="37">
        <f t="shared" ca="1" si="44"/>
        <v>0</v>
      </c>
      <c r="O392" s="4">
        <f ca="1">IFERROR(AVERAGEIF(N$5:$N392,"&gt;="&amp;_xlfn.PERCENTILE.EXC(N$5:$N392,0.2)),0)</f>
        <v>0</v>
      </c>
      <c r="Q392" s="21">
        <f t="shared" ca="1" si="45"/>
        <v>48334</v>
      </c>
      <c r="R392" s="4">
        <f ca="1">MIN(O392,PREMISSAS!$C$13)</f>
        <v>0</v>
      </c>
      <c r="S392" s="240"/>
      <c r="T392" s="240"/>
    </row>
    <row r="393" spans="2:20" x14ac:dyDescent="0.25">
      <c r="B393" s="21" t="str">
        <f t="shared" ca="1" si="46"/>
        <v/>
      </c>
      <c r="C393" s="22" t="str">
        <f ca="1">IF(B393="","",IF(LEFT(B393,2)="13",C392,IF(MONTH(B393)=1,C392*(1+PREMISSAS!$C$57),C392)))</f>
        <v/>
      </c>
      <c r="E393" s="18">
        <v>389</v>
      </c>
      <c r="F393" s="21">
        <f t="shared" ca="1" si="47"/>
        <v>48365</v>
      </c>
      <c r="G393" s="22">
        <f ca="1">IFERROR(VLOOKUP(F393,RESULTADOS!$O$5:$P$543,2,FALSE),VLOOKUP(F393,$B$5:$C$724,2,FALSE))</f>
        <v>0</v>
      </c>
      <c r="H393" s="4">
        <f ca="1">IF(F393&lt;PREMISSAS!$D$7,0,IFERROR(VLOOKUP(IF(LEFT(F393,2)="13",DATE(YEAR(F392),12,31),F393),IPCA!$A$3:$D$284,4,FALSE),1)*G393)</f>
        <v>0</v>
      </c>
      <c r="J393" s="21">
        <f t="shared" ca="1" si="42"/>
        <v>48365</v>
      </c>
      <c r="K393" s="4">
        <f t="shared" ca="1" si="43"/>
        <v>0</v>
      </c>
      <c r="M393" s="21">
        <f t="shared" ca="1" si="48"/>
        <v>48365</v>
      </c>
      <c r="N393" s="37">
        <f t="shared" ca="1" si="44"/>
        <v>0</v>
      </c>
      <c r="O393" s="4">
        <f ca="1">IFERROR(AVERAGEIF(N$5:$N393,"&gt;="&amp;_xlfn.PERCENTILE.EXC(N$5:$N393,0.2)),0)</f>
        <v>0</v>
      </c>
      <c r="Q393" s="21">
        <f t="shared" ca="1" si="45"/>
        <v>48365</v>
      </c>
      <c r="R393" s="4">
        <f ca="1">MIN(O393,PREMISSAS!$C$13)</f>
        <v>0</v>
      </c>
      <c r="S393" s="240"/>
      <c r="T393" s="240"/>
    </row>
    <row r="394" spans="2:20" x14ac:dyDescent="0.25">
      <c r="B394" s="21" t="str">
        <f t="shared" ca="1" si="46"/>
        <v/>
      </c>
      <c r="C394" s="22" t="str">
        <f ca="1">IF(B394="","",IF(LEFT(B394,2)="13",C393,IF(MONTH(B394)=1,C393*(1+PREMISSAS!$C$57),C393)))</f>
        <v/>
      </c>
      <c r="E394" s="18">
        <v>390</v>
      </c>
      <c r="F394" s="21">
        <f t="shared" ca="1" si="47"/>
        <v>48395</v>
      </c>
      <c r="G394" s="22">
        <f ca="1">IFERROR(VLOOKUP(F394,RESULTADOS!$O$5:$P$543,2,FALSE),VLOOKUP(F394,$B$5:$C$724,2,FALSE))</f>
        <v>0</v>
      </c>
      <c r="H394" s="4">
        <f ca="1">IF(F394&lt;PREMISSAS!$D$7,0,IFERROR(VLOOKUP(IF(LEFT(F394,2)="13",DATE(YEAR(F393),12,31),F394),IPCA!$A$3:$D$284,4,FALSE),1)*G394)</f>
        <v>0</v>
      </c>
      <c r="J394" s="21">
        <f t="shared" ca="1" si="42"/>
        <v>48395</v>
      </c>
      <c r="K394" s="4">
        <f t="shared" ca="1" si="43"/>
        <v>0</v>
      </c>
      <c r="M394" s="21">
        <f t="shared" ca="1" si="48"/>
        <v>48395</v>
      </c>
      <c r="N394" s="37">
        <f t="shared" ca="1" si="44"/>
        <v>0</v>
      </c>
      <c r="O394" s="4">
        <f ca="1">IFERROR(AVERAGEIF(N$5:$N394,"&gt;="&amp;_xlfn.PERCENTILE.EXC(N$5:$N394,0.2)),0)</f>
        <v>0</v>
      </c>
      <c r="Q394" s="21">
        <f t="shared" ca="1" si="45"/>
        <v>48395</v>
      </c>
      <c r="R394" s="4">
        <f ca="1">MIN(O394,PREMISSAS!$C$13)</f>
        <v>0</v>
      </c>
      <c r="S394" s="240"/>
      <c r="T394" s="240"/>
    </row>
    <row r="395" spans="2:20" x14ac:dyDescent="0.25">
      <c r="B395" s="21" t="str">
        <f t="shared" ca="1" si="46"/>
        <v/>
      </c>
      <c r="C395" s="22" t="str">
        <f ca="1">IF(B395="","",IF(LEFT(B395,2)="13",C394,IF(MONTH(B395)=1,C394*(1+PREMISSAS!$C$57),C394)))</f>
        <v/>
      </c>
      <c r="E395" s="18">
        <v>391</v>
      </c>
      <c r="F395" s="21">
        <f t="shared" ca="1" si="47"/>
        <v>48426</v>
      </c>
      <c r="G395" s="22">
        <f ca="1">IFERROR(VLOOKUP(F395,RESULTADOS!$O$5:$P$543,2,FALSE),VLOOKUP(F395,$B$5:$C$724,2,FALSE))</f>
        <v>0</v>
      </c>
      <c r="H395" s="4">
        <f ca="1">IF(F395&lt;PREMISSAS!$D$7,0,IFERROR(VLOOKUP(IF(LEFT(F395,2)="13",DATE(YEAR(F394),12,31),F395),IPCA!$A$3:$D$284,4,FALSE),1)*G395)</f>
        <v>0</v>
      </c>
      <c r="J395" s="21">
        <f t="shared" ca="1" si="42"/>
        <v>48426</v>
      </c>
      <c r="K395" s="4">
        <f t="shared" ca="1" si="43"/>
        <v>0</v>
      </c>
      <c r="M395" s="21">
        <f t="shared" ca="1" si="48"/>
        <v>48426</v>
      </c>
      <c r="N395" s="37">
        <f t="shared" ca="1" si="44"/>
        <v>0</v>
      </c>
      <c r="O395" s="4">
        <f ca="1">IFERROR(AVERAGEIF(N$5:$N395,"&gt;="&amp;_xlfn.PERCENTILE.EXC(N$5:$N395,0.2)),0)</f>
        <v>0</v>
      </c>
      <c r="Q395" s="21">
        <f t="shared" ca="1" si="45"/>
        <v>48426</v>
      </c>
      <c r="R395" s="4">
        <f ca="1">MIN(O395,PREMISSAS!$C$13)</f>
        <v>0</v>
      </c>
      <c r="S395" s="240"/>
      <c r="T395" s="240"/>
    </row>
    <row r="396" spans="2:20" x14ac:dyDescent="0.25">
      <c r="B396" s="21" t="str">
        <f t="shared" ca="1" si="46"/>
        <v/>
      </c>
      <c r="C396" s="22" t="str">
        <f ca="1">IF(B396="","",IF(LEFT(B396,2)="13",C395,IF(MONTH(B396)=1,C395*(1+PREMISSAS!$C$57),C395)))</f>
        <v/>
      </c>
      <c r="E396" s="18">
        <v>392</v>
      </c>
      <c r="F396" s="21">
        <f t="shared" ca="1" si="47"/>
        <v>48457</v>
      </c>
      <c r="G396" s="22">
        <f ca="1">IFERROR(VLOOKUP(F396,RESULTADOS!$O$5:$P$543,2,FALSE),VLOOKUP(F396,$B$5:$C$724,2,FALSE))</f>
        <v>0</v>
      </c>
      <c r="H396" s="4">
        <f ca="1">IF(F396&lt;PREMISSAS!$D$7,0,IFERROR(VLOOKUP(IF(LEFT(F396,2)="13",DATE(YEAR(F395),12,31),F396),IPCA!$A$3:$D$284,4,FALSE),1)*G396)</f>
        <v>0</v>
      </c>
      <c r="J396" s="21">
        <f t="shared" ca="1" si="42"/>
        <v>48457</v>
      </c>
      <c r="K396" s="4">
        <f t="shared" ca="1" si="43"/>
        <v>0</v>
      </c>
      <c r="M396" s="21">
        <f t="shared" ca="1" si="48"/>
        <v>48457</v>
      </c>
      <c r="N396" s="37">
        <f t="shared" ca="1" si="44"/>
        <v>0</v>
      </c>
      <c r="O396" s="4">
        <f ca="1">IFERROR(AVERAGEIF(N$5:$N396,"&gt;="&amp;_xlfn.PERCENTILE.EXC(N$5:$N396,0.2)),0)</f>
        <v>0</v>
      </c>
      <c r="Q396" s="21">
        <f t="shared" ca="1" si="45"/>
        <v>48457</v>
      </c>
      <c r="R396" s="4">
        <f ca="1">MIN(O396,PREMISSAS!$C$13)</f>
        <v>0</v>
      </c>
      <c r="S396" s="240"/>
      <c r="T396" s="240"/>
    </row>
    <row r="397" spans="2:20" x14ac:dyDescent="0.25">
      <c r="B397" s="21" t="str">
        <f t="shared" ca="1" si="46"/>
        <v/>
      </c>
      <c r="C397" s="22" t="str">
        <f ca="1">IF(B397="","",IF(LEFT(B397,2)="13",C396,IF(MONTH(B397)=1,C396*(1+PREMISSAS!$C$57),C396)))</f>
        <v/>
      </c>
      <c r="E397" s="18">
        <v>393</v>
      </c>
      <c r="F397" s="21">
        <f t="shared" ca="1" si="47"/>
        <v>48487</v>
      </c>
      <c r="G397" s="22">
        <f ca="1">IFERROR(VLOOKUP(F397,RESULTADOS!$O$5:$P$543,2,FALSE),VLOOKUP(F397,$B$5:$C$724,2,FALSE))</f>
        <v>0</v>
      </c>
      <c r="H397" s="4">
        <f ca="1">IF(F397&lt;PREMISSAS!$D$7,0,IFERROR(VLOOKUP(IF(LEFT(F397,2)="13",DATE(YEAR(F396),12,31),F397),IPCA!$A$3:$D$284,4,FALSE),1)*G397)</f>
        <v>0</v>
      </c>
      <c r="J397" s="21">
        <f t="shared" ca="1" si="42"/>
        <v>48487</v>
      </c>
      <c r="K397" s="4">
        <f t="shared" ca="1" si="43"/>
        <v>0</v>
      </c>
      <c r="M397" s="21">
        <f t="shared" ca="1" si="48"/>
        <v>48487</v>
      </c>
      <c r="N397" s="37">
        <f t="shared" ca="1" si="44"/>
        <v>0</v>
      </c>
      <c r="O397" s="4">
        <f ca="1">IFERROR(AVERAGEIF(N$5:$N397,"&gt;="&amp;_xlfn.PERCENTILE.EXC(N$5:$N397,0.2)),0)</f>
        <v>0</v>
      </c>
      <c r="Q397" s="21">
        <f t="shared" ca="1" si="45"/>
        <v>48487</v>
      </c>
      <c r="R397" s="4">
        <f ca="1">MIN(O397,PREMISSAS!$C$13)</f>
        <v>0</v>
      </c>
      <c r="S397" s="240"/>
      <c r="T397" s="240"/>
    </row>
    <row r="398" spans="2:20" x14ac:dyDescent="0.25">
      <c r="B398" s="21" t="str">
        <f t="shared" ca="1" si="46"/>
        <v/>
      </c>
      <c r="C398" s="22" t="str">
        <f ca="1">IF(B398="","",IF(LEFT(B398,2)="13",C397,IF(MONTH(B398)=1,C397*(1+PREMISSAS!$C$57),C397)))</f>
        <v/>
      </c>
      <c r="E398" s="18">
        <v>394</v>
      </c>
      <c r="F398" s="21">
        <f t="shared" ca="1" si="47"/>
        <v>48518</v>
      </c>
      <c r="G398" s="22">
        <f ca="1">IFERROR(VLOOKUP(F398,RESULTADOS!$O$5:$P$543,2,FALSE),VLOOKUP(F398,$B$5:$C$724,2,FALSE))</f>
        <v>0</v>
      </c>
      <c r="H398" s="4">
        <f ca="1">IF(F398&lt;PREMISSAS!$D$7,0,IFERROR(VLOOKUP(IF(LEFT(F398,2)="13",DATE(YEAR(F397),12,31),F398),IPCA!$A$3:$D$284,4,FALSE),1)*G398)</f>
        <v>0</v>
      </c>
      <c r="J398" s="21">
        <f t="shared" ca="1" si="42"/>
        <v>48518</v>
      </c>
      <c r="K398" s="4">
        <f t="shared" ca="1" si="43"/>
        <v>0</v>
      </c>
      <c r="M398" s="21">
        <f t="shared" ca="1" si="48"/>
        <v>48518</v>
      </c>
      <c r="N398" s="37">
        <f t="shared" ca="1" si="44"/>
        <v>0</v>
      </c>
      <c r="O398" s="4">
        <f ca="1">IFERROR(AVERAGEIF(N$5:$N398,"&gt;="&amp;_xlfn.PERCENTILE.EXC(N$5:$N398,0.2)),0)</f>
        <v>0</v>
      </c>
      <c r="Q398" s="21">
        <f t="shared" ca="1" si="45"/>
        <v>48518</v>
      </c>
      <c r="R398" s="4">
        <f ca="1">MIN(O398,PREMISSAS!$C$13)</f>
        <v>0</v>
      </c>
      <c r="S398" s="240"/>
      <c r="T398" s="240"/>
    </row>
    <row r="399" spans="2:20" x14ac:dyDescent="0.25">
      <c r="B399" s="21" t="str">
        <f t="shared" ca="1" si="46"/>
        <v/>
      </c>
      <c r="C399" s="22" t="str">
        <f ca="1">IF(B399="","",IF(LEFT(B399,2)="13",C398,IF(MONTH(B399)=1,C398*(1+PREMISSAS!$C$57),C398)))</f>
        <v/>
      </c>
      <c r="E399" s="18">
        <v>395</v>
      </c>
      <c r="F399" s="21">
        <f t="shared" ca="1" si="47"/>
        <v>48548</v>
      </c>
      <c r="G399" s="22">
        <f ca="1">IFERROR(VLOOKUP(F399,RESULTADOS!$O$5:$P$543,2,FALSE),VLOOKUP(F399,$B$5:$C$724,2,FALSE))</f>
        <v>0</v>
      </c>
      <c r="H399" s="4">
        <f ca="1">IF(F399&lt;PREMISSAS!$D$7,0,IFERROR(VLOOKUP(IF(LEFT(F399,2)="13",DATE(YEAR(F398),12,31),F399),IPCA!$A$3:$D$284,4,FALSE),1)*G399)</f>
        <v>0</v>
      </c>
      <c r="J399" s="21">
        <f t="shared" ca="1" si="42"/>
        <v>48548</v>
      </c>
      <c r="K399" s="4">
        <f t="shared" ca="1" si="43"/>
        <v>0</v>
      </c>
      <c r="M399" s="21">
        <f t="shared" ca="1" si="48"/>
        <v>48548</v>
      </c>
      <c r="N399" s="37">
        <f t="shared" ca="1" si="44"/>
        <v>0</v>
      </c>
      <c r="O399" s="4">
        <f ca="1">IFERROR(AVERAGEIF(N$5:$N399,"&gt;="&amp;_xlfn.PERCENTILE.EXC(N$5:$N399,0.2)),0)</f>
        <v>0</v>
      </c>
      <c r="Q399" s="21">
        <f t="shared" ca="1" si="45"/>
        <v>48548</v>
      </c>
      <c r="R399" s="4">
        <f ca="1">MIN(O399,PREMISSAS!$C$13)</f>
        <v>0</v>
      </c>
      <c r="S399" s="240"/>
      <c r="T399" s="240"/>
    </row>
    <row r="400" spans="2:20" x14ac:dyDescent="0.25">
      <c r="B400" s="21" t="str">
        <f t="shared" ca="1" si="46"/>
        <v/>
      </c>
      <c r="C400" s="22" t="str">
        <f ca="1">IF(B400="","",IF(LEFT(B400,2)="13",C399,IF(MONTH(B400)=1,C399*(1+PREMISSAS!$C$57),C399)))</f>
        <v/>
      </c>
      <c r="E400" s="18">
        <v>396</v>
      </c>
      <c r="F400" s="21" t="str">
        <f t="shared" ca="1" si="47"/>
        <v>13º 2032</v>
      </c>
      <c r="G400" s="22">
        <f ca="1">IFERROR(VLOOKUP(F400,RESULTADOS!$O$5:$P$543,2,FALSE),VLOOKUP(F400,$B$5:$C$724,2,FALSE))</f>
        <v>0</v>
      </c>
      <c r="H400" s="4">
        <f ca="1">IF(F400&lt;PREMISSAS!$D$7,0,IFERROR(VLOOKUP(IF(LEFT(F400,2)="13",DATE(YEAR(F399),12,31),F400),IPCA!$A$3:$D$284,4,FALSE),1)*G400)</f>
        <v>0</v>
      </c>
      <c r="J400" s="21" t="str">
        <f t="shared" ca="1" si="42"/>
        <v>13º 2032</v>
      </c>
      <c r="K400" s="4">
        <f t="shared" ca="1" si="43"/>
        <v>0</v>
      </c>
      <c r="M400" s="21" t="str">
        <f t="shared" ca="1" si="48"/>
        <v>13º 2032</v>
      </c>
      <c r="N400" s="37">
        <f t="shared" ca="1" si="44"/>
        <v>0</v>
      </c>
      <c r="O400" s="4">
        <f ca="1">IFERROR(AVERAGEIF(N$5:$N400,"&gt;="&amp;_xlfn.PERCENTILE.EXC(N$5:$N400,0.2)),0)</f>
        <v>0</v>
      </c>
      <c r="Q400" s="21" t="str">
        <f t="shared" ca="1" si="45"/>
        <v>13º 2032</v>
      </c>
      <c r="R400" s="4">
        <f ca="1">MIN(O400,PREMISSAS!$C$13)</f>
        <v>0</v>
      </c>
      <c r="S400" s="240"/>
      <c r="T400" s="240"/>
    </row>
    <row r="401" spans="2:20" x14ac:dyDescent="0.25">
      <c r="B401" s="21" t="str">
        <f t="shared" ca="1" si="46"/>
        <v/>
      </c>
      <c r="C401" s="22" t="str">
        <f ca="1">IF(B401="","",IF(LEFT(B401,2)="13",C400,IF(MONTH(B401)=1,C400*(1+PREMISSAS!$C$57),C400)))</f>
        <v/>
      </c>
      <c r="E401" s="18">
        <v>397</v>
      </c>
      <c r="F401" s="21">
        <f t="shared" ca="1" si="47"/>
        <v>48579</v>
      </c>
      <c r="G401" s="22">
        <f ca="1">IFERROR(VLOOKUP(F401,RESULTADOS!$O$5:$P$543,2,FALSE),VLOOKUP(F401,$B$5:$C$724,2,FALSE))</f>
        <v>0</v>
      </c>
      <c r="H401" s="4">
        <f ca="1">IF(F401&lt;PREMISSAS!$D$7,0,IFERROR(VLOOKUP(IF(LEFT(F401,2)="13",DATE(YEAR(F400),12,31),F401),IPCA!$A$3:$D$284,4,FALSE),1)*G401)</f>
        <v>0</v>
      </c>
      <c r="J401" s="21">
        <f t="shared" ca="1" si="42"/>
        <v>48579</v>
      </c>
      <c r="K401" s="4">
        <f t="shared" ca="1" si="43"/>
        <v>0</v>
      </c>
      <c r="M401" s="21">
        <f t="shared" ca="1" si="48"/>
        <v>48579</v>
      </c>
      <c r="N401" s="37">
        <f t="shared" ca="1" si="44"/>
        <v>0</v>
      </c>
      <c r="O401" s="4">
        <f ca="1">IFERROR(AVERAGEIF(N$5:$N401,"&gt;="&amp;_xlfn.PERCENTILE.EXC(N$5:$N401,0.2)),0)</f>
        <v>0</v>
      </c>
      <c r="Q401" s="21">
        <f t="shared" ca="1" si="45"/>
        <v>48579</v>
      </c>
      <c r="R401" s="4">
        <f ca="1">MIN(O401,PREMISSAS!$C$13)</f>
        <v>0</v>
      </c>
      <c r="S401" s="240"/>
      <c r="T401" s="240"/>
    </row>
    <row r="402" spans="2:20" x14ac:dyDescent="0.25">
      <c r="B402" s="21" t="str">
        <f t="shared" ca="1" si="46"/>
        <v/>
      </c>
      <c r="C402" s="22" t="str">
        <f ca="1">IF(B402="","",IF(LEFT(B402,2)="13",C401,IF(MONTH(B402)=1,C401*(1+PREMISSAS!$C$57),C401)))</f>
        <v/>
      </c>
      <c r="E402" s="18">
        <v>398</v>
      </c>
      <c r="F402" s="21">
        <f t="shared" ca="1" si="47"/>
        <v>48610</v>
      </c>
      <c r="G402" s="22">
        <f ca="1">IFERROR(VLOOKUP(F402,RESULTADOS!$O$5:$P$543,2,FALSE),VLOOKUP(F402,$B$5:$C$724,2,FALSE))</f>
        <v>0</v>
      </c>
      <c r="H402" s="4">
        <f ca="1">IF(F402&lt;PREMISSAS!$D$7,0,IFERROR(VLOOKUP(IF(LEFT(F402,2)="13",DATE(YEAR(F401),12,31),F402),IPCA!$A$3:$D$284,4,FALSE),1)*G402)</f>
        <v>0</v>
      </c>
      <c r="J402" s="21">
        <f t="shared" ca="1" si="42"/>
        <v>48610</v>
      </c>
      <c r="K402" s="4">
        <f t="shared" ca="1" si="43"/>
        <v>0</v>
      </c>
      <c r="M402" s="21">
        <f t="shared" ca="1" si="48"/>
        <v>48610</v>
      </c>
      <c r="N402" s="37">
        <f t="shared" ca="1" si="44"/>
        <v>0</v>
      </c>
      <c r="O402" s="4">
        <f ca="1">IFERROR(AVERAGEIF(N$5:$N402,"&gt;="&amp;_xlfn.PERCENTILE.EXC(N$5:$N402,0.2)),0)</f>
        <v>0</v>
      </c>
      <c r="Q402" s="21">
        <f t="shared" ca="1" si="45"/>
        <v>48610</v>
      </c>
      <c r="R402" s="4">
        <f ca="1">MIN(O402,PREMISSAS!$C$13)</f>
        <v>0</v>
      </c>
      <c r="S402" s="240"/>
      <c r="T402" s="240"/>
    </row>
    <row r="403" spans="2:20" x14ac:dyDescent="0.25">
      <c r="B403" s="21" t="str">
        <f t="shared" ca="1" si="46"/>
        <v/>
      </c>
      <c r="C403" s="22" t="str">
        <f ca="1">IF(B403="","",IF(LEFT(B403,2)="13",C402,IF(MONTH(B403)=1,C402*(1+PREMISSAS!$C$57),C402)))</f>
        <v/>
      </c>
      <c r="E403" s="18">
        <v>399</v>
      </c>
      <c r="F403" s="21">
        <f t="shared" ca="1" si="47"/>
        <v>48638</v>
      </c>
      <c r="G403" s="22">
        <f ca="1">IFERROR(VLOOKUP(F403,RESULTADOS!$O$5:$P$543,2,FALSE),VLOOKUP(F403,$B$5:$C$724,2,FALSE))</f>
        <v>0</v>
      </c>
      <c r="H403" s="4">
        <f ca="1">IF(F403&lt;PREMISSAS!$D$7,0,IFERROR(VLOOKUP(IF(LEFT(F403,2)="13",DATE(YEAR(F402),12,31),F403),IPCA!$A$3:$D$284,4,FALSE),1)*G403)</f>
        <v>0</v>
      </c>
      <c r="J403" s="21">
        <f t="shared" ca="1" si="42"/>
        <v>48638</v>
      </c>
      <c r="K403" s="4">
        <f t="shared" ca="1" si="43"/>
        <v>0</v>
      </c>
      <c r="M403" s="21">
        <f t="shared" ca="1" si="48"/>
        <v>48638</v>
      </c>
      <c r="N403" s="37">
        <f t="shared" ca="1" si="44"/>
        <v>0</v>
      </c>
      <c r="O403" s="4">
        <f ca="1">IFERROR(AVERAGEIF(N$5:$N403,"&gt;="&amp;_xlfn.PERCENTILE.EXC(N$5:$N403,0.2)),0)</f>
        <v>0</v>
      </c>
      <c r="Q403" s="21">
        <f t="shared" ca="1" si="45"/>
        <v>48638</v>
      </c>
      <c r="R403" s="4">
        <f ca="1">MIN(O403,PREMISSAS!$C$13)</f>
        <v>0</v>
      </c>
      <c r="S403" s="240"/>
      <c r="T403" s="240"/>
    </row>
    <row r="404" spans="2:20" x14ac:dyDescent="0.25">
      <c r="B404" s="21" t="str">
        <f t="shared" ca="1" si="46"/>
        <v/>
      </c>
      <c r="C404" s="22" t="str">
        <f ca="1">IF(B404="","",IF(LEFT(B404,2)="13",C403,IF(MONTH(B404)=1,C403*(1+PREMISSAS!$C$57),C403)))</f>
        <v/>
      </c>
      <c r="E404" s="18">
        <v>400</v>
      </c>
      <c r="F404" s="21">
        <f t="shared" ca="1" si="47"/>
        <v>48669</v>
      </c>
      <c r="G404" s="22">
        <f ca="1">IFERROR(VLOOKUP(F404,RESULTADOS!$O$5:$P$543,2,FALSE),VLOOKUP(F404,$B$5:$C$724,2,FALSE))</f>
        <v>0</v>
      </c>
      <c r="H404" s="4">
        <f ca="1">IF(F404&lt;PREMISSAS!$D$7,0,IFERROR(VLOOKUP(IF(LEFT(F404,2)="13",DATE(YEAR(F403),12,31),F404),IPCA!$A$3:$D$284,4,FALSE),1)*G404)</f>
        <v>0</v>
      </c>
      <c r="J404" s="21">
        <f t="shared" ca="1" si="42"/>
        <v>48669</v>
      </c>
      <c r="K404" s="4">
        <f t="shared" ca="1" si="43"/>
        <v>0</v>
      </c>
      <c r="M404" s="21">
        <f t="shared" ca="1" si="48"/>
        <v>48669</v>
      </c>
      <c r="N404" s="37">
        <f t="shared" ca="1" si="44"/>
        <v>0</v>
      </c>
      <c r="O404" s="4">
        <f ca="1">IFERROR(AVERAGEIF(N$5:$N404,"&gt;="&amp;_xlfn.PERCENTILE.EXC(N$5:$N404,0.2)),0)</f>
        <v>0</v>
      </c>
      <c r="Q404" s="21">
        <f t="shared" ca="1" si="45"/>
        <v>48669</v>
      </c>
      <c r="R404" s="4">
        <f ca="1">MIN(O404,PREMISSAS!$C$13)</f>
        <v>0</v>
      </c>
      <c r="S404" s="240"/>
      <c r="T404" s="240"/>
    </row>
    <row r="405" spans="2:20" x14ac:dyDescent="0.25">
      <c r="B405" s="21" t="str">
        <f t="shared" ca="1" si="46"/>
        <v/>
      </c>
      <c r="C405" s="22" t="str">
        <f ca="1">IF(B405="","",IF(LEFT(B405,2)="13",C404,IF(MONTH(B405)=1,C404*(1+PREMISSAS!$C$57),C404)))</f>
        <v/>
      </c>
      <c r="E405" s="18">
        <v>401</v>
      </c>
      <c r="F405" s="21">
        <f t="shared" ca="1" si="47"/>
        <v>48699</v>
      </c>
      <c r="G405" s="22">
        <f ca="1">IFERROR(VLOOKUP(F405,RESULTADOS!$O$5:$P$543,2,FALSE),VLOOKUP(F405,$B$5:$C$724,2,FALSE))</f>
        <v>0</v>
      </c>
      <c r="H405" s="4">
        <f ca="1">IF(F405&lt;PREMISSAS!$D$7,0,IFERROR(VLOOKUP(IF(LEFT(F405,2)="13",DATE(YEAR(F404),12,31),F405),IPCA!$A$3:$D$284,4,FALSE),1)*G405)</f>
        <v>0</v>
      </c>
      <c r="J405" s="21">
        <f t="shared" ca="1" si="42"/>
        <v>48699</v>
      </c>
      <c r="K405" s="4">
        <f t="shared" ca="1" si="43"/>
        <v>0</v>
      </c>
      <c r="M405" s="21">
        <f t="shared" ca="1" si="48"/>
        <v>48699</v>
      </c>
      <c r="N405" s="37">
        <f t="shared" ca="1" si="44"/>
        <v>0</v>
      </c>
      <c r="O405" s="4">
        <f ca="1">IFERROR(AVERAGEIF(N$5:$N405,"&gt;="&amp;_xlfn.PERCENTILE.EXC(N$5:$N405,0.2)),0)</f>
        <v>0</v>
      </c>
      <c r="Q405" s="21">
        <f t="shared" ca="1" si="45"/>
        <v>48699</v>
      </c>
      <c r="R405" s="4">
        <f ca="1">MIN(O405,PREMISSAS!$C$13)</f>
        <v>0</v>
      </c>
      <c r="S405" s="240"/>
      <c r="T405" s="240"/>
    </row>
    <row r="406" spans="2:20" x14ac:dyDescent="0.25">
      <c r="B406" s="21" t="str">
        <f t="shared" ca="1" si="46"/>
        <v/>
      </c>
      <c r="C406" s="22" t="str">
        <f ca="1">IF(B406="","",IF(LEFT(B406,2)="13",C405,IF(MONTH(B406)=1,C405*(1+PREMISSAS!$C$57),C405)))</f>
        <v/>
      </c>
      <c r="E406" s="18">
        <v>402</v>
      </c>
      <c r="F406" s="21">
        <f t="shared" ca="1" si="47"/>
        <v>48730</v>
      </c>
      <c r="G406" s="22">
        <f ca="1">IFERROR(VLOOKUP(F406,RESULTADOS!$O$5:$P$543,2,FALSE),VLOOKUP(F406,$B$5:$C$724,2,FALSE))</f>
        <v>0</v>
      </c>
      <c r="H406" s="4">
        <f ca="1">IF(F406&lt;PREMISSAS!$D$7,0,IFERROR(VLOOKUP(IF(LEFT(F406,2)="13",DATE(YEAR(F405),12,31),F406),IPCA!$A$3:$D$284,4,FALSE),1)*G406)</f>
        <v>0</v>
      </c>
      <c r="J406" s="21">
        <f t="shared" ca="1" si="42"/>
        <v>48730</v>
      </c>
      <c r="K406" s="4">
        <f t="shared" ca="1" si="43"/>
        <v>0</v>
      </c>
      <c r="M406" s="21">
        <f t="shared" ca="1" si="48"/>
        <v>48730</v>
      </c>
      <c r="N406" s="37">
        <f t="shared" ca="1" si="44"/>
        <v>0</v>
      </c>
      <c r="O406" s="4">
        <f ca="1">IFERROR(AVERAGEIF(N$5:$N406,"&gt;="&amp;_xlfn.PERCENTILE.EXC(N$5:$N406,0.2)),0)</f>
        <v>0</v>
      </c>
      <c r="Q406" s="21">
        <f t="shared" ca="1" si="45"/>
        <v>48730</v>
      </c>
      <c r="R406" s="4">
        <f ca="1">MIN(O406,PREMISSAS!$C$13)</f>
        <v>0</v>
      </c>
      <c r="S406" s="240"/>
      <c r="T406" s="240"/>
    </row>
    <row r="407" spans="2:20" x14ac:dyDescent="0.25">
      <c r="B407" s="21" t="str">
        <f t="shared" ca="1" si="46"/>
        <v/>
      </c>
      <c r="C407" s="22" t="str">
        <f ca="1">IF(B407="","",IF(LEFT(B407,2)="13",C406,IF(MONTH(B407)=1,C406*(1+PREMISSAS!$C$57),C406)))</f>
        <v/>
      </c>
      <c r="E407" s="18">
        <v>403</v>
      </c>
      <c r="F407" s="21">
        <f t="shared" ca="1" si="47"/>
        <v>48760</v>
      </c>
      <c r="G407" s="22">
        <f ca="1">IFERROR(VLOOKUP(F407,RESULTADOS!$O$5:$P$543,2,FALSE),VLOOKUP(F407,$B$5:$C$724,2,FALSE))</f>
        <v>0</v>
      </c>
      <c r="H407" s="4">
        <f ca="1">IF(F407&lt;PREMISSAS!$D$7,0,IFERROR(VLOOKUP(IF(LEFT(F407,2)="13",DATE(YEAR(F406),12,31),F407),IPCA!$A$3:$D$284,4,FALSE),1)*G407)</f>
        <v>0</v>
      </c>
      <c r="J407" s="21">
        <f t="shared" ca="1" si="42"/>
        <v>48760</v>
      </c>
      <c r="K407" s="4">
        <f t="shared" ca="1" si="43"/>
        <v>0</v>
      </c>
      <c r="M407" s="21">
        <f t="shared" ca="1" si="48"/>
        <v>48760</v>
      </c>
      <c r="N407" s="37">
        <f t="shared" ca="1" si="44"/>
        <v>0</v>
      </c>
      <c r="O407" s="4">
        <f ca="1">IFERROR(AVERAGEIF(N$5:$N407,"&gt;="&amp;_xlfn.PERCENTILE.EXC(N$5:$N407,0.2)),0)</f>
        <v>0</v>
      </c>
      <c r="Q407" s="21">
        <f t="shared" ca="1" si="45"/>
        <v>48760</v>
      </c>
      <c r="R407" s="4">
        <f ca="1">MIN(O407,PREMISSAS!$C$13)</f>
        <v>0</v>
      </c>
      <c r="S407" s="240"/>
      <c r="T407" s="240"/>
    </row>
    <row r="408" spans="2:20" x14ac:dyDescent="0.25">
      <c r="B408" s="21" t="str">
        <f t="shared" ca="1" si="46"/>
        <v/>
      </c>
      <c r="C408" s="22" t="str">
        <f ca="1">IF(B408="","",IF(LEFT(B408,2)="13",C407,IF(MONTH(B408)=1,C407*(1+PREMISSAS!$C$57),C407)))</f>
        <v/>
      </c>
      <c r="E408" s="18">
        <v>404</v>
      </c>
      <c r="F408" s="21">
        <f t="shared" ca="1" si="47"/>
        <v>48791</v>
      </c>
      <c r="G408" s="22">
        <f ca="1">IFERROR(VLOOKUP(F408,RESULTADOS!$O$5:$P$543,2,FALSE),VLOOKUP(F408,$B$5:$C$724,2,FALSE))</f>
        <v>0</v>
      </c>
      <c r="H408" s="4">
        <f ca="1">IF(F408&lt;PREMISSAS!$D$7,0,IFERROR(VLOOKUP(IF(LEFT(F408,2)="13",DATE(YEAR(F407),12,31),F408),IPCA!$A$3:$D$284,4,FALSE),1)*G408)</f>
        <v>0</v>
      </c>
      <c r="J408" s="21">
        <f t="shared" ca="1" si="42"/>
        <v>48791</v>
      </c>
      <c r="K408" s="4">
        <f t="shared" ca="1" si="43"/>
        <v>0</v>
      </c>
      <c r="M408" s="21">
        <f t="shared" ca="1" si="48"/>
        <v>48791</v>
      </c>
      <c r="N408" s="37">
        <f t="shared" ca="1" si="44"/>
        <v>0</v>
      </c>
      <c r="O408" s="4">
        <f ca="1">IFERROR(AVERAGEIF(N$5:$N408,"&gt;="&amp;_xlfn.PERCENTILE.EXC(N$5:$N408,0.2)),0)</f>
        <v>0</v>
      </c>
      <c r="Q408" s="21">
        <f t="shared" ca="1" si="45"/>
        <v>48791</v>
      </c>
      <c r="R408" s="4">
        <f ca="1">MIN(O408,PREMISSAS!$C$13)</f>
        <v>0</v>
      </c>
      <c r="S408" s="240"/>
      <c r="T408" s="240"/>
    </row>
    <row r="409" spans="2:20" x14ac:dyDescent="0.25">
      <c r="B409" s="21" t="str">
        <f t="shared" ca="1" si="46"/>
        <v/>
      </c>
      <c r="C409" s="22" t="str">
        <f ca="1">IF(B409="","",IF(LEFT(B409,2)="13",C408,IF(MONTH(B409)=1,C408*(1+PREMISSAS!$C$57),C408)))</f>
        <v/>
      </c>
      <c r="E409" s="18">
        <v>405</v>
      </c>
      <c r="F409" s="21">
        <f t="shared" ca="1" si="47"/>
        <v>48822</v>
      </c>
      <c r="G409" s="22">
        <f ca="1">IFERROR(VLOOKUP(F409,RESULTADOS!$O$5:$P$543,2,FALSE),VLOOKUP(F409,$B$5:$C$724,2,FALSE))</f>
        <v>0</v>
      </c>
      <c r="H409" s="4">
        <f ca="1">IF(F409&lt;PREMISSAS!$D$7,0,IFERROR(VLOOKUP(IF(LEFT(F409,2)="13",DATE(YEAR(F408),12,31),F409),IPCA!$A$3:$D$284,4,FALSE),1)*G409)</f>
        <v>0</v>
      </c>
      <c r="J409" s="21">
        <f t="shared" ca="1" si="42"/>
        <v>48822</v>
      </c>
      <c r="K409" s="4">
        <f t="shared" ca="1" si="43"/>
        <v>0</v>
      </c>
      <c r="M409" s="21">
        <f t="shared" ca="1" si="48"/>
        <v>48822</v>
      </c>
      <c r="N409" s="37">
        <f t="shared" ca="1" si="44"/>
        <v>0</v>
      </c>
      <c r="O409" s="4">
        <f ca="1">IFERROR(AVERAGEIF(N$5:$N409,"&gt;="&amp;_xlfn.PERCENTILE.EXC(N$5:$N409,0.2)),0)</f>
        <v>0</v>
      </c>
      <c r="Q409" s="21">
        <f t="shared" ca="1" si="45"/>
        <v>48822</v>
      </c>
      <c r="R409" s="4">
        <f ca="1">MIN(O409,PREMISSAS!$C$13)</f>
        <v>0</v>
      </c>
      <c r="S409" s="240"/>
      <c r="T409" s="240"/>
    </row>
    <row r="410" spans="2:20" x14ac:dyDescent="0.25">
      <c r="B410" s="21" t="str">
        <f t="shared" ca="1" si="46"/>
        <v/>
      </c>
      <c r="C410" s="22" t="str">
        <f ca="1">IF(B410="","",IF(LEFT(B410,2)="13",C409,IF(MONTH(B410)=1,C409*(1+PREMISSAS!$C$57),C409)))</f>
        <v/>
      </c>
      <c r="E410" s="18">
        <v>406</v>
      </c>
      <c r="F410" s="21">
        <f t="shared" ca="1" si="47"/>
        <v>48852</v>
      </c>
      <c r="G410" s="22">
        <f ca="1">IFERROR(VLOOKUP(F410,RESULTADOS!$O$5:$P$543,2,FALSE),VLOOKUP(F410,$B$5:$C$724,2,FALSE))</f>
        <v>0</v>
      </c>
      <c r="H410" s="4">
        <f ca="1">IF(F410&lt;PREMISSAS!$D$7,0,IFERROR(VLOOKUP(IF(LEFT(F410,2)="13",DATE(YEAR(F409),12,31),F410),IPCA!$A$3:$D$284,4,FALSE),1)*G410)</f>
        <v>0</v>
      </c>
      <c r="J410" s="21">
        <f t="shared" ca="1" si="42"/>
        <v>48852</v>
      </c>
      <c r="K410" s="4">
        <f t="shared" ca="1" si="43"/>
        <v>0</v>
      </c>
      <c r="M410" s="21">
        <f t="shared" ca="1" si="48"/>
        <v>48852</v>
      </c>
      <c r="N410" s="37">
        <f t="shared" ca="1" si="44"/>
        <v>0</v>
      </c>
      <c r="O410" s="4">
        <f ca="1">IFERROR(AVERAGEIF(N$5:$N410,"&gt;="&amp;_xlfn.PERCENTILE.EXC(N$5:$N410,0.2)),0)</f>
        <v>0</v>
      </c>
      <c r="Q410" s="21">
        <f t="shared" ca="1" si="45"/>
        <v>48852</v>
      </c>
      <c r="R410" s="4">
        <f ca="1">MIN(O410,PREMISSAS!$C$13)</f>
        <v>0</v>
      </c>
      <c r="S410" s="240"/>
      <c r="T410" s="240"/>
    </row>
    <row r="411" spans="2:20" x14ac:dyDescent="0.25">
      <c r="B411" s="21" t="str">
        <f t="shared" ca="1" si="46"/>
        <v/>
      </c>
      <c r="C411" s="22" t="str">
        <f ca="1">IF(B411="","",IF(LEFT(B411,2)="13",C410,IF(MONTH(B411)=1,C410*(1+PREMISSAS!$C$57),C410)))</f>
        <v/>
      </c>
      <c r="E411" s="18">
        <v>407</v>
      </c>
      <c r="F411" s="21">
        <f t="shared" ca="1" si="47"/>
        <v>48883</v>
      </c>
      <c r="G411" s="22">
        <f ca="1">IFERROR(VLOOKUP(F411,RESULTADOS!$O$5:$P$543,2,FALSE),VLOOKUP(F411,$B$5:$C$724,2,FALSE))</f>
        <v>0</v>
      </c>
      <c r="H411" s="4">
        <f ca="1">IF(F411&lt;PREMISSAS!$D$7,0,IFERROR(VLOOKUP(IF(LEFT(F411,2)="13",DATE(YEAR(F410),12,31),F411),IPCA!$A$3:$D$284,4,FALSE),1)*G411)</f>
        <v>0</v>
      </c>
      <c r="J411" s="21">
        <f t="shared" ca="1" si="42"/>
        <v>48883</v>
      </c>
      <c r="K411" s="4">
        <f t="shared" ca="1" si="43"/>
        <v>0</v>
      </c>
      <c r="M411" s="21">
        <f t="shared" ca="1" si="48"/>
        <v>48883</v>
      </c>
      <c r="N411" s="37">
        <f t="shared" ca="1" si="44"/>
        <v>0</v>
      </c>
      <c r="O411" s="4">
        <f ca="1">IFERROR(AVERAGEIF(N$5:$N411,"&gt;="&amp;_xlfn.PERCENTILE.EXC(N$5:$N411,0.2)),0)</f>
        <v>0</v>
      </c>
      <c r="Q411" s="21">
        <f t="shared" ca="1" si="45"/>
        <v>48883</v>
      </c>
      <c r="R411" s="4">
        <f ca="1">MIN(O411,PREMISSAS!$C$13)</f>
        <v>0</v>
      </c>
      <c r="S411" s="240"/>
      <c r="T411" s="240"/>
    </row>
    <row r="412" spans="2:20" x14ac:dyDescent="0.25">
      <c r="B412" s="21" t="str">
        <f t="shared" ca="1" si="46"/>
        <v/>
      </c>
      <c r="C412" s="22" t="str">
        <f ca="1">IF(B412="","",IF(LEFT(B412,2)="13",C411,IF(MONTH(B412)=1,C411*(1+PREMISSAS!$C$57),C411)))</f>
        <v/>
      </c>
      <c r="E412" s="18">
        <v>408</v>
      </c>
      <c r="F412" s="21">
        <f t="shared" ca="1" si="47"/>
        <v>48913</v>
      </c>
      <c r="G412" s="22">
        <f ca="1">IFERROR(VLOOKUP(F412,RESULTADOS!$O$5:$P$543,2,FALSE),VLOOKUP(F412,$B$5:$C$724,2,FALSE))</f>
        <v>0</v>
      </c>
      <c r="H412" s="4">
        <f ca="1">IF(F412&lt;PREMISSAS!$D$7,0,IFERROR(VLOOKUP(IF(LEFT(F412,2)="13",DATE(YEAR(F411),12,31),F412),IPCA!$A$3:$D$284,4,FALSE),1)*G412)</f>
        <v>0</v>
      </c>
      <c r="J412" s="21">
        <f t="shared" ca="1" si="42"/>
        <v>48913</v>
      </c>
      <c r="K412" s="4">
        <f t="shared" ca="1" si="43"/>
        <v>0</v>
      </c>
      <c r="M412" s="21">
        <f t="shared" ca="1" si="48"/>
        <v>48913</v>
      </c>
      <c r="N412" s="37">
        <f t="shared" ca="1" si="44"/>
        <v>0</v>
      </c>
      <c r="O412" s="4">
        <f ca="1">IFERROR(AVERAGEIF(N$5:$N412,"&gt;="&amp;_xlfn.PERCENTILE.EXC(N$5:$N412,0.2)),0)</f>
        <v>0</v>
      </c>
      <c r="Q412" s="21">
        <f t="shared" ca="1" si="45"/>
        <v>48913</v>
      </c>
      <c r="R412" s="4">
        <f ca="1">MIN(O412,PREMISSAS!$C$13)</f>
        <v>0</v>
      </c>
      <c r="S412" s="240"/>
      <c r="T412" s="240"/>
    </row>
    <row r="413" spans="2:20" x14ac:dyDescent="0.25">
      <c r="B413" s="21" t="str">
        <f t="shared" ca="1" si="46"/>
        <v/>
      </c>
      <c r="C413" s="22" t="str">
        <f ca="1">IF(B413="","",IF(LEFT(B413,2)="13",C412,IF(MONTH(B413)=1,C412*(1+PREMISSAS!$C$57),C412)))</f>
        <v/>
      </c>
      <c r="E413" s="18">
        <v>409</v>
      </c>
      <c r="F413" s="21" t="str">
        <f t="shared" ca="1" si="47"/>
        <v>13º 2033</v>
      </c>
      <c r="G413" s="22">
        <f ca="1">IFERROR(VLOOKUP(F413,RESULTADOS!$O$5:$P$543,2,FALSE),VLOOKUP(F413,$B$5:$C$724,2,FALSE))</f>
        <v>0</v>
      </c>
      <c r="H413" s="4">
        <f ca="1">IF(F413&lt;PREMISSAS!$D$7,0,IFERROR(VLOOKUP(IF(LEFT(F413,2)="13",DATE(YEAR(F412),12,31),F413),IPCA!$A$3:$D$284,4,FALSE),1)*G413)</f>
        <v>0</v>
      </c>
      <c r="J413" s="21" t="str">
        <f t="shared" ca="1" si="42"/>
        <v>13º 2033</v>
      </c>
      <c r="K413" s="4">
        <f t="shared" ca="1" si="43"/>
        <v>0</v>
      </c>
      <c r="M413" s="21" t="str">
        <f t="shared" ca="1" si="48"/>
        <v>13º 2033</v>
      </c>
      <c r="N413" s="37">
        <f t="shared" ca="1" si="44"/>
        <v>0</v>
      </c>
      <c r="O413" s="4">
        <f ca="1">IFERROR(AVERAGEIF(N$5:$N413,"&gt;="&amp;_xlfn.PERCENTILE.EXC(N$5:$N413,0.2)),0)</f>
        <v>0</v>
      </c>
      <c r="Q413" s="21" t="str">
        <f t="shared" ca="1" si="45"/>
        <v>13º 2033</v>
      </c>
      <c r="R413" s="4">
        <f ca="1">MIN(O413,PREMISSAS!$C$13)</f>
        <v>0</v>
      </c>
      <c r="S413" s="240"/>
      <c r="T413" s="240"/>
    </row>
    <row r="414" spans="2:20" x14ac:dyDescent="0.25">
      <c r="B414" s="21" t="str">
        <f t="shared" ca="1" si="46"/>
        <v/>
      </c>
      <c r="C414" s="22" t="str">
        <f ca="1">IF(B414="","",IF(LEFT(B414,2)="13",C413,IF(MONTH(B414)=1,C413*(1+PREMISSAS!$C$57),C413)))</f>
        <v/>
      </c>
      <c r="E414" s="18">
        <v>410</v>
      </c>
      <c r="F414" s="21">
        <f t="shared" ca="1" si="47"/>
        <v>48944</v>
      </c>
      <c r="G414" s="22">
        <f ca="1">IFERROR(VLOOKUP(F414,RESULTADOS!$O$5:$P$543,2,FALSE),VLOOKUP(F414,$B$5:$C$724,2,FALSE))</f>
        <v>0</v>
      </c>
      <c r="H414" s="4">
        <f ca="1">IF(F414&lt;PREMISSAS!$D$7,0,IFERROR(VLOOKUP(IF(LEFT(F414,2)="13",DATE(YEAR(F413),12,31),F414),IPCA!$A$3:$D$284,4,FALSE),1)*G414)</f>
        <v>0</v>
      </c>
      <c r="J414" s="21">
        <f t="shared" ca="1" si="42"/>
        <v>48944</v>
      </c>
      <c r="K414" s="4">
        <f t="shared" ca="1" si="43"/>
        <v>0</v>
      </c>
      <c r="M414" s="21">
        <f t="shared" ca="1" si="48"/>
        <v>48944</v>
      </c>
      <c r="N414" s="37">
        <f t="shared" ca="1" si="44"/>
        <v>0</v>
      </c>
      <c r="O414" s="4">
        <f ca="1">IFERROR(AVERAGEIF(N$5:$N414,"&gt;="&amp;_xlfn.PERCENTILE.EXC(N$5:$N414,0.2)),0)</f>
        <v>0</v>
      </c>
      <c r="Q414" s="21">
        <f t="shared" ca="1" si="45"/>
        <v>48944</v>
      </c>
      <c r="R414" s="4">
        <f ca="1">MIN(O414,PREMISSAS!$C$13)</f>
        <v>0</v>
      </c>
      <c r="S414" s="240"/>
      <c r="T414" s="240"/>
    </row>
    <row r="415" spans="2:20" x14ac:dyDescent="0.25">
      <c r="B415" s="21" t="str">
        <f t="shared" ca="1" si="46"/>
        <v/>
      </c>
      <c r="C415" s="22" t="str">
        <f ca="1">IF(B415="","",IF(LEFT(B415,2)="13",C414,IF(MONTH(B415)=1,C414*(1+PREMISSAS!$C$57),C414)))</f>
        <v/>
      </c>
      <c r="E415" s="18">
        <v>411</v>
      </c>
      <c r="F415" s="21">
        <f t="shared" ca="1" si="47"/>
        <v>48975</v>
      </c>
      <c r="G415" s="22">
        <f ca="1">IFERROR(VLOOKUP(F415,RESULTADOS!$O$5:$P$543,2,FALSE),VLOOKUP(F415,$B$5:$C$724,2,FALSE))</f>
        <v>0</v>
      </c>
      <c r="H415" s="4">
        <f ca="1">IF(F415&lt;PREMISSAS!$D$7,0,IFERROR(VLOOKUP(IF(LEFT(F415,2)="13",DATE(YEAR(F414),12,31),F415),IPCA!$A$3:$D$284,4,FALSE),1)*G415)</f>
        <v>0</v>
      </c>
      <c r="J415" s="21">
        <f t="shared" ca="1" si="42"/>
        <v>48975</v>
      </c>
      <c r="K415" s="4">
        <f t="shared" ca="1" si="43"/>
        <v>0</v>
      </c>
      <c r="M415" s="21">
        <f t="shared" ca="1" si="48"/>
        <v>48975</v>
      </c>
      <c r="N415" s="37">
        <f t="shared" ca="1" si="44"/>
        <v>0</v>
      </c>
      <c r="O415" s="4">
        <f ca="1">IFERROR(AVERAGEIF(N$5:$N415,"&gt;="&amp;_xlfn.PERCENTILE.EXC(N$5:$N415,0.2)),0)</f>
        <v>0</v>
      </c>
      <c r="Q415" s="21">
        <f t="shared" ca="1" si="45"/>
        <v>48975</v>
      </c>
      <c r="R415" s="4">
        <f ca="1">MIN(O415,PREMISSAS!$C$13)</f>
        <v>0</v>
      </c>
      <c r="S415" s="240"/>
      <c r="T415" s="240"/>
    </row>
    <row r="416" spans="2:20" x14ac:dyDescent="0.25">
      <c r="B416" s="21" t="str">
        <f t="shared" ca="1" si="46"/>
        <v/>
      </c>
      <c r="C416" s="22" t="str">
        <f ca="1">IF(B416="","",IF(LEFT(B416,2)="13",C415,IF(MONTH(B416)=1,C415*(1+PREMISSAS!$C$57),C415)))</f>
        <v/>
      </c>
      <c r="E416" s="18">
        <v>412</v>
      </c>
      <c r="F416" s="21">
        <f t="shared" ca="1" si="47"/>
        <v>49003</v>
      </c>
      <c r="G416" s="22">
        <f ca="1">IFERROR(VLOOKUP(F416,RESULTADOS!$O$5:$P$543,2,FALSE),VLOOKUP(F416,$B$5:$C$724,2,FALSE))</f>
        <v>0</v>
      </c>
      <c r="H416" s="4">
        <f ca="1">IF(F416&lt;PREMISSAS!$D$7,0,IFERROR(VLOOKUP(IF(LEFT(F416,2)="13",DATE(YEAR(F415),12,31),F416),IPCA!$A$3:$D$284,4,FALSE),1)*G416)</f>
        <v>0</v>
      </c>
      <c r="J416" s="21">
        <f t="shared" ca="1" si="42"/>
        <v>49003</v>
      </c>
      <c r="K416" s="4">
        <f t="shared" ca="1" si="43"/>
        <v>0</v>
      </c>
      <c r="M416" s="21">
        <f t="shared" ca="1" si="48"/>
        <v>49003</v>
      </c>
      <c r="N416" s="37">
        <f t="shared" ca="1" si="44"/>
        <v>0</v>
      </c>
      <c r="O416" s="4">
        <f ca="1">IFERROR(AVERAGEIF(N$5:$N416,"&gt;="&amp;_xlfn.PERCENTILE.EXC(N$5:$N416,0.2)),0)</f>
        <v>0</v>
      </c>
      <c r="Q416" s="21">
        <f t="shared" ca="1" si="45"/>
        <v>49003</v>
      </c>
      <c r="R416" s="4">
        <f ca="1">MIN(O416,PREMISSAS!$C$13)</f>
        <v>0</v>
      </c>
      <c r="S416" s="240"/>
      <c r="T416" s="240"/>
    </row>
    <row r="417" spans="2:20" x14ac:dyDescent="0.25">
      <c r="B417" s="21" t="str">
        <f t="shared" ca="1" si="46"/>
        <v/>
      </c>
      <c r="C417" s="22" t="str">
        <f ca="1">IF(B417="","",IF(LEFT(B417,2)="13",C416,IF(MONTH(B417)=1,C416*(1+PREMISSAS!$C$57),C416)))</f>
        <v/>
      </c>
      <c r="E417" s="18">
        <v>413</v>
      </c>
      <c r="F417" s="21">
        <f t="shared" ca="1" si="47"/>
        <v>49034</v>
      </c>
      <c r="G417" s="22">
        <f ca="1">IFERROR(VLOOKUP(F417,RESULTADOS!$O$5:$P$543,2,FALSE),VLOOKUP(F417,$B$5:$C$724,2,FALSE))</f>
        <v>0</v>
      </c>
      <c r="H417" s="4">
        <f ca="1">IF(F417&lt;PREMISSAS!$D$7,0,IFERROR(VLOOKUP(IF(LEFT(F417,2)="13",DATE(YEAR(F416),12,31),F417),IPCA!$A$3:$D$284,4,FALSE),1)*G417)</f>
        <v>0</v>
      </c>
      <c r="J417" s="21">
        <f t="shared" ca="1" si="42"/>
        <v>49034</v>
      </c>
      <c r="K417" s="4">
        <f t="shared" ca="1" si="43"/>
        <v>0</v>
      </c>
      <c r="M417" s="21">
        <f t="shared" ca="1" si="48"/>
        <v>49034</v>
      </c>
      <c r="N417" s="37">
        <f t="shared" ca="1" si="44"/>
        <v>0</v>
      </c>
      <c r="O417" s="4">
        <f ca="1">IFERROR(AVERAGEIF(N$5:$N417,"&gt;="&amp;_xlfn.PERCENTILE.EXC(N$5:$N417,0.2)),0)</f>
        <v>0</v>
      </c>
      <c r="Q417" s="21">
        <f t="shared" ca="1" si="45"/>
        <v>49034</v>
      </c>
      <c r="R417" s="4">
        <f ca="1">MIN(O417,PREMISSAS!$C$13)</f>
        <v>0</v>
      </c>
      <c r="S417" s="240"/>
      <c r="T417" s="240"/>
    </row>
    <row r="418" spans="2:20" x14ac:dyDescent="0.25">
      <c r="B418" s="21" t="str">
        <f t="shared" ca="1" si="46"/>
        <v/>
      </c>
      <c r="C418" s="22" t="str">
        <f ca="1">IF(B418="","",IF(LEFT(B418,2)="13",C417,IF(MONTH(B418)=1,C417*(1+PREMISSAS!$C$57),C417)))</f>
        <v/>
      </c>
      <c r="E418" s="18">
        <v>414</v>
      </c>
      <c r="F418" s="21">
        <f t="shared" ca="1" si="47"/>
        <v>49064</v>
      </c>
      <c r="G418" s="22">
        <f ca="1">IFERROR(VLOOKUP(F418,RESULTADOS!$O$5:$P$543,2,FALSE),VLOOKUP(F418,$B$5:$C$724,2,FALSE))</f>
        <v>0</v>
      </c>
      <c r="H418" s="4">
        <f ca="1">IF(F418&lt;PREMISSAS!$D$7,0,IFERROR(VLOOKUP(IF(LEFT(F418,2)="13",DATE(YEAR(F417),12,31),F418),IPCA!$A$3:$D$284,4,FALSE),1)*G418)</f>
        <v>0</v>
      </c>
      <c r="J418" s="21">
        <f t="shared" ca="1" si="42"/>
        <v>49064</v>
      </c>
      <c r="K418" s="4">
        <f t="shared" ca="1" si="43"/>
        <v>0</v>
      </c>
      <c r="M418" s="21">
        <f t="shared" ca="1" si="48"/>
        <v>49064</v>
      </c>
      <c r="N418" s="37">
        <f t="shared" ca="1" si="44"/>
        <v>0</v>
      </c>
      <c r="O418" s="4">
        <f ca="1">IFERROR(AVERAGEIF(N$5:$N418,"&gt;="&amp;_xlfn.PERCENTILE.EXC(N$5:$N418,0.2)),0)</f>
        <v>0</v>
      </c>
      <c r="Q418" s="21">
        <f t="shared" ca="1" si="45"/>
        <v>49064</v>
      </c>
      <c r="R418" s="4">
        <f ca="1">MIN(O418,PREMISSAS!$C$13)</f>
        <v>0</v>
      </c>
      <c r="S418" s="240"/>
      <c r="T418" s="240"/>
    </row>
    <row r="419" spans="2:20" x14ac:dyDescent="0.25">
      <c r="B419" s="21" t="str">
        <f t="shared" ca="1" si="46"/>
        <v/>
      </c>
      <c r="C419" s="22" t="str">
        <f ca="1">IF(B419="","",IF(LEFT(B419,2)="13",C418,IF(MONTH(B419)=1,C418*(1+PREMISSAS!$C$57),C418)))</f>
        <v/>
      </c>
      <c r="E419" s="18">
        <v>415</v>
      </c>
      <c r="F419" s="21">
        <f t="shared" ca="1" si="47"/>
        <v>49095</v>
      </c>
      <c r="G419" s="22">
        <f ca="1">IFERROR(VLOOKUP(F419,RESULTADOS!$O$5:$P$543,2,FALSE),VLOOKUP(F419,$B$5:$C$724,2,FALSE))</f>
        <v>0</v>
      </c>
      <c r="H419" s="4">
        <f ca="1">IF(F419&lt;PREMISSAS!$D$7,0,IFERROR(VLOOKUP(IF(LEFT(F419,2)="13",DATE(YEAR(F418),12,31),F419),IPCA!$A$3:$D$284,4,FALSE),1)*G419)</f>
        <v>0</v>
      </c>
      <c r="J419" s="21">
        <f t="shared" ca="1" si="42"/>
        <v>49095</v>
      </c>
      <c r="K419" s="4">
        <f t="shared" ca="1" si="43"/>
        <v>0</v>
      </c>
      <c r="M419" s="21">
        <f t="shared" ca="1" si="48"/>
        <v>49095</v>
      </c>
      <c r="N419" s="37">
        <f t="shared" ca="1" si="44"/>
        <v>0</v>
      </c>
      <c r="O419" s="4">
        <f ca="1">IFERROR(AVERAGEIF(N$5:$N419,"&gt;="&amp;_xlfn.PERCENTILE.EXC(N$5:$N419,0.2)),0)</f>
        <v>0</v>
      </c>
      <c r="Q419" s="21">
        <f t="shared" ca="1" si="45"/>
        <v>49095</v>
      </c>
      <c r="R419" s="4">
        <f ca="1">MIN(O419,PREMISSAS!$C$13)</f>
        <v>0</v>
      </c>
      <c r="S419" s="240"/>
      <c r="T419" s="240"/>
    </row>
    <row r="420" spans="2:20" x14ac:dyDescent="0.25">
      <c r="B420" s="21" t="str">
        <f t="shared" ca="1" si="46"/>
        <v/>
      </c>
      <c r="C420" s="22" t="str">
        <f ca="1">IF(B420="","",IF(LEFT(B420,2)="13",C419,IF(MONTH(B420)=1,C419*(1+PREMISSAS!$C$57),C419)))</f>
        <v/>
      </c>
      <c r="E420" s="18">
        <v>416</v>
      </c>
      <c r="F420" s="21">
        <f t="shared" ca="1" si="47"/>
        <v>49125</v>
      </c>
      <c r="G420" s="22">
        <f ca="1">IFERROR(VLOOKUP(F420,RESULTADOS!$O$5:$P$543,2,FALSE),VLOOKUP(F420,$B$5:$C$724,2,FALSE))</f>
        <v>0</v>
      </c>
      <c r="H420" s="4">
        <f ca="1">IF(F420&lt;PREMISSAS!$D$7,0,IFERROR(VLOOKUP(IF(LEFT(F420,2)="13",DATE(YEAR(F419),12,31),F420),IPCA!$A$3:$D$284,4,FALSE),1)*G420)</f>
        <v>0</v>
      </c>
      <c r="J420" s="21">
        <f t="shared" ca="1" si="42"/>
        <v>49125</v>
      </c>
      <c r="K420" s="4">
        <f t="shared" ca="1" si="43"/>
        <v>0</v>
      </c>
      <c r="M420" s="21">
        <f t="shared" ca="1" si="48"/>
        <v>49125</v>
      </c>
      <c r="N420" s="37">
        <f t="shared" ca="1" si="44"/>
        <v>0</v>
      </c>
      <c r="O420" s="4">
        <f ca="1">IFERROR(AVERAGEIF(N$5:$N420,"&gt;="&amp;_xlfn.PERCENTILE.EXC(N$5:$N420,0.2)),0)</f>
        <v>0</v>
      </c>
      <c r="Q420" s="21">
        <f t="shared" ca="1" si="45"/>
        <v>49125</v>
      </c>
      <c r="R420" s="4">
        <f ca="1">MIN(O420,PREMISSAS!$C$13)</f>
        <v>0</v>
      </c>
      <c r="S420" s="240"/>
      <c r="T420" s="240"/>
    </row>
    <row r="421" spans="2:20" x14ac:dyDescent="0.25">
      <c r="B421" s="21" t="str">
        <f t="shared" ca="1" si="46"/>
        <v/>
      </c>
      <c r="C421" s="22" t="str">
        <f ca="1">IF(B421="","",IF(LEFT(B421,2)="13",C420,IF(MONTH(B421)=1,C420*(1+PREMISSAS!$C$57),C420)))</f>
        <v/>
      </c>
      <c r="E421" s="18">
        <v>417</v>
      </c>
      <c r="F421" s="21">
        <f t="shared" ca="1" si="47"/>
        <v>49156</v>
      </c>
      <c r="G421" s="22">
        <f ca="1">IFERROR(VLOOKUP(F421,RESULTADOS!$O$5:$P$543,2,FALSE),VLOOKUP(F421,$B$5:$C$724,2,FALSE))</f>
        <v>0</v>
      </c>
      <c r="H421" s="4">
        <f ca="1">IF(F421&lt;PREMISSAS!$D$7,0,IFERROR(VLOOKUP(IF(LEFT(F421,2)="13",DATE(YEAR(F420),12,31),F421),IPCA!$A$3:$D$284,4,FALSE),1)*G421)</f>
        <v>0</v>
      </c>
      <c r="J421" s="21">
        <f t="shared" ca="1" si="42"/>
        <v>49156</v>
      </c>
      <c r="K421" s="4">
        <f t="shared" ca="1" si="43"/>
        <v>0</v>
      </c>
      <c r="M421" s="21">
        <f t="shared" ca="1" si="48"/>
        <v>49156</v>
      </c>
      <c r="N421" s="37">
        <f t="shared" ca="1" si="44"/>
        <v>0</v>
      </c>
      <c r="O421" s="4">
        <f ca="1">IFERROR(AVERAGEIF(N$5:$N421,"&gt;="&amp;_xlfn.PERCENTILE.EXC(N$5:$N421,0.2)),0)</f>
        <v>0</v>
      </c>
      <c r="Q421" s="21">
        <f t="shared" ca="1" si="45"/>
        <v>49156</v>
      </c>
      <c r="R421" s="4">
        <f ca="1">MIN(O421,PREMISSAS!$C$13)</f>
        <v>0</v>
      </c>
      <c r="S421" s="240"/>
      <c r="T421" s="240"/>
    </row>
    <row r="422" spans="2:20" x14ac:dyDescent="0.25">
      <c r="B422" s="21" t="str">
        <f t="shared" ca="1" si="46"/>
        <v/>
      </c>
      <c r="C422" s="22" t="str">
        <f ca="1">IF(B422="","",IF(LEFT(B422,2)="13",C421,IF(MONTH(B422)=1,C421*(1+PREMISSAS!$C$57),C421)))</f>
        <v/>
      </c>
      <c r="E422" s="18">
        <v>418</v>
      </c>
      <c r="F422" s="21">
        <f t="shared" ca="1" si="47"/>
        <v>49187</v>
      </c>
      <c r="G422" s="22">
        <f ca="1">IFERROR(VLOOKUP(F422,RESULTADOS!$O$5:$P$543,2,FALSE),VLOOKUP(F422,$B$5:$C$724,2,FALSE))</f>
        <v>0</v>
      </c>
      <c r="H422" s="4">
        <f ca="1">IF(F422&lt;PREMISSAS!$D$7,0,IFERROR(VLOOKUP(IF(LEFT(F422,2)="13",DATE(YEAR(F421),12,31),F422),IPCA!$A$3:$D$284,4,FALSE),1)*G422)</f>
        <v>0</v>
      </c>
      <c r="J422" s="21">
        <f t="shared" ca="1" si="42"/>
        <v>49187</v>
      </c>
      <c r="K422" s="4">
        <f t="shared" ca="1" si="43"/>
        <v>0</v>
      </c>
      <c r="M422" s="21">
        <f t="shared" ca="1" si="48"/>
        <v>49187</v>
      </c>
      <c r="N422" s="37">
        <f t="shared" ca="1" si="44"/>
        <v>0</v>
      </c>
      <c r="O422" s="4">
        <f ca="1">IFERROR(AVERAGEIF(N$5:$N422,"&gt;="&amp;_xlfn.PERCENTILE.EXC(N$5:$N422,0.2)),0)</f>
        <v>0</v>
      </c>
      <c r="Q422" s="21">
        <f t="shared" ca="1" si="45"/>
        <v>49187</v>
      </c>
      <c r="R422" s="4">
        <f ca="1">MIN(O422,PREMISSAS!$C$13)</f>
        <v>0</v>
      </c>
      <c r="S422" s="240"/>
      <c r="T422" s="240"/>
    </row>
    <row r="423" spans="2:20" x14ac:dyDescent="0.25">
      <c r="B423" s="21" t="str">
        <f t="shared" ca="1" si="46"/>
        <v/>
      </c>
      <c r="C423" s="22" t="str">
        <f ca="1">IF(B423="","",IF(LEFT(B423,2)="13",C422,IF(MONTH(B423)=1,C422*(1+PREMISSAS!$C$57),C422)))</f>
        <v/>
      </c>
      <c r="E423" s="18">
        <v>419</v>
      </c>
      <c r="F423" s="21">
        <f t="shared" ca="1" si="47"/>
        <v>49217</v>
      </c>
      <c r="G423" s="22">
        <f ca="1">IFERROR(VLOOKUP(F423,RESULTADOS!$O$5:$P$543,2,FALSE),VLOOKUP(F423,$B$5:$C$724,2,FALSE))</f>
        <v>0</v>
      </c>
      <c r="H423" s="4">
        <f ca="1">IF(F423&lt;PREMISSAS!$D$7,0,IFERROR(VLOOKUP(IF(LEFT(F423,2)="13",DATE(YEAR(F422),12,31),F423),IPCA!$A$3:$D$284,4,FALSE),1)*G423)</f>
        <v>0</v>
      </c>
      <c r="J423" s="21">
        <f t="shared" ca="1" si="42"/>
        <v>49217</v>
      </c>
      <c r="K423" s="4">
        <f t="shared" ca="1" si="43"/>
        <v>0</v>
      </c>
      <c r="M423" s="21">
        <f t="shared" ca="1" si="48"/>
        <v>49217</v>
      </c>
      <c r="N423" s="37">
        <f t="shared" ca="1" si="44"/>
        <v>0</v>
      </c>
      <c r="O423" s="4">
        <f ca="1">IFERROR(AVERAGEIF(N$5:$N423,"&gt;="&amp;_xlfn.PERCENTILE.EXC(N$5:$N423,0.2)),0)</f>
        <v>0</v>
      </c>
      <c r="Q423" s="21">
        <f t="shared" ca="1" si="45"/>
        <v>49217</v>
      </c>
      <c r="R423" s="4">
        <f ca="1">MIN(O423,PREMISSAS!$C$13)</f>
        <v>0</v>
      </c>
      <c r="S423" s="240"/>
      <c r="T423" s="240"/>
    </row>
    <row r="424" spans="2:20" x14ac:dyDescent="0.25">
      <c r="B424" s="21" t="str">
        <f t="shared" ca="1" si="46"/>
        <v/>
      </c>
      <c r="C424" s="22" t="str">
        <f ca="1">IF(B424="","",IF(LEFT(B424,2)="13",C423,IF(MONTH(B424)=1,C423*(1+PREMISSAS!$C$57),C423)))</f>
        <v/>
      </c>
      <c r="E424" s="18">
        <v>420</v>
      </c>
      <c r="F424" s="21">
        <f t="shared" ca="1" si="47"/>
        <v>49248</v>
      </c>
      <c r="G424" s="22">
        <f ca="1">IFERROR(VLOOKUP(F424,RESULTADOS!$O$5:$P$543,2,FALSE),VLOOKUP(F424,$B$5:$C$724,2,FALSE))</f>
        <v>0</v>
      </c>
      <c r="H424" s="4">
        <f ca="1">IF(F424&lt;PREMISSAS!$D$7,0,IFERROR(VLOOKUP(IF(LEFT(F424,2)="13",DATE(YEAR(F423),12,31),F424),IPCA!$A$3:$D$284,4,FALSE),1)*G424)</f>
        <v>0</v>
      </c>
      <c r="J424" s="21">
        <f t="shared" ca="1" si="42"/>
        <v>49248</v>
      </c>
      <c r="K424" s="4">
        <f t="shared" ca="1" si="43"/>
        <v>0</v>
      </c>
      <c r="M424" s="21">
        <f t="shared" ca="1" si="48"/>
        <v>49248</v>
      </c>
      <c r="N424" s="37">
        <f t="shared" ca="1" si="44"/>
        <v>0</v>
      </c>
      <c r="O424" s="4">
        <f ca="1">IFERROR(AVERAGEIF(N$5:$N424,"&gt;="&amp;_xlfn.PERCENTILE.EXC(N$5:$N424,0.2)),0)</f>
        <v>0</v>
      </c>
      <c r="Q424" s="21">
        <f t="shared" ca="1" si="45"/>
        <v>49248</v>
      </c>
      <c r="R424" s="4">
        <f ca="1">MIN(O424,PREMISSAS!$C$13)</f>
        <v>0</v>
      </c>
      <c r="S424" s="240"/>
      <c r="T424" s="240"/>
    </row>
    <row r="425" spans="2:20" x14ac:dyDescent="0.25">
      <c r="B425" s="21" t="str">
        <f t="shared" ca="1" si="46"/>
        <v/>
      </c>
      <c r="C425" s="22" t="str">
        <f ca="1">IF(B425="","",IF(LEFT(B425,2)="13",C424,IF(MONTH(B425)=1,C424*(1+PREMISSAS!$C$57),C424)))</f>
        <v/>
      </c>
      <c r="E425" s="18">
        <v>421</v>
      </c>
      <c r="F425" s="21">
        <f t="shared" ca="1" si="47"/>
        <v>49278</v>
      </c>
      <c r="G425" s="22">
        <f ca="1">IFERROR(VLOOKUP(F425,RESULTADOS!$O$5:$P$543,2,FALSE),VLOOKUP(F425,$B$5:$C$724,2,FALSE))</f>
        <v>0</v>
      </c>
      <c r="H425" s="4">
        <f ca="1">IF(F425&lt;PREMISSAS!$D$7,0,IFERROR(VLOOKUP(IF(LEFT(F425,2)="13",DATE(YEAR(F424),12,31),F425),IPCA!$A$3:$D$284,4,FALSE),1)*G425)</f>
        <v>0</v>
      </c>
      <c r="J425" s="21">
        <f t="shared" ca="1" si="42"/>
        <v>49278</v>
      </c>
      <c r="K425" s="4">
        <f t="shared" ca="1" si="43"/>
        <v>0</v>
      </c>
      <c r="M425" s="21">
        <f t="shared" ca="1" si="48"/>
        <v>49278</v>
      </c>
      <c r="N425" s="37">
        <f t="shared" ca="1" si="44"/>
        <v>0</v>
      </c>
      <c r="O425" s="4">
        <f ca="1">IFERROR(AVERAGEIF(N$5:$N425,"&gt;="&amp;_xlfn.PERCENTILE.EXC(N$5:$N425,0.2)),0)</f>
        <v>0</v>
      </c>
      <c r="Q425" s="21">
        <f t="shared" ca="1" si="45"/>
        <v>49278</v>
      </c>
      <c r="R425" s="4">
        <f ca="1">MIN(O425,PREMISSAS!$C$13)</f>
        <v>0</v>
      </c>
      <c r="S425" s="240"/>
      <c r="T425" s="240"/>
    </row>
    <row r="426" spans="2:20" x14ac:dyDescent="0.25">
      <c r="B426" s="21" t="str">
        <f t="shared" ca="1" si="46"/>
        <v/>
      </c>
      <c r="C426" s="22" t="str">
        <f ca="1">IF(B426="","",IF(LEFT(B426,2)="13",C425,IF(MONTH(B426)=1,C425*(1+PREMISSAS!$C$57),C425)))</f>
        <v/>
      </c>
      <c r="E426" s="18">
        <v>422</v>
      </c>
      <c r="F426" s="21" t="str">
        <f t="shared" ca="1" si="47"/>
        <v>13º 2034</v>
      </c>
      <c r="G426" s="22">
        <f ca="1">IFERROR(VLOOKUP(F426,RESULTADOS!$O$5:$P$543,2,FALSE),VLOOKUP(F426,$B$5:$C$724,2,FALSE))</f>
        <v>0</v>
      </c>
      <c r="H426" s="4">
        <f ca="1">IF(F426&lt;PREMISSAS!$D$7,0,IFERROR(VLOOKUP(IF(LEFT(F426,2)="13",DATE(YEAR(F425),12,31),F426),IPCA!$A$3:$D$284,4,FALSE),1)*G426)</f>
        <v>0</v>
      </c>
      <c r="J426" s="21" t="str">
        <f t="shared" ca="1" si="42"/>
        <v>13º 2034</v>
      </c>
      <c r="K426" s="4">
        <f t="shared" ca="1" si="43"/>
        <v>0</v>
      </c>
      <c r="M426" s="21" t="str">
        <f t="shared" ca="1" si="48"/>
        <v>13º 2034</v>
      </c>
      <c r="N426" s="37">
        <f t="shared" ca="1" si="44"/>
        <v>0</v>
      </c>
      <c r="O426" s="4">
        <f ca="1">IFERROR(AVERAGEIF(N$5:$N426,"&gt;="&amp;_xlfn.PERCENTILE.EXC(N$5:$N426,0.2)),0)</f>
        <v>0</v>
      </c>
      <c r="Q426" s="21" t="str">
        <f t="shared" ca="1" si="45"/>
        <v>13º 2034</v>
      </c>
      <c r="R426" s="4">
        <f ca="1">MIN(O426,PREMISSAS!$C$13)</f>
        <v>0</v>
      </c>
      <c r="S426" s="240"/>
      <c r="T426" s="240"/>
    </row>
    <row r="427" spans="2:20" x14ac:dyDescent="0.25">
      <c r="B427" s="21" t="str">
        <f t="shared" ca="1" si="46"/>
        <v/>
      </c>
      <c r="C427" s="22" t="str">
        <f ca="1">IF(B427="","",IF(LEFT(B427,2)="13",C426,IF(MONTH(B427)=1,C426*(1+PREMISSAS!$C$57),C426)))</f>
        <v/>
      </c>
      <c r="E427" s="18">
        <v>423</v>
      </c>
      <c r="F427" s="21">
        <f t="shared" ca="1" si="47"/>
        <v>49309</v>
      </c>
      <c r="G427" s="22">
        <f ca="1">IFERROR(VLOOKUP(F427,RESULTADOS!$O$5:$P$543,2,FALSE),VLOOKUP(F427,$B$5:$C$724,2,FALSE))</f>
        <v>0</v>
      </c>
      <c r="H427" s="4">
        <f ca="1">IF(F427&lt;PREMISSAS!$D$7,0,IFERROR(VLOOKUP(IF(LEFT(F427,2)="13",DATE(YEAR(F426),12,31),F427),IPCA!$A$3:$D$284,4,FALSE),1)*G427)</f>
        <v>0</v>
      </c>
      <c r="J427" s="21">
        <f t="shared" ca="1" si="42"/>
        <v>49309</v>
      </c>
      <c r="K427" s="4">
        <f t="shared" ca="1" si="43"/>
        <v>0</v>
      </c>
      <c r="M427" s="21">
        <f t="shared" ca="1" si="48"/>
        <v>49309</v>
      </c>
      <c r="N427" s="37">
        <f t="shared" ca="1" si="44"/>
        <v>0</v>
      </c>
      <c r="O427" s="4">
        <f ca="1">IFERROR(AVERAGEIF(N$5:$N427,"&gt;="&amp;_xlfn.PERCENTILE.EXC(N$5:$N427,0.2)),0)</f>
        <v>0</v>
      </c>
      <c r="Q427" s="21">
        <f t="shared" ca="1" si="45"/>
        <v>49309</v>
      </c>
      <c r="R427" s="4">
        <f ca="1">MIN(O427,PREMISSAS!$C$13)</f>
        <v>0</v>
      </c>
      <c r="S427" s="240"/>
      <c r="T427" s="240"/>
    </row>
    <row r="428" spans="2:20" x14ac:dyDescent="0.25">
      <c r="B428" s="21" t="str">
        <f t="shared" ca="1" si="46"/>
        <v/>
      </c>
      <c r="C428" s="22" t="str">
        <f ca="1">IF(B428="","",IF(LEFT(B428,2)="13",C427,IF(MONTH(B428)=1,C427*(1+PREMISSAS!$C$57),C427)))</f>
        <v/>
      </c>
      <c r="E428" s="18">
        <v>424</v>
      </c>
      <c r="F428" s="21">
        <f t="shared" ca="1" si="47"/>
        <v>49340</v>
      </c>
      <c r="G428" s="22">
        <f ca="1">IFERROR(VLOOKUP(F428,RESULTADOS!$O$5:$P$543,2,FALSE),VLOOKUP(F428,$B$5:$C$724,2,FALSE))</f>
        <v>0</v>
      </c>
      <c r="H428" s="4">
        <f ca="1">IF(F428&lt;PREMISSAS!$D$7,0,IFERROR(VLOOKUP(IF(LEFT(F428,2)="13",DATE(YEAR(F427),12,31),F428),IPCA!$A$3:$D$284,4,FALSE),1)*G428)</f>
        <v>0</v>
      </c>
      <c r="J428" s="21">
        <f t="shared" ca="1" si="42"/>
        <v>49340</v>
      </c>
      <c r="K428" s="4">
        <f t="shared" ca="1" si="43"/>
        <v>0</v>
      </c>
      <c r="M428" s="21">
        <f t="shared" ca="1" si="48"/>
        <v>49340</v>
      </c>
      <c r="N428" s="37">
        <f t="shared" ca="1" si="44"/>
        <v>0</v>
      </c>
      <c r="O428" s="4">
        <f ca="1">IFERROR(AVERAGEIF(N$5:$N428,"&gt;="&amp;_xlfn.PERCENTILE.EXC(N$5:$N428,0.2)),0)</f>
        <v>0</v>
      </c>
      <c r="Q428" s="21">
        <f t="shared" ca="1" si="45"/>
        <v>49340</v>
      </c>
      <c r="R428" s="4">
        <f ca="1">MIN(O428,PREMISSAS!$C$13)</f>
        <v>0</v>
      </c>
      <c r="S428" s="240"/>
      <c r="T428" s="240"/>
    </row>
    <row r="429" spans="2:20" x14ac:dyDescent="0.25">
      <c r="B429" s="21" t="str">
        <f t="shared" ca="1" si="46"/>
        <v/>
      </c>
      <c r="C429" s="22" t="str">
        <f ca="1">IF(B429="","",IF(LEFT(B429,2)="13",C428,IF(MONTH(B429)=1,C428*(1+PREMISSAS!$C$57),C428)))</f>
        <v/>
      </c>
      <c r="E429" s="18">
        <v>425</v>
      </c>
      <c r="F429" s="21">
        <f t="shared" ca="1" si="47"/>
        <v>49368</v>
      </c>
      <c r="G429" s="22">
        <f ca="1">IFERROR(VLOOKUP(F429,RESULTADOS!$O$5:$P$543,2,FALSE),VLOOKUP(F429,$B$5:$C$724,2,FALSE))</f>
        <v>0</v>
      </c>
      <c r="H429" s="4">
        <f ca="1">IF(F429&lt;PREMISSAS!$D$7,0,IFERROR(VLOOKUP(IF(LEFT(F429,2)="13",DATE(YEAR(F428),12,31),F429),IPCA!$A$3:$D$284,4,FALSE),1)*G429)</f>
        <v>0</v>
      </c>
      <c r="J429" s="21">
        <f t="shared" ca="1" si="42"/>
        <v>49368</v>
      </c>
      <c r="K429" s="4">
        <f t="shared" ca="1" si="43"/>
        <v>0</v>
      </c>
      <c r="M429" s="21">
        <f t="shared" ca="1" si="48"/>
        <v>49368</v>
      </c>
      <c r="N429" s="37">
        <f t="shared" ca="1" si="44"/>
        <v>0</v>
      </c>
      <c r="O429" s="4">
        <f ca="1">IFERROR(AVERAGEIF(N$5:$N429,"&gt;="&amp;_xlfn.PERCENTILE.EXC(N$5:$N429,0.2)),0)</f>
        <v>0</v>
      </c>
      <c r="Q429" s="21">
        <f t="shared" ca="1" si="45"/>
        <v>49368</v>
      </c>
      <c r="R429" s="4">
        <f ca="1">MIN(O429,PREMISSAS!$C$13)</f>
        <v>0</v>
      </c>
      <c r="S429" s="240"/>
      <c r="T429" s="240"/>
    </row>
    <row r="430" spans="2:20" x14ac:dyDescent="0.25">
      <c r="B430" s="21" t="str">
        <f t="shared" ca="1" si="46"/>
        <v/>
      </c>
      <c r="C430" s="22" t="str">
        <f ca="1">IF(B430="","",IF(LEFT(B430,2)="13",C429,IF(MONTH(B430)=1,C429*(1+PREMISSAS!$C$57),C429)))</f>
        <v/>
      </c>
      <c r="E430" s="18">
        <v>426</v>
      </c>
      <c r="F430" s="21">
        <f t="shared" ca="1" si="47"/>
        <v>49399</v>
      </c>
      <c r="G430" s="22">
        <f ca="1">IFERROR(VLOOKUP(F430,RESULTADOS!$O$5:$P$543,2,FALSE),VLOOKUP(F430,$B$5:$C$724,2,FALSE))</f>
        <v>0</v>
      </c>
      <c r="H430" s="4">
        <f ca="1">IF(F430&lt;PREMISSAS!$D$7,0,IFERROR(VLOOKUP(IF(LEFT(F430,2)="13",DATE(YEAR(F429),12,31),F430),IPCA!$A$3:$D$284,4,FALSE),1)*G430)</f>
        <v>0</v>
      </c>
      <c r="J430" s="21">
        <f t="shared" ca="1" si="42"/>
        <v>49399</v>
      </c>
      <c r="K430" s="4">
        <f t="shared" ca="1" si="43"/>
        <v>0</v>
      </c>
      <c r="M430" s="21">
        <f t="shared" ca="1" si="48"/>
        <v>49399</v>
      </c>
      <c r="N430" s="37">
        <f t="shared" ca="1" si="44"/>
        <v>0</v>
      </c>
      <c r="O430" s="4">
        <f ca="1">IFERROR(AVERAGEIF(N$5:$N430,"&gt;="&amp;_xlfn.PERCENTILE.EXC(N$5:$N430,0.2)),0)</f>
        <v>0</v>
      </c>
      <c r="Q430" s="21">
        <f t="shared" ca="1" si="45"/>
        <v>49399</v>
      </c>
      <c r="R430" s="4">
        <f ca="1">MIN(O430,PREMISSAS!$C$13)</f>
        <v>0</v>
      </c>
      <c r="S430" s="240"/>
      <c r="T430" s="240"/>
    </row>
    <row r="431" spans="2:20" x14ac:dyDescent="0.25">
      <c r="B431" s="21" t="str">
        <f t="shared" ca="1" si="46"/>
        <v/>
      </c>
      <c r="C431" s="22" t="str">
        <f ca="1">IF(B431="","",IF(LEFT(B431,2)="13",C430,IF(MONTH(B431)=1,C430*(1+PREMISSAS!$C$57),C430)))</f>
        <v/>
      </c>
      <c r="E431" s="18">
        <v>427</v>
      </c>
      <c r="F431" s="21">
        <f t="shared" ca="1" si="47"/>
        <v>49429</v>
      </c>
      <c r="G431" s="22">
        <f ca="1">IFERROR(VLOOKUP(F431,RESULTADOS!$O$5:$P$543,2,FALSE),VLOOKUP(F431,$B$5:$C$724,2,FALSE))</f>
        <v>0</v>
      </c>
      <c r="H431" s="4">
        <f ca="1">IF(F431&lt;PREMISSAS!$D$7,0,IFERROR(VLOOKUP(IF(LEFT(F431,2)="13",DATE(YEAR(F430),12,31),F431),IPCA!$A$3:$D$284,4,FALSE),1)*G431)</f>
        <v>0</v>
      </c>
      <c r="J431" s="21">
        <f t="shared" ca="1" si="42"/>
        <v>49429</v>
      </c>
      <c r="K431" s="4">
        <f t="shared" ca="1" si="43"/>
        <v>0</v>
      </c>
      <c r="M431" s="21">
        <f t="shared" ca="1" si="48"/>
        <v>49429</v>
      </c>
      <c r="N431" s="37">
        <f t="shared" ca="1" si="44"/>
        <v>0</v>
      </c>
      <c r="O431" s="4">
        <f ca="1">IFERROR(AVERAGEIF(N$5:$N431,"&gt;="&amp;_xlfn.PERCENTILE.EXC(N$5:$N431,0.2)),0)</f>
        <v>0</v>
      </c>
      <c r="Q431" s="21">
        <f t="shared" ca="1" si="45"/>
        <v>49429</v>
      </c>
      <c r="R431" s="4">
        <f ca="1">MIN(O431,PREMISSAS!$C$13)</f>
        <v>0</v>
      </c>
      <c r="S431" s="240"/>
      <c r="T431" s="240"/>
    </row>
    <row r="432" spans="2:20" x14ac:dyDescent="0.25">
      <c r="B432" s="21" t="str">
        <f t="shared" ca="1" si="46"/>
        <v/>
      </c>
      <c r="C432" s="22" t="str">
        <f ca="1">IF(B432="","",IF(LEFT(B432,2)="13",C431,IF(MONTH(B432)=1,C431*(1+PREMISSAS!$C$57),C431)))</f>
        <v/>
      </c>
      <c r="E432" s="18">
        <v>428</v>
      </c>
      <c r="F432" s="21">
        <f t="shared" ca="1" si="47"/>
        <v>49460</v>
      </c>
      <c r="G432" s="22">
        <f ca="1">IFERROR(VLOOKUP(F432,RESULTADOS!$O$5:$P$543,2,FALSE),VLOOKUP(F432,$B$5:$C$724,2,FALSE))</f>
        <v>0</v>
      </c>
      <c r="H432" s="4">
        <f ca="1">IF(F432&lt;PREMISSAS!$D$7,0,IFERROR(VLOOKUP(IF(LEFT(F432,2)="13",DATE(YEAR(F431),12,31),F432),IPCA!$A$3:$D$284,4,FALSE),1)*G432)</f>
        <v>0</v>
      </c>
      <c r="J432" s="21">
        <f t="shared" ca="1" si="42"/>
        <v>49460</v>
      </c>
      <c r="K432" s="4">
        <f t="shared" ca="1" si="43"/>
        <v>0</v>
      </c>
      <c r="M432" s="21">
        <f t="shared" ca="1" si="48"/>
        <v>49460</v>
      </c>
      <c r="N432" s="37">
        <f t="shared" ca="1" si="44"/>
        <v>0</v>
      </c>
      <c r="O432" s="4">
        <f ca="1">IFERROR(AVERAGEIF(N$5:$N432,"&gt;="&amp;_xlfn.PERCENTILE.EXC(N$5:$N432,0.2)),0)</f>
        <v>0</v>
      </c>
      <c r="Q432" s="21">
        <f t="shared" ca="1" si="45"/>
        <v>49460</v>
      </c>
      <c r="R432" s="4">
        <f ca="1">MIN(O432,PREMISSAS!$C$13)</f>
        <v>0</v>
      </c>
      <c r="S432" s="240"/>
      <c r="T432" s="240"/>
    </row>
    <row r="433" spans="2:20" x14ac:dyDescent="0.25">
      <c r="B433" s="21" t="str">
        <f t="shared" ca="1" si="46"/>
        <v/>
      </c>
      <c r="C433" s="22" t="str">
        <f ca="1">IF(B433="","",IF(LEFT(B433,2)="13",C432,IF(MONTH(B433)=1,C432*(1+PREMISSAS!$C$57),C432)))</f>
        <v/>
      </c>
      <c r="E433" s="18">
        <v>429</v>
      </c>
      <c r="F433" s="21">
        <f t="shared" ca="1" si="47"/>
        <v>49490</v>
      </c>
      <c r="G433" s="22">
        <f ca="1">IFERROR(VLOOKUP(F433,RESULTADOS!$O$5:$P$543,2,FALSE),VLOOKUP(F433,$B$5:$C$724,2,FALSE))</f>
        <v>0</v>
      </c>
      <c r="H433" s="4">
        <f ca="1">IF(F433&lt;PREMISSAS!$D$7,0,IFERROR(VLOOKUP(IF(LEFT(F433,2)="13",DATE(YEAR(F432),12,31),F433),IPCA!$A$3:$D$284,4,FALSE),1)*G433)</f>
        <v>0</v>
      </c>
      <c r="J433" s="21">
        <f t="shared" ca="1" si="42"/>
        <v>49490</v>
      </c>
      <c r="K433" s="4">
        <f t="shared" ca="1" si="43"/>
        <v>0</v>
      </c>
      <c r="M433" s="21">
        <f t="shared" ca="1" si="48"/>
        <v>49490</v>
      </c>
      <c r="N433" s="37">
        <f t="shared" ca="1" si="44"/>
        <v>0</v>
      </c>
      <c r="O433" s="4">
        <f ca="1">IFERROR(AVERAGEIF(N$5:$N433,"&gt;="&amp;_xlfn.PERCENTILE.EXC(N$5:$N433,0.2)),0)</f>
        <v>0</v>
      </c>
      <c r="Q433" s="21">
        <f t="shared" ca="1" si="45"/>
        <v>49490</v>
      </c>
      <c r="R433" s="4">
        <f ca="1">MIN(O433,PREMISSAS!$C$13)</f>
        <v>0</v>
      </c>
      <c r="S433" s="240"/>
      <c r="T433" s="240"/>
    </row>
    <row r="434" spans="2:20" x14ac:dyDescent="0.25">
      <c r="B434" s="21" t="str">
        <f t="shared" ca="1" si="46"/>
        <v/>
      </c>
      <c r="C434" s="22" t="str">
        <f ca="1">IF(B434="","",IF(LEFT(B434,2)="13",C433,IF(MONTH(B434)=1,C433*(1+PREMISSAS!$C$57),C433)))</f>
        <v/>
      </c>
      <c r="E434" s="18">
        <v>430</v>
      </c>
      <c r="F434" s="21">
        <f t="shared" ca="1" si="47"/>
        <v>49521</v>
      </c>
      <c r="G434" s="22">
        <f ca="1">IFERROR(VLOOKUP(F434,RESULTADOS!$O$5:$P$543,2,FALSE),VLOOKUP(F434,$B$5:$C$724,2,FALSE))</f>
        <v>0</v>
      </c>
      <c r="H434" s="4">
        <f ca="1">IF(F434&lt;PREMISSAS!$D$7,0,IFERROR(VLOOKUP(IF(LEFT(F434,2)="13",DATE(YEAR(F433),12,31),F434),IPCA!$A$3:$D$284,4,FALSE),1)*G434)</f>
        <v>0</v>
      </c>
      <c r="J434" s="21">
        <f t="shared" ca="1" si="42"/>
        <v>49521</v>
      </c>
      <c r="K434" s="4">
        <f t="shared" ca="1" si="43"/>
        <v>0</v>
      </c>
      <c r="M434" s="21">
        <f t="shared" ca="1" si="48"/>
        <v>49521</v>
      </c>
      <c r="N434" s="37">
        <f t="shared" ca="1" si="44"/>
        <v>0</v>
      </c>
      <c r="O434" s="4">
        <f ca="1">IFERROR(AVERAGEIF(N$5:$N434,"&gt;="&amp;_xlfn.PERCENTILE.EXC(N$5:$N434,0.2)),0)</f>
        <v>0</v>
      </c>
      <c r="Q434" s="21">
        <f t="shared" ca="1" si="45"/>
        <v>49521</v>
      </c>
      <c r="R434" s="4">
        <f ca="1">MIN(O434,PREMISSAS!$C$13)</f>
        <v>0</v>
      </c>
      <c r="S434" s="240"/>
      <c r="T434" s="240"/>
    </row>
    <row r="435" spans="2:20" x14ac:dyDescent="0.25">
      <c r="B435" s="21" t="str">
        <f t="shared" ca="1" si="46"/>
        <v/>
      </c>
      <c r="C435" s="22" t="str">
        <f ca="1">IF(B435="","",IF(LEFT(B435,2)="13",C434,IF(MONTH(B435)=1,C434*(1+PREMISSAS!$C$57),C434)))</f>
        <v/>
      </c>
      <c r="E435" s="18">
        <v>431</v>
      </c>
      <c r="F435" s="21">
        <f t="shared" ca="1" si="47"/>
        <v>49552</v>
      </c>
      <c r="G435" s="22">
        <f ca="1">IFERROR(VLOOKUP(F435,RESULTADOS!$O$5:$P$543,2,FALSE),VLOOKUP(F435,$B$5:$C$724,2,FALSE))</f>
        <v>0</v>
      </c>
      <c r="H435" s="4">
        <f ca="1">IF(F435&lt;PREMISSAS!$D$7,0,IFERROR(VLOOKUP(IF(LEFT(F435,2)="13",DATE(YEAR(F434),12,31),F435),IPCA!$A$3:$D$284,4,FALSE),1)*G435)</f>
        <v>0</v>
      </c>
      <c r="J435" s="21">
        <f t="shared" ca="1" si="42"/>
        <v>49552</v>
      </c>
      <c r="K435" s="4">
        <f t="shared" ca="1" si="43"/>
        <v>0</v>
      </c>
      <c r="M435" s="21">
        <f t="shared" ca="1" si="48"/>
        <v>49552</v>
      </c>
      <c r="N435" s="37">
        <f t="shared" ca="1" si="44"/>
        <v>0</v>
      </c>
      <c r="O435" s="4">
        <f ca="1">IFERROR(AVERAGEIF(N$5:$N435,"&gt;="&amp;_xlfn.PERCENTILE.EXC(N$5:$N435,0.2)),0)</f>
        <v>0</v>
      </c>
      <c r="Q435" s="21">
        <f t="shared" ca="1" si="45"/>
        <v>49552</v>
      </c>
      <c r="R435" s="4">
        <f ca="1">MIN(O435,PREMISSAS!$C$13)</f>
        <v>0</v>
      </c>
      <c r="S435" s="240"/>
      <c r="T435" s="240"/>
    </row>
    <row r="436" spans="2:20" x14ac:dyDescent="0.25">
      <c r="B436" s="21" t="str">
        <f t="shared" ca="1" si="46"/>
        <v/>
      </c>
      <c r="C436" s="22" t="str">
        <f ca="1">IF(B436="","",IF(LEFT(B436,2)="13",C435,IF(MONTH(B436)=1,C435*(1+PREMISSAS!$C$57),C435)))</f>
        <v/>
      </c>
      <c r="E436" s="18">
        <v>432</v>
      </c>
      <c r="F436" s="21">
        <f t="shared" ca="1" si="47"/>
        <v>49582</v>
      </c>
      <c r="G436" s="22">
        <f ca="1">IFERROR(VLOOKUP(F436,RESULTADOS!$O$5:$P$543,2,FALSE),VLOOKUP(F436,$B$5:$C$724,2,FALSE))</f>
        <v>0</v>
      </c>
      <c r="H436" s="4">
        <f ca="1">IF(F436&lt;PREMISSAS!$D$7,0,IFERROR(VLOOKUP(IF(LEFT(F436,2)="13",DATE(YEAR(F435),12,31),F436),IPCA!$A$3:$D$284,4,FALSE),1)*G436)</f>
        <v>0</v>
      </c>
      <c r="J436" s="21">
        <f t="shared" ca="1" si="42"/>
        <v>49582</v>
      </c>
      <c r="K436" s="4">
        <f t="shared" ca="1" si="43"/>
        <v>0</v>
      </c>
      <c r="M436" s="21">
        <f t="shared" ca="1" si="48"/>
        <v>49582</v>
      </c>
      <c r="N436" s="37">
        <f t="shared" ca="1" si="44"/>
        <v>0</v>
      </c>
      <c r="O436" s="4">
        <f ca="1">IFERROR(AVERAGEIF(N$5:$N436,"&gt;="&amp;_xlfn.PERCENTILE.EXC(N$5:$N436,0.2)),0)</f>
        <v>0</v>
      </c>
      <c r="Q436" s="21">
        <f t="shared" ca="1" si="45"/>
        <v>49582</v>
      </c>
      <c r="R436" s="4">
        <f ca="1">MIN(O436,PREMISSAS!$C$13)</f>
        <v>0</v>
      </c>
      <c r="S436" s="240"/>
      <c r="T436" s="240"/>
    </row>
    <row r="437" spans="2:20" x14ac:dyDescent="0.25">
      <c r="B437" s="21" t="str">
        <f t="shared" ca="1" si="46"/>
        <v/>
      </c>
      <c r="C437" s="22" t="str">
        <f ca="1">IF(B437="","",IF(LEFT(B437,2)="13",C436,IF(MONTH(B437)=1,C436*(1+PREMISSAS!$C$57),C436)))</f>
        <v/>
      </c>
      <c r="E437" s="18">
        <v>433</v>
      </c>
      <c r="F437" s="21">
        <f t="shared" ca="1" si="47"/>
        <v>49613</v>
      </c>
      <c r="G437" s="22">
        <f ca="1">IFERROR(VLOOKUP(F437,RESULTADOS!$O$5:$P$543,2,FALSE),VLOOKUP(F437,$B$5:$C$724,2,FALSE))</f>
        <v>0</v>
      </c>
      <c r="H437" s="4">
        <f ca="1">IF(F437&lt;PREMISSAS!$D$7,0,IFERROR(VLOOKUP(IF(LEFT(F437,2)="13",DATE(YEAR(F436),12,31),F437),IPCA!$A$3:$D$284,4,FALSE),1)*G437)</f>
        <v>0</v>
      </c>
      <c r="J437" s="21">
        <f t="shared" ca="1" si="42"/>
        <v>49613</v>
      </c>
      <c r="K437" s="4">
        <f t="shared" ca="1" si="43"/>
        <v>0</v>
      </c>
      <c r="M437" s="21">
        <f t="shared" ca="1" si="48"/>
        <v>49613</v>
      </c>
      <c r="N437" s="37">
        <f t="shared" ca="1" si="44"/>
        <v>0</v>
      </c>
      <c r="O437" s="4">
        <f ca="1">IFERROR(AVERAGEIF(N$5:$N437,"&gt;="&amp;_xlfn.PERCENTILE.EXC(N$5:$N437,0.2)),0)</f>
        <v>0</v>
      </c>
      <c r="Q437" s="21">
        <f t="shared" ca="1" si="45"/>
        <v>49613</v>
      </c>
      <c r="R437" s="4">
        <f ca="1">MIN(O437,PREMISSAS!$C$13)</f>
        <v>0</v>
      </c>
      <c r="S437" s="240"/>
      <c r="T437" s="240"/>
    </row>
    <row r="438" spans="2:20" x14ac:dyDescent="0.25">
      <c r="B438" s="21" t="str">
        <f t="shared" ca="1" si="46"/>
        <v/>
      </c>
      <c r="C438" s="22" t="str">
        <f ca="1">IF(B438="","",IF(LEFT(B438,2)="13",C437,IF(MONTH(B438)=1,C437*(1+PREMISSAS!$C$57),C437)))</f>
        <v/>
      </c>
      <c r="E438" s="18">
        <v>434</v>
      </c>
      <c r="F438" s="21">
        <f t="shared" ca="1" si="47"/>
        <v>49643</v>
      </c>
      <c r="G438" s="22">
        <f ca="1">IFERROR(VLOOKUP(F438,RESULTADOS!$O$5:$P$543,2,FALSE),VLOOKUP(F438,$B$5:$C$724,2,FALSE))</f>
        <v>0</v>
      </c>
      <c r="H438" s="4">
        <f ca="1">IF(F438&lt;PREMISSAS!$D$7,0,IFERROR(VLOOKUP(IF(LEFT(F438,2)="13",DATE(YEAR(F437),12,31),F438),IPCA!$A$3:$D$284,4,FALSE),1)*G438)</f>
        <v>0</v>
      </c>
      <c r="J438" s="21">
        <f t="shared" ca="1" si="42"/>
        <v>49643</v>
      </c>
      <c r="K438" s="4">
        <f t="shared" ca="1" si="43"/>
        <v>0</v>
      </c>
      <c r="M438" s="21">
        <f t="shared" ca="1" si="48"/>
        <v>49643</v>
      </c>
      <c r="N438" s="37">
        <f t="shared" ca="1" si="44"/>
        <v>0</v>
      </c>
      <c r="O438" s="4">
        <f ca="1">IFERROR(AVERAGEIF(N$5:$N438,"&gt;="&amp;_xlfn.PERCENTILE.EXC(N$5:$N438,0.2)),0)</f>
        <v>0</v>
      </c>
      <c r="Q438" s="21">
        <f t="shared" ca="1" si="45"/>
        <v>49643</v>
      </c>
      <c r="R438" s="4">
        <f ca="1">MIN(O438,PREMISSAS!$C$13)</f>
        <v>0</v>
      </c>
      <c r="S438" s="240"/>
      <c r="T438" s="240"/>
    </row>
    <row r="439" spans="2:20" x14ac:dyDescent="0.25">
      <c r="B439" s="21" t="str">
        <f t="shared" ca="1" si="46"/>
        <v/>
      </c>
      <c r="C439" s="22" t="str">
        <f ca="1">IF(B439="","",IF(LEFT(B439,2)="13",C438,IF(MONTH(B439)=1,C438*(1+PREMISSAS!$C$57),C438)))</f>
        <v/>
      </c>
      <c r="E439" s="18">
        <v>435</v>
      </c>
      <c r="F439" s="21" t="str">
        <f t="shared" ca="1" si="47"/>
        <v>13º 2035</v>
      </c>
      <c r="G439" s="22">
        <f ca="1">IFERROR(VLOOKUP(F439,RESULTADOS!$O$5:$P$543,2,FALSE),VLOOKUP(F439,$B$5:$C$724,2,FALSE))</f>
        <v>0</v>
      </c>
      <c r="H439" s="4">
        <f ca="1">IF(F439&lt;PREMISSAS!$D$7,0,IFERROR(VLOOKUP(IF(LEFT(F439,2)="13",DATE(YEAR(F438),12,31),F439),IPCA!$A$3:$D$284,4,FALSE),1)*G439)</f>
        <v>0</v>
      </c>
      <c r="J439" s="21" t="str">
        <f t="shared" ca="1" si="42"/>
        <v>13º 2035</v>
      </c>
      <c r="K439" s="4">
        <f t="shared" ca="1" si="43"/>
        <v>0</v>
      </c>
      <c r="M439" s="21" t="str">
        <f t="shared" ca="1" si="48"/>
        <v>13º 2035</v>
      </c>
      <c r="N439" s="37">
        <f t="shared" ca="1" si="44"/>
        <v>0</v>
      </c>
      <c r="O439" s="4">
        <f ca="1">IFERROR(AVERAGEIF(N$5:$N439,"&gt;="&amp;_xlfn.PERCENTILE.EXC(N$5:$N439,0.2)),0)</f>
        <v>0</v>
      </c>
      <c r="Q439" s="21" t="str">
        <f t="shared" ca="1" si="45"/>
        <v>13º 2035</v>
      </c>
      <c r="R439" s="4">
        <f ca="1">MIN(O439,PREMISSAS!$C$13)</f>
        <v>0</v>
      </c>
      <c r="S439" s="240"/>
      <c r="T439" s="240"/>
    </row>
    <row r="440" spans="2:20" x14ac:dyDescent="0.25">
      <c r="B440" s="21" t="str">
        <f t="shared" ca="1" si="46"/>
        <v/>
      </c>
      <c r="C440" s="22" t="str">
        <f ca="1">IF(B440="","",IF(LEFT(B440,2)="13",C439,IF(MONTH(B440)=1,C439*(1+PREMISSAS!$C$57),C439)))</f>
        <v/>
      </c>
      <c r="E440" s="18">
        <v>436</v>
      </c>
      <c r="F440" s="21">
        <f t="shared" ca="1" si="47"/>
        <v>49674</v>
      </c>
      <c r="G440" s="22">
        <f ca="1">IFERROR(VLOOKUP(F440,RESULTADOS!$O$5:$P$543,2,FALSE),VLOOKUP(F440,$B$5:$C$724,2,FALSE))</f>
        <v>0</v>
      </c>
      <c r="H440" s="4">
        <f ca="1">IF(F440&lt;PREMISSAS!$D$7,0,IFERROR(VLOOKUP(IF(LEFT(F440,2)="13",DATE(YEAR(F439),12,31),F440),IPCA!$A$3:$D$284,4,FALSE),1)*G440)</f>
        <v>0</v>
      </c>
      <c r="J440" s="21">
        <f t="shared" ca="1" si="42"/>
        <v>49674</v>
      </c>
      <c r="K440" s="4">
        <f t="shared" ca="1" si="43"/>
        <v>0</v>
      </c>
      <c r="M440" s="21">
        <f t="shared" ca="1" si="48"/>
        <v>49674</v>
      </c>
      <c r="N440" s="37">
        <f t="shared" ca="1" si="44"/>
        <v>0</v>
      </c>
      <c r="O440" s="4">
        <f ca="1">IFERROR(AVERAGEIF(N$5:$N440,"&gt;="&amp;_xlfn.PERCENTILE.EXC(N$5:$N440,0.2)),0)</f>
        <v>0</v>
      </c>
      <c r="Q440" s="21">
        <f t="shared" ca="1" si="45"/>
        <v>49674</v>
      </c>
      <c r="R440" s="4">
        <f ca="1">MIN(O440,PREMISSAS!$C$13)</f>
        <v>0</v>
      </c>
      <c r="S440" s="240"/>
      <c r="T440" s="240"/>
    </row>
    <row r="441" spans="2:20" x14ac:dyDescent="0.25">
      <c r="B441" s="21" t="str">
        <f t="shared" ca="1" si="46"/>
        <v/>
      </c>
      <c r="C441" s="22" t="str">
        <f ca="1">IF(B441="","",IF(LEFT(B441,2)="13",C440,IF(MONTH(B441)=1,C440*(1+PREMISSAS!$C$57),C440)))</f>
        <v/>
      </c>
      <c r="E441" s="18">
        <v>437</v>
      </c>
      <c r="F441" s="21">
        <f t="shared" ca="1" si="47"/>
        <v>49705</v>
      </c>
      <c r="G441" s="22">
        <f ca="1">IFERROR(VLOOKUP(F441,RESULTADOS!$O$5:$P$543,2,FALSE),VLOOKUP(F441,$B$5:$C$724,2,FALSE))</f>
        <v>0</v>
      </c>
      <c r="H441" s="4">
        <f ca="1">IF(F441&lt;PREMISSAS!$D$7,0,IFERROR(VLOOKUP(IF(LEFT(F441,2)="13",DATE(YEAR(F440),12,31),F441),IPCA!$A$3:$D$284,4,FALSE),1)*G441)</f>
        <v>0</v>
      </c>
      <c r="J441" s="21">
        <f t="shared" ca="1" si="42"/>
        <v>49705</v>
      </c>
      <c r="K441" s="4">
        <f t="shared" ca="1" si="43"/>
        <v>0</v>
      </c>
      <c r="M441" s="21">
        <f t="shared" ca="1" si="48"/>
        <v>49705</v>
      </c>
      <c r="N441" s="37">
        <f t="shared" ca="1" si="44"/>
        <v>0</v>
      </c>
      <c r="O441" s="4">
        <f ca="1">IFERROR(AVERAGEIF(N$5:$N441,"&gt;="&amp;_xlfn.PERCENTILE.EXC(N$5:$N441,0.2)),0)</f>
        <v>0</v>
      </c>
      <c r="Q441" s="21">
        <f t="shared" ca="1" si="45"/>
        <v>49705</v>
      </c>
      <c r="R441" s="4">
        <f ca="1">MIN(O441,PREMISSAS!$C$13)</f>
        <v>0</v>
      </c>
      <c r="S441" s="240"/>
      <c r="T441" s="240"/>
    </row>
    <row r="442" spans="2:20" x14ac:dyDescent="0.25">
      <c r="B442" s="21" t="str">
        <f t="shared" ca="1" si="46"/>
        <v/>
      </c>
      <c r="C442" s="22" t="str">
        <f ca="1">IF(B442="","",IF(LEFT(B442,2)="13",C441,IF(MONTH(B442)=1,C441*(1+PREMISSAS!$C$57),C441)))</f>
        <v/>
      </c>
      <c r="E442" s="18">
        <v>438</v>
      </c>
      <c r="F442" s="21">
        <f t="shared" ca="1" si="47"/>
        <v>49734</v>
      </c>
      <c r="G442" s="22">
        <f ca="1">IFERROR(VLOOKUP(F442,RESULTADOS!$O$5:$P$543,2,FALSE),VLOOKUP(F442,$B$5:$C$724,2,FALSE))</f>
        <v>0</v>
      </c>
      <c r="H442" s="4">
        <f ca="1">IF(F442&lt;PREMISSAS!$D$7,0,IFERROR(VLOOKUP(IF(LEFT(F442,2)="13",DATE(YEAR(F441),12,31),F442),IPCA!$A$3:$D$284,4,FALSE),1)*G442)</f>
        <v>0</v>
      </c>
      <c r="J442" s="21">
        <f t="shared" ca="1" si="42"/>
        <v>49734</v>
      </c>
      <c r="K442" s="4">
        <f t="shared" ca="1" si="43"/>
        <v>0</v>
      </c>
      <c r="M442" s="21">
        <f t="shared" ca="1" si="48"/>
        <v>49734</v>
      </c>
      <c r="N442" s="37">
        <f t="shared" ca="1" si="44"/>
        <v>0</v>
      </c>
      <c r="O442" s="4">
        <f ca="1">IFERROR(AVERAGEIF(N$5:$N442,"&gt;="&amp;_xlfn.PERCENTILE.EXC(N$5:$N442,0.2)),0)</f>
        <v>0</v>
      </c>
      <c r="Q442" s="21">
        <f t="shared" ca="1" si="45"/>
        <v>49734</v>
      </c>
      <c r="R442" s="4">
        <f ca="1">MIN(O442,PREMISSAS!$C$13)</f>
        <v>0</v>
      </c>
      <c r="S442" s="240"/>
      <c r="T442" s="240"/>
    </row>
    <row r="443" spans="2:20" x14ac:dyDescent="0.25">
      <c r="B443" s="21" t="str">
        <f t="shared" ca="1" si="46"/>
        <v/>
      </c>
      <c r="C443" s="22" t="str">
        <f ca="1">IF(B443="","",IF(LEFT(B443,2)="13",C442,IF(MONTH(B443)=1,C442*(1+PREMISSAS!$C$57),C442)))</f>
        <v/>
      </c>
      <c r="E443" s="18">
        <v>439</v>
      </c>
      <c r="F443" s="21">
        <f t="shared" ca="1" si="47"/>
        <v>49765</v>
      </c>
      <c r="G443" s="22">
        <f ca="1">IFERROR(VLOOKUP(F443,RESULTADOS!$O$5:$P$543,2,FALSE),VLOOKUP(F443,$B$5:$C$724,2,FALSE))</f>
        <v>0</v>
      </c>
      <c r="H443" s="4">
        <f ca="1">IF(F443&lt;PREMISSAS!$D$7,0,IFERROR(VLOOKUP(IF(LEFT(F443,2)="13",DATE(YEAR(F442),12,31),F443),IPCA!$A$3:$D$284,4,FALSE),1)*G443)</f>
        <v>0</v>
      </c>
      <c r="J443" s="21">
        <f t="shared" ca="1" si="42"/>
        <v>49765</v>
      </c>
      <c r="K443" s="4">
        <f t="shared" ca="1" si="43"/>
        <v>0</v>
      </c>
      <c r="M443" s="21">
        <f t="shared" ca="1" si="48"/>
        <v>49765</v>
      </c>
      <c r="N443" s="37">
        <f t="shared" ca="1" si="44"/>
        <v>0</v>
      </c>
      <c r="O443" s="4">
        <f ca="1">IFERROR(AVERAGEIF(N$5:$N443,"&gt;="&amp;_xlfn.PERCENTILE.EXC(N$5:$N443,0.2)),0)</f>
        <v>0</v>
      </c>
      <c r="Q443" s="21">
        <f t="shared" ca="1" si="45"/>
        <v>49765</v>
      </c>
      <c r="R443" s="4">
        <f ca="1">MIN(O443,PREMISSAS!$C$13)</f>
        <v>0</v>
      </c>
      <c r="S443" s="240"/>
      <c r="T443" s="240"/>
    </row>
    <row r="444" spans="2:20" x14ac:dyDescent="0.25">
      <c r="B444" s="21" t="str">
        <f t="shared" ca="1" si="46"/>
        <v/>
      </c>
      <c r="C444" s="22" t="str">
        <f ca="1">IF(B444="","",IF(LEFT(B444,2)="13",C443,IF(MONTH(B444)=1,C443*(1+PREMISSAS!$C$57),C443)))</f>
        <v/>
      </c>
      <c r="E444" s="18">
        <v>440</v>
      </c>
      <c r="F444" s="21">
        <f t="shared" ca="1" si="47"/>
        <v>49795</v>
      </c>
      <c r="G444" s="22">
        <f ca="1">IFERROR(VLOOKUP(F444,RESULTADOS!$O$5:$P$543,2,FALSE),VLOOKUP(F444,$B$5:$C$724,2,FALSE))</f>
        <v>0</v>
      </c>
      <c r="H444" s="4">
        <f ca="1">IF(F444&lt;PREMISSAS!$D$7,0,IFERROR(VLOOKUP(IF(LEFT(F444,2)="13",DATE(YEAR(F443),12,31),F444),IPCA!$A$3:$D$284,4,FALSE),1)*G444)</f>
        <v>0</v>
      </c>
      <c r="J444" s="21">
        <f t="shared" ca="1" si="42"/>
        <v>49795</v>
      </c>
      <c r="K444" s="4">
        <f t="shared" ca="1" si="43"/>
        <v>0</v>
      </c>
      <c r="M444" s="21">
        <f t="shared" ca="1" si="48"/>
        <v>49795</v>
      </c>
      <c r="N444" s="37">
        <f t="shared" ca="1" si="44"/>
        <v>0</v>
      </c>
      <c r="O444" s="4">
        <f ca="1">IFERROR(AVERAGEIF(N$5:$N444,"&gt;="&amp;_xlfn.PERCENTILE.EXC(N$5:$N444,0.2)),0)</f>
        <v>0</v>
      </c>
      <c r="Q444" s="21">
        <f t="shared" ca="1" si="45"/>
        <v>49795</v>
      </c>
      <c r="R444" s="4">
        <f ca="1">MIN(O444,PREMISSAS!$C$13)</f>
        <v>0</v>
      </c>
      <c r="S444" s="240"/>
      <c r="T444" s="240"/>
    </row>
    <row r="445" spans="2:20" x14ac:dyDescent="0.25">
      <c r="B445" s="21" t="str">
        <f t="shared" ca="1" si="46"/>
        <v/>
      </c>
      <c r="C445" s="22" t="str">
        <f ca="1">IF(B445="","",IF(LEFT(B445,2)="13",C444,IF(MONTH(B445)=1,C444*(1+PREMISSAS!$C$57),C444)))</f>
        <v/>
      </c>
      <c r="E445" s="18">
        <v>441</v>
      </c>
      <c r="F445" s="21">
        <f t="shared" ca="1" si="47"/>
        <v>49826</v>
      </c>
      <c r="G445" s="22">
        <f ca="1">IFERROR(VLOOKUP(F445,RESULTADOS!$O$5:$P$543,2,FALSE),VLOOKUP(F445,$B$5:$C$724,2,FALSE))</f>
        <v>0</v>
      </c>
      <c r="H445" s="4">
        <f ca="1">IF(F445&lt;PREMISSAS!$D$7,0,IFERROR(VLOOKUP(IF(LEFT(F445,2)="13",DATE(YEAR(F444),12,31),F445),IPCA!$A$3:$D$284,4,FALSE),1)*G445)</f>
        <v>0</v>
      </c>
      <c r="J445" s="21">
        <f t="shared" ca="1" si="42"/>
        <v>49826</v>
      </c>
      <c r="K445" s="4">
        <f t="shared" ca="1" si="43"/>
        <v>0</v>
      </c>
      <c r="M445" s="21">
        <f t="shared" ca="1" si="48"/>
        <v>49826</v>
      </c>
      <c r="N445" s="37">
        <f t="shared" ca="1" si="44"/>
        <v>0</v>
      </c>
      <c r="O445" s="4">
        <f ca="1">IFERROR(AVERAGEIF(N$5:$N445,"&gt;="&amp;_xlfn.PERCENTILE.EXC(N$5:$N445,0.2)),0)</f>
        <v>0</v>
      </c>
      <c r="Q445" s="21">
        <f t="shared" ca="1" si="45"/>
        <v>49826</v>
      </c>
      <c r="R445" s="4">
        <f ca="1">MIN(O445,PREMISSAS!$C$13)</f>
        <v>0</v>
      </c>
      <c r="S445" s="240"/>
      <c r="T445" s="240"/>
    </row>
    <row r="446" spans="2:20" x14ac:dyDescent="0.25">
      <c r="B446" s="21" t="str">
        <f t="shared" ca="1" si="46"/>
        <v/>
      </c>
      <c r="C446" s="22" t="str">
        <f ca="1">IF(B446="","",IF(LEFT(B446,2)="13",C445,IF(MONTH(B446)=1,C445*(1+PREMISSAS!$C$57),C445)))</f>
        <v/>
      </c>
      <c r="E446" s="18">
        <v>442</v>
      </c>
      <c r="F446" s="21">
        <f t="shared" ca="1" si="47"/>
        <v>49856</v>
      </c>
      <c r="G446" s="22">
        <f ca="1">IFERROR(VLOOKUP(F446,RESULTADOS!$O$5:$P$543,2,FALSE),VLOOKUP(F446,$B$5:$C$724,2,FALSE))</f>
        <v>0</v>
      </c>
      <c r="H446" s="4">
        <f ca="1">IF(F446&lt;PREMISSAS!$D$7,0,IFERROR(VLOOKUP(IF(LEFT(F446,2)="13",DATE(YEAR(F445),12,31),F446),IPCA!$A$3:$D$284,4,FALSE),1)*G446)</f>
        <v>0</v>
      </c>
      <c r="J446" s="21">
        <f t="shared" ca="1" si="42"/>
        <v>49856</v>
      </c>
      <c r="K446" s="4">
        <f t="shared" ca="1" si="43"/>
        <v>0</v>
      </c>
      <c r="M446" s="21">
        <f t="shared" ca="1" si="48"/>
        <v>49856</v>
      </c>
      <c r="N446" s="37">
        <f t="shared" ca="1" si="44"/>
        <v>0</v>
      </c>
      <c r="O446" s="4">
        <f ca="1">IFERROR(AVERAGEIF(N$5:$N446,"&gt;="&amp;_xlfn.PERCENTILE.EXC(N$5:$N446,0.2)),0)</f>
        <v>0</v>
      </c>
      <c r="Q446" s="21">
        <f t="shared" ca="1" si="45"/>
        <v>49856</v>
      </c>
      <c r="R446" s="4">
        <f ca="1">MIN(O446,PREMISSAS!$C$13)</f>
        <v>0</v>
      </c>
      <c r="S446" s="240"/>
      <c r="T446" s="240"/>
    </row>
    <row r="447" spans="2:20" x14ac:dyDescent="0.25">
      <c r="B447" s="21" t="str">
        <f t="shared" ca="1" si="46"/>
        <v/>
      </c>
      <c r="C447" s="22" t="str">
        <f ca="1">IF(B447="","",IF(LEFT(B447,2)="13",C446,IF(MONTH(B447)=1,C446*(1+PREMISSAS!$C$57),C446)))</f>
        <v/>
      </c>
      <c r="E447" s="18">
        <v>443</v>
      </c>
      <c r="F447" s="21">
        <f t="shared" ca="1" si="47"/>
        <v>49887</v>
      </c>
      <c r="G447" s="22">
        <f ca="1">IFERROR(VLOOKUP(F447,RESULTADOS!$O$5:$P$543,2,FALSE),VLOOKUP(F447,$B$5:$C$724,2,FALSE))</f>
        <v>0</v>
      </c>
      <c r="H447" s="4">
        <f ca="1">IF(F447&lt;PREMISSAS!$D$7,0,IFERROR(VLOOKUP(IF(LEFT(F447,2)="13",DATE(YEAR(F446),12,31),F447),IPCA!$A$3:$D$284,4,FALSE),1)*G447)</f>
        <v>0</v>
      </c>
      <c r="J447" s="21">
        <f t="shared" ca="1" si="42"/>
        <v>49887</v>
      </c>
      <c r="K447" s="4">
        <f t="shared" ca="1" si="43"/>
        <v>0</v>
      </c>
      <c r="M447" s="21">
        <f t="shared" ca="1" si="48"/>
        <v>49887</v>
      </c>
      <c r="N447" s="37">
        <f t="shared" ca="1" si="44"/>
        <v>0</v>
      </c>
      <c r="O447" s="4">
        <f ca="1">IFERROR(AVERAGEIF(N$5:$N447,"&gt;="&amp;_xlfn.PERCENTILE.EXC(N$5:$N447,0.2)),0)</f>
        <v>0</v>
      </c>
      <c r="Q447" s="21">
        <f t="shared" ca="1" si="45"/>
        <v>49887</v>
      </c>
      <c r="R447" s="4">
        <f ca="1">MIN(O447,PREMISSAS!$C$13)</f>
        <v>0</v>
      </c>
      <c r="S447" s="240"/>
      <c r="T447" s="240"/>
    </row>
    <row r="448" spans="2:20" x14ac:dyDescent="0.25">
      <c r="B448" s="21" t="str">
        <f t="shared" ca="1" si="46"/>
        <v/>
      </c>
      <c r="C448" s="22" t="str">
        <f ca="1">IF(B448="","",IF(LEFT(B448,2)="13",C447,IF(MONTH(B448)=1,C447*(1+PREMISSAS!$C$57),C447)))</f>
        <v/>
      </c>
      <c r="E448" s="18">
        <v>444</v>
      </c>
      <c r="F448" s="21">
        <f t="shared" ca="1" si="47"/>
        <v>49918</v>
      </c>
      <c r="G448" s="22">
        <f ca="1">IFERROR(VLOOKUP(F448,RESULTADOS!$O$5:$P$543,2,FALSE),VLOOKUP(F448,$B$5:$C$724,2,FALSE))</f>
        <v>0</v>
      </c>
      <c r="H448" s="4">
        <f ca="1">IF(F448&lt;PREMISSAS!$D$7,0,IFERROR(VLOOKUP(IF(LEFT(F448,2)="13",DATE(YEAR(F447),12,31),F448),IPCA!$A$3:$D$284,4,FALSE),1)*G448)</f>
        <v>0</v>
      </c>
      <c r="J448" s="21">
        <f t="shared" ca="1" si="42"/>
        <v>49918</v>
      </c>
      <c r="K448" s="4">
        <f t="shared" ca="1" si="43"/>
        <v>0</v>
      </c>
      <c r="M448" s="21">
        <f t="shared" ca="1" si="48"/>
        <v>49918</v>
      </c>
      <c r="N448" s="37">
        <f t="shared" ca="1" si="44"/>
        <v>0</v>
      </c>
      <c r="O448" s="4">
        <f ca="1">IFERROR(AVERAGEIF(N$5:$N448,"&gt;="&amp;_xlfn.PERCENTILE.EXC(N$5:$N448,0.2)),0)</f>
        <v>0</v>
      </c>
      <c r="Q448" s="21">
        <f t="shared" ca="1" si="45"/>
        <v>49918</v>
      </c>
      <c r="R448" s="4">
        <f ca="1">MIN(O448,PREMISSAS!$C$13)</f>
        <v>0</v>
      </c>
      <c r="S448" s="240"/>
      <c r="T448" s="240"/>
    </row>
    <row r="449" spans="2:20" x14ac:dyDescent="0.25">
      <c r="B449" s="21" t="str">
        <f t="shared" ca="1" si="46"/>
        <v/>
      </c>
      <c r="C449" s="22" t="str">
        <f ca="1">IF(B449="","",IF(LEFT(B449,2)="13",C448,IF(MONTH(B449)=1,C448*(1+PREMISSAS!$C$57),C448)))</f>
        <v/>
      </c>
      <c r="E449" s="18">
        <v>445</v>
      </c>
      <c r="F449" s="21">
        <f t="shared" ca="1" si="47"/>
        <v>49948</v>
      </c>
      <c r="G449" s="22">
        <f ca="1">IFERROR(VLOOKUP(F449,RESULTADOS!$O$5:$P$543,2,FALSE),VLOOKUP(F449,$B$5:$C$724,2,FALSE))</f>
        <v>0</v>
      </c>
      <c r="H449" s="4">
        <f ca="1">IF(F449&lt;PREMISSAS!$D$7,0,IFERROR(VLOOKUP(IF(LEFT(F449,2)="13",DATE(YEAR(F448),12,31),F449),IPCA!$A$3:$D$284,4,FALSE),1)*G449)</f>
        <v>0</v>
      </c>
      <c r="J449" s="21">
        <f t="shared" ca="1" si="42"/>
        <v>49948</v>
      </c>
      <c r="K449" s="4">
        <f t="shared" ca="1" si="43"/>
        <v>0</v>
      </c>
      <c r="M449" s="21">
        <f t="shared" ca="1" si="48"/>
        <v>49948</v>
      </c>
      <c r="N449" s="37">
        <f t="shared" ca="1" si="44"/>
        <v>0</v>
      </c>
      <c r="O449" s="4">
        <f ca="1">IFERROR(AVERAGEIF(N$5:$N449,"&gt;="&amp;_xlfn.PERCENTILE.EXC(N$5:$N449,0.2)),0)</f>
        <v>0</v>
      </c>
      <c r="Q449" s="21">
        <f t="shared" ca="1" si="45"/>
        <v>49948</v>
      </c>
      <c r="R449" s="4">
        <f ca="1">MIN(O449,PREMISSAS!$C$13)</f>
        <v>0</v>
      </c>
      <c r="S449" s="240"/>
      <c r="T449" s="240"/>
    </row>
    <row r="450" spans="2:20" x14ac:dyDescent="0.25">
      <c r="B450" s="21" t="str">
        <f t="shared" ca="1" si="46"/>
        <v/>
      </c>
      <c r="C450" s="22" t="str">
        <f ca="1">IF(B450="","",IF(LEFT(B450,2)="13",C449,IF(MONTH(B450)=1,C449*(1+PREMISSAS!$C$57),C449)))</f>
        <v/>
      </c>
      <c r="E450" s="18">
        <v>446</v>
      </c>
      <c r="F450" s="21">
        <f t="shared" ca="1" si="47"/>
        <v>49979</v>
      </c>
      <c r="G450" s="22">
        <f ca="1">IFERROR(VLOOKUP(F450,RESULTADOS!$O$5:$P$543,2,FALSE),VLOOKUP(F450,$B$5:$C$724,2,FALSE))</f>
        <v>0</v>
      </c>
      <c r="H450" s="4">
        <f ca="1">IF(F450&lt;PREMISSAS!$D$7,0,IFERROR(VLOOKUP(IF(LEFT(F450,2)="13",DATE(YEAR(F449),12,31),F450),IPCA!$A$3:$D$284,4,FALSE),1)*G450)</f>
        <v>0</v>
      </c>
      <c r="J450" s="21">
        <f t="shared" ca="1" si="42"/>
        <v>49979</v>
      </c>
      <c r="K450" s="4">
        <f t="shared" ca="1" si="43"/>
        <v>0</v>
      </c>
      <c r="M450" s="21">
        <f t="shared" ca="1" si="48"/>
        <v>49979</v>
      </c>
      <c r="N450" s="37">
        <f t="shared" ca="1" si="44"/>
        <v>0</v>
      </c>
      <c r="O450" s="4">
        <f ca="1">IFERROR(AVERAGEIF(N$5:$N450,"&gt;="&amp;_xlfn.PERCENTILE.EXC(N$5:$N450,0.2)),0)</f>
        <v>0</v>
      </c>
      <c r="Q450" s="21">
        <f t="shared" ca="1" si="45"/>
        <v>49979</v>
      </c>
      <c r="R450" s="4">
        <f ca="1">MIN(O450,PREMISSAS!$C$13)</f>
        <v>0</v>
      </c>
      <c r="S450" s="240"/>
      <c r="T450" s="240"/>
    </row>
    <row r="451" spans="2:20" x14ac:dyDescent="0.25">
      <c r="B451" s="21" t="str">
        <f t="shared" ca="1" si="46"/>
        <v/>
      </c>
      <c r="C451" s="22" t="str">
        <f ca="1">IF(B451="","",IF(LEFT(B451,2)="13",C450,IF(MONTH(B451)=1,C450*(1+PREMISSAS!$C$57),C450)))</f>
        <v/>
      </c>
      <c r="E451" s="18">
        <v>447</v>
      </c>
      <c r="F451" s="21">
        <f t="shared" ca="1" si="47"/>
        <v>50009</v>
      </c>
      <c r="G451" s="22">
        <f ca="1">IFERROR(VLOOKUP(F451,RESULTADOS!$O$5:$P$543,2,FALSE),VLOOKUP(F451,$B$5:$C$724,2,FALSE))</f>
        <v>0</v>
      </c>
      <c r="H451" s="4">
        <f ca="1">IF(F451&lt;PREMISSAS!$D$7,0,IFERROR(VLOOKUP(IF(LEFT(F451,2)="13",DATE(YEAR(F450),12,31),F451),IPCA!$A$3:$D$284,4,FALSE),1)*G451)</f>
        <v>0</v>
      </c>
      <c r="J451" s="21">
        <f t="shared" ca="1" si="42"/>
        <v>50009</v>
      </c>
      <c r="K451" s="4">
        <f t="shared" ca="1" si="43"/>
        <v>0</v>
      </c>
      <c r="M451" s="21">
        <f t="shared" ca="1" si="48"/>
        <v>50009</v>
      </c>
      <c r="N451" s="37">
        <f t="shared" ca="1" si="44"/>
        <v>0</v>
      </c>
      <c r="O451" s="4">
        <f ca="1">IFERROR(AVERAGEIF(N$5:$N451,"&gt;="&amp;_xlfn.PERCENTILE.EXC(N$5:$N451,0.2)),0)</f>
        <v>0</v>
      </c>
      <c r="Q451" s="21">
        <f t="shared" ca="1" si="45"/>
        <v>50009</v>
      </c>
      <c r="R451" s="4">
        <f ca="1">MIN(O451,PREMISSAS!$C$13)</f>
        <v>0</v>
      </c>
      <c r="S451" s="240"/>
      <c r="T451" s="240"/>
    </row>
    <row r="452" spans="2:20" x14ac:dyDescent="0.25">
      <c r="B452" s="21" t="str">
        <f t="shared" ca="1" si="46"/>
        <v/>
      </c>
      <c r="C452" s="22" t="str">
        <f ca="1">IF(B452="","",IF(LEFT(B452,2)="13",C451,IF(MONTH(B452)=1,C451*(1+PREMISSAS!$C$57),C451)))</f>
        <v/>
      </c>
      <c r="E452" s="18">
        <v>448</v>
      </c>
      <c r="F452" s="21" t="str">
        <f t="shared" ca="1" si="47"/>
        <v>13º 2036</v>
      </c>
      <c r="G452" s="22">
        <f ca="1">IFERROR(VLOOKUP(F452,RESULTADOS!$O$5:$P$543,2,FALSE),VLOOKUP(F452,$B$5:$C$724,2,FALSE))</f>
        <v>0</v>
      </c>
      <c r="H452" s="4">
        <f ca="1">IF(F452&lt;PREMISSAS!$D$7,0,IFERROR(VLOOKUP(IF(LEFT(F452,2)="13",DATE(YEAR(F451),12,31),F452),IPCA!$A$3:$D$284,4,FALSE),1)*G452)</f>
        <v>0</v>
      </c>
      <c r="J452" s="21" t="str">
        <f t="shared" ca="1" si="42"/>
        <v>13º 2036</v>
      </c>
      <c r="K452" s="4">
        <f t="shared" ca="1" si="43"/>
        <v>0</v>
      </c>
      <c r="M452" s="21" t="str">
        <f t="shared" ca="1" si="48"/>
        <v>13º 2036</v>
      </c>
      <c r="N452" s="37">
        <f t="shared" ca="1" si="44"/>
        <v>0</v>
      </c>
      <c r="O452" s="4">
        <f ca="1">IFERROR(AVERAGEIF(N$5:$N452,"&gt;="&amp;_xlfn.PERCENTILE.EXC(N$5:$N452,0.2)),0)</f>
        <v>0</v>
      </c>
      <c r="Q452" s="21" t="str">
        <f t="shared" ca="1" si="45"/>
        <v>13º 2036</v>
      </c>
      <c r="R452" s="4">
        <f ca="1">MIN(O452,PREMISSAS!$C$13)</f>
        <v>0</v>
      </c>
      <c r="S452" s="240"/>
      <c r="T452" s="240"/>
    </row>
    <row r="453" spans="2:20" x14ac:dyDescent="0.25">
      <c r="B453" s="21" t="str">
        <f t="shared" ca="1" si="46"/>
        <v/>
      </c>
      <c r="C453" s="22" t="str">
        <f ca="1">IF(B453="","",IF(LEFT(B453,2)="13",C452,IF(MONTH(B453)=1,C452*(1+PREMISSAS!$C$57),C452)))</f>
        <v/>
      </c>
      <c r="E453" s="18">
        <v>449</v>
      </c>
      <c r="F453" s="21">
        <f t="shared" ca="1" si="47"/>
        <v>50040</v>
      </c>
      <c r="G453" s="22">
        <f ca="1">IFERROR(VLOOKUP(F453,RESULTADOS!$O$5:$P$543,2,FALSE),VLOOKUP(F453,$B$5:$C$724,2,FALSE))</f>
        <v>0</v>
      </c>
      <c r="H453" s="4">
        <f ca="1">IF(F453&lt;PREMISSAS!$D$7,0,IFERROR(VLOOKUP(IF(LEFT(F453,2)="13",DATE(YEAR(F452),12,31),F453),IPCA!$A$3:$D$284,4,FALSE),1)*G453)</f>
        <v>0</v>
      </c>
      <c r="J453" s="21">
        <f t="shared" ref="J453:J516" ca="1" si="49">F453</f>
        <v>50040</v>
      </c>
      <c r="K453" s="4">
        <f t="shared" ref="K453:K516" ca="1" si="50">G453</f>
        <v>0</v>
      </c>
      <c r="M453" s="21">
        <f t="shared" ca="1" si="48"/>
        <v>50040</v>
      </c>
      <c r="N453" s="37">
        <f t="shared" ca="1" si="44"/>
        <v>0</v>
      </c>
      <c r="O453" s="4">
        <f ca="1">IFERROR(AVERAGEIF(N$5:$N453,"&gt;="&amp;_xlfn.PERCENTILE.EXC(N$5:$N453,0.2)),0)</f>
        <v>0</v>
      </c>
      <c r="Q453" s="21">
        <f t="shared" ca="1" si="45"/>
        <v>50040</v>
      </c>
      <c r="R453" s="4">
        <f ca="1">MIN(O453,PREMISSAS!$C$13)</f>
        <v>0</v>
      </c>
      <c r="S453" s="240"/>
      <c r="T453" s="240"/>
    </row>
    <row r="454" spans="2:20" x14ac:dyDescent="0.25">
      <c r="B454" s="21" t="str">
        <f t="shared" ca="1" si="46"/>
        <v/>
      </c>
      <c r="C454" s="22" t="str">
        <f ca="1">IF(B454="","",IF(LEFT(B454,2)="13",C453,IF(MONTH(B454)=1,C453*(1+PREMISSAS!$C$57),C453)))</f>
        <v/>
      </c>
      <c r="E454" s="18">
        <v>450</v>
      </c>
      <c r="F454" s="21">
        <f t="shared" ca="1" si="47"/>
        <v>50071</v>
      </c>
      <c r="G454" s="22">
        <f ca="1">IFERROR(VLOOKUP(F454,RESULTADOS!$O$5:$P$543,2,FALSE),VLOOKUP(F454,$B$5:$C$724,2,FALSE))</f>
        <v>0</v>
      </c>
      <c r="H454" s="4">
        <f ca="1">IF(F454&lt;PREMISSAS!$D$7,0,IFERROR(VLOOKUP(IF(LEFT(F454,2)="13",DATE(YEAR(F453),12,31),F454),IPCA!$A$3:$D$284,4,FALSE),1)*G454)</f>
        <v>0</v>
      </c>
      <c r="J454" s="21">
        <f t="shared" ca="1" si="49"/>
        <v>50071</v>
      </c>
      <c r="K454" s="4">
        <f t="shared" ca="1" si="50"/>
        <v>0</v>
      </c>
      <c r="M454" s="21">
        <f t="shared" ca="1" si="48"/>
        <v>50071</v>
      </c>
      <c r="N454" s="37">
        <f t="shared" ref="N454:N517" ca="1" si="51">IFERROR(VLOOKUP(M454,$F$5:$H$628,3,FALSE),0)</f>
        <v>0</v>
      </c>
      <c r="O454" s="4">
        <f ca="1">IFERROR(AVERAGEIF(N$5:$N454,"&gt;="&amp;_xlfn.PERCENTILE.EXC(N$5:$N454,0.2)),0)</f>
        <v>0</v>
      </c>
      <c r="Q454" s="21">
        <f t="shared" ref="Q454:Q517" ca="1" si="52">M454</f>
        <v>50071</v>
      </c>
      <c r="R454" s="4">
        <f ca="1">MIN(O454,PREMISSAS!$C$13)</f>
        <v>0</v>
      </c>
      <c r="S454" s="240"/>
      <c r="T454" s="240"/>
    </row>
    <row r="455" spans="2:20" x14ac:dyDescent="0.25">
      <c r="B455" s="21" t="str">
        <f t="shared" ref="B455:B518" ca="1" si="53">IFERROR(IF(LEFT(B454,2)="13",DATE(RIGHT(B454,4),12,31),IF(EOMONTH(B454,0)&gt;$F$1,"",IF(MONTH(B454)=11,"13º "&amp;YEAR(B454),EOMONTH(B454,1)))),"")</f>
        <v/>
      </c>
      <c r="C455" s="22" t="str">
        <f ca="1">IF(B455="","",IF(LEFT(B455,2)="13",C454,IF(MONTH(B455)=1,C454*(1+PREMISSAS!$C$57),C454)))</f>
        <v/>
      </c>
      <c r="E455" s="18">
        <v>451</v>
      </c>
      <c r="F455" s="21">
        <f t="shared" ref="F455:F518" ca="1" si="54">IFERROR(IF(LEFT(F454,2)="13",DATE(RIGHT(F454,4),12,31),IF(EOMONTH(F454,0)&gt;$F$1,"",IF(MONTH(F454)=11,"13º "&amp;YEAR(F454),EOMONTH(F454,1)))),"")</f>
        <v>50099</v>
      </c>
      <c r="G455" s="22">
        <f ca="1">IFERROR(VLOOKUP(F455,RESULTADOS!$O$5:$P$543,2,FALSE),VLOOKUP(F455,$B$5:$C$724,2,FALSE))</f>
        <v>0</v>
      </c>
      <c r="H455" s="4">
        <f ca="1">IF(F455&lt;PREMISSAS!$D$7,0,IFERROR(VLOOKUP(IF(LEFT(F455,2)="13",DATE(YEAR(F454),12,31),F455),IPCA!$A$3:$D$284,4,FALSE),1)*G455)</f>
        <v>0</v>
      </c>
      <c r="J455" s="21">
        <f t="shared" ca="1" si="49"/>
        <v>50099</v>
      </c>
      <c r="K455" s="4">
        <f t="shared" ca="1" si="50"/>
        <v>0</v>
      </c>
      <c r="M455" s="21">
        <f t="shared" ref="M455:M518" ca="1" si="55">IFERROR(IF(LEFT(M454,2)="13",DATE(RIGHT(M454,4),12,31),IF(EOMONTH(M454,0)&gt;$F$1,"",IF(MONTH(M454)=11,"13º "&amp;YEAR(M454),EOMONTH(M454,1)))),"")</f>
        <v>50099</v>
      </c>
      <c r="N455" s="37">
        <f t="shared" ca="1" si="51"/>
        <v>0</v>
      </c>
      <c r="O455" s="4">
        <f ca="1">IFERROR(AVERAGEIF(N$5:$N455,"&gt;="&amp;_xlfn.PERCENTILE.EXC(N$5:$N455,0.2)),0)</f>
        <v>0</v>
      </c>
      <c r="Q455" s="21">
        <f t="shared" ca="1" si="52"/>
        <v>50099</v>
      </c>
      <c r="R455" s="4">
        <f ca="1">MIN(O455,PREMISSAS!$C$13)</f>
        <v>0</v>
      </c>
      <c r="S455" s="240"/>
      <c r="T455" s="240"/>
    </row>
    <row r="456" spans="2:20" x14ac:dyDescent="0.25">
      <c r="B456" s="21" t="str">
        <f t="shared" ca="1" si="53"/>
        <v/>
      </c>
      <c r="C456" s="22" t="str">
        <f ca="1">IF(B456="","",IF(LEFT(B456,2)="13",C455,IF(MONTH(B456)=1,C455*(1+PREMISSAS!$C$57),C455)))</f>
        <v/>
      </c>
      <c r="E456" s="18">
        <v>452</v>
      </c>
      <c r="F456" s="21">
        <f t="shared" ca="1" si="54"/>
        <v>50130</v>
      </c>
      <c r="G456" s="22">
        <f ca="1">IFERROR(VLOOKUP(F456,RESULTADOS!$O$5:$P$543,2,FALSE),VLOOKUP(F456,$B$5:$C$724,2,FALSE))</f>
        <v>0</v>
      </c>
      <c r="H456" s="4">
        <f ca="1">IF(F456&lt;PREMISSAS!$D$7,0,IFERROR(VLOOKUP(IF(LEFT(F456,2)="13",DATE(YEAR(F455),12,31),F456),IPCA!$A$3:$D$284,4,FALSE),1)*G456)</f>
        <v>0</v>
      </c>
      <c r="J456" s="21">
        <f t="shared" ca="1" si="49"/>
        <v>50130</v>
      </c>
      <c r="K456" s="4">
        <f t="shared" ca="1" si="50"/>
        <v>0</v>
      </c>
      <c r="M456" s="21">
        <f t="shared" ca="1" si="55"/>
        <v>50130</v>
      </c>
      <c r="N456" s="37">
        <f t="shared" ca="1" si="51"/>
        <v>0</v>
      </c>
      <c r="O456" s="4">
        <f ca="1">IFERROR(AVERAGEIF(N$5:$N456,"&gt;="&amp;_xlfn.PERCENTILE.EXC(N$5:$N456,0.2)),0)</f>
        <v>0</v>
      </c>
      <c r="Q456" s="21">
        <f t="shared" ca="1" si="52"/>
        <v>50130</v>
      </c>
      <c r="R456" s="4">
        <f ca="1">MIN(O456,PREMISSAS!$C$13)</f>
        <v>0</v>
      </c>
      <c r="S456" s="240"/>
      <c r="T456" s="240"/>
    </row>
    <row r="457" spans="2:20" x14ac:dyDescent="0.25">
      <c r="B457" s="21" t="str">
        <f t="shared" ca="1" si="53"/>
        <v/>
      </c>
      <c r="C457" s="22" t="str">
        <f ca="1">IF(B457="","",IF(LEFT(B457,2)="13",C456,IF(MONTH(B457)=1,C456*(1+PREMISSAS!$C$57),C456)))</f>
        <v/>
      </c>
      <c r="E457" s="18">
        <v>453</v>
      </c>
      <c r="F457" s="21">
        <f t="shared" ca="1" si="54"/>
        <v>50160</v>
      </c>
      <c r="G457" s="22">
        <f ca="1">IFERROR(VLOOKUP(F457,RESULTADOS!$O$5:$P$543,2,FALSE),VLOOKUP(F457,$B$5:$C$724,2,FALSE))</f>
        <v>0</v>
      </c>
      <c r="H457" s="4">
        <f ca="1">IF(F457&lt;PREMISSAS!$D$7,0,IFERROR(VLOOKUP(IF(LEFT(F457,2)="13",DATE(YEAR(F456),12,31),F457),IPCA!$A$3:$D$284,4,FALSE),1)*G457)</f>
        <v>0</v>
      </c>
      <c r="J457" s="21">
        <f t="shared" ca="1" si="49"/>
        <v>50160</v>
      </c>
      <c r="K457" s="4">
        <f t="shared" ca="1" si="50"/>
        <v>0</v>
      </c>
      <c r="M457" s="21">
        <f t="shared" ca="1" si="55"/>
        <v>50160</v>
      </c>
      <c r="N457" s="37">
        <f t="shared" ca="1" si="51"/>
        <v>0</v>
      </c>
      <c r="O457" s="4">
        <f ca="1">IFERROR(AVERAGEIF(N$5:$N457,"&gt;="&amp;_xlfn.PERCENTILE.EXC(N$5:$N457,0.2)),0)</f>
        <v>0</v>
      </c>
      <c r="Q457" s="21">
        <f t="shared" ca="1" si="52"/>
        <v>50160</v>
      </c>
      <c r="R457" s="4">
        <f ca="1">MIN(O457,PREMISSAS!$C$13)</f>
        <v>0</v>
      </c>
      <c r="S457" s="240"/>
      <c r="T457" s="240"/>
    </row>
    <row r="458" spans="2:20" x14ac:dyDescent="0.25">
      <c r="B458" s="21" t="str">
        <f t="shared" ca="1" si="53"/>
        <v/>
      </c>
      <c r="C458" s="22" t="str">
        <f ca="1">IF(B458="","",IF(LEFT(B458,2)="13",C457,IF(MONTH(B458)=1,C457*(1+PREMISSAS!$C$57),C457)))</f>
        <v/>
      </c>
      <c r="E458" s="18">
        <v>454</v>
      </c>
      <c r="F458" s="21">
        <f t="shared" ca="1" si="54"/>
        <v>50191</v>
      </c>
      <c r="G458" s="22">
        <f ca="1">IFERROR(VLOOKUP(F458,RESULTADOS!$O$5:$P$543,2,FALSE),VLOOKUP(F458,$B$5:$C$724,2,FALSE))</f>
        <v>0</v>
      </c>
      <c r="H458" s="4">
        <f ca="1">IF(F458&lt;PREMISSAS!$D$7,0,IFERROR(VLOOKUP(IF(LEFT(F458,2)="13",DATE(YEAR(F457),12,31),F458),IPCA!$A$3:$D$284,4,FALSE),1)*G458)</f>
        <v>0</v>
      </c>
      <c r="J458" s="21">
        <f t="shared" ca="1" si="49"/>
        <v>50191</v>
      </c>
      <c r="K458" s="4">
        <f t="shared" ca="1" si="50"/>
        <v>0</v>
      </c>
      <c r="M458" s="21">
        <f t="shared" ca="1" si="55"/>
        <v>50191</v>
      </c>
      <c r="N458" s="37">
        <f t="shared" ca="1" si="51"/>
        <v>0</v>
      </c>
      <c r="O458" s="4">
        <f ca="1">IFERROR(AVERAGEIF(N$5:$N458,"&gt;="&amp;_xlfn.PERCENTILE.EXC(N$5:$N458,0.2)),0)</f>
        <v>0</v>
      </c>
      <c r="Q458" s="21">
        <f t="shared" ca="1" si="52"/>
        <v>50191</v>
      </c>
      <c r="R458" s="4">
        <f ca="1">MIN(O458,PREMISSAS!$C$13)</f>
        <v>0</v>
      </c>
      <c r="S458" s="240"/>
      <c r="T458" s="240"/>
    </row>
    <row r="459" spans="2:20" x14ac:dyDescent="0.25">
      <c r="B459" s="21" t="str">
        <f t="shared" ca="1" si="53"/>
        <v/>
      </c>
      <c r="C459" s="22" t="str">
        <f ca="1">IF(B459="","",IF(LEFT(B459,2)="13",C458,IF(MONTH(B459)=1,C458*(1+PREMISSAS!$C$57),C458)))</f>
        <v/>
      </c>
      <c r="E459" s="18">
        <v>455</v>
      </c>
      <c r="F459" s="21">
        <f t="shared" ca="1" si="54"/>
        <v>50221</v>
      </c>
      <c r="G459" s="22">
        <f ca="1">IFERROR(VLOOKUP(F459,RESULTADOS!$O$5:$P$543,2,FALSE),VLOOKUP(F459,$B$5:$C$724,2,FALSE))</f>
        <v>0</v>
      </c>
      <c r="H459" s="4">
        <f ca="1">IF(F459&lt;PREMISSAS!$D$7,0,IFERROR(VLOOKUP(IF(LEFT(F459,2)="13",DATE(YEAR(F458),12,31),F459),IPCA!$A$3:$D$284,4,FALSE),1)*G459)</f>
        <v>0</v>
      </c>
      <c r="J459" s="21">
        <f t="shared" ca="1" si="49"/>
        <v>50221</v>
      </c>
      <c r="K459" s="4">
        <f t="shared" ca="1" si="50"/>
        <v>0</v>
      </c>
      <c r="M459" s="21">
        <f t="shared" ca="1" si="55"/>
        <v>50221</v>
      </c>
      <c r="N459" s="37">
        <f t="shared" ca="1" si="51"/>
        <v>0</v>
      </c>
      <c r="O459" s="4">
        <f ca="1">IFERROR(AVERAGEIF(N$5:$N459,"&gt;="&amp;_xlfn.PERCENTILE.EXC(N$5:$N459,0.2)),0)</f>
        <v>0</v>
      </c>
      <c r="Q459" s="21">
        <f t="shared" ca="1" si="52"/>
        <v>50221</v>
      </c>
      <c r="R459" s="4">
        <f ca="1">MIN(O459,PREMISSAS!$C$13)</f>
        <v>0</v>
      </c>
      <c r="S459" s="240"/>
      <c r="T459" s="240"/>
    </row>
    <row r="460" spans="2:20" x14ac:dyDescent="0.25">
      <c r="B460" s="21" t="str">
        <f t="shared" ca="1" si="53"/>
        <v/>
      </c>
      <c r="C460" s="22" t="str">
        <f ca="1">IF(B460="","",IF(LEFT(B460,2)="13",C459,IF(MONTH(B460)=1,C459*(1+PREMISSAS!$C$57),C459)))</f>
        <v/>
      </c>
      <c r="E460" s="18">
        <v>456</v>
      </c>
      <c r="F460" s="21">
        <f t="shared" ca="1" si="54"/>
        <v>50252</v>
      </c>
      <c r="G460" s="22">
        <f ca="1">IFERROR(VLOOKUP(F460,RESULTADOS!$O$5:$P$543,2,FALSE),VLOOKUP(F460,$B$5:$C$724,2,FALSE))</f>
        <v>0</v>
      </c>
      <c r="H460" s="4">
        <f ca="1">IF(F460&lt;PREMISSAS!$D$7,0,IFERROR(VLOOKUP(IF(LEFT(F460,2)="13",DATE(YEAR(F459),12,31),F460),IPCA!$A$3:$D$284,4,FALSE),1)*G460)</f>
        <v>0</v>
      </c>
      <c r="J460" s="21">
        <f t="shared" ca="1" si="49"/>
        <v>50252</v>
      </c>
      <c r="K460" s="4">
        <f t="shared" ca="1" si="50"/>
        <v>0</v>
      </c>
      <c r="M460" s="21">
        <f t="shared" ca="1" si="55"/>
        <v>50252</v>
      </c>
      <c r="N460" s="37">
        <f t="shared" ca="1" si="51"/>
        <v>0</v>
      </c>
      <c r="O460" s="4">
        <f ca="1">IFERROR(AVERAGEIF(N$5:$N460,"&gt;="&amp;_xlfn.PERCENTILE.EXC(N$5:$N460,0.2)),0)</f>
        <v>0</v>
      </c>
      <c r="Q460" s="21">
        <f t="shared" ca="1" si="52"/>
        <v>50252</v>
      </c>
      <c r="R460" s="4">
        <f ca="1">MIN(O460,PREMISSAS!$C$13)</f>
        <v>0</v>
      </c>
      <c r="S460" s="240"/>
      <c r="T460" s="240"/>
    </row>
    <row r="461" spans="2:20" x14ac:dyDescent="0.25">
      <c r="B461" s="21" t="str">
        <f t="shared" ca="1" si="53"/>
        <v/>
      </c>
      <c r="C461" s="22" t="str">
        <f ca="1">IF(B461="","",IF(LEFT(B461,2)="13",C460,IF(MONTH(B461)=1,C460*(1+PREMISSAS!$C$57),C460)))</f>
        <v/>
      </c>
      <c r="E461" s="18">
        <v>457</v>
      </c>
      <c r="F461" s="21" t="str">
        <f t="shared" ca="1" si="54"/>
        <v/>
      </c>
      <c r="G461" s="22">
        <f ca="1">IFERROR(VLOOKUP(F461,RESULTADOS!$O$5:$P$543,2,FALSE),VLOOKUP(F461,$B$5:$C$724,2,FALSE))</f>
        <v>0</v>
      </c>
      <c r="H461" s="4">
        <f ca="1">IF(F461&lt;PREMISSAS!$D$7,0,IFERROR(VLOOKUP(IF(LEFT(F461,2)="13",DATE(YEAR(F460),12,31),F461),IPCA!$A$3:$D$284,4,FALSE),1)*G461)</f>
        <v>0</v>
      </c>
      <c r="J461" s="21" t="str">
        <f t="shared" ca="1" si="49"/>
        <v/>
      </c>
      <c r="K461" s="4">
        <f t="shared" ca="1" si="50"/>
        <v>0</v>
      </c>
      <c r="M461" s="21" t="str">
        <f t="shared" ca="1" si="55"/>
        <v/>
      </c>
      <c r="N461" s="37">
        <f t="shared" ca="1" si="51"/>
        <v>0</v>
      </c>
      <c r="O461" s="4">
        <f ca="1">IFERROR(AVERAGEIF(N$5:$N461,"&gt;="&amp;_xlfn.PERCENTILE.EXC(N$5:$N461,0.2)),0)</f>
        <v>0</v>
      </c>
      <c r="Q461" s="21" t="str">
        <f t="shared" ca="1" si="52"/>
        <v/>
      </c>
      <c r="R461" s="4">
        <f ca="1">MIN(O461,PREMISSAS!$C$13)</f>
        <v>0</v>
      </c>
      <c r="S461" s="240"/>
      <c r="T461" s="240"/>
    </row>
    <row r="462" spans="2:20" x14ac:dyDescent="0.25">
      <c r="B462" s="21" t="str">
        <f t="shared" ca="1" si="53"/>
        <v/>
      </c>
      <c r="C462" s="22" t="str">
        <f ca="1">IF(B462="","",IF(LEFT(B462,2)="13",C461,IF(MONTH(B462)=1,C461*(1+PREMISSAS!$C$57),C461)))</f>
        <v/>
      </c>
      <c r="E462" s="18">
        <v>458</v>
      </c>
      <c r="F462" s="21" t="str">
        <f t="shared" ca="1" si="54"/>
        <v/>
      </c>
      <c r="G462" s="22">
        <f ca="1">IFERROR(VLOOKUP(F462,RESULTADOS!$O$5:$P$543,2,FALSE),VLOOKUP(F462,$B$5:$C$724,2,FALSE))</f>
        <v>0</v>
      </c>
      <c r="H462" s="4">
        <f ca="1">IF(F462&lt;PREMISSAS!$D$7,0,IFERROR(VLOOKUP(IF(LEFT(F462,2)="13",DATE(YEAR(F461),12,31),F462),IPCA!$A$3:$D$284,4,FALSE),1)*G462)</f>
        <v>0</v>
      </c>
      <c r="J462" s="21" t="str">
        <f t="shared" ca="1" si="49"/>
        <v/>
      </c>
      <c r="K462" s="4">
        <f t="shared" ca="1" si="50"/>
        <v>0</v>
      </c>
      <c r="M462" s="21" t="str">
        <f t="shared" ca="1" si="55"/>
        <v/>
      </c>
      <c r="N462" s="37">
        <f t="shared" ca="1" si="51"/>
        <v>0</v>
      </c>
      <c r="O462" s="4">
        <f ca="1">IFERROR(AVERAGEIF(N$5:$N462,"&gt;="&amp;_xlfn.PERCENTILE.EXC(N$5:$N462,0.2)),0)</f>
        <v>0</v>
      </c>
      <c r="Q462" s="21" t="str">
        <f t="shared" ca="1" si="52"/>
        <v/>
      </c>
      <c r="R462" s="4">
        <f ca="1">MIN(O462,PREMISSAS!$C$13)</f>
        <v>0</v>
      </c>
      <c r="S462" s="240"/>
      <c r="T462" s="240"/>
    </row>
    <row r="463" spans="2:20" x14ac:dyDescent="0.25">
      <c r="B463" s="21" t="str">
        <f t="shared" ca="1" si="53"/>
        <v/>
      </c>
      <c r="C463" s="22" t="str">
        <f ca="1">IF(B463="","",IF(LEFT(B463,2)="13",C462,IF(MONTH(B463)=1,C462*(1+PREMISSAS!$C$57),C462)))</f>
        <v/>
      </c>
      <c r="E463" s="18">
        <v>459</v>
      </c>
      <c r="F463" s="21" t="str">
        <f t="shared" ca="1" si="54"/>
        <v/>
      </c>
      <c r="G463" s="22">
        <f ca="1">IFERROR(VLOOKUP(F463,RESULTADOS!$O$5:$P$543,2,FALSE),VLOOKUP(F463,$B$5:$C$724,2,FALSE))</f>
        <v>0</v>
      </c>
      <c r="H463" s="4">
        <f ca="1">IF(F463&lt;PREMISSAS!$D$7,0,IFERROR(VLOOKUP(IF(LEFT(F463,2)="13",DATE(YEAR(F462),12,31),F463),IPCA!$A$3:$D$284,4,FALSE),1)*G463)</f>
        <v>0</v>
      </c>
      <c r="J463" s="21" t="str">
        <f t="shared" ca="1" si="49"/>
        <v/>
      </c>
      <c r="K463" s="4">
        <f t="shared" ca="1" si="50"/>
        <v>0</v>
      </c>
      <c r="M463" s="21" t="str">
        <f t="shared" ca="1" si="55"/>
        <v/>
      </c>
      <c r="N463" s="37">
        <f t="shared" ca="1" si="51"/>
        <v>0</v>
      </c>
      <c r="O463" s="4">
        <f ca="1">IFERROR(AVERAGEIF(N$5:$N463,"&gt;="&amp;_xlfn.PERCENTILE.EXC(N$5:$N463,0.2)),0)</f>
        <v>0</v>
      </c>
      <c r="Q463" s="21" t="str">
        <f t="shared" ca="1" si="52"/>
        <v/>
      </c>
      <c r="R463" s="4">
        <f ca="1">MIN(O463,PREMISSAS!$C$13)</f>
        <v>0</v>
      </c>
      <c r="S463" s="240"/>
      <c r="T463" s="240"/>
    </row>
    <row r="464" spans="2:20" x14ac:dyDescent="0.25">
      <c r="B464" s="21" t="str">
        <f t="shared" ca="1" si="53"/>
        <v/>
      </c>
      <c r="C464" s="22" t="str">
        <f ca="1">IF(B464="","",IF(LEFT(B464,2)="13",C463,IF(MONTH(B464)=1,C463*(1+PREMISSAS!$C$57),C463)))</f>
        <v/>
      </c>
      <c r="E464" s="18">
        <v>460</v>
      </c>
      <c r="F464" s="21" t="str">
        <f t="shared" ca="1" si="54"/>
        <v/>
      </c>
      <c r="G464" s="22">
        <f ca="1">IFERROR(VLOOKUP(F464,RESULTADOS!$O$5:$P$543,2,FALSE),VLOOKUP(F464,$B$5:$C$724,2,FALSE))</f>
        <v>0</v>
      </c>
      <c r="H464" s="4">
        <f ca="1">IF(F464&lt;PREMISSAS!$D$7,0,IFERROR(VLOOKUP(IF(LEFT(F464,2)="13",DATE(YEAR(F463),12,31),F464),IPCA!$A$3:$D$284,4,FALSE),1)*G464)</f>
        <v>0</v>
      </c>
      <c r="J464" s="21" t="str">
        <f t="shared" ca="1" si="49"/>
        <v/>
      </c>
      <c r="K464" s="4">
        <f t="shared" ca="1" si="50"/>
        <v>0</v>
      </c>
      <c r="M464" s="21" t="str">
        <f t="shared" ca="1" si="55"/>
        <v/>
      </c>
      <c r="N464" s="37">
        <f t="shared" ca="1" si="51"/>
        <v>0</v>
      </c>
      <c r="O464" s="4">
        <f ca="1">IFERROR(AVERAGEIF(N$5:$N464,"&gt;="&amp;_xlfn.PERCENTILE.EXC(N$5:$N464,0.2)),0)</f>
        <v>0</v>
      </c>
      <c r="Q464" s="21" t="str">
        <f t="shared" ca="1" si="52"/>
        <v/>
      </c>
      <c r="R464" s="4">
        <f ca="1">MIN(O464,PREMISSAS!$C$13)</f>
        <v>0</v>
      </c>
      <c r="S464" s="240"/>
      <c r="T464" s="240"/>
    </row>
    <row r="465" spans="2:22" x14ac:dyDescent="0.25">
      <c r="B465" s="21" t="str">
        <f t="shared" ca="1" si="53"/>
        <v/>
      </c>
      <c r="C465" s="22" t="str">
        <f ca="1">IF(B465="","",IF(LEFT(B465,2)="13",C464,IF(MONTH(B465)=1,C464*(1+PREMISSAS!$C$57),C464)))</f>
        <v/>
      </c>
      <c r="E465" s="18">
        <v>461</v>
      </c>
      <c r="F465" s="21" t="str">
        <f t="shared" ca="1" si="54"/>
        <v/>
      </c>
      <c r="G465" s="22">
        <f ca="1">IFERROR(VLOOKUP(F465,RESULTADOS!$O$5:$P$543,2,FALSE),VLOOKUP(F465,$B$5:$C$724,2,FALSE))</f>
        <v>0</v>
      </c>
      <c r="H465" s="4">
        <f ca="1">IF(F465&lt;PREMISSAS!$D$7,0,IFERROR(VLOOKUP(IF(LEFT(F465,2)="13",DATE(YEAR(F464),12,31),F465),IPCA!$A$3:$D$284,4,FALSE),1)*G465)</f>
        <v>0</v>
      </c>
      <c r="J465" s="21" t="str">
        <f t="shared" ca="1" si="49"/>
        <v/>
      </c>
      <c r="K465" s="4">
        <f t="shared" ca="1" si="50"/>
        <v>0</v>
      </c>
      <c r="M465" s="21" t="str">
        <f t="shared" ca="1" si="55"/>
        <v/>
      </c>
      <c r="N465" s="37">
        <f t="shared" ca="1" si="51"/>
        <v>0</v>
      </c>
      <c r="O465" s="4">
        <f ca="1">IFERROR(AVERAGEIF(N$5:$N465,"&gt;="&amp;_xlfn.PERCENTILE.EXC(N$5:$N465,0.2)),0)</f>
        <v>0</v>
      </c>
      <c r="Q465" s="21" t="str">
        <f t="shared" ca="1" si="52"/>
        <v/>
      </c>
      <c r="R465" s="4">
        <f ca="1">MIN(O465,PREMISSAS!$C$13)</f>
        <v>0</v>
      </c>
      <c r="S465" s="240"/>
      <c r="T465" s="240"/>
    </row>
    <row r="466" spans="2:22" x14ac:dyDescent="0.25">
      <c r="B466" s="21" t="str">
        <f t="shared" ca="1" si="53"/>
        <v/>
      </c>
      <c r="C466" s="22" t="str">
        <f ca="1">IF(B466="","",IF(LEFT(B466,2)="13",C465,IF(MONTH(B466)=1,C465*(1+PREMISSAS!$C$57),C465)))</f>
        <v/>
      </c>
      <c r="E466" s="18">
        <v>462</v>
      </c>
      <c r="F466" s="21" t="str">
        <f t="shared" ca="1" si="54"/>
        <v/>
      </c>
      <c r="G466" s="22">
        <f ca="1">IFERROR(VLOOKUP(F466,RESULTADOS!$O$5:$P$543,2,FALSE),VLOOKUP(F466,$B$5:$C$724,2,FALSE))</f>
        <v>0</v>
      </c>
      <c r="H466" s="4">
        <f ca="1">IF(F466&lt;PREMISSAS!$D$7,0,IFERROR(VLOOKUP(IF(LEFT(F466,2)="13",DATE(YEAR(F465),12,31),F466),IPCA!$A$3:$D$284,4,FALSE),1)*G466)</f>
        <v>0</v>
      </c>
      <c r="J466" s="21" t="str">
        <f t="shared" ca="1" si="49"/>
        <v/>
      </c>
      <c r="K466" s="4">
        <f t="shared" ca="1" si="50"/>
        <v>0</v>
      </c>
      <c r="M466" s="21" t="str">
        <f t="shared" ca="1" si="55"/>
        <v/>
      </c>
      <c r="N466" s="37">
        <f t="shared" ca="1" si="51"/>
        <v>0</v>
      </c>
      <c r="O466" s="4">
        <f ca="1">IFERROR(AVERAGEIF(N$5:$N466,"&gt;="&amp;_xlfn.PERCENTILE.EXC(N$5:$N466,0.2)),0)</f>
        <v>0</v>
      </c>
      <c r="Q466" s="21" t="str">
        <f t="shared" ca="1" si="52"/>
        <v/>
      </c>
      <c r="R466" s="4">
        <f ca="1">MIN(O466,PREMISSAS!$C$13)</f>
        <v>0</v>
      </c>
      <c r="S466" s="240"/>
      <c r="T466" s="240"/>
    </row>
    <row r="467" spans="2:22" x14ac:dyDescent="0.25">
      <c r="B467" s="21" t="str">
        <f t="shared" ca="1" si="53"/>
        <v/>
      </c>
      <c r="C467" s="22" t="str">
        <f ca="1">IF(B467="","",IF(LEFT(B467,2)="13",C466,IF(MONTH(B467)=1,C466*(1+PREMISSAS!$C$57),C466)))</f>
        <v/>
      </c>
      <c r="E467" s="18">
        <v>463</v>
      </c>
      <c r="F467" s="21" t="str">
        <f t="shared" ca="1" si="54"/>
        <v/>
      </c>
      <c r="G467" s="22">
        <f ca="1">IFERROR(VLOOKUP(F467,RESULTADOS!$O$5:$P$543,2,FALSE),VLOOKUP(F467,$B$5:$C$724,2,FALSE))</f>
        <v>0</v>
      </c>
      <c r="H467" s="4">
        <f ca="1">IF(F467&lt;PREMISSAS!$D$7,0,IFERROR(VLOOKUP(IF(LEFT(F467,2)="13",DATE(YEAR(F466),12,31),F467),IPCA!$A$3:$D$284,4,FALSE),1)*G467)</f>
        <v>0</v>
      </c>
      <c r="J467" s="21" t="str">
        <f t="shared" ca="1" si="49"/>
        <v/>
      </c>
      <c r="K467" s="4">
        <f t="shared" ca="1" si="50"/>
        <v>0</v>
      </c>
      <c r="M467" s="21" t="str">
        <f t="shared" ca="1" si="55"/>
        <v/>
      </c>
      <c r="N467" s="37">
        <f t="shared" ca="1" si="51"/>
        <v>0</v>
      </c>
      <c r="O467" s="4">
        <f ca="1">IFERROR(AVERAGEIF(N$5:$N467,"&gt;="&amp;_xlfn.PERCENTILE.EXC(N$5:$N467,0.2)),0)</f>
        <v>0</v>
      </c>
      <c r="Q467" s="21" t="str">
        <f t="shared" ca="1" si="52"/>
        <v/>
      </c>
      <c r="R467" s="4">
        <f ca="1">MIN(O467,PREMISSAS!$C$13)</f>
        <v>0</v>
      </c>
      <c r="S467" s="240"/>
      <c r="T467" s="240"/>
    </row>
    <row r="468" spans="2:22" x14ac:dyDescent="0.25">
      <c r="B468" s="21" t="str">
        <f t="shared" ca="1" si="53"/>
        <v/>
      </c>
      <c r="C468" s="22" t="str">
        <f ca="1">IF(B468="","",IF(LEFT(B468,2)="13",C467,IF(MONTH(B468)=1,C467*(1+PREMISSAS!$C$57),C467)))</f>
        <v/>
      </c>
      <c r="E468" s="18">
        <v>464</v>
      </c>
      <c r="F468" s="21" t="str">
        <f t="shared" ca="1" si="54"/>
        <v/>
      </c>
      <c r="G468" s="22">
        <f ca="1">IFERROR(VLOOKUP(F468,RESULTADOS!$O$5:$P$543,2,FALSE),VLOOKUP(F468,$B$5:$C$724,2,FALSE))</f>
        <v>0</v>
      </c>
      <c r="H468" s="4">
        <f ca="1">IF(F468&lt;PREMISSAS!$D$7,0,IFERROR(VLOOKUP(IF(LEFT(F468,2)="13",DATE(YEAR(F467),12,31),F468),IPCA!$A$3:$D$284,4,FALSE),1)*G468)</f>
        <v>0</v>
      </c>
      <c r="J468" s="21" t="str">
        <f t="shared" ca="1" si="49"/>
        <v/>
      </c>
      <c r="K468" s="4">
        <f t="shared" ca="1" si="50"/>
        <v>0</v>
      </c>
      <c r="M468" s="21" t="str">
        <f t="shared" ca="1" si="55"/>
        <v/>
      </c>
      <c r="N468" s="37">
        <f t="shared" ca="1" si="51"/>
        <v>0</v>
      </c>
      <c r="O468" s="4">
        <f ca="1">IFERROR(AVERAGEIF(N$5:$N468,"&gt;="&amp;_xlfn.PERCENTILE.EXC(N$5:$N468,0.2)),0)</f>
        <v>0</v>
      </c>
      <c r="Q468" s="21" t="str">
        <f t="shared" ca="1" si="52"/>
        <v/>
      </c>
      <c r="R468" s="4">
        <f ca="1">MIN(O468,PREMISSAS!$C$13)</f>
        <v>0</v>
      </c>
      <c r="S468" s="240"/>
      <c r="T468" s="240"/>
    </row>
    <row r="469" spans="2:22" x14ac:dyDescent="0.25">
      <c r="B469" s="21" t="str">
        <f t="shared" ca="1" si="53"/>
        <v/>
      </c>
      <c r="C469" s="22" t="str">
        <f ca="1">IF(B469="","",IF(LEFT(B469,2)="13",C468,IF(MONTH(B469)=1,C468*(1+PREMISSAS!$C$57),C468)))</f>
        <v/>
      </c>
      <c r="E469" s="18">
        <v>465</v>
      </c>
      <c r="F469" s="21" t="str">
        <f t="shared" ca="1" si="54"/>
        <v/>
      </c>
      <c r="G469" s="22">
        <f ca="1">IFERROR(VLOOKUP(F469,RESULTADOS!$O$5:$P$543,2,FALSE),VLOOKUP(F469,$B$5:$C$724,2,FALSE))</f>
        <v>0</v>
      </c>
      <c r="H469" s="4">
        <f ca="1">IF(F469&lt;PREMISSAS!$D$7,0,IFERROR(VLOOKUP(IF(LEFT(F469,2)="13",DATE(YEAR(F468),12,31),F469),IPCA!$A$3:$D$284,4,FALSE),1)*G469)</f>
        <v>0</v>
      </c>
      <c r="J469" s="21" t="str">
        <f t="shared" ca="1" si="49"/>
        <v/>
      </c>
      <c r="K469" s="4">
        <f t="shared" ca="1" si="50"/>
        <v>0</v>
      </c>
      <c r="M469" s="21" t="str">
        <f t="shared" ca="1" si="55"/>
        <v/>
      </c>
      <c r="N469" s="37">
        <f t="shared" ca="1" si="51"/>
        <v>0</v>
      </c>
      <c r="O469" s="4">
        <f ca="1">IFERROR(AVERAGEIF(N$5:$N469,"&gt;="&amp;_xlfn.PERCENTILE.EXC(N$5:$N469,0.2)),0)</f>
        <v>0</v>
      </c>
      <c r="Q469" s="21" t="str">
        <f t="shared" ca="1" si="52"/>
        <v/>
      </c>
      <c r="R469" s="4">
        <f ca="1">MIN(O469,PREMISSAS!$C$13)</f>
        <v>0</v>
      </c>
      <c r="S469" s="240"/>
      <c r="T469" s="240"/>
    </row>
    <row r="470" spans="2:22" x14ac:dyDescent="0.25">
      <c r="B470" s="21" t="str">
        <f t="shared" ca="1" si="53"/>
        <v/>
      </c>
      <c r="C470" s="22" t="str">
        <f ca="1">IF(B470="","",IF(LEFT(B470,2)="13",C469,IF(MONTH(B470)=1,C469*(1+PREMISSAS!$C$57),C469)))</f>
        <v/>
      </c>
      <c r="E470" s="18">
        <v>466</v>
      </c>
      <c r="F470" s="21" t="str">
        <f t="shared" ca="1" si="54"/>
        <v/>
      </c>
      <c r="G470" s="22">
        <f ca="1">IFERROR(VLOOKUP(F470,RESULTADOS!$O$5:$P$543,2,FALSE),VLOOKUP(F470,$B$5:$C$724,2,FALSE))</f>
        <v>0</v>
      </c>
      <c r="H470" s="4">
        <f ca="1">IF(F470&lt;PREMISSAS!$D$7,0,IFERROR(VLOOKUP(IF(LEFT(F470,2)="13",DATE(YEAR(F469),12,31),F470),IPCA!$A$3:$D$284,4,FALSE),1)*G470)</f>
        <v>0</v>
      </c>
      <c r="J470" s="21" t="str">
        <f t="shared" ca="1" si="49"/>
        <v/>
      </c>
      <c r="K470" s="4">
        <f t="shared" ca="1" si="50"/>
        <v>0</v>
      </c>
      <c r="M470" s="21" t="str">
        <f t="shared" ca="1" si="55"/>
        <v/>
      </c>
      <c r="N470" s="37">
        <f t="shared" ca="1" si="51"/>
        <v>0</v>
      </c>
      <c r="O470" s="4">
        <f ca="1">IFERROR(AVERAGEIF(N$5:$N470,"&gt;="&amp;_xlfn.PERCENTILE.EXC(N$5:$N470,0.2)),0)</f>
        <v>0</v>
      </c>
      <c r="Q470" s="21" t="str">
        <f t="shared" ca="1" si="52"/>
        <v/>
      </c>
      <c r="R470" s="4">
        <f ca="1">MIN(O470,PREMISSAS!$C$13)</f>
        <v>0</v>
      </c>
      <c r="S470" s="240"/>
      <c r="T470" s="240"/>
    </row>
    <row r="471" spans="2:22" x14ac:dyDescent="0.25">
      <c r="B471" s="21" t="str">
        <f t="shared" ca="1" si="53"/>
        <v/>
      </c>
      <c r="C471" s="22" t="str">
        <f ca="1">IF(B471="","",IF(LEFT(B471,2)="13",C470,IF(MONTH(B471)=1,C470*(1+PREMISSAS!$C$57),C470)))</f>
        <v/>
      </c>
      <c r="E471" s="18">
        <v>467</v>
      </c>
      <c r="F471" s="21" t="str">
        <f t="shared" ca="1" si="54"/>
        <v/>
      </c>
      <c r="G471" s="22">
        <f ca="1">IFERROR(VLOOKUP(F471,RESULTADOS!$O$5:$P$543,2,FALSE),VLOOKUP(F471,$B$5:$C$724,2,FALSE))</f>
        <v>0</v>
      </c>
      <c r="H471" s="4">
        <f ca="1">IF(F471&lt;PREMISSAS!$D$7,0,IFERROR(VLOOKUP(IF(LEFT(F471,2)="13",DATE(YEAR(F470),12,31),F471),IPCA!$A$3:$D$284,4,FALSE),1)*G471)</f>
        <v>0</v>
      </c>
      <c r="J471" s="21" t="str">
        <f t="shared" ca="1" si="49"/>
        <v/>
      </c>
      <c r="K471" s="4">
        <f t="shared" ca="1" si="50"/>
        <v>0</v>
      </c>
      <c r="M471" s="21" t="str">
        <f t="shared" ca="1" si="55"/>
        <v/>
      </c>
      <c r="N471" s="37">
        <f t="shared" ca="1" si="51"/>
        <v>0</v>
      </c>
      <c r="O471" s="4">
        <f ca="1">IFERROR(AVERAGEIF(N$5:$N471,"&gt;="&amp;_xlfn.PERCENTILE.EXC(N$5:$N471,0.2)),0)</f>
        <v>0</v>
      </c>
      <c r="Q471" s="21" t="str">
        <f t="shared" ca="1" si="52"/>
        <v/>
      </c>
      <c r="R471" s="4">
        <f ca="1">MIN(O471,PREMISSAS!$C$13)</f>
        <v>0</v>
      </c>
      <c r="S471" s="240"/>
      <c r="T471" s="240"/>
    </row>
    <row r="472" spans="2:22" x14ac:dyDescent="0.25">
      <c r="B472" s="21" t="str">
        <f t="shared" ca="1" si="53"/>
        <v/>
      </c>
      <c r="C472" s="22" t="str">
        <f ca="1">IF(B472="","",IF(LEFT(B472,2)="13",C471,IF(MONTH(B472)=1,C471*(1+PREMISSAS!$C$57),C471)))</f>
        <v/>
      </c>
      <c r="E472" s="18">
        <v>468</v>
      </c>
      <c r="F472" s="21" t="str">
        <f t="shared" ca="1" si="54"/>
        <v/>
      </c>
      <c r="G472" s="22">
        <f ca="1">IFERROR(VLOOKUP(F472,RESULTADOS!$O$5:$P$543,2,FALSE),VLOOKUP(F472,$B$5:$C$724,2,FALSE))</f>
        <v>0</v>
      </c>
      <c r="H472" s="4">
        <f ca="1">IF(F472&lt;PREMISSAS!$D$7,0,IFERROR(VLOOKUP(IF(LEFT(F472,2)="13",DATE(YEAR(F471),12,31),F472),IPCA!$A$3:$D$284,4,FALSE),1)*G472)</f>
        <v>0</v>
      </c>
      <c r="J472" s="21" t="str">
        <f t="shared" ca="1" si="49"/>
        <v/>
      </c>
      <c r="K472" s="4">
        <f t="shared" ca="1" si="50"/>
        <v>0</v>
      </c>
      <c r="M472" s="21" t="str">
        <f t="shared" ca="1" si="55"/>
        <v/>
      </c>
      <c r="N472" s="37">
        <f t="shared" ca="1" si="51"/>
        <v>0</v>
      </c>
      <c r="O472" s="4">
        <f ca="1">IFERROR(AVERAGEIF(N$5:$N472,"&gt;="&amp;_xlfn.PERCENTILE.EXC(N$5:$N472,0.2)),0)</f>
        <v>0</v>
      </c>
      <c r="Q472" s="21" t="str">
        <f t="shared" ca="1" si="52"/>
        <v/>
      </c>
      <c r="R472" s="4">
        <f ca="1">MIN(O472,PREMISSAS!$C$13)</f>
        <v>0</v>
      </c>
      <c r="S472" s="240"/>
      <c r="T472" s="240"/>
    </row>
    <row r="473" spans="2:22" x14ac:dyDescent="0.25">
      <c r="B473" s="21" t="str">
        <f t="shared" ca="1" si="53"/>
        <v/>
      </c>
      <c r="C473" s="22" t="str">
        <f ca="1">IF(B473="","",IF(LEFT(B473,2)="13",C472,IF(MONTH(B473)=1,C472*(1+PREMISSAS!$C$57),C472)))</f>
        <v/>
      </c>
      <c r="E473" s="18">
        <v>469</v>
      </c>
      <c r="F473" s="21" t="str">
        <f t="shared" ca="1" si="54"/>
        <v/>
      </c>
      <c r="G473" s="22">
        <f ca="1">IFERROR(VLOOKUP(F473,RESULTADOS!$O$5:$P$543,2,FALSE),VLOOKUP(F473,$B$5:$C$724,2,FALSE))</f>
        <v>0</v>
      </c>
      <c r="H473" s="4">
        <f ca="1">IF(F473&lt;PREMISSAS!$D$7,0,IFERROR(VLOOKUP(IF(LEFT(F473,2)="13",DATE(YEAR(F472),12,31),F473),IPCA!$A$3:$D$284,4,FALSE),1)*G473)</f>
        <v>0</v>
      </c>
      <c r="J473" s="21" t="str">
        <f t="shared" ca="1" si="49"/>
        <v/>
      </c>
      <c r="K473" s="4">
        <f t="shared" ca="1" si="50"/>
        <v>0</v>
      </c>
      <c r="M473" s="21" t="str">
        <f t="shared" ca="1" si="55"/>
        <v/>
      </c>
      <c r="N473" s="37">
        <f t="shared" ca="1" si="51"/>
        <v>0</v>
      </c>
      <c r="O473" s="4">
        <f ca="1">IFERROR(AVERAGEIF(N$5:$N473,"&gt;="&amp;_xlfn.PERCENTILE.EXC(N$5:$N473,0.2)),0)</f>
        <v>0</v>
      </c>
      <c r="Q473" s="21" t="str">
        <f t="shared" ca="1" si="52"/>
        <v/>
      </c>
      <c r="R473" s="4">
        <f ca="1">MIN(O473,PREMISSAS!$C$13)</f>
        <v>0</v>
      </c>
      <c r="S473" s="240"/>
      <c r="T473" s="240"/>
    </row>
    <row r="474" spans="2:22" x14ac:dyDescent="0.25">
      <c r="B474" s="21" t="str">
        <f t="shared" ca="1" si="53"/>
        <v/>
      </c>
      <c r="C474" s="22" t="str">
        <f ca="1">IF(B474="","",IF(LEFT(B474,2)="13",C473,IF(MONTH(B474)=1,C473*(1+PREMISSAS!$C$57),C473)))</f>
        <v/>
      </c>
      <c r="E474" s="18">
        <v>470</v>
      </c>
      <c r="F474" s="21" t="str">
        <f t="shared" ca="1" si="54"/>
        <v/>
      </c>
      <c r="G474" s="22">
        <f ca="1">IFERROR(VLOOKUP(F474,RESULTADOS!$O$5:$P$543,2,FALSE),VLOOKUP(F474,$B$5:$C$724,2,FALSE))</f>
        <v>0</v>
      </c>
      <c r="H474" s="4">
        <f ca="1">IF(F474&lt;PREMISSAS!$D$7,0,IFERROR(VLOOKUP(IF(LEFT(F474,2)="13",DATE(YEAR(F473),12,31),F474),IPCA!$A$3:$D$284,4,FALSE),1)*G474)</f>
        <v>0</v>
      </c>
      <c r="J474" s="21" t="str">
        <f t="shared" ca="1" si="49"/>
        <v/>
      </c>
      <c r="K474" s="4">
        <f t="shared" ca="1" si="50"/>
        <v>0</v>
      </c>
      <c r="M474" s="21" t="str">
        <f t="shared" ca="1" si="55"/>
        <v/>
      </c>
      <c r="N474" s="37">
        <f t="shared" ca="1" si="51"/>
        <v>0</v>
      </c>
      <c r="O474" s="4">
        <f ca="1">IFERROR(AVERAGEIF(N$5:$N474,"&gt;="&amp;_xlfn.PERCENTILE.EXC(N$5:$N474,0.2)),0)</f>
        <v>0</v>
      </c>
      <c r="Q474" s="21" t="str">
        <f t="shared" ca="1" si="52"/>
        <v/>
      </c>
      <c r="R474" s="4">
        <f ca="1">MIN(O474,PREMISSAS!$C$13)</f>
        <v>0</v>
      </c>
      <c r="S474" s="240"/>
      <c r="T474" s="240"/>
    </row>
    <row r="475" spans="2:22" x14ac:dyDescent="0.25">
      <c r="B475" s="21" t="str">
        <f t="shared" ca="1" si="53"/>
        <v/>
      </c>
      <c r="C475" s="22" t="str">
        <f ca="1">IF(B475="","",IF(LEFT(B475,2)="13",C474,IF(MONTH(B475)=1,C474*(1+PREMISSAS!$C$57),C474)))</f>
        <v/>
      </c>
      <c r="E475" s="18">
        <v>471</v>
      </c>
      <c r="F475" s="21" t="str">
        <f t="shared" ca="1" si="54"/>
        <v/>
      </c>
      <c r="G475" s="22">
        <f ca="1">IFERROR(VLOOKUP(F475,RESULTADOS!$O$5:$P$543,2,FALSE),VLOOKUP(F475,$B$5:$C$724,2,FALSE))</f>
        <v>0</v>
      </c>
      <c r="H475" s="4">
        <f ca="1">IF(F475&lt;PREMISSAS!$D$7,0,IFERROR(VLOOKUP(IF(LEFT(F475,2)="13",DATE(YEAR(F474),12,31),F475),IPCA!$A$3:$D$284,4,FALSE),1)*G475)</f>
        <v>0</v>
      </c>
      <c r="J475" s="21" t="str">
        <f t="shared" ca="1" si="49"/>
        <v/>
      </c>
      <c r="K475" s="4">
        <f t="shared" ca="1" si="50"/>
        <v>0</v>
      </c>
      <c r="M475" s="21" t="str">
        <f t="shared" ca="1" si="55"/>
        <v/>
      </c>
      <c r="N475" s="37">
        <f t="shared" ca="1" si="51"/>
        <v>0</v>
      </c>
      <c r="O475" s="4">
        <f ca="1">IFERROR(AVERAGEIF(N$5:$N475,"&gt;="&amp;_xlfn.PERCENTILE.EXC(N$5:$N475,0.2)),0)</f>
        <v>0</v>
      </c>
      <c r="Q475" s="21" t="str">
        <f t="shared" ca="1" si="52"/>
        <v/>
      </c>
      <c r="R475" s="4">
        <f ca="1">MIN(O475,PREMISSAS!$C$13)</f>
        <v>0</v>
      </c>
      <c r="S475" s="240"/>
      <c r="T475" s="240"/>
    </row>
    <row r="476" spans="2:22" x14ac:dyDescent="0.25">
      <c r="B476" s="21" t="str">
        <f t="shared" ca="1" si="53"/>
        <v/>
      </c>
      <c r="C476" s="22" t="str">
        <f ca="1">IF(B476="","",IF(LEFT(B476,2)="13",C475,IF(MONTH(B476)=1,C475*(1+PREMISSAS!$C$57),C475)))</f>
        <v/>
      </c>
      <c r="E476" s="18">
        <v>472</v>
      </c>
      <c r="F476" s="21" t="str">
        <f t="shared" ca="1" si="54"/>
        <v/>
      </c>
      <c r="G476" s="22">
        <f ca="1">IFERROR(VLOOKUP(F476,RESULTADOS!$O$5:$P$543,2,FALSE),VLOOKUP(F476,$B$5:$C$724,2,FALSE))</f>
        <v>0</v>
      </c>
      <c r="H476" s="4">
        <f ca="1">IF(F476&lt;PREMISSAS!$D$7,0,IFERROR(VLOOKUP(IF(LEFT(F476,2)="13",DATE(YEAR(F475),12,31),F476),IPCA!$A$3:$D$284,4,FALSE),1)*G476)</f>
        <v>0</v>
      </c>
      <c r="J476" s="21" t="str">
        <f t="shared" ca="1" si="49"/>
        <v/>
      </c>
      <c r="K476" s="4">
        <f t="shared" ca="1" si="50"/>
        <v>0</v>
      </c>
      <c r="M476" s="21" t="str">
        <f t="shared" ca="1" si="55"/>
        <v/>
      </c>
      <c r="N476" s="37">
        <f t="shared" ca="1" si="51"/>
        <v>0</v>
      </c>
      <c r="O476" s="4">
        <f ca="1">IFERROR(AVERAGEIF(N$5:$N476,"&gt;="&amp;_xlfn.PERCENTILE.EXC(N$5:$N476,0.2)),0)</f>
        <v>0</v>
      </c>
      <c r="Q476" s="21" t="str">
        <f t="shared" ca="1" si="52"/>
        <v/>
      </c>
      <c r="R476" s="4">
        <f ca="1">MIN(O476,PREMISSAS!$C$13)</f>
        <v>0</v>
      </c>
      <c r="S476" s="240"/>
      <c r="T476" s="240"/>
    </row>
    <row r="477" spans="2:22" x14ac:dyDescent="0.25">
      <c r="B477" s="21" t="str">
        <f t="shared" ca="1" si="53"/>
        <v/>
      </c>
      <c r="C477" s="22" t="str">
        <f ca="1">IF(B477="","",IF(LEFT(B477,2)="13",C476,IF(MONTH(B477)=1,C476*(1+PREMISSAS!$C$57),C476)))</f>
        <v/>
      </c>
      <c r="E477" s="18">
        <v>473</v>
      </c>
      <c r="F477" s="21" t="str">
        <f t="shared" ca="1" si="54"/>
        <v/>
      </c>
      <c r="G477" s="22">
        <f ca="1">IFERROR(VLOOKUP(F477,RESULTADOS!$O$5:$P$543,2,FALSE),VLOOKUP(F477,$B$5:$C$724,2,FALSE))</f>
        <v>0</v>
      </c>
      <c r="H477" s="4">
        <f ca="1">IF(F477&lt;PREMISSAS!$D$7,0,IFERROR(VLOOKUP(IF(LEFT(F477,2)="13",DATE(YEAR(F476),12,31),F477),IPCA!$A$3:$D$284,4,FALSE),1)*G477)</f>
        <v>0</v>
      </c>
      <c r="J477" s="21" t="str">
        <f t="shared" ca="1" si="49"/>
        <v/>
      </c>
      <c r="K477" s="4">
        <f t="shared" ca="1" si="50"/>
        <v>0</v>
      </c>
      <c r="M477" s="21" t="str">
        <f t="shared" ca="1" si="55"/>
        <v/>
      </c>
      <c r="N477" s="37">
        <f t="shared" ca="1" si="51"/>
        <v>0</v>
      </c>
      <c r="O477" s="4">
        <f ca="1">IFERROR(AVERAGEIF(N$5:$N477,"&gt;="&amp;_xlfn.PERCENTILE.EXC(N$5:$N477,0.2)),0)</f>
        <v>0</v>
      </c>
      <c r="Q477" s="21" t="str">
        <f t="shared" ca="1" si="52"/>
        <v/>
      </c>
      <c r="R477" s="4">
        <f ca="1">MIN(O477,PREMISSAS!$C$13)</f>
        <v>0</v>
      </c>
      <c r="S477" s="240"/>
      <c r="T477" s="240"/>
      <c r="U477" s="240"/>
      <c r="V477" s="241"/>
    </row>
    <row r="478" spans="2:22" x14ac:dyDescent="0.25">
      <c r="B478" s="21" t="str">
        <f t="shared" ca="1" si="53"/>
        <v/>
      </c>
      <c r="C478" s="22" t="str">
        <f ca="1">IF(B478="","",IF(LEFT(B478,2)="13",C477,IF(MONTH(B478)=1,C477*(1+PREMISSAS!$C$57),C477)))</f>
        <v/>
      </c>
      <c r="E478" s="18">
        <v>474</v>
      </c>
      <c r="F478" s="21" t="str">
        <f t="shared" ca="1" si="54"/>
        <v/>
      </c>
      <c r="G478" s="22">
        <f ca="1">IFERROR(VLOOKUP(F478,RESULTADOS!$O$5:$P$543,2,FALSE),VLOOKUP(F478,$B$5:$C$724,2,FALSE))</f>
        <v>0</v>
      </c>
      <c r="H478" s="4">
        <f ca="1">IF(F478&lt;PREMISSAS!$D$7,0,IFERROR(VLOOKUP(IF(LEFT(F478,2)="13",DATE(YEAR(F477),12,31),F478),IPCA!$A$3:$D$284,4,FALSE),1)*G478)</f>
        <v>0</v>
      </c>
      <c r="J478" s="21" t="str">
        <f t="shared" ca="1" si="49"/>
        <v/>
      </c>
      <c r="K478" s="4">
        <f t="shared" ca="1" si="50"/>
        <v>0</v>
      </c>
      <c r="M478" s="21" t="str">
        <f t="shared" ca="1" si="55"/>
        <v/>
      </c>
      <c r="N478" s="37">
        <f t="shared" ca="1" si="51"/>
        <v>0</v>
      </c>
      <c r="O478" s="4">
        <f ca="1">IFERROR(AVERAGEIF(N$5:$N478,"&gt;="&amp;_xlfn.PERCENTILE.EXC(N$5:$N478,0.2)),0)</f>
        <v>0</v>
      </c>
      <c r="Q478" s="21" t="str">
        <f t="shared" ca="1" si="52"/>
        <v/>
      </c>
      <c r="R478" s="4">
        <f ca="1">MIN(O478,PREMISSAS!$C$13)</f>
        <v>0</v>
      </c>
      <c r="S478" s="240"/>
      <c r="T478" s="240"/>
    </row>
    <row r="479" spans="2:22" x14ac:dyDescent="0.25">
      <c r="B479" s="21" t="str">
        <f t="shared" ca="1" si="53"/>
        <v/>
      </c>
      <c r="C479" s="22" t="str">
        <f ca="1">IF(B479="","",IF(LEFT(B479,2)="13",C478,IF(MONTH(B479)=1,C478*(1+PREMISSAS!$C$57),C478)))</f>
        <v/>
      </c>
      <c r="E479" s="18">
        <v>475</v>
      </c>
      <c r="F479" s="21" t="str">
        <f t="shared" ca="1" si="54"/>
        <v/>
      </c>
      <c r="G479" s="22">
        <f ca="1">IFERROR(VLOOKUP(F479,RESULTADOS!$O$5:$P$543,2,FALSE),VLOOKUP(F479,$B$5:$C$724,2,FALSE))</f>
        <v>0</v>
      </c>
      <c r="H479" s="4">
        <f ca="1">IF(F479&lt;PREMISSAS!$D$7,0,IFERROR(VLOOKUP(IF(LEFT(F479,2)="13",DATE(YEAR(F478),12,31),F479),IPCA!$A$3:$D$284,4,FALSE),1)*G479)</f>
        <v>0</v>
      </c>
      <c r="J479" s="21" t="str">
        <f t="shared" ca="1" si="49"/>
        <v/>
      </c>
      <c r="K479" s="4">
        <f t="shared" ca="1" si="50"/>
        <v>0</v>
      </c>
      <c r="M479" s="21" t="str">
        <f t="shared" ca="1" si="55"/>
        <v/>
      </c>
      <c r="N479" s="37">
        <f t="shared" ca="1" si="51"/>
        <v>0</v>
      </c>
      <c r="O479" s="4">
        <f ca="1">IFERROR(AVERAGEIF(N$5:$N479,"&gt;="&amp;_xlfn.PERCENTILE.EXC(N$5:$N479,0.2)),0)</f>
        <v>0</v>
      </c>
      <c r="Q479" s="21" t="str">
        <f t="shared" ca="1" si="52"/>
        <v/>
      </c>
      <c r="R479" s="4">
        <f ca="1">MIN(O479,PREMISSAS!$C$13)</f>
        <v>0</v>
      </c>
      <c r="S479" s="240"/>
      <c r="T479" s="240"/>
    </row>
    <row r="480" spans="2:22" x14ac:dyDescent="0.25">
      <c r="B480" s="21" t="str">
        <f t="shared" ca="1" si="53"/>
        <v/>
      </c>
      <c r="C480" s="22" t="str">
        <f ca="1">IF(B480="","",IF(LEFT(B480,2)="13",C479,IF(MONTH(B480)=1,C479*(1+PREMISSAS!$C$57),C479)))</f>
        <v/>
      </c>
      <c r="E480" s="18">
        <v>476</v>
      </c>
      <c r="F480" s="21" t="str">
        <f t="shared" ca="1" si="54"/>
        <v/>
      </c>
      <c r="G480" s="22">
        <f ca="1">IFERROR(VLOOKUP(F480,RESULTADOS!$O$5:$P$543,2,FALSE),VLOOKUP(F480,$B$5:$C$724,2,FALSE))</f>
        <v>0</v>
      </c>
      <c r="H480" s="4">
        <f ca="1">IF(F480&lt;PREMISSAS!$D$7,0,IFERROR(VLOOKUP(IF(LEFT(F480,2)="13",DATE(YEAR(F479),12,31),F480),IPCA!$A$3:$D$284,4,FALSE),1)*G480)</f>
        <v>0</v>
      </c>
      <c r="J480" s="21" t="str">
        <f t="shared" ca="1" si="49"/>
        <v/>
      </c>
      <c r="K480" s="4">
        <f t="shared" ca="1" si="50"/>
        <v>0</v>
      </c>
      <c r="M480" s="21" t="str">
        <f t="shared" ca="1" si="55"/>
        <v/>
      </c>
      <c r="N480" s="37">
        <f t="shared" ca="1" si="51"/>
        <v>0</v>
      </c>
      <c r="O480" s="4">
        <f ca="1">IFERROR(AVERAGEIF(N$5:$N480,"&gt;="&amp;_xlfn.PERCENTILE.EXC(N$5:$N480,0.2)),0)</f>
        <v>0</v>
      </c>
      <c r="Q480" s="21" t="str">
        <f t="shared" ca="1" si="52"/>
        <v/>
      </c>
      <c r="R480" s="4">
        <f ca="1">MIN(O480,PREMISSAS!$C$13)</f>
        <v>0</v>
      </c>
      <c r="S480" s="240"/>
      <c r="T480" s="240"/>
    </row>
    <row r="481" spans="2:20" x14ac:dyDescent="0.25">
      <c r="B481" s="21" t="str">
        <f t="shared" ca="1" si="53"/>
        <v/>
      </c>
      <c r="C481" s="22" t="str">
        <f ca="1">IF(B481="","",IF(LEFT(B481,2)="13",C480,IF(MONTH(B481)=1,C480*(1+PREMISSAS!$C$57),C480)))</f>
        <v/>
      </c>
      <c r="E481" s="18">
        <v>477</v>
      </c>
      <c r="F481" s="21" t="str">
        <f t="shared" ca="1" si="54"/>
        <v/>
      </c>
      <c r="G481" s="22">
        <f ca="1">IFERROR(VLOOKUP(F481,RESULTADOS!$O$5:$P$543,2,FALSE),VLOOKUP(F481,$B$5:$C$724,2,FALSE))</f>
        <v>0</v>
      </c>
      <c r="H481" s="4">
        <f ca="1">IF(F481&lt;PREMISSAS!$D$7,0,IFERROR(VLOOKUP(IF(LEFT(F481,2)="13",DATE(YEAR(F480),12,31),F481),IPCA!$A$3:$D$284,4,FALSE),1)*G481)</f>
        <v>0</v>
      </c>
      <c r="J481" s="21" t="str">
        <f t="shared" ca="1" si="49"/>
        <v/>
      </c>
      <c r="K481" s="4">
        <f t="shared" ca="1" si="50"/>
        <v>0</v>
      </c>
      <c r="M481" s="21" t="str">
        <f t="shared" ca="1" si="55"/>
        <v/>
      </c>
      <c r="N481" s="37">
        <f t="shared" ca="1" si="51"/>
        <v>0</v>
      </c>
      <c r="O481" s="4">
        <f ca="1">IFERROR(AVERAGEIF(N$5:$N481,"&gt;="&amp;_xlfn.PERCENTILE.EXC(N$5:$N481,0.2)),0)</f>
        <v>0</v>
      </c>
      <c r="Q481" s="21" t="str">
        <f t="shared" ca="1" si="52"/>
        <v/>
      </c>
      <c r="R481" s="4">
        <f ca="1">MIN(O481,PREMISSAS!$C$13)</f>
        <v>0</v>
      </c>
      <c r="S481" s="240"/>
      <c r="T481" s="240"/>
    </row>
    <row r="482" spans="2:20" x14ac:dyDescent="0.25">
      <c r="B482" s="21" t="str">
        <f t="shared" ca="1" si="53"/>
        <v/>
      </c>
      <c r="C482" s="22" t="str">
        <f ca="1">IF(B482="","",IF(LEFT(B482,2)="13",C481,IF(MONTH(B482)=1,C481*(1+PREMISSAS!$C$57),C481)))</f>
        <v/>
      </c>
      <c r="E482" s="18">
        <v>478</v>
      </c>
      <c r="F482" s="21" t="str">
        <f t="shared" ca="1" si="54"/>
        <v/>
      </c>
      <c r="G482" s="22">
        <f ca="1">IFERROR(VLOOKUP(F482,RESULTADOS!$O$5:$P$543,2,FALSE),VLOOKUP(F482,$B$5:$C$724,2,FALSE))</f>
        <v>0</v>
      </c>
      <c r="H482" s="4">
        <f ca="1">IF(F482&lt;PREMISSAS!$D$7,0,IFERROR(VLOOKUP(IF(LEFT(F482,2)="13",DATE(YEAR(F481),12,31),F482),IPCA!$A$3:$D$284,4,FALSE),1)*G482)</f>
        <v>0</v>
      </c>
      <c r="J482" s="21" t="str">
        <f t="shared" ca="1" si="49"/>
        <v/>
      </c>
      <c r="K482" s="4">
        <f t="shared" ca="1" si="50"/>
        <v>0</v>
      </c>
      <c r="M482" s="21" t="str">
        <f t="shared" ca="1" si="55"/>
        <v/>
      </c>
      <c r="N482" s="37">
        <f t="shared" ca="1" si="51"/>
        <v>0</v>
      </c>
      <c r="O482" s="4">
        <f ca="1">IFERROR(AVERAGEIF(N$5:$N482,"&gt;="&amp;_xlfn.PERCENTILE.EXC(N$5:$N482,0.2)),0)</f>
        <v>0</v>
      </c>
      <c r="Q482" s="21" t="str">
        <f t="shared" ca="1" si="52"/>
        <v/>
      </c>
      <c r="R482" s="4">
        <f ca="1">MIN(O482,PREMISSAS!$C$13)</f>
        <v>0</v>
      </c>
      <c r="S482" s="240"/>
      <c r="T482" s="240"/>
    </row>
    <row r="483" spans="2:20" x14ac:dyDescent="0.25">
      <c r="B483" s="21" t="str">
        <f t="shared" ca="1" si="53"/>
        <v/>
      </c>
      <c r="C483" s="22" t="str">
        <f ca="1">IF(B483="","",IF(LEFT(B483,2)="13",C482,IF(MONTH(B483)=1,C482*(1+PREMISSAS!$C$57),C482)))</f>
        <v/>
      </c>
      <c r="E483" s="18">
        <v>479</v>
      </c>
      <c r="F483" s="21" t="str">
        <f t="shared" ca="1" si="54"/>
        <v/>
      </c>
      <c r="G483" s="22">
        <f ca="1">IFERROR(VLOOKUP(F483,RESULTADOS!$O$5:$P$543,2,FALSE),VLOOKUP(F483,$B$5:$C$724,2,FALSE))</f>
        <v>0</v>
      </c>
      <c r="H483" s="4">
        <f ca="1">IF(F483&lt;PREMISSAS!$D$7,0,IFERROR(VLOOKUP(IF(LEFT(F483,2)="13",DATE(YEAR(F482),12,31),F483),IPCA!$A$3:$D$284,4,FALSE),1)*G483)</f>
        <v>0</v>
      </c>
      <c r="J483" s="21" t="str">
        <f t="shared" ca="1" si="49"/>
        <v/>
      </c>
      <c r="K483" s="4">
        <f t="shared" ca="1" si="50"/>
        <v>0</v>
      </c>
      <c r="M483" s="21" t="str">
        <f t="shared" ca="1" si="55"/>
        <v/>
      </c>
      <c r="N483" s="37">
        <f t="shared" ca="1" si="51"/>
        <v>0</v>
      </c>
      <c r="O483" s="4">
        <f ca="1">IFERROR(AVERAGEIF(N$5:$N483,"&gt;="&amp;_xlfn.PERCENTILE.EXC(N$5:$N483,0.2)),0)</f>
        <v>0</v>
      </c>
      <c r="Q483" s="21" t="str">
        <f t="shared" ca="1" si="52"/>
        <v/>
      </c>
      <c r="R483" s="4">
        <f ca="1">MIN(O483,PREMISSAS!$C$13)</f>
        <v>0</v>
      </c>
      <c r="S483" s="240"/>
      <c r="T483" s="240"/>
    </row>
    <row r="484" spans="2:20" x14ac:dyDescent="0.25">
      <c r="B484" s="21" t="str">
        <f t="shared" ca="1" si="53"/>
        <v/>
      </c>
      <c r="C484" s="22" t="str">
        <f ca="1">IF(B484="","",IF(LEFT(B484,2)="13",C483,IF(MONTH(B484)=1,C483*(1+PREMISSAS!$C$57),C483)))</f>
        <v/>
      </c>
      <c r="E484" s="18">
        <v>480</v>
      </c>
      <c r="F484" s="21" t="str">
        <f t="shared" ca="1" si="54"/>
        <v/>
      </c>
      <c r="G484" s="22">
        <f ca="1">IFERROR(VLOOKUP(F484,RESULTADOS!$O$5:$P$543,2,FALSE),VLOOKUP(F484,$B$5:$C$724,2,FALSE))</f>
        <v>0</v>
      </c>
      <c r="H484" s="4">
        <f ca="1">IF(F484&lt;PREMISSAS!$D$7,0,IFERROR(VLOOKUP(IF(LEFT(F484,2)="13",DATE(YEAR(F483),12,31),F484),IPCA!$A$3:$D$284,4,FALSE),1)*G484)</f>
        <v>0</v>
      </c>
      <c r="J484" s="21" t="str">
        <f t="shared" ca="1" si="49"/>
        <v/>
      </c>
      <c r="K484" s="4">
        <f t="shared" ca="1" si="50"/>
        <v>0</v>
      </c>
      <c r="M484" s="21" t="str">
        <f t="shared" ca="1" si="55"/>
        <v/>
      </c>
      <c r="N484" s="37">
        <f t="shared" ca="1" si="51"/>
        <v>0</v>
      </c>
      <c r="O484" s="4">
        <f ca="1">IFERROR(AVERAGEIF(N$5:$N484,"&gt;="&amp;_xlfn.PERCENTILE.EXC(N$5:$N484,0.2)),0)</f>
        <v>0</v>
      </c>
      <c r="Q484" s="21" t="str">
        <f t="shared" ca="1" si="52"/>
        <v/>
      </c>
      <c r="R484" s="4">
        <f ca="1">MIN(O484,PREMISSAS!$C$13)</f>
        <v>0</v>
      </c>
      <c r="S484" s="240"/>
      <c r="T484" s="240"/>
    </row>
    <row r="485" spans="2:20" x14ac:dyDescent="0.25">
      <c r="B485" s="21" t="str">
        <f t="shared" ca="1" si="53"/>
        <v/>
      </c>
      <c r="C485" s="22" t="str">
        <f ca="1">IF(B485="","",IF(LEFT(B485,2)="13",C484,IF(MONTH(B485)=1,C484*(1+PREMISSAS!$C$57),C484)))</f>
        <v/>
      </c>
      <c r="E485" s="18">
        <v>481</v>
      </c>
      <c r="F485" s="21" t="str">
        <f t="shared" ca="1" si="54"/>
        <v/>
      </c>
      <c r="G485" s="22">
        <f ca="1">IFERROR(VLOOKUP(F485,RESULTADOS!$O$5:$P$543,2,FALSE),VLOOKUP(F485,$B$5:$C$724,2,FALSE))</f>
        <v>0</v>
      </c>
      <c r="H485" s="4">
        <f ca="1">IF(F485&lt;PREMISSAS!$D$7,0,IFERROR(VLOOKUP(IF(LEFT(F485,2)="13",DATE(YEAR(F484),12,31),F485),IPCA!$A$3:$D$284,4,FALSE),1)*G485)</f>
        <v>0</v>
      </c>
      <c r="J485" s="21" t="str">
        <f t="shared" ca="1" si="49"/>
        <v/>
      </c>
      <c r="K485" s="4">
        <f t="shared" ca="1" si="50"/>
        <v>0</v>
      </c>
      <c r="M485" s="21" t="str">
        <f t="shared" ca="1" si="55"/>
        <v/>
      </c>
      <c r="N485" s="37">
        <f t="shared" ca="1" si="51"/>
        <v>0</v>
      </c>
      <c r="O485" s="4">
        <f ca="1">IFERROR(AVERAGEIF(N$5:$N485,"&gt;="&amp;_xlfn.PERCENTILE.EXC(N$5:$N485,0.2)),0)</f>
        <v>0</v>
      </c>
      <c r="Q485" s="21" t="str">
        <f t="shared" ca="1" si="52"/>
        <v/>
      </c>
      <c r="R485" s="4">
        <f ca="1">MIN(O485,PREMISSAS!$C$13)</f>
        <v>0</v>
      </c>
      <c r="S485" s="240"/>
      <c r="T485" s="240"/>
    </row>
    <row r="486" spans="2:20" x14ac:dyDescent="0.25">
      <c r="B486" s="21" t="str">
        <f t="shared" ca="1" si="53"/>
        <v/>
      </c>
      <c r="C486" s="22" t="str">
        <f ca="1">IF(B486="","",IF(LEFT(B486,2)="13",C485,IF(MONTH(B486)=1,C485*(1+PREMISSAS!$C$57),C485)))</f>
        <v/>
      </c>
      <c r="E486" s="18">
        <v>482</v>
      </c>
      <c r="F486" s="21" t="str">
        <f t="shared" ca="1" si="54"/>
        <v/>
      </c>
      <c r="G486" s="22">
        <f ca="1">IFERROR(VLOOKUP(F486,RESULTADOS!$O$5:$P$543,2,FALSE),VLOOKUP(F486,$B$5:$C$724,2,FALSE))</f>
        <v>0</v>
      </c>
      <c r="H486" s="4">
        <f ca="1">IF(F486&lt;PREMISSAS!$D$7,0,IFERROR(VLOOKUP(IF(LEFT(F486,2)="13",DATE(YEAR(F485),12,31),F486),IPCA!$A$3:$D$284,4,FALSE),1)*G486)</f>
        <v>0</v>
      </c>
      <c r="J486" s="21" t="str">
        <f t="shared" ca="1" si="49"/>
        <v/>
      </c>
      <c r="K486" s="4">
        <f t="shared" ca="1" si="50"/>
        <v>0</v>
      </c>
      <c r="M486" s="21" t="str">
        <f t="shared" ca="1" si="55"/>
        <v/>
      </c>
      <c r="N486" s="37">
        <f t="shared" ca="1" si="51"/>
        <v>0</v>
      </c>
      <c r="O486" s="4">
        <f ca="1">IFERROR(AVERAGEIF(N$5:$N486,"&gt;="&amp;_xlfn.PERCENTILE.EXC(N$5:$N486,0.2)),0)</f>
        <v>0</v>
      </c>
      <c r="Q486" s="21" t="str">
        <f t="shared" ca="1" si="52"/>
        <v/>
      </c>
      <c r="R486" s="4">
        <f ca="1">MIN(O486,PREMISSAS!$C$13)</f>
        <v>0</v>
      </c>
      <c r="S486" s="240"/>
      <c r="T486" s="240"/>
    </row>
    <row r="487" spans="2:20" x14ac:dyDescent="0.25">
      <c r="B487" s="21" t="str">
        <f t="shared" ca="1" si="53"/>
        <v/>
      </c>
      <c r="C487" s="22" t="str">
        <f ca="1">IF(B487="","",IF(LEFT(B487,2)="13",C486,IF(MONTH(B487)=1,C486*(1+PREMISSAS!$C$57),C486)))</f>
        <v/>
      </c>
      <c r="E487" s="18">
        <v>483</v>
      </c>
      <c r="F487" s="21" t="str">
        <f t="shared" ca="1" si="54"/>
        <v/>
      </c>
      <c r="G487" s="22">
        <f ca="1">IFERROR(VLOOKUP(F487,RESULTADOS!$O$5:$P$543,2,FALSE),VLOOKUP(F487,$B$5:$C$724,2,FALSE))</f>
        <v>0</v>
      </c>
      <c r="H487" s="4">
        <f ca="1">IF(F487&lt;PREMISSAS!$D$7,0,IFERROR(VLOOKUP(IF(LEFT(F487,2)="13",DATE(YEAR(F486),12,31),F487),IPCA!$A$3:$D$284,4,FALSE),1)*G487)</f>
        <v>0</v>
      </c>
      <c r="J487" s="21" t="str">
        <f t="shared" ca="1" si="49"/>
        <v/>
      </c>
      <c r="K487" s="4">
        <f t="shared" ca="1" si="50"/>
        <v>0</v>
      </c>
      <c r="M487" s="21" t="str">
        <f t="shared" ca="1" si="55"/>
        <v/>
      </c>
      <c r="N487" s="37">
        <f t="shared" ca="1" si="51"/>
        <v>0</v>
      </c>
      <c r="O487" s="4">
        <f ca="1">IFERROR(AVERAGEIF(N$5:$N487,"&gt;="&amp;_xlfn.PERCENTILE.EXC(N$5:$N487,0.2)),0)</f>
        <v>0</v>
      </c>
      <c r="Q487" s="21" t="str">
        <f t="shared" ca="1" si="52"/>
        <v/>
      </c>
      <c r="R487" s="4">
        <f ca="1">MIN(O487,PREMISSAS!$C$13)</f>
        <v>0</v>
      </c>
      <c r="S487" s="240"/>
      <c r="T487" s="240"/>
    </row>
    <row r="488" spans="2:20" x14ac:dyDescent="0.25">
      <c r="B488" s="21" t="str">
        <f t="shared" ca="1" si="53"/>
        <v/>
      </c>
      <c r="C488" s="22" t="str">
        <f ca="1">IF(B488="","",IF(LEFT(B488,2)="13",C487,IF(MONTH(B488)=1,C487*(1+PREMISSAS!$C$57),C487)))</f>
        <v/>
      </c>
      <c r="E488" s="18">
        <v>484</v>
      </c>
      <c r="F488" s="21" t="str">
        <f t="shared" ca="1" si="54"/>
        <v/>
      </c>
      <c r="G488" s="22">
        <f ca="1">IFERROR(VLOOKUP(F488,RESULTADOS!$O$5:$P$543,2,FALSE),VLOOKUP(F488,$B$5:$C$724,2,FALSE))</f>
        <v>0</v>
      </c>
      <c r="H488" s="4">
        <f ca="1">IF(F488&lt;PREMISSAS!$D$7,0,IFERROR(VLOOKUP(IF(LEFT(F488,2)="13",DATE(YEAR(F487),12,31),F488),IPCA!$A$3:$D$284,4,FALSE),1)*G488)</f>
        <v>0</v>
      </c>
      <c r="J488" s="21" t="str">
        <f t="shared" ca="1" si="49"/>
        <v/>
      </c>
      <c r="K488" s="4">
        <f t="shared" ca="1" si="50"/>
        <v>0</v>
      </c>
      <c r="M488" s="21" t="str">
        <f t="shared" ca="1" si="55"/>
        <v/>
      </c>
      <c r="N488" s="37">
        <f t="shared" ca="1" si="51"/>
        <v>0</v>
      </c>
      <c r="O488" s="4">
        <f ca="1">IFERROR(AVERAGEIF(N$5:$N488,"&gt;="&amp;_xlfn.PERCENTILE.EXC(N$5:$N488,0.2)),0)</f>
        <v>0</v>
      </c>
      <c r="Q488" s="21" t="str">
        <f t="shared" ca="1" si="52"/>
        <v/>
      </c>
      <c r="R488" s="4">
        <f ca="1">MIN(O488,PREMISSAS!$C$13)</f>
        <v>0</v>
      </c>
      <c r="S488" s="240"/>
      <c r="T488" s="240"/>
    </row>
    <row r="489" spans="2:20" x14ac:dyDescent="0.25">
      <c r="B489" s="21" t="str">
        <f t="shared" ca="1" si="53"/>
        <v/>
      </c>
      <c r="C489" s="22" t="str">
        <f ca="1">IF(B489="","",IF(LEFT(B489,2)="13",C488,IF(MONTH(B489)=1,C488*(1+PREMISSAS!$C$57),C488)))</f>
        <v/>
      </c>
      <c r="E489" s="18">
        <v>485</v>
      </c>
      <c r="F489" s="21" t="str">
        <f t="shared" ca="1" si="54"/>
        <v/>
      </c>
      <c r="G489" s="22">
        <f ca="1">IFERROR(VLOOKUP(F489,RESULTADOS!$O$5:$P$543,2,FALSE),VLOOKUP(F489,$B$5:$C$724,2,FALSE))</f>
        <v>0</v>
      </c>
      <c r="H489" s="4">
        <f ca="1">IF(F489&lt;PREMISSAS!$D$7,0,IFERROR(VLOOKUP(IF(LEFT(F489,2)="13",DATE(YEAR(F488),12,31),F489),IPCA!$A$3:$D$284,4,FALSE),1)*G489)</f>
        <v>0</v>
      </c>
      <c r="J489" s="21" t="str">
        <f t="shared" ca="1" si="49"/>
        <v/>
      </c>
      <c r="K489" s="4">
        <f t="shared" ca="1" si="50"/>
        <v>0</v>
      </c>
      <c r="M489" s="21" t="str">
        <f t="shared" ca="1" si="55"/>
        <v/>
      </c>
      <c r="N489" s="37">
        <f t="shared" ca="1" si="51"/>
        <v>0</v>
      </c>
      <c r="O489" s="4">
        <f ca="1">IFERROR(AVERAGEIF(N$5:$N489,"&gt;="&amp;_xlfn.PERCENTILE.EXC(N$5:$N489,0.2)),0)</f>
        <v>0</v>
      </c>
      <c r="Q489" s="21" t="str">
        <f t="shared" ca="1" si="52"/>
        <v/>
      </c>
      <c r="R489" s="4">
        <f ca="1">MIN(O489,PREMISSAS!$C$13)</f>
        <v>0</v>
      </c>
      <c r="S489" s="240"/>
      <c r="T489" s="240"/>
    </row>
    <row r="490" spans="2:20" x14ac:dyDescent="0.25">
      <c r="B490" s="21" t="str">
        <f t="shared" ca="1" si="53"/>
        <v/>
      </c>
      <c r="C490" s="22" t="str">
        <f ca="1">IF(B490="","",IF(LEFT(B490,2)="13",C489,IF(MONTH(B490)=1,C489*(1+PREMISSAS!$C$57),C489)))</f>
        <v/>
      </c>
      <c r="E490" s="18">
        <v>486</v>
      </c>
      <c r="F490" s="21" t="str">
        <f t="shared" ca="1" si="54"/>
        <v/>
      </c>
      <c r="G490" s="22">
        <f ca="1">IFERROR(VLOOKUP(F490,RESULTADOS!$O$5:$P$543,2,FALSE),VLOOKUP(F490,$B$5:$C$724,2,FALSE))</f>
        <v>0</v>
      </c>
      <c r="H490" s="4">
        <f ca="1">IF(F490&lt;PREMISSAS!$D$7,0,IFERROR(VLOOKUP(IF(LEFT(F490,2)="13",DATE(YEAR(F489),12,31),F490),IPCA!$A$3:$D$284,4,FALSE),1)*G490)</f>
        <v>0</v>
      </c>
      <c r="J490" s="21" t="str">
        <f t="shared" ca="1" si="49"/>
        <v/>
      </c>
      <c r="K490" s="4">
        <f t="shared" ca="1" si="50"/>
        <v>0</v>
      </c>
      <c r="M490" s="21" t="str">
        <f t="shared" ca="1" si="55"/>
        <v/>
      </c>
      <c r="N490" s="37">
        <f t="shared" ca="1" si="51"/>
        <v>0</v>
      </c>
      <c r="O490" s="4">
        <f ca="1">IFERROR(AVERAGEIF(N$5:$N490,"&gt;="&amp;_xlfn.PERCENTILE.EXC(N$5:$N490,0.2)),0)</f>
        <v>0</v>
      </c>
      <c r="Q490" s="21" t="str">
        <f t="shared" ca="1" si="52"/>
        <v/>
      </c>
      <c r="R490" s="4">
        <f ca="1">MIN(O490,PREMISSAS!$C$13)</f>
        <v>0</v>
      </c>
      <c r="S490" s="240"/>
      <c r="T490" s="240"/>
    </row>
    <row r="491" spans="2:20" x14ac:dyDescent="0.25">
      <c r="B491" s="21" t="str">
        <f t="shared" ca="1" si="53"/>
        <v/>
      </c>
      <c r="C491" s="22" t="str">
        <f ca="1">IF(B491="","",IF(LEFT(B491,2)="13",C490,IF(MONTH(B491)=1,C490*(1+PREMISSAS!$C$57),C490)))</f>
        <v/>
      </c>
      <c r="E491" s="18">
        <v>487</v>
      </c>
      <c r="F491" s="21" t="str">
        <f t="shared" ca="1" si="54"/>
        <v/>
      </c>
      <c r="G491" s="22">
        <f ca="1">IFERROR(VLOOKUP(F491,RESULTADOS!$O$5:$P$543,2,FALSE),VLOOKUP(F491,$B$5:$C$724,2,FALSE))</f>
        <v>0</v>
      </c>
      <c r="H491" s="4">
        <f ca="1">IF(F491&lt;PREMISSAS!$D$7,0,IFERROR(VLOOKUP(IF(LEFT(F491,2)="13",DATE(YEAR(F490),12,31),F491),IPCA!$A$3:$D$284,4,FALSE),1)*G491)</f>
        <v>0</v>
      </c>
      <c r="J491" s="21" t="str">
        <f t="shared" ca="1" si="49"/>
        <v/>
      </c>
      <c r="K491" s="4">
        <f t="shared" ca="1" si="50"/>
        <v>0</v>
      </c>
      <c r="M491" s="21" t="str">
        <f t="shared" ca="1" si="55"/>
        <v/>
      </c>
      <c r="N491" s="37">
        <f t="shared" ca="1" si="51"/>
        <v>0</v>
      </c>
      <c r="O491" s="4">
        <f ca="1">IFERROR(AVERAGEIF(N$5:$N491,"&gt;="&amp;_xlfn.PERCENTILE.EXC(N$5:$N491,0.2)),0)</f>
        <v>0</v>
      </c>
      <c r="Q491" s="21" t="str">
        <f t="shared" ca="1" si="52"/>
        <v/>
      </c>
      <c r="R491" s="4">
        <f ca="1">MIN(O491,PREMISSAS!$C$13)</f>
        <v>0</v>
      </c>
      <c r="S491" s="240"/>
      <c r="T491" s="240"/>
    </row>
    <row r="492" spans="2:20" x14ac:dyDescent="0.25">
      <c r="B492" s="21" t="str">
        <f t="shared" ca="1" si="53"/>
        <v/>
      </c>
      <c r="C492" s="22" t="str">
        <f ca="1">IF(B492="","",IF(LEFT(B492,2)="13",C491,IF(MONTH(B492)=1,C491*(1+PREMISSAS!$C$57),C491)))</f>
        <v/>
      </c>
      <c r="E492" s="18">
        <v>488</v>
      </c>
      <c r="F492" s="21" t="str">
        <f t="shared" ca="1" si="54"/>
        <v/>
      </c>
      <c r="G492" s="22">
        <f ca="1">IFERROR(VLOOKUP(F492,RESULTADOS!$O$5:$P$543,2,FALSE),VLOOKUP(F492,$B$5:$C$724,2,FALSE))</f>
        <v>0</v>
      </c>
      <c r="H492" s="4">
        <f ca="1">IF(F492&lt;PREMISSAS!$D$7,0,IFERROR(VLOOKUP(IF(LEFT(F492,2)="13",DATE(YEAR(F491),12,31),F492),IPCA!$A$3:$D$284,4,FALSE),1)*G492)</f>
        <v>0</v>
      </c>
      <c r="J492" s="21" t="str">
        <f t="shared" ca="1" si="49"/>
        <v/>
      </c>
      <c r="K492" s="4">
        <f t="shared" ca="1" si="50"/>
        <v>0</v>
      </c>
      <c r="M492" s="21" t="str">
        <f t="shared" ca="1" si="55"/>
        <v/>
      </c>
      <c r="N492" s="37">
        <f t="shared" ca="1" si="51"/>
        <v>0</v>
      </c>
      <c r="O492" s="4">
        <f ca="1">IFERROR(AVERAGEIF(N$5:$N492,"&gt;="&amp;_xlfn.PERCENTILE.EXC(N$5:$N492,0.2)),0)</f>
        <v>0</v>
      </c>
      <c r="Q492" s="21" t="str">
        <f t="shared" ca="1" si="52"/>
        <v/>
      </c>
      <c r="R492" s="4">
        <f ca="1">MIN(O492,PREMISSAS!$C$13)</f>
        <v>0</v>
      </c>
      <c r="S492" s="240"/>
      <c r="T492" s="240"/>
    </row>
    <row r="493" spans="2:20" x14ac:dyDescent="0.25">
      <c r="B493" s="21" t="str">
        <f t="shared" ca="1" si="53"/>
        <v/>
      </c>
      <c r="C493" s="22" t="str">
        <f ca="1">IF(B493="","",IF(LEFT(B493,2)="13",C492,IF(MONTH(B493)=1,C492*(1+PREMISSAS!$C$57),C492)))</f>
        <v/>
      </c>
      <c r="E493" s="18">
        <v>489</v>
      </c>
      <c r="F493" s="21" t="str">
        <f t="shared" ca="1" si="54"/>
        <v/>
      </c>
      <c r="G493" s="22">
        <f ca="1">IFERROR(VLOOKUP(F493,RESULTADOS!$O$5:$P$543,2,FALSE),VLOOKUP(F493,$B$5:$C$724,2,FALSE))</f>
        <v>0</v>
      </c>
      <c r="H493" s="4">
        <f ca="1">IF(F493&lt;PREMISSAS!$D$7,0,IFERROR(VLOOKUP(IF(LEFT(F493,2)="13",DATE(YEAR(F492),12,31),F493),IPCA!$A$3:$D$284,4,FALSE),1)*G493)</f>
        <v>0</v>
      </c>
      <c r="J493" s="21" t="str">
        <f t="shared" ca="1" si="49"/>
        <v/>
      </c>
      <c r="K493" s="4">
        <f t="shared" ca="1" si="50"/>
        <v>0</v>
      </c>
      <c r="M493" s="21" t="str">
        <f t="shared" ca="1" si="55"/>
        <v/>
      </c>
      <c r="N493" s="37">
        <f t="shared" ca="1" si="51"/>
        <v>0</v>
      </c>
      <c r="O493" s="4">
        <f ca="1">IFERROR(AVERAGEIF(N$5:$N493,"&gt;="&amp;_xlfn.PERCENTILE.EXC(N$5:$N493,0.2)),0)</f>
        <v>0</v>
      </c>
      <c r="Q493" s="21" t="str">
        <f t="shared" ca="1" si="52"/>
        <v/>
      </c>
      <c r="R493" s="4">
        <f ca="1">MIN(O493,PREMISSAS!$C$13)</f>
        <v>0</v>
      </c>
      <c r="S493" s="240"/>
      <c r="T493" s="240"/>
    </row>
    <row r="494" spans="2:20" x14ac:dyDescent="0.25">
      <c r="B494" s="21" t="str">
        <f t="shared" ca="1" si="53"/>
        <v/>
      </c>
      <c r="C494" s="22" t="str">
        <f ca="1">IF(B494="","",IF(LEFT(B494,2)="13",C493,IF(MONTH(B494)=1,C493*(1+PREMISSAS!$C$57),C493)))</f>
        <v/>
      </c>
      <c r="E494" s="18">
        <v>490</v>
      </c>
      <c r="F494" s="21" t="str">
        <f t="shared" ca="1" si="54"/>
        <v/>
      </c>
      <c r="G494" s="22">
        <f ca="1">IFERROR(VLOOKUP(F494,RESULTADOS!$O$5:$P$543,2,FALSE),VLOOKUP(F494,$B$5:$C$724,2,FALSE))</f>
        <v>0</v>
      </c>
      <c r="H494" s="4">
        <f ca="1">IF(F494&lt;PREMISSAS!$D$7,0,IFERROR(VLOOKUP(IF(LEFT(F494,2)="13",DATE(YEAR(F493),12,31),F494),IPCA!$A$3:$D$284,4,FALSE),1)*G494)</f>
        <v>0</v>
      </c>
      <c r="J494" s="21" t="str">
        <f t="shared" ca="1" si="49"/>
        <v/>
      </c>
      <c r="K494" s="4">
        <f t="shared" ca="1" si="50"/>
        <v>0</v>
      </c>
      <c r="M494" s="21" t="str">
        <f t="shared" ca="1" si="55"/>
        <v/>
      </c>
      <c r="N494" s="37">
        <f t="shared" ca="1" si="51"/>
        <v>0</v>
      </c>
      <c r="O494" s="4">
        <f ca="1">IFERROR(AVERAGEIF(N$5:$N494,"&gt;="&amp;_xlfn.PERCENTILE.EXC(N$5:$N494,0.2)),0)</f>
        <v>0</v>
      </c>
      <c r="Q494" s="21" t="str">
        <f t="shared" ca="1" si="52"/>
        <v/>
      </c>
      <c r="R494" s="4">
        <f ca="1">MIN(O494,PREMISSAS!$C$13)</f>
        <v>0</v>
      </c>
      <c r="S494" s="240"/>
      <c r="T494" s="240"/>
    </row>
    <row r="495" spans="2:20" x14ac:dyDescent="0.25">
      <c r="B495" s="21" t="str">
        <f t="shared" ca="1" si="53"/>
        <v/>
      </c>
      <c r="C495" s="22" t="str">
        <f ca="1">IF(B495="","",IF(LEFT(B495,2)="13",C494,IF(MONTH(B495)=1,C494*(1+PREMISSAS!$C$57),C494)))</f>
        <v/>
      </c>
      <c r="E495" s="18">
        <v>491</v>
      </c>
      <c r="F495" s="21" t="str">
        <f t="shared" ca="1" si="54"/>
        <v/>
      </c>
      <c r="G495" s="22">
        <f ca="1">IFERROR(VLOOKUP(F495,RESULTADOS!$O$5:$P$543,2,FALSE),VLOOKUP(F495,$B$5:$C$724,2,FALSE))</f>
        <v>0</v>
      </c>
      <c r="H495" s="4">
        <f ca="1">IF(F495&lt;PREMISSAS!$D$7,0,IFERROR(VLOOKUP(IF(LEFT(F495,2)="13",DATE(YEAR(F494),12,31),F495),IPCA!$A$3:$D$284,4,FALSE),1)*G495)</f>
        <v>0</v>
      </c>
      <c r="J495" s="21" t="str">
        <f t="shared" ca="1" si="49"/>
        <v/>
      </c>
      <c r="K495" s="4">
        <f t="shared" ca="1" si="50"/>
        <v>0</v>
      </c>
      <c r="M495" s="21" t="str">
        <f t="shared" ca="1" si="55"/>
        <v/>
      </c>
      <c r="N495" s="37">
        <f t="shared" ca="1" si="51"/>
        <v>0</v>
      </c>
      <c r="O495" s="4">
        <f ca="1">IFERROR(AVERAGEIF(N$5:$N495,"&gt;="&amp;_xlfn.PERCENTILE.EXC(N$5:$N495,0.2)),0)</f>
        <v>0</v>
      </c>
      <c r="Q495" s="21" t="str">
        <f t="shared" ca="1" si="52"/>
        <v/>
      </c>
      <c r="R495" s="4">
        <f ca="1">MIN(O495,PREMISSAS!$C$13)</f>
        <v>0</v>
      </c>
      <c r="S495" s="240"/>
      <c r="T495" s="240"/>
    </row>
    <row r="496" spans="2:20" x14ac:dyDescent="0.25">
      <c r="B496" s="21" t="str">
        <f t="shared" ca="1" si="53"/>
        <v/>
      </c>
      <c r="C496" s="22" t="str">
        <f ca="1">IF(B496="","",IF(LEFT(B496,2)="13",C495,IF(MONTH(B496)=1,C495*(1+PREMISSAS!$C$57),C495)))</f>
        <v/>
      </c>
      <c r="E496" s="18">
        <v>492</v>
      </c>
      <c r="F496" s="21" t="str">
        <f t="shared" ca="1" si="54"/>
        <v/>
      </c>
      <c r="G496" s="22">
        <f ca="1">IFERROR(VLOOKUP(F496,RESULTADOS!$O$5:$P$543,2,FALSE),VLOOKUP(F496,$B$5:$C$724,2,FALSE))</f>
        <v>0</v>
      </c>
      <c r="H496" s="4">
        <f ca="1">IF(F496&lt;PREMISSAS!$D$7,0,IFERROR(VLOOKUP(IF(LEFT(F496,2)="13",DATE(YEAR(F495),12,31),F496),IPCA!$A$3:$D$284,4,FALSE),1)*G496)</f>
        <v>0</v>
      </c>
      <c r="J496" s="21" t="str">
        <f t="shared" ca="1" si="49"/>
        <v/>
      </c>
      <c r="K496" s="4">
        <f t="shared" ca="1" si="50"/>
        <v>0</v>
      </c>
      <c r="M496" s="21" t="str">
        <f t="shared" ca="1" si="55"/>
        <v/>
      </c>
      <c r="N496" s="37">
        <f t="shared" ca="1" si="51"/>
        <v>0</v>
      </c>
      <c r="O496" s="4">
        <f ca="1">IFERROR(AVERAGEIF(N$5:$N496,"&gt;="&amp;_xlfn.PERCENTILE.EXC(N$5:$N496,0.2)),0)</f>
        <v>0</v>
      </c>
      <c r="Q496" s="21" t="str">
        <f t="shared" ca="1" si="52"/>
        <v/>
      </c>
      <c r="R496" s="4">
        <f ca="1">MIN(O496,PREMISSAS!$C$13)</f>
        <v>0</v>
      </c>
      <c r="S496" s="240"/>
      <c r="T496" s="240"/>
    </row>
    <row r="497" spans="2:20" x14ac:dyDescent="0.25">
      <c r="B497" s="21" t="str">
        <f t="shared" ca="1" si="53"/>
        <v/>
      </c>
      <c r="C497" s="22" t="str">
        <f ca="1">IF(B497="","",IF(LEFT(B497,2)="13",C496,IF(MONTH(B497)=1,C496*(1+PREMISSAS!$C$57),C496)))</f>
        <v/>
      </c>
      <c r="E497" s="18">
        <v>493</v>
      </c>
      <c r="F497" s="21" t="str">
        <f t="shared" ca="1" si="54"/>
        <v/>
      </c>
      <c r="G497" s="22">
        <f ca="1">IFERROR(VLOOKUP(F497,RESULTADOS!$O$5:$P$543,2,FALSE),VLOOKUP(F497,$B$5:$C$724,2,FALSE))</f>
        <v>0</v>
      </c>
      <c r="H497" s="4">
        <f ca="1">IF(F497&lt;PREMISSAS!$D$7,0,IFERROR(VLOOKUP(IF(LEFT(F497,2)="13",DATE(YEAR(F496),12,31),F497),IPCA!$A$3:$D$284,4,FALSE),1)*G497)</f>
        <v>0</v>
      </c>
      <c r="J497" s="21" t="str">
        <f t="shared" ca="1" si="49"/>
        <v/>
      </c>
      <c r="K497" s="4">
        <f t="shared" ca="1" si="50"/>
        <v>0</v>
      </c>
      <c r="M497" s="21" t="str">
        <f t="shared" ca="1" si="55"/>
        <v/>
      </c>
      <c r="N497" s="37">
        <f t="shared" ca="1" si="51"/>
        <v>0</v>
      </c>
      <c r="O497" s="4">
        <f ca="1">IFERROR(AVERAGEIF(N$5:$N497,"&gt;="&amp;_xlfn.PERCENTILE.EXC(N$5:$N497,0.2)),0)</f>
        <v>0</v>
      </c>
      <c r="Q497" s="21" t="str">
        <f t="shared" ca="1" si="52"/>
        <v/>
      </c>
      <c r="R497" s="4">
        <f ca="1">MIN(O497,PREMISSAS!$C$13)</f>
        <v>0</v>
      </c>
      <c r="S497" s="240"/>
      <c r="T497" s="240"/>
    </row>
    <row r="498" spans="2:20" x14ac:dyDescent="0.25">
      <c r="B498" s="21" t="str">
        <f t="shared" ca="1" si="53"/>
        <v/>
      </c>
      <c r="C498" s="22" t="str">
        <f ca="1">IF(B498="","",IF(LEFT(B498,2)="13",C497,IF(MONTH(B498)=1,C497*(1+PREMISSAS!$C$57),C497)))</f>
        <v/>
      </c>
      <c r="E498" s="18">
        <v>494</v>
      </c>
      <c r="F498" s="21" t="str">
        <f t="shared" ca="1" si="54"/>
        <v/>
      </c>
      <c r="G498" s="22">
        <f ca="1">IFERROR(VLOOKUP(F498,RESULTADOS!$O$5:$P$543,2,FALSE),VLOOKUP(F498,$B$5:$C$724,2,FALSE))</f>
        <v>0</v>
      </c>
      <c r="H498" s="4">
        <f ca="1">IF(F498&lt;PREMISSAS!$D$7,0,IFERROR(VLOOKUP(IF(LEFT(F498,2)="13",DATE(YEAR(F497),12,31),F498),IPCA!$A$3:$D$284,4,FALSE),1)*G498)</f>
        <v>0</v>
      </c>
      <c r="J498" s="21" t="str">
        <f t="shared" ca="1" si="49"/>
        <v/>
      </c>
      <c r="K498" s="4">
        <f t="shared" ca="1" si="50"/>
        <v>0</v>
      </c>
      <c r="M498" s="21" t="str">
        <f t="shared" ca="1" si="55"/>
        <v/>
      </c>
      <c r="N498" s="37">
        <f t="shared" ca="1" si="51"/>
        <v>0</v>
      </c>
      <c r="O498" s="4">
        <f ca="1">IFERROR(AVERAGEIF(N$5:$N498,"&gt;="&amp;_xlfn.PERCENTILE.EXC(N$5:$N498,0.2)),0)</f>
        <v>0</v>
      </c>
      <c r="Q498" s="21" t="str">
        <f t="shared" ca="1" si="52"/>
        <v/>
      </c>
      <c r="R498" s="4">
        <f ca="1">MIN(O498,PREMISSAS!$C$13)</f>
        <v>0</v>
      </c>
      <c r="S498" s="240"/>
      <c r="T498" s="240"/>
    </row>
    <row r="499" spans="2:20" x14ac:dyDescent="0.25">
      <c r="B499" s="21" t="str">
        <f t="shared" ca="1" si="53"/>
        <v/>
      </c>
      <c r="C499" s="22" t="str">
        <f ca="1">IF(B499="","",IF(LEFT(B499,2)="13",C498,IF(MONTH(B499)=1,C498*(1+PREMISSAS!$C$57),C498)))</f>
        <v/>
      </c>
      <c r="E499" s="18">
        <v>495</v>
      </c>
      <c r="F499" s="21" t="str">
        <f t="shared" ca="1" si="54"/>
        <v/>
      </c>
      <c r="G499" s="22">
        <f ca="1">IFERROR(VLOOKUP(F499,RESULTADOS!$O$5:$P$543,2,FALSE),VLOOKUP(F499,$B$5:$C$724,2,FALSE))</f>
        <v>0</v>
      </c>
      <c r="H499" s="4">
        <f ca="1">IF(F499&lt;PREMISSAS!$D$7,0,IFERROR(VLOOKUP(IF(LEFT(F499,2)="13",DATE(YEAR(F498),12,31),F499),IPCA!$A$3:$D$284,4,FALSE),1)*G499)</f>
        <v>0</v>
      </c>
      <c r="J499" s="21" t="str">
        <f t="shared" ca="1" si="49"/>
        <v/>
      </c>
      <c r="K499" s="4">
        <f t="shared" ca="1" si="50"/>
        <v>0</v>
      </c>
      <c r="M499" s="21" t="str">
        <f t="shared" ca="1" si="55"/>
        <v/>
      </c>
      <c r="N499" s="37">
        <f t="shared" ca="1" si="51"/>
        <v>0</v>
      </c>
      <c r="O499" s="4">
        <f ca="1">IFERROR(AVERAGEIF(N$5:$N499,"&gt;="&amp;_xlfn.PERCENTILE.EXC(N$5:$N499,0.2)),0)</f>
        <v>0</v>
      </c>
      <c r="Q499" s="21" t="str">
        <f t="shared" ca="1" si="52"/>
        <v/>
      </c>
      <c r="R499" s="4">
        <f ca="1">MIN(O499,PREMISSAS!$C$13)</f>
        <v>0</v>
      </c>
      <c r="S499" s="240"/>
      <c r="T499" s="240"/>
    </row>
    <row r="500" spans="2:20" x14ac:dyDescent="0.25">
      <c r="B500" s="21" t="str">
        <f t="shared" ca="1" si="53"/>
        <v/>
      </c>
      <c r="C500" s="22" t="str">
        <f ca="1">IF(B500="","",IF(LEFT(B500,2)="13",C499,IF(MONTH(B500)=1,C499*(1+PREMISSAS!$C$57),C499)))</f>
        <v/>
      </c>
      <c r="E500" s="18">
        <v>496</v>
      </c>
      <c r="F500" s="21" t="str">
        <f t="shared" ca="1" si="54"/>
        <v/>
      </c>
      <c r="G500" s="22">
        <f ca="1">IFERROR(VLOOKUP(F500,RESULTADOS!$O$5:$P$543,2,FALSE),VLOOKUP(F500,$B$5:$C$724,2,FALSE))</f>
        <v>0</v>
      </c>
      <c r="H500" s="4">
        <f ca="1">IF(F500&lt;PREMISSAS!$D$7,0,IFERROR(VLOOKUP(IF(LEFT(F500,2)="13",DATE(YEAR(F499),12,31),F500),IPCA!$A$3:$D$284,4,FALSE),1)*G500)</f>
        <v>0</v>
      </c>
      <c r="J500" s="21" t="str">
        <f t="shared" ca="1" si="49"/>
        <v/>
      </c>
      <c r="K500" s="4">
        <f t="shared" ca="1" si="50"/>
        <v>0</v>
      </c>
      <c r="M500" s="21" t="str">
        <f t="shared" ca="1" si="55"/>
        <v/>
      </c>
      <c r="N500" s="37">
        <f t="shared" ca="1" si="51"/>
        <v>0</v>
      </c>
      <c r="O500" s="4">
        <f ca="1">IFERROR(AVERAGEIF(N$5:$N500,"&gt;="&amp;_xlfn.PERCENTILE.EXC(N$5:$N500,0.2)),0)</f>
        <v>0</v>
      </c>
      <c r="Q500" s="21" t="str">
        <f t="shared" ca="1" si="52"/>
        <v/>
      </c>
      <c r="R500" s="4">
        <f ca="1">MIN(O500,PREMISSAS!$C$13)</f>
        <v>0</v>
      </c>
      <c r="S500" s="240"/>
      <c r="T500" s="240"/>
    </row>
    <row r="501" spans="2:20" x14ac:dyDescent="0.25">
      <c r="B501" s="21" t="str">
        <f t="shared" ca="1" si="53"/>
        <v/>
      </c>
      <c r="C501" s="22" t="str">
        <f ca="1">IF(B501="","",IF(LEFT(B501,2)="13",C500,IF(MONTH(B501)=1,C500*(1+PREMISSAS!$C$57),C500)))</f>
        <v/>
      </c>
      <c r="E501" s="18">
        <v>497</v>
      </c>
      <c r="F501" s="21" t="str">
        <f t="shared" ca="1" si="54"/>
        <v/>
      </c>
      <c r="G501" s="22">
        <f ca="1">IFERROR(VLOOKUP(F501,RESULTADOS!$O$5:$P$543,2,FALSE),VLOOKUP(F501,$B$5:$C$724,2,FALSE))</f>
        <v>0</v>
      </c>
      <c r="H501" s="4">
        <f ca="1">IF(F501&lt;PREMISSAS!$D$7,0,IFERROR(VLOOKUP(IF(LEFT(F501,2)="13",DATE(YEAR(F500),12,31),F501),IPCA!$A$3:$D$284,4,FALSE),1)*G501)</f>
        <v>0</v>
      </c>
      <c r="J501" s="21" t="str">
        <f t="shared" ca="1" si="49"/>
        <v/>
      </c>
      <c r="K501" s="4">
        <f t="shared" ca="1" si="50"/>
        <v>0</v>
      </c>
      <c r="M501" s="21" t="str">
        <f t="shared" ca="1" si="55"/>
        <v/>
      </c>
      <c r="N501" s="37">
        <f t="shared" ca="1" si="51"/>
        <v>0</v>
      </c>
      <c r="O501" s="4">
        <f ca="1">IFERROR(AVERAGEIF(N$5:$N501,"&gt;="&amp;_xlfn.PERCENTILE.EXC(N$5:$N501,0.2)),0)</f>
        <v>0</v>
      </c>
      <c r="Q501" s="21" t="str">
        <f t="shared" ca="1" si="52"/>
        <v/>
      </c>
      <c r="R501" s="4">
        <f ca="1">MIN(O501,PREMISSAS!$C$13)</f>
        <v>0</v>
      </c>
      <c r="S501" s="240"/>
      <c r="T501" s="240"/>
    </row>
    <row r="502" spans="2:20" x14ac:dyDescent="0.25">
      <c r="B502" s="21" t="str">
        <f t="shared" ca="1" si="53"/>
        <v/>
      </c>
      <c r="C502" s="22" t="str">
        <f ca="1">IF(B502="","",IF(LEFT(B502,2)="13",C501,IF(MONTH(B502)=1,C501*(1+PREMISSAS!$C$57),C501)))</f>
        <v/>
      </c>
      <c r="E502" s="18">
        <v>498</v>
      </c>
      <c r="F502" s="21" t="str">
        <f t="shared" ca="1" si="54"/>
        <v/>
      </c>
      <c r="G502" s="22">
        <f ca="1">IFERROR(VLOOKUP(F502,RESULTADOS!$O$5:$P$543,2,FALSE),VLOOKUP(F502,$B$5:$C$724,2,FALSE))</f>
        <v>0</v>
      </c>
      <c r="H502" s="4">
        <f ca="1">IF(F502&lt;PREMISSAS!$D$7,0,IFERROR(VLOOKUP(IF(LEFT(F502,2)="13",DATE(YEAR(F501),12,31),F502),IPCA!$A$3:$D$284,4,FALSE),1)*G502)</f>
        <v>0</v>
      </c>
      <c r="J502" s="21" t="str">
        <f t="shared" ca="1" si="49"/>
        <v/>
      </c>
      <c r="K502" s="4">
        <f t="shared" ca="1" si="50"/>
        <v>0</v>
      </c>
      <c r="M502" s="21" t="str">
        <f t="shared" ca="1" si="55"/>
        <v/>
      </c>
      <c r="N502" s="37">
        <f t="shared" ca="1" si="51"/>
        <v>0</v>
      </c>
      <c r="O502" s="4">
        <f ca="1">IFERROR(AVERAGEIF(N$5:$N502,"&gt;="&amp;_xlfn.PERCENTILE.EXC(N$5:$N502,0.2)),0)</f>
        <v>0</v>
      </c>
      <c r="Q502" s="21" t="str">
        <f t="shared" ca="1" si="52"/>
        <v/>
      </c>
      <c r="R502" s="4">
        <f ca="1">MIN(O502,PREMISSAS!$C$13)</f>
        <v>0</v>
      </c>
      <c r="S502" s="240"/>
      <c r="T502" s="240"/>
    </row>
    <row r="503" spans="2:20" x14ac:dyDescent="0.25">
      <c r="B503" s="21" t="str">
        <f t="shared" ca="1" si="53"/>
        <v/>
      </c>
      <c r="C503" s="22" t="str">
        <f ca="1">IF(B503="","",IF(LEFT(B503,2)="13",C502,IF(MONTH(B503)=1,C502*(1+PREMISSAS!$C$57),C502)))</f>
        <v/>
      </c>
      <c r="E503" s="18">
        <v>499</v>
      </c>
      <c r="F503" s="21" t="str">
        <f t="shared" ca="1" si="54"/>
        <v/>
      </c>
      <c r="G503" s="22">
        <f ca="1">IFERROR(VLOOKUP(F503,RESULTADOS!$O$5:$P$543,2,FALSE),VLOOKUP(F503,$B$5:$C$724,2,FALSE))</f>
        <v>0</v>
      </c>
      <c r="H503" s="4">
        <f ca="1">IF(F503&lt;PREMISSAS!$D$7,0,IFERROR(VLOOKUP(IF(LEFT(F503,2)="13",DATE(YEAR(F502),12,31),F503),IPCA!$A$3:$D$284,4,FALSE),1)*G503)</f>
        <v>0</v>
      </c>
      <c r="J503" s="21" t="str">
        <f t="shared" ca="1" si="49"/>
        <v/>
      </c>
      <c r="K503" s="4">
        <f t="shared" ca="1" si="50"/>
        <v>0</v>
      </c>
      <c r="M503" s="21" t="str">
        <f t="shared" ca="1" si="55"/>
        <v/>
      </c>
      <c r="N503" s="37">
        <f t="shared" ca="1" si="51"/>
        <v>0</v>
      </c>
      <c r="O503" s="4">
        <f ca="1">IFERROR(AVERAGEIF(N$5:$N503,"&gt;="&amp;_xlfn.PERCENTILE.EXC(N$5:$N503,0.2)),0)</f>
        <v>0</v>
      </c>
      <c r="Q503" s="21" t="str">
        <f t="shared" ca="1" si="52"/>
        <v/>
      </c>
      <c r="R503" s="4">
        <f ca="1">MIN(O503,PREMISSAS!$C$13)</f>
        <v>0</v>
      </c>
      <c r="S503" s="240"/>
      <c r="T503" s="240"/>
    </row>
    <row r="504" spans="2:20" x14ac:dyDescent="0.25">
      <c r="B504" s="21" t="str">
        <f t="shared" ca="1" si="53"/>
        <v/>
      </c>
      <c r="C504" s="22" t="str">
        <f ca="1">IF(B504="","",IF(LEFT(B504,2)="13",C503,IF(MONTH(B504)=1,C503*(1+PREMISSAS!$C$57),C503)))</f>
        <v/>
      </c>
      <c r="E504" s="18">
        <v>500</v>
      </c>
      <c r="F504" s="21" t="str">
        <f t="shared" ca="1" si="54"/>
        <v/>
      </c>
      <c r="G504" s="22">
        <f ca="1">IFERROR(VLOOKUP(F504,RESULTADOS!$O$5:$P$543,2,FALSE),VLOOKUP(F504,$B$5:$C$724,2,FALSE))</f>
        <v>0</v>
      </c>
      <c r="H504" s="4">
        <f ca="1">IF(F504&lt;PREMISSAS!$D$7,0,IFERROR(VLOOKUP(IF(LEFT(F504,2)="13",DATE(YEAR(F503),12,31),F504),IPCA!$A$3:$D$284,4,FALSE),1)*G504)</f>
        <v>0</v>
      </c>
      <c r="J504" s="21" t="str">
        <f t="shared" ca="1" si="49"/>
        <v/>
      </c>
      <c r="K504" s="4">
        <f t="shared" ca="1" si="50"/>
        <v>0</v>
      </c>
      <c r="M504" s="21" t="str">
        <f t="shared" ca="1" si="55"/>
        <v/>
      </c>
      <c r="N504" s="37">
        <f t="shared" ca="1" si="51"/>
        <v>0</v>
      </c>
      <c r="O504" s="4">
        <f ca="1">IFERROR(AVERAGEIF(N$5:$N504,"&gt;="&amp;_xlfn.PERCENTILE.EXC(N$5:$N504,0.2)),0)</f>
        <v>0</v>
      </c>
      <c r="Q504" s="21" t="str">
        <f t="shared" ca="1" si="52"/>
        <v/>
      </c>
      <c r="R504" s="4">
        <f ca="1">MIN(O504,PREMISSAS!$C$13)</f>
        <v>0</v>
      </c>
      <c r="S504" s="240"/>
      <c r="T504" s="240"/>
    </row>
    <row r="505" spans="2:20" x14ac:dyDescent="0.25">
      <c r="B505" s="21" t="str">
        <f t="shared" ca="1" si="53"/>
        <v/>
      </c>
      <c r="C505" s="22" t="str">
        <f ca="1">IF(B505="","",IF(LEFT(B505,2)="13",C504,IF(MONTH(B505)=1,C504*(1+PREMISSAS!$C$57),C504)))</f>
        <v/>
      </c>
      <c r="E505" s="18">
        <v>501</v>
      </c>
      <c r="F505" s="21" t="str">
        <f t="shared" ca="1" si="54"/>
        <v/>
      </c>
      <c r="G505" s="22">
        <f ca="1">IFERROR(VLOOKUP(F505,RESULTADOS!$O$5:$P$543,2,FALSE),VLOOKUP(F505,$B$5:$C$724,2,FALSE))</f>
        <v>0</v>
      </c>
      <c r="H505" s="4">
        <f ca="1">IF(F505&lt;PREMISSAS!$D$7,0,IFERROR(VLOOKUP(IF(LEFT(F505,2)="13",DATE(YEAR(F504),12,31),F505),IPCA!$A$3:$D$284,4,FALSE),1)*G505)</f>
        <v>0</v>
      </c>
      <c r="J505" s="21" t="str">
        <f t="shared" ca="1" si="49"/>
        <v/>
      </c>
      <c r="K505" s="4">
        <f t="shared" ca="1" si="50"/>
        <v>0</v>
      </c>
      <c r="M505" s="21" t="str">
        <f t="shared" ca="1" si="55"/>
        <v/>
      </c>
      <c r="N505" s="37">
        <f t="shared" ca="1" si="51"/>
        <v>0</v>
      </c>
      <c r="O505" s="4">
        <f ca="1">IFERROR(AVERAGEIF(N$5:$N505,"&gt;="&amp;_xlfn.PERCENTILE.EXC(N$5:$N505,0.2)),0)</f>
        <v>0</v>
      </c>
      <c r="Q505" s="21" t="str">
        <f t="shared" ca="1" si="52"/>
        <v/>
      </c>
      <c r="R505" s="4">
        <f ca="1">MIN(O505,PREMISSAS!$C$13)</f>
        <v>0</v>
      </c>
      <c r="S505" s="240"/>
      <c r="T505" s="240"/>
    </row>
    <row r="506" spans="2:20" x14ac:dyDescent="0.25">
      <c r="B506" s="21" t="str">
        <f t="shared" ca="1" si="53"/>
        <v/>
      </c>
      <c r="C506" s="22" t="str">
        <f ca="1">IF(B506="","",IF(LEFT(B506,2)="13",C505,IF(MONTH(B506)=1,C505*(1+PREMISSAS!$C$57),C505)))</f>
        <v/>
      </c>
      <c r="E506" s="18">
        <v>502</v>
      </c>
      <c r="F506" s="21" t="str">
        <f t="shared" ca="1" si="54"/>
        <v/>
      </c>
      <c r="G506" s="22">
        <f ca="1">IFERROR(VLOOKUP(F506,RESULTADOS!$O$5:$P$543,2,FALSE),VLOOKUP(F506,$B$5:$C$724,2,FALSE))</f>
        <v>0</v>
      </c>
      <c r="H506" s="4">
        <f ca="1">IF(F506&lt;PREMISSAS!$D$7,0,IFERROR(VLOOKUP(IF(LEFT(F506,2)="13",DATE(YEAR(F505),12,31),F506),IPCA!$A$3:$D$284,4,FALSE),1)*G506)</f>
        <v>0</v>
      </c>
      <c r="J506" s="21" t="str">
        <f t="shared" ca="1" si="49"/>
        <v/>
      </c>
      <c r="K506" s="4">
        <f t="shared" ca="1" si="50"/>
        <v>0</v>
      </c>
      <c r="M506" s="21" t="str">
        <f t="shared" ca="1" si="55"/>
        <v/>
      </c>
      <c r="N506" s="37">
        <f t="shared" ca="1" si="51"/>
        <v>0</v>
      </c>
      <c r="O506" s="4">
        <f ca="1">IFERROR(AVERAGEIF(N$5:$N506,"&gt;="&amp;_xlfn.PERCENTILE.EXC(N$5:$N506,0.2)),0)</f>
        <v>0</v>
      </c>
      <c r="Q506" s="21" t="str">
        <f t="shared" ca="1" si="52"/>
        <v/>
      </c>
      <c r="R506" s="4">
        <f ca="1">MIN(O506,PREMISSAS!$C$13)</f>
        <v>0</v>
      </c>
      <c r="S506" s="240"/>
      <c r="T506" s="240"/>
    </row>
    <row r="507" spans="2:20" x14ac:dyDescent="0.25">
      <c r="B507" s="21" t="str">
        <f t="shared" ca="1" si="53"/>
        <v/>
      </c>
      <c r="C507" s="22" t="str">
        <f ca="1">IF(B507="","",IF(LEFT(B507,2)="13",C506,IF(MONTH(B507)=1,C506*(1+PREMISSAS!$C$57),C506)))</f>
        <v/>
      </c>
      <c r="E507" s="18">
        <v>503</v>
      </c>
      <c r="F507" s="21" t="str">
        <f t="shared" ca="1" si="54"/>
        <v/>
      </c>
      <c r="G507" s="22">
        <f ca="1">IFERROR(VLOOKUP(F507,RESULTADOS!$O$5:$P$543,2,FALSE),VLOOKUP(F507,$B$5:$C$724,2,FALSE))</f>
        <v>0</v>
      </c>
      <c r="H507" s="4">
        <f ca="1">IF(F507&lt;PREMISSAS!$D$7,0,IFERROR(VLOOKUP(IF(LEFT(F507,2)="13",DATE(YEAR(F506),12,31),F507),IPCA!$A$3:$D$284,4,FALSE),1)*G507)</f>
        <v>0</v>
      </c>
      <c r="J507" s="21" t="str">
        <f t="shared" ca="1" si="49"/>
        <v/>
      </c>
      <c r="K507" s="4">
        <f t="shared" ca="1" si="50"/>
        <v>0</v>
      </c>
      <c r="M507" s="21" t="str">
        <f t="shared" ca="1" si="55"/>
        <v/>
      </c>
      <c r="N507" s="37">
        <f t="shared" ca="1" si="51"/>
        <v>0</v>
      </c>
      <c r="O507" s="4">
        <f ca="1">IFERROR(AVERAGEIF(N$5:$N507,"&gt;="&amp;_xlfn.PERCENTILE.EXC(N$5:$N507,0.2)),0)</f>
        <v>0</v>
      </c>
      <c r="Q507" s="21" t="str">
        <f t="shared" ca="1" si="52"/>
        <v/>
      </c>
      <c r="R507" s="4">
        <f ca="1">MIN(O507,PREMISSAS!$C$13)</f>
        <v>0</v>
      </c>
      <c r="S507" s="240"/>
      <c r="T507" s="240"/>
    </row>
    <row r="508" spans="2:20" x14ac:dyDescent="0.25">
      <c r="B508" s="21" t="str">
        <f t="shared" ca="1" si="53"/>
        <v/>
      </c>
      <c r="C508" s="22" t="str">
        <f ca="1">IF(B508="","",IF(LEFT(B508,2)="13",C507,IF(MONTH(B508)=1,C507*(1+PREMISSAS!$C$57),C507)))</f>
        <v/>
      </c>
      <c r="E508" s="18">
        <v>504</v>
      </c>
      <c r="F508" s="21" t="str">
        <f t="shared" ca="1" si="54"/>
        <v/>
      </c>
      <c r="G508" s="22">
        <f ca="1">IFERROR(VLOOKUP(F508,RESULTADOS!$O$5:$P$543,2,FALSE),VLOOKUP(F508,$B$5:$C$724,2,FALSE))</f>
        <v>0</v>
      </c>
      <c r="H508" s="4">
        <f ca="1">IF(F508&lt;PREMISSAS!$D$7,0,IFERROR(VLOOKUP(IF(LEFT(F508,2)="13",DATE(YEAR(F507),12,31),F508),IPCA!$A$3:$D$284,4,FALSE),1)*G508)</f>
        <v>0</v>
      </c>
      <c r="J508" s="21" t="str">
        <f t="shared" ca="1" si="49"/>
        <v/>
      </c>
      <c r="K508" s="4">
        <f t="shared" ca="1" si="50"/>
        <v>0</v>
      </c>
      <c r="M508" s="21" t="str">
        <f t="shared" ca="1" si="55"/>
        <v/>
      </c>
      <c r="N508" s="37">
        <f t="shared" ca="1" si="51"/>
        <v>0</v>
      </c>
      <c r="O508" s="4">
        <f ca="1">IFERROR(AVERAGEIF(N$5:$N508,"&gt;="&amp;_xlfn.PERCENTILE.EXC(N$5:$N508,0.2)),0)</f>
        <v>0</v>
      </c>
      <c r="Q508" s="21" t="str">
        <f t="shared" ca="1" si="52"/>
        <v/>
      </c>
      <c r="R508" s="4">
        <f ca="1">MIN(O508,PREMISSAS!$C$13)</f>
        <v>0</v>
      </c>
      <c r="S508" s="240"/>
      <c r="T508" s="240"/>
    </row>
    <row r="509" spans="2:20" x14ac:dyDescent="0.25">
      <c r="B509" s="21" t="str">
        <f t="shared" ca="1" si="53"/>
        <v/>
      </c>
      <c r="C509" s="22" t="str">
        <f ca="1">IF(B509="","",IF(LEFT(B509,2)="13",C508,IF(MONTH(B509)=1,C508*(1+PREMISSAS!$C$57),C508)))</f>
        <v/>
      </c>
      <c r="E509" s="18">
        <v>505</v>
      </c>
      <c r="F509" s="21" t="str">
        <f t="shared" ca="1" si="54"/>
        <v/>
      </c>
      <c r="G509" s="22">
        <f ca="1">IFERROR(VLOOKUP(F509,RESULTADOS!$O$5:$P$543,2,FALSE),VLOOKUP(F509,$B$5:$C$724,2,FALSE))</f>
        <v>0</v>
      </c>
      <c r="H509" s="4">
        <f ca="1">IF(F509&lt;PREMISSAS!$D$7,0,IFERROR(VLOOKUP(IF(LEFT(F509,2)="13",DATE(YEAR(F508),12,31),F509),IPCA!$A$3:$D$284,4,FALSE),1)*G509)</f>
        <v>0</v>
      </c>
      <c r="J509" s="21" t="str">
        <f t="shared" ca="1" si="49"/>
        <v/>
      </c>
      <c r="K509" s="4">
        <f t="shared" ca="1" si="50"/>
        <v>0</v>
      </c>
      <c r="M509" s="21" t="str">
        <f t="shared" ca="1" si="55"/>
        <v/>
      </c>
      <c r="N509" s="37">
        <f t="shared" ca="1" si="51"/>
        <v>0</v>
      </c>
      <c r="O509" s="4">
        <f ca="1">IFERROR(AVERAGEIF(N$5:$N509,"&gt;="&amp;_xlfn.PERCENTILE.EXC(N$5:$N509,0.2)),0)</f>
        <v>0</v>
      </c>
      <c r="Q509" s="21" t="str">
        <f t="shared" ca="1" si="52"/>
        <v/>
      </c>
      <c r="R509" s="4">
        <f ca="1">MIN(O509,PREMISSAS!$C$13)</f>
        <v>0</v>
      </c>
      <c r="S509" s="240"/>
      <c r="T509" s="240"/>
    </row>
    <row r="510" spans="2:20" x14ac:dyDescent="0.25">
      <c r="B510" s="21" t="str">
        <f t="shared" ca="1" si="53"/>
        <v/>
      </c>
      <c r="C510" s="22" t="str">
        <f ca="1">IF(B510="","",IF(LEFT(B510,2)="13",C509,IF(MONTH(B510)=1,C509*(1+PREMISSAS!$C$57),C509)))</f>
        <v/>
      </c>
      <c r="E510" s="18">
        <v>506</v>
      </c>
      <c r="F510" s="21" t="str">
        <f t="shared" ca="1" si="54"/>
        <v/>
      </c>
      <c r="G510" s="22">
        <f ca="1">IFERROR(VLOOKUP(F510,RESULTADOS!$O$5:$P$543,2,FALSE),VLOOKUP(F510,$B$5:$C$724,2,FALSE))</f>
        <v>0</v>
      </c>
      <c r="H510" s="4">
        <f ca="1">IF(F510&lt;PREMISSAS!$D$7,0,IFERROR(VLOOKUP(IF(LEFT(F510,2)="13",DATE(YEAR(F509),12,31),F510),IPCA!$A$3:$D$284,4,FALSE),1)*G510)</f>
        <v>0</v>
      </c>
      <c r="J510" s="21" t="str">
        <f t="shared" ca="1" si="49"/>
        <v/>
      </c>
      <c r="K510" s="4">
        <f t="shared" ca="1" si="50"/>
        <v>0</v>
      </c>
      <c r="M510" s="21" t="str">
        <f t="shared" ca="1" si="55"/>
        <v/>
      </c>
      <c r="N510" s="37">
        <f t="shared" ca="1" si="51"/>
        <v>0</v>
      </c>
      <c r="O510" s="4">
        <f ca="1">IFERROR(AVERAGEIF(N$5:$N510,"&gt;="&amp;_xlfn.PERCENTILE.EXC(N$5:$N510,0.2)),0)</f>
        <v>0</v>
      </c>
      <c r="Q510" s="21" t="str">
        <f t="shared" ca="1" si="52"/>
        <v/>
      </c>
      <c r="R510" s="4">
        <f ca="1">MIN(O510,PREMISSAS!$C$13)</f>
        <v>0</v>
      </c>
      <c r="S510" s="240"/>
      <c r="T510" s="240"/>
    </row>
    <row r="511" spans="2:20" x14ac:dyDescent="0.25">
      <c r="B511" s="21" t="str">
        <f t="shared" ca="1" si="53"/>
        <v/>
      </c>
      <c r="C511" s="22" t="str">
        <f ca="1">IF(B511="","",IF(LEFT(B511,2)="13",C510,IF(MONTH(B511)=1,C510*(1+PREMISSAS!$C$57),C510)))</f>
        <v/>
      </c>
      <c r="E511" s="18">
        <v>507</v>
      </c>
      <c r="F511" s="21" t="str">
        <f t="shared" ca="1" si="54"/>
        <v/>
      </c>
      <c r="G511" s="22">
        <f ca="1">IFERROR(VLOOKUP(F511,RESULTADOS!$O$5:$P$543,2,FALSE),VLOOKUP(F511,$B$5:$C$724,2,FALSE))</f>
        <v>0</v>
      </c>
      <c r="H511" s="4">
        <f ca="1">IF(F511&lt;PREMISSAS!$D$7,0,IFERROR(VLOOKUP(IF(LEFT(F511,2)="13",DATE(YEAR(F510),12,31),F511),IPCA!$A$3:$D$284,4,FALSE),1)*G511)</f>
        <v>0</v>
      </c>
      <c r="J511" s="21" t="str">
        <f t="shared" ca="1" si="49"/>
        <v/>
      </c>
      <c r="K511" s="4">
        <f t="shared" ca="1" si="50"/>
        <v>0</v>
      </c>
      <c r="M511" s="21" t="str">
        <f t="shared" ca="1" si="55"/>
        <v/>
      </c>
      <c r="N511" s="37">
        <f t="shared" ca="1" si="51"/>
        <v>0</v>
      </c>
      <c r="O511" s="4">
        <f ca="1">IFERROR(AVERAGEIF(N$5:$N511,"&gt;="&amp;_xlfn.PERCENTILE.EXC(N$5:$N511,0.2)),0)</f>
        <v>0</v>
      </c>
      <c r="Q511" s="21" t="str">
        <f t="shared" ca="1" si="52"/>
        <v/>
      </c>
      <c r="R511" s="4">
        <f ca="1">MIN(O511,PREMISSAS!$C$13)</f>
        <v>0</v>
      </c>
      <c r="S511" s="240"/>
      <c r="T511" s="240"/>
    </row>
    <row r="512" spans="2:20" x14ac:dyDescent="0.25">
      <c r="B512" s="21" t="str">
        <f t="shared" ca="1" si="53"/>
        <v/>
      </c>
      <c r="C512" s="22" t="str">
        <f ca="1">IF(B512="","",IF(LEFT(B512,2)="13",C511,IF(MONTH(B512)=1,C511*(1+PREMISSAS!$C$57),C511)))</f>
        <v/>
      </c>
      <c r="E512" s="18">
        <v>508</v>
      </c>
      <c r="F512" s="21" t="str">
        <f t="shared" ca="1" si="54"/>
        <v/>
      </c>
      <c r="G512" s="22">
        <f ca="1">IFERROR(VLOOKUP(F512,RESULTADOS!$O$5:$P$543,2,FALSE),VLOOKUP(F512,$B$5:$C$724,2,FALSE))</f>
        <v>0</v>
      </c>
      <c r="H512" s="4">
        <f ca="1">IF(F512&lt;PREMISSAS!$D$7,0,IFERROR(VLOOKUP(IF(LEFT(F512,2)="13",DATE(YEAR(F511),12,31),F512),IPCA!$A$3:$D$284,4,FALSE),1)*G512)</f>
        <v>0</v>
      </c>
      <c r="J512" s="21" t="str">
        <f t="shared" ca="1" si="49"/>
        <v/>
      </c>
      <c r="K512" s="4">
        <f t="shared" ca="1" si="50"/>
        <v>0</v>
      </c>
      <c r="M512" s="21" t="str">
        <f t="shared" ca="1" si="55"/>
        <v/>
      </c>
      <c r="N512" s="37">
        <f t="shared" ca="1" si="51"/>
        <v>0</v>
      </c>
      <c r="O512" s="4">
        <f ca="1">IFERROR(AVERAGEIF(N$5:$N512,"&gt;="&amp;_xlfn.PERCENTILE.EXC(N$5:$N512,0.2)),0)</f>
        <v>0</v>
      </c>
      <c r="Q512" s="21" t="str">
        <f t="shared" ca="1" si="52"/>
        <v/>
      </c>
      <c r="R512" s="4">
        <f ca="1">MIN(O512,PREMISSAS!$C$13)</f>
        <v>0</v>
      </c>
      <c r="S512" s="240"/>
      <c r="T512" s="240"/>
    </row>
    <row r="513" spans="2:20" x14ac:dyDescent="0.25">
      <c r="B513" s="21" t="str">
        <f t="shared" ca="1" si="53"/>
        <v/>
      </c>
      <c r="C513" s="22" t="str">
        <f ca="1">IF(B513="","",IF(LEFT(B513,2)="13",C512,IF(MONTH(B513)=1,C512*(1+PREMISSAS!$C$57),C512)))</f>
        <v/>
      </c>
      <c r="E513" s="18">
        <v>509</v>
      </c>
      <c r="F513" s="21" t="str">
        <f t="shared" ca="1" si="54"/>
        <v/>
      </c>
      <c r="G513" s="22">
        <f ca="1">IFERROR(VLOOKUP(F513,RESULTADOS!$O$5:$P$543,2,FALSE),VLOOKUP(F513,$B$5:$C$724,2,FALSE))</f>
        <v>0</v>
      </c>
      <c r="H513" s="4">
        <f ca="1">IF(F513&lt;PREMISSAS!$D$7,0,IFERROR(VLOOKUP(IF(LEFT(F513,2)="13",DATE(YEAR(F512),12,31),F513),IPCA!$A$3:$D$284,4,FALSE),1)*G513)</f>
        <v>0</v>
      </c>
      <c r="J513" s="21" t="str">
        <f t="shared" ca="1" si="49"/>
        <v/>
      </c>
      <c r="K513" s="4">
        <f t="shared" ca="1" si="50"/>
        <v>0</v>
      </c>
      <c r="M513" s="21" t="str">
        <f t="shared" ca="1" si="55"/>
        <v/>
      </c>
      <c r="N513" s="37">
        <f t="shared" ca="1" si="51"/>
        <v>0</v>
      </c>
      <c r="O513" s="4">
        <f ca="1">IFERROR(AVERAGEIF(N$5:$N513,"&gt;="&amp;_xlfn.PERCENTILE.EXC(N$5:$N513,0.2)),0)</f>
        <v>0</v>
      </c>
      <c r="Q513" s="21" t="str">
        <f t="shared" ca="1" si="52"/>
        <v/>
      </c>
      <c r="R513" s="4">
        <f ca="1">MIN(O513,PREMISSAS!$C$13)</f>
        <v>0</v>
      </c>
      <c r="S513" s="240"/>
      <c r="T513" s="240"/>
    </row>
    <row r="514" spans="2:20" x14ac:dyDescent="0.25">
      <c r="B514" s="21" t="str">
        <f t="shared" ca="1" si="53"/>
        <v/>
      </c>
      <c r="C514" s="22" t="str">
        <f ca="1">IF(B514="","",IF(LEFT(B514,2)="13",C513,IF(MONTH(B514)=1,C513*(1+PREMISSAS!$C$57),C513)))</f>
        <v/>
      </c>
      <c r="E514" s="18">
        <v>510</v>
      </c>
      <c r="F514" s="21" t="str">
        <f t="shared" ca="1" si="54"/>
        <v/>
      </c>
      <c r="G514" s="22">
        <f ca="1">IFERROR(VLOOKUP(F514,RESULTADOS!$O$5:$P$543,2,FALSE),VLOOKUP(F514,$B$5:$C$724,2,FALSE))</f>
        <v>0</v>
      </c>
      <c r="H514" s="4">
        <f ca="1">IF(F514&lt;PREMISSAS!$D$7,0,IFERROR(VLOOKUP(IF(LEFT(F514,2)="13",DATE(YEAR(F513),12,31),F514),IPCA!$A$3:$D$284,4,FALSE),1)*G514)</f>
        <v>0</v>
      </c>
      <c r="J514" s="21" t="str">
        <f t="shared" ca="1" si="49"/>
        <v/>
      </c>
      <c r="K514" s="4">
        <f t="shared" ca="1" si="50"/>
        <v>0</v>
      </c>
      <c r="M514" s="21" t="str">
        <f t="shared" ca="1" si="55"/>
        <v/>
      </c>
      <c r="N514" s="37">
        <f t="shared" ca="1" si="51"/>
        <v>0</v>
      </c>
      <c r="O514" s="4">
        <f ca="1">IFERROR(AVERAGEIF(N$5:$N514,"&gt;="&amp;_xlfn.PERCENTILE.EXC(N$5:$N514,0.2)),0)</f>
        <v>0</v>
      </c>
      <c r="Q514" s="21" t="str">
        <f t="shared" ca="1" si="52"/>
        <v/>
      </c>
      <c r="R514" s="4">
        <f ca="1">MIN(O514,PREMISSAS!$C$13)</f>
        <v>0</v>
      </c>
      <c r="S514" s="240"/>
      <c r="T514" s="240"/>
    </row>
    <row r="515" spans="2:20" x14ac:dyDescent="0.25">
      <c r="B515" s="21" t="str">
        <f t="shared" ca="1" si="53"/>
        <v/>
      </c>
      <c r="C515" s="22" t="str">
        <f ca="1">IF(B515="","",IF(LEFT(B515,2)="13",C514,IF(MONTH(B515)=1,C514*(1+PREMISSAS!$C$57),C514)))</f>
        <v/>
      </c>
      <c r="E515" s="18">
        <v>511</v>
      </c>
      <c r="F515" s="21" t="str">
        <f t="shared" ca="1" si="54"/>
        <v/>
      </c>
      <c r="G515" s="22">
        <f ca="1">IFERROR(VLOOKUP(F515,RESULTADOS!$O$5:$P$543,2,FALSE),VLOOKUP(F515,$B$5:$C$724,2,FALSE))</f>
        <v>0</v>
      </c>
      <c r="H515" s="4">
        <f ca="1">IF(F515&lt;PREMISSAS!$D$7,0,IFERROR(VLOOKUP(IF(LEFT(F515,2)="13",DATE(YEAR(F514),12,31),F515),IPCA!$A$3:$D$284,4,FALSE),1)*G515)</f>
        <v>0</v>
      </c>
      <c r="J515" s="21" t="str">
        <f t="shared" ca="1" si="49"/>
        <v/>
      </c>
      <c r="K515" s="4">
        <f t="shared" ca="1" si="50"/>
        <v>0</v>
      </c>
      <c r="M515" s="21" t="str">
        <f t="shared" ca="1" si="55"/>
        <v/>
      </c>
      <c r="N515" s="37">
        <f t="shared" ca="1" si="51"/>
        <v>0</v>
      </c>
      <c r="O515" s="4">
        <f ca="1">IFERROR(AVERAGEIF(N$5:$N515,"&gt;="&amp;_xlfn.PERCENTILE.EXC(N$5:$N515,0.2)),0)</f>
        <v>0</v>
      </c>
      <c r="Q515" s="21" t="str">
        <f t="shared" ca="1" si="52"/>
        <v/>
      </c>
      <c r="R515" s="4">
        <f ca="1">MIN(O515,PREMISSAS!$C$13)</f>
        <v>0</v>
      </c>
      <c r="S515" s="240"/>
      <c r="T515" s="240"/>
    </row>
    <row r="516" spans="2:20" x14ac:dyDescent="0.25">
      <c r="B516" s="21" t="str">
        <f t="shared" ca="1" si="53"/>
        <v/>
      </c>
      <c r="C516" s="22" t="str">
        <f ca="1">IF(B516="","",IF(LEFT(B516,2)="13",C515,IF(MONTH(B516)=1,C515*(1+PREMISSAS!$C$57),C515)))</f>
        <v/>
      </c>
      <c r="E516" s="18">
        <v>512</v>
      </c>
      <c r="F516" s="21" t="str">
        <f t="shared" ca="1" si="54"/>
        <v/>
      </c>
      <c r="G516" s="22">
        <f ca="1">IFERROR(VLOOKUP(F516,RESULTADOS!$O$5:$P$543,2,FALSE),VLOOKUP(F516,$B$5:$C$724,2,FALSE))</f>
        <v>0</v>
      </c>
      <c r="H516" s="4">
        <f ca="1">IF(F516&lt;PREMISSAS!$D$7,0,IFERROR(VLOOKUP(IF(LEFT(F516,2)="13",DATE(YEAR(F515),12,31),F516),IPCA!$A$3:$D$284,4,FALSE),1)*G516)</f>
        <v>0</v>
      </c>
      <c r="J516" s="21" t="str">
        <f t="shared" ca="1" si="49"/>
        <v/>
      </c>
      <c r="K516" s="4">
        <f t="shared" ca="1" si="50"/>
        <v>0</v>
      </c>
      <c r="M516" s="21" t="str">
        <f t="shared" ca="1" si="55"/>
        <v/>
      </c>
      <c r="N516" s="37">
        <f t="shared" ca="1" si="51"/>
        <v>0</v>
      </c>
      <c r="O516" s="4">
        <f ca="1">IFERROR(AVERAGEIF(N$5:$N516,"&gt;="&amp;_xlfn.PERCENTILE.EXC(N$5:$N516,0.2)),0)</f>
        <v>0</v>
      </c>
      <c r="Q516" s="21" t="str">
        <f t="shared" ca="1" si="52"/>
        <v/>
      </c>
      <c r="R516" s="4">
        <f ca="1">MIN(O516,PREMISSAS!$C$13)</f>
        <v>0</v>
      </c>
      <c r="S516" s="240"/>
      <c r="T516" s="240"/>
    </row>
    <row r="517" spans="2:20" x14ac:dyDescent="0.25">
      <c r="B517" s="21" t="str">
        <f t="shared" ca="1" si="53"/>
        <v/>
      </c>
      <c r="C517" s="22" t="str">
        <f ca="1">IF(B517="","",IF(LEFT(B517,2)="13",C516,IF(MONTH(B517)=1,C516*(1+PREMISSAS!$C$57),C516)))</f>
        <v/>
      </c>
      <c r="E517" s="18">
        <v>513</v>
      </c>
      <c r="F517" s="21" t="str">
        <f t="shared" ca="1" si="54"/>
        <v/>
      </c>
      <c r="G517" s="22">
        <f ca="1">IFERROR(VLOOKUP(F517,RESULTADOS!$O$5:$P$543,2,FALSE),VLOOKUP(F517,$B$5:$C$724,2,FALSE))</f>
        <v>0</v>
      </c>
      <c r="H517" s="4">
        <f ca="1">IF(F517&lt;PREMISSAS!$D$7,0,IFERROR(VLOOKUP(IF(LEFT(F517,2)="13",DATE(YEAR(F516),12,31),F517),IPCA!$A$3:$D$284,4,FALSE),1)*G517)</f>
        <v>0</v>
      </c>
      <c r="J517" s="21" t="str">
        <f t="shared" ref="J517:J580" ca="1" si="56">F517</f>
        <v/>
      </c>
      <c r="K517" s="4">
        <f t="shared" ref="K517:K580" ca="1" si="57">G517</f>
        <v>0</v>
      </c>
      <c r="M517" s="21" t="str">
        <f t="shared" ca="1" si="55"/>
        <v/>
      </c>
      <c r="N517" s="37">
        <f t="shared" ca="1" si="51"/>
        <v>0</v>
      </c>
      <c r="O517" s="4">
        <f ca="1">IFERROR(AVERAGEIF(N$5:$N517,"&gt;="&amp;_xlfn.PERCENTILE.EXC(N$5:$N517,0.2)),0)</f>
        <v>0</v>
      </c>
      <c r="Q517" s="21" t="str">
        <f t="shared" ca="1" si="52"/>
        <v/>
      </c>
      <c r="R517" s="4">
        <f ca="1">MIN(O517,PREMISSAS!$C$13)</f>
        <v>0</v>
      </c>
      <c r="S517" s="240"/>
      <c r="T517" s="240"/>
    </row>
    <row r="518" spans="2:20" x14ac:dyDescent="0.25">
      <c r="B518" s="21" t="str">
        <f t="shared" ca="1" si="53"/>
        <v/>
      </c>
      <c r="C518" s="22" t="str">
        <f ca="1">IF(B518="","",IF(LEFT(B518,2)="13",C517,IF(MONTH(B518)=1,C517*(1+PREMISSAS!$C$57),C517)))</f>
        <v/>
      </c>
      <c r="E518" s="18">
        <v>514</v>
      </c>
      <c r="F518" s="21" t="str">
        <f t="shared" ca="1" si="54"/>
        <v/>
      </c>
      <c r="G518" s="22">
        <f ca="1">IFERROR(VLOOKUP(F518,RESULTADOS!$O$5:$P$543,2,FALSE),VLOOKUP(F518,$B$5:$C$724,2,FALSE))</f>
        <v>0</v>
      </c>
      <c r="H518" s="4">
        <f ca="1">IF(F518&lt;PREMISSAS!$D$7,0,IFERROR(VLOOKUP(IF(LEFT(F518,2)="13",DATE(YEAR(F517),12,31),F518),IPCA!$A$3:$D$284,4,FALSE),1)*G518)</f>
        <v>0</v>
      </c>
      <c r="J518" s="21" t="str">
        <f t="shared" ca="1" si="56"/>
        <v/>
      </c>
      <c r="K518" s="4">
        <f t="shared" ca="1" si="57"/>
        <v>0</v>
      </c>
      <c r="M518" s="21" t="str">
        <f t="shared" ca="1" si="55"/>
        <v/>
      </c>
      <c r="N518" s="37">
        <f t="shared" ref="N518:N581" ca="1" si="58">IFERROR(VLOOKUP(M518,$F$5:$H$628,3,FALSE),0)</f>
        <v>0</v>
      </c>
      <c r="O518" s="4">
        <f ca="1">IFERROR(AVERAGEIF(N$5:$N518,"&gt;="&amp;_xlfn.PERCENTILE.EXC(N$5:$N518,0.2)),0)</f>
        <v>0</v>
      </c>
      <c r="Q518" s="21" t="str">
        <f t="shared" ref="Q518:Q581" ca="1" si="59">M518</f>
        <v/>
      </c>
      <c r="R518" s="4">
        <f ca="1">MIN(O518,PREMISSAS!$C$13)</f>
        <v>0</v>
      </c>
      <c r="S518" s="240"/>
      <c r="T518" s="240"/>
    </row>
    <row r="519" spans="2:20" x14ac:dyDescent="0.25">
      <c r="B519" s="21" t="str">
        <f t="shared" ref="B519:B582" ca="1" si="60">IFERROR(IF(LEFT(B518,2)="13",DATE(RIGHT(B518,4),12,31),IF(EOMONTH(B518,0)&gt;$F$1,"",IF(MONTH(B518)=11,"13º "&amp;YEAR(B518),EOMONTH(B518,1)))),"")</f>
        <v/>
      </c>
      <c r="C519" s="22" t="str">
        <f ca="1">IF(B519="","",IF(LEFT(B519,2)="13",C518,IF(MONTH(B519)=1,C518*(1+PREMISSAS!$C$57),C518)))</f>
        <v/>
      </c>
      <c r="E519" s="18">
        <v>515</v>
      </c>
      <c r="F519" s="21" t="str">
        <f t="shared" ref="F519:F582" ca="1" si="61">IFERROR(IF(LEFT(F518,2)="13",DATE(RIGHT(F518,4),12,31),IF(EOMONTH(F518,0)&gt;$F$1,"",IF(MONTH(F518)=11,"13º "&amp;YEAR(F518),EOMONTH(F518,1)))),"")</f>
        <v/>
      </c>
      <c r="G519" s="22">
        <f ca="1">IFERROR(VLOOKUP(F519,RESULTADOS!$O$5:$P$543,2,FALSE),VLOOKUP(F519,$B$5:$C$724,2,FALSE))</f>
        <v>0</v>
      </c>
      <c r="H519" s="4">
        <f ca="1">IF(F519&lt;PREMISSAS!$D$7,0,IFERROR(VLOOKUP(IF(LEFT(F519,2)="13",DATE(YEAR(F518),12,31),F519),IPCA!$A$3:$D$284,4,FALSE),1)*G519)</f>
        <v>0</v>
      </c>
      <c r="J519" s="21" t="str">
        <f t="shared" ca="1" si="56"/>
        <v/>
      </c>
      <c r="K519" s="4">
        <f t="shared" ca="1" si="57"/>
        <v>0</v>
      </c>
      <c r="M519" s="21" t="str">
        <f t="shared" ref="M519:M582" ca="1" si="62">IFERROR(IF(LEFT(M518,2)="13",DATE(RIGHT(M518,4),12,31),IF(EOMONTH(M518,0)&gt;$F$1,"",IF(MONTH(M518)=11,"13º "&amp;YEAR(M518),EOMONTH(M518,1)))),"")</f>
        <v/>
      </c>
      <c r="N519" s="37">
        <f t="shared" ca="1" si="58"/>
        <v>0</v>
      </c>
      <c r="O519" s="4">
        <f ca="1">IFERROR(AVERAGEIF(N$5:$N519,"&gt;="&amp;_xlfn.PERCENTILE.EXC(N$5:$N519,0.2)),0)</f>
        <v>0</v>
      </c>
      <c r="Q519" s="21" t="str">
        <f t="shared" ca="1" si="59"/>
        <v/>
      </c>
      <c r="R519" s="4">
        <f ca="1">MIN(O519,PREMISSAS!$C$13)</f>
        <v>0</v>
      </c>
      <c r="S519" s="240"/>
      <c r="T519" s="240"/>
    </row>
    <row r="520" spans="2:20" x14ac:dyDescent="0.25">
      <c r="B520" s="21" t="str">
        <f t="shared" ca="1" si="60"/>
        <v/>
      </c>
      <c r="C520" s="22" t="str">
        <f ca="1">IF(B520="","",IF(LEFT(B520,2)="13",C519,IF(MONTH(B520)=1,C519*(1+PREMISSAS!$C$57),C519)))</f>
        <v/>
      </c>
      <c r="E520" s="18">
        <v>516</v>
      </c>
      <c r="F520" s="21" t="str">
        <f t="shared" ca="1" si="61"/>
        <v/>
      </c>
      <c r="G520" s="22">
        <f ca="1">IFERROR(VLOOKUP(F520,RESULTADOS!$O$5:$P$543,2,FALSE),VLOOKUP(F520,$B$5:$C$724,2,FALSE))</f>
        <v>0</v>
      </c>
      <c r="H520" s="4">
        <f ca="1">IF(F520&lt;PREMISSAS!$D$7,0,IFERROR(VLOOKUP(IF(LEFT(F520,2)="13",DATE(YEAR(F519),12,31),F520),IPCA!$A$3:$D$284,4,FALSE),1)*G520)</f>
        <v>0</v>
      </c>
      <c r="J520" s="21" t="str">
        <f t="shared" ca="1" si="56"/>
        <v/>
      </c>
      <c r="K520" s="4">
        <f t="shared" ca="1" si="57"/>
        <v>0</v>
      </c>
      <c r="M520" s="21" t="str">
        <f t="shared" ca="1" si="62"/>
        <v/>
      </c>
      <c r="N520" s="37">
        <f t="shared" ca="1" si="58"/>
        <v>0</v>
      </c>
      <c r="O520" s="4">
        <f ca="1">IFERROR(AVERAGEIF(N$5:$N520,"&gt;="&amp;_xlfn.PERCENTILE.EXC(N$5:$N520,0.2)),0)</f>
        <v>0</v>
      </c>
      <c r="Q520" s="21" t="str">
        <f t="shared" ca="1" si="59"/>
        <v/>
      </c>
      <c r="R520" s="4">
        <f ca="1">MIN(O520,PREMISSAS!$C$13)</f>
        <v>0</v>
      </c>
      <c r="S520" s="240"/>
      <c r="T520" s="240"/>
    </row>
    <row r="521" spans="2:20" x14ac:dyDescent="0.25">
      <c r="B521" s="21" t="str">
        <f t="shared" ca="1" si="60"/>
        <v/>
      </c>
      <c r="C521" s="22" t="str">
        <f ca="1">IF(B521="","",IF(LEFT(B521,2)="13",C520,IF(MONTH(B521)=1,C520*(1+PREMISSAS!$C$57),C520)))</f>
        <v/>
      </c>
      <c r="E521" s="18">
        <v>517</v>
      </c>
      <c r="F521" s="21" t="str">
        <f t="shared" ca="1" si="61"/>
        <v/>
      </c>
      <c r="G521" s="22">
        <f ca="1">IFERROR(VLOOKUP(F521,RESULTADOS!$O$5:$P$543,2,FALSE),VLOOKUP(F521,$B$5:$C$724,2,FALSE))</f>
        <v>0</v>
      </c>
      <c r="H521" s="4">
        <f ca="1">IF(F521&lt;PREMISSAS!$D$7,0,IFERROR(VLOOKUP(IF(LEFT(F521,2)="13",DATE(YEAR(F520),12,31),F521),IPCA!$A$3:$D$284,4,FALSE),1)*G521)</f>
        <v>0</v>
      </c>
      <c r="J521" s="21" t="str">
        <f t="shared" ca="1" si="56"/>
        <v/>
      </c>
      <c r="K521" s="4">
        <f t="shared" ca="1" si="57"/>
        <v>0</v>
      </c>
      <c r="M521" s="21" t="str">
        <f t="shared" ca="1" si="62"/>
        <v/>
      </c>
      <c r="N521" s="37">
        <f t="shared" ca="1" si="58"/>
        <v>0</v>
      </c>
      <c r="O521" s="4">
        <f ca="1">IFERROR(AVERAGEIF(N$5:$N521,"&gt;="&amp;_xlfn.PERCENTILE.EXC(N$5:$N521,0.2)),0)</f>
        <v>0</v>
      </c>
      <c r="Q521" s="21" t="str">
        <f t="shared" ca="1" si="59"/>
        <v/>
      </c>
      <c r="R521" s="4">
        <f ca="1">MIN(O521,PREMISSAS!$C$13)</f>
        <v>0</v>
      </c>
      <c r="S521" s="240"/>
      <c r="T521" s="240"/>
    </row>
    <row r="522" spans="2:20" x14ac:dyDescent="0.25">
      <c r="B522" s="21" t="str">
        <f t="shared" ca="1" si="60"/>
        <v/>
      </c>
      <c r="C522" s="22" t="str">
        <f ca="1">IF(B522="","",IF(LEFT(B522,2)="13",C521,IF(MONTH(B522)=1,C521*(1+PREMISSAS!$C$57),C521)))</f>
        <v/>
      </c>
      <c r="E522" s="18">
        <v>518</v>
      </c>
      <c r="F522" s="21" t="str">
        <f t="shared" ca="1" si="61"/>
        <v/>
      </c>
      <c r="G522" s="22">
        <f ca="1">IFERROR(VLOOKUP(F522,RESULTADOS!$O$5:$P$543,2,FALSE),VLOOKUP(F522,$B$5:$C$724,2,FALSE))</f>
        <v>0</v>
      </c>
      <c r="H522" s="4">
        <f ca="1">IF(F522&lt;PREMISSAS!$D$7,0,IFERROR(VLOOKUP(IF(LEFT(F522,2)="13",DATE(YEAR(F521),12,31),F522),IPCA!$A$3:$D$284,4,FALSE),1)*G522)</f>
        <v>0</v>
      </c>
      <c r="J522" s="21" t="str">
        <f t="shared" ca="1" si="56"/>
        <v/>
      </c>
      <c r="K522" s="4">
        <f t="shared" ca="1" si="57"/>
        <v>0</v>
      </c>
      <c r="M522" s="21" t="str">
        <f t="shared" ca="1" si="62"/>
        <v/>
      </c>
      <c r="N522" s="37">
        <f t="shared" ca="1" si="58"/>
        <v>0</v>
      </c>
      <c r="O522" s="4">
        <f ca="1">IFERROR(AVERAGEIF(N$5:$N522,"&gt;="&amp;_xlfn.PERCENTILE.EXC(N$5:$N522,0.2)),0)</f>
        <v>0</v>
      </c>
      <c r="Q522" s="21" t="str">
        <f t="shared" ca="1" si="59"/>
        <v/>
      </c>
      <c r="R522" s="4">
        <f ca="1">MIN(O522,PREMISSAS!$C$13)</f>
        <v>0</v>
      </c>
      <c r="S522" s="240"/>
      <c r="T522" s="240"/>
    </row>
    <row r="523" spans="2:20" x14ac:dyDescent="0.25">
      <c r="B523" s="21" t="str">
        <f t="shared" ca="1" si="60"/>
        <v/>
      </c>
      <c r="C523" s="22" t="str">
        <f ca="1">IF(B523="","",IF(LEFT(B523,2)="13",C522,IF(MONTH(B523)=1,C522*(1+PREMISSAS!$C$57),C522)))</f>
        <v/>
      </c>
      <c r="E523" s="18">
        <v>519</v>
      </c>
      <c r="F523" s="21" t="str">
        <f t="shared" ca="1" si="61"/>
        <v/>
      </c>
      <c r="G523" s="22">
        <f ca="1">IFERROR(VLOOKUP(F523,RESULTADOS!$O$5:$P$543,2,FALSE),VLOOKUP(F523,$B$5:$C$724,2,FALSE))</f>
        <v>0</v>
      </c>
      <c r="H523" s="4">
        <f ca="1">IF(F523&lt;PREMISSAS!$D$7,0,IFERROR(VLOOKUP(IF(LEFT(F523,2)="13",DATE(YEAR(F522),12,31),F523),IPCA!$A$3:$D$284,4,FALSE),1)*G523)</f>
        <v>0</v>
      </c>
      <c r="J523" s="21" t="str">
        <f t="shared" ca="1" si="56"/>
        <v/>
      </c>
      <c r="K523" s="4">
        <f t="shared" ca="1" si="57"/>
        <v>0</v>
      </c>
      <c r="M523" s="21" t="str">
        <f t="shared" ca="1" si="62"/>
        <v/>
      </c>
      <c r="N523" s="37">
        <f t="shared" ca="1" si="58"/>
        <v>0</v>
      </c>
      <c r="O523" s="4">
        <f ca="1">IFERROR(AVERAGEIF(N$5:$N523,"&gt;="&amp;_xlfn.PERCENTILE.EXC(N$5:$N523,0.2)),0)</f>
        <v>0</v>
      </c>
      <c r="Q523" s="21" t="str">
        <f t="shared" ca="1" si="59"/>
        <v/>
      </c>
      <c r="R523" s="4">
        <f ca="1">MIN(O523,PREMISSAS!$C$13)</f>
        <v>0</v>
      </c>
      <c r="S523" s="240"/>
      <c r="T523" s="240"/>
    </row>
    <row r="524" spans="2:20" x14ac:dyDescent="0.25">
      <c r="B524" s="21" t="str">
        <f t="shared" ca="1" si="60"/>
        <v/>
      </c>
      <c r="C524" s="22" t="str">
        <f ca="1">IF(B524="","",IF(LEFT(B524,2)="13",C523,IF(MONTH(B524)=1,C523*(1+PREMISSAS!$C$57),C523)))</f>
        <v/>
      </c>
      <c r="E524" s="18">
        <v>520</v>
      </c>
      <c r="F524" s="21" t="str">
        <f t="shared" ca="1" si="61"/>
        <v/>
      </c>
      <c r="G524" s="22">
        <f ca="1">IFERROR(VLOOKUP(F524,RESULTADOS!$O$5:$P$543,2,FALSE),VLOOKUP(F524,$B$5:$C$724,2,FALSE))</f>
        <v>0</v>
      </c>
      <c r="H524" s="4">
        <f ca="1">IF(F524&lt;PREMISSAS!$D$7,0,IFERROR(VLOOKUP(IF(LEFT(F524,2)="13",DATE(YEAR(F523),12,31),F524),IPCA!$A$3:$D$284,4,FALSE),1)*G524)</f>
        <v>0</v>
      </c>
      <c r="J524" s="21" t="str">
        <f t="shared" ca="1" si="56"/>
        <v/>
      </c>
      <c r="K524" s="4">
        <f t="shared" ca="1" si="57"/>
        <v>0</v>
      </c>
      <c r="M524" s="21" t="str">
        <f t="shared" ca="1" si="62"/>
        <v/>
      </c>
      <c r="N524" s="37">
        <f t="shared" ca="1" si="58"/>
        <v>0</v>
      </c>
      <c r="O524" s="4">
        <f ca="1">IFERROR(AVERAGEIF(N$5:$N524,"&gt;="&amp;_xlfn.PERCENTILE.EXC(N$5:$N524,0.2)),0)</f>
        <v>0</v>
      </c>
      <c r="Q524" s="21" t="str">
        <f t="shared" ca="1" si="59"/>
        <v/>
      </c>
      <c r="R524" s="4">
        <f ca="1">MIN(O524,PREMISSAS!$C$13)</f>
        <v>0</v>
      </c>
      <c r="S524" s="240"/>
      <c r="T524" s="240"/>
    </row>
    <row r="525" spans="2:20" x14ac:dyDescent="0.25">
      <c r="B525" s="21" t="str">
        <f t="shared" ca="1" si="60"/>
        <v/>
      </c>
      <c r="C525" s="22" t="str">
        <f ca="1">IF(B525="","",IF(LEFT(B525,2)="13",C524,IF(MONTH(B525)=1,C524*(1+PREMISSAS!$C$57),C524)))</f>
        <v/>
      </c>
      <c r="E525" s="18">
        <v>521</v>
      </c>
      <c r="F525" s="21" t="str">
        <f t="shared" ca="1" si="61"/>
        <v/>
      </c>
      <c r="G525" s="22">
        <f ca="1">IFERROR(VLOOKUP(F525,RESULTADOS!$O$5:$P$543,2,FALSE),VLOOKUP(F525,$B$5:$C$724,2,FALSE))</f>
        <v>0</v>
      </c>
      <c r="H525" s="4">
        <f ca="1">IF(F525&lt;PREMISSAS!$D$7,0,IFERROR(VLOOKUP(IF(LEFT(F525,2)="13",DATE(YEAR(F524),12,31),F525),IPCA!$A$3:$D$284,4,FALSE),1)*G525)</f>
        <v>0</v>
      </c>
      <c r="J525" s="21" t="str">
        <f t="shared" ca="1" si="56"/>
        <v/>
      </c>
      <c r="K525" s="4">
        <f t="shared" ca="1" si="57"/>
        <v>0</v>
      </c>
      <c r="M525" s="21" t="str">
        <f t="shared" ca="1" si="62"/>
        <v/>
      </c>
      <c r="N525" s="37">
        <f t="shared" ca="1" si="58"/>
        <v>0</v>
      </c>
      <c r="O525" s="4">
        <f ca="1">IFERROR(AVERAGEIF(N$5:$N525,"&gt;="&amp;_xlfn.PERCENTILE.EXC(N$5:$N525,0.2)),0)</f>
        <v>0</v>
      </c>
      <c r="Q525" s="21" t="str">
        <f t="shared" ca="1" si="59"/>
        <v/>
      </c>
      <c r="R525" s="4">
        <f ca="1">MIN(O525,PREMISSAS!$C$13)</f>
        <v>0</v>
      </c>
      <c r="S525" s="240"/>
      <c r="T525" s="240"/>
    </row>
    <row r="526" spans="2:20" x14ac:dyDescent="0.25">
      <c r="B526" s="21" t="str">
        <f t="shared" ca="1" si="60"/>
        <v/>
      </c>
      <c r="C526" s="22" t="str">
        <f ca="1">IF(B526="","",IF(LEFT(B526,2)="13",C525,IF(MONTH(B526)=1,C525*(1+PREMISSAS!$C$57),C525)))</f>
        <v/>
      </c>
      <c r="E526" s="18">
        <v>522</v>
      </c>
      <c r="F526" s="21" t="str">
        <f t="shared" ca="1" si="61"/>
        <v/>
      </c>
      <c r="G526" s="22">
        <f ca="1">IFERROR(VLOOKUP(F526,RESULTADOS!$O$5:$P$543,2,FALSE),VLOOKUP(F526,$B$5:$C$724,2,FALSE))</f>
        <v>0</v>
      </c>
      <c r="H526" s="4">
        <f ca="1">IF(F526&lt;PREMISSAS!$D$7,0,IFERROR(VLOOKUP(IF(LEFT(F526,2)="13",DATE(YEAR(F525),12,31),F526),IPCA!$A$3:$D$284,4,FALSE),1)*G526)</f>
        <v>0</v>
      </c>
      <c r="J526" s="21" t="str">
        <f t="shared" ca="1" si="56"/>
        <v/>
      </c>
      <c r="K526" s="4">
        <f t="shared" ca="1" si="57"/>
        <v>0</v>
      </c>
      <c r="M526" s="21" t="str">
        <f t="shared" ca="1" si="62"/>
        <v/>
      </c>
      <c r="N526" s="37">
        <f t="shared" ca="1" si="58"/>
        <v>0</v>
      </c>
      <c r="O526" s="4">
        <f ca="1">IFERROR(AVERAGEIF(N$5:$N526,"&gt;="&amp;_xlfn.PERCENTILE.EXC(N$5:$N526,0.2)),0)</f>
        <v>0</v>
      </c>
      <c r="Q526" s="21" t="str">
        <f t="shared" ca="1" si="59"/>
        <v/>
      </c>
      <c r="R526" s="4">
        <f ca="1">MIN(O526,PREMISSAS!$C$13)</f>
        <v>0</v>
      </c>
      <c r="S526" s="240"/>
      <c r="T526" s="240"/>
    </row>
    <row r="527" spans="2:20" x14ac:dyDescent="0.25">
      <c r="B527" s="21" t="str">
        <f t="shared" ca="1" si="60"/>
        <v/>
      </c>
      <c r="C527" s="22" t="str">
        <f ca="1">IF(B527="","",IF(LEFT(B527,2)="13",C526,IF(MONTH(B527)=1,C526*(1+PREMISSAS!$C$57),C526)))</f>
        <v/>
      </c>
      <c r="E527" s="18">
        <v>523</v>
      </c>
      <c r="F527" s="21" t="str">
        <f t="shared" ca="1" si="61"/>
        <v/>
      </c>
      <c r="G527" s="22">
        <f ca="1">IFERROR(VLOOKUP(F527,RESULTADOS!$O$5:$P$543,2,FALSE),VLOOKUP(F527,$B$5:$C$724,2,FALSE))</f>
        <v>0</v>
      </c>
      <c r="H527" s="4">
        <f ca="1">IF(F527&lt;PREMISSAS!$D$7,0,IFERROR(VLOOKUP(IF(LEFT(F527,2)="13",DATE(YEAR(F526),12,31),F527),IPCA!$A$3:$D$284,4,FALSE),1)*G527)</f>
        <v>0</v>
      </c>
      <c r="J527" s="21" t="str">
        <f t="shared" ca="1" si="56"/>
        <v/>
      </c>
      <c r="K527" s="4">
        <f t="shared" ca="1" si="57"/>
        <v>0</v>
      </c>
      <c r="M527" s="21" t="str">
        <f t="shared" ca="1" si="62"/>
        <v/>
      </c>
      <c r="N527" s="37">
        <f t="shared" ca="1" si="58"/>
        <v>0</v>
      </c>
      <c r="O527" s="4">
        <f ca="1">IFERROR(AVERAGEIF(N$5:$N527,"&gt;="&amp;_xlfn.PERCENTILE.EXC(N$5:$N527,0.2)),0)</f>
        <v>0</v>
      </c>
      <c r="Q527" s="21" t="str">
        <f t="shared" ca="1" si="59"/>
        <v/>
      </c>
      <c r="R527" s="4">
        <f ca="1">MIN(O527,PREMISSAS!$C$13)</f>
        <v>0</v>
      </c>
      <c r="S527" s="240"/>
      <c r="T527" s="240"/>
    </row>
    <row r="528" spans="2:20" x14ac:dyDescent="0.25">
      <c r="B528" s="21" t="str">
        <f t="shared" ca="1" si="60"/>
        <v/>
      </c>
      <c r="C528" s="22" t="str">
        <f ca="1">IF(B528="","",IF(LEFT(B528,2)="13",C527,IF(MONTH(B528)=1,C527*(1+PREMISSAS!$C$57),C527)))</f>
        <v/>
      </c>
      <c r="E528" s="18">
        <v>524</v>
      </c>
      <c r="F528" s="21" t="str">
        <f t="shared" ca="1" si="61"/>
        <v/>
      </c>
      <c r="G528" s="22">
        <f ca="1">IFERROR(VLOOKUP(F528,RESULTADOS!$O$5:$P$543,2,FALSE),VLOOKUP(F528,$B$5:$C$724,2,FALSE))</f>
        <v>0</v>
      </c>
      <c r="H528" s="4">
        <f ca="1">IF(F528&lt;PREMISSAS!$D$7,0,IFERROR(VLOOKUP(IF(LEFT(F528,2)="13",DATE(YEAR(F527),12,31),F528),IPCA!$A$3:$D$284,4,FALSE),1)*G528)</f>
        <v>0</v>
      </c>
      <c r="J528" s="21" t="str">
        <f t="shared" ca="1" si="56"/>
        <v/>
      </c>
      <c r="K528" s="4">
        <f t="shared" ca="1" si="57"/>
        <v>0</v>
      </c>
      <c r="M528" s="21" t="str">
        <f t="shared" ca="1" si="62"/>
        <v/>
      </c>
      <c r="N528" s="37">
        <f t="shared" ca="1" si="58"/>
        <v>0</v>
      </c>
      <c r="O528" s="4">
        <f ca="1">IFERROR(AVERAGEIF(N$5:$N528,"&gt;="&amp;_xlfn.PERCENTILE.EXC(N$5:$N528,0.2)),0)</f>
        <v>0</v>
      </c>
      <c r="Q528" s="21" t="str">
        <f t="shared" ca="1" si="59"/>
        <v/>
      </c>
      <c r="R528" s="4">
        <f ca="1">MIN(O528,PREMISSAS!$C$13)</f>
        <v>0</v>
      </c>
      <c r="S528" s="240"/>
      <c r="T528" s="240"/>
    </row>
    <row r="529" spans="2:20" x14ac:dyDescent="0.25">
      <c r="B529" s="21" t="str">
        <f t="shared" ca="1" si="60"/>
        <v/>
      </c>
      <c r="C529" s="22" t="str">
        <f ca="1">IF(B529="","",IF(LEFT(B529,2)="13",C528,IF(MONTH(B529)=1,C528*(1+PREMISSAS!$C$57),C528)))</f>
        <v/>
      </c>
      <c r="E529" s="18">
        <v>525</v>
      </c>
      <c r="F529" s="21" t="str">
        <f t="shared" ca="1" si="61"/>
        <v/>
      </c>
      <c r="G529" s="22">
        <f ca="1">IFERROR(VLOOKUP(F529,RESULTADOS!$O$5:$P$543,2,FALSE),VLOOKUP(F529,$B$5:$C$724,2,FALSE))</f>
        <v>0</v>
      </c>
      <c r="H529" s="4">
        <f ca="1">IF(F529&lt;PREMISSAS!$D$7,0,IFERROR(VLOOKUP(IF(LEFT(F529,2)="13",DATE(YEAR(F528),12,31),F529),IPCA!$A$3:$D$284,4,FALSE),1)*G529)</f>
        <v>0</v>
      </c>
      <c r="J529" s="21" t="str">
        <f t="shared" ca="1" si="56"/>
        <v/>
      </c>
      <c r="K529" s="4">
        <f t="shared" ca="1" si="57"/>
        <v>0</v>
      </c>
      <c r="M529" s="21" t="str">
        <f t="shared" ca="1" si="62"/>
        <v/>
      </c>
      <c r="N529" s="37">
        <f t="shared" ca="1" si="58"/>
        <v>0</v>
      </c>
      <c r="O529" s="4">
        <f ca="1">IFERROR(AVERAGEIF(N$5:$N529,"&gt;="&amp;_xlfn.PERCENTILE.EXC(N$5:$N529,0.2)),0)</f>
        <v>0</v>
      </c>
      <c r="Q529" s="21" t="str">
        <f t="shared" ca="1" si="59"/>
        <v/>
      </c>
      <c r="R529" s="4">
        <f ca="1">MIN(O529,PREMISSAS!$C$13)</f>
        <v>0</v>
      </c>
      <c r="S529" s="240"/>
      <c r="T529" s="240"/>
    </row>
    <row r="530" spans="2:20" x14ac:dyDescent="0.25">
      <c r="B530" s="21" t="str">
        <f t="shared" ca="1" si="60"/>
        <v/>
      </c>
      <c r="C530" s="22" t="str">
        <f ca="1">IF(B530="","",IF(LEFT(B530,2)="13",C529,IF(MONTH(B530)=1,C529*(1+PREMISSAS!$C$57),C529)))</f>
        <v/>
      </c>
      <c r="E530" s="18">
        <v>526</v>
      </c>
      <c r="F530" s="21" t="str">
        <f t="shared" ca="1" si="61"/>
        <v/>
      </c>
      <c r="G530" s="22">
        <f ca="1">IFERROR(VLOOKUP(F530,RESULTADOS!$O$5:$P$543,2,FALSE),VLOOKUP(F530,$B$5:$C$724,2,FALSE))</f>
        <v>0</v>
      </c>
      <c r="H530" s="4">
        <f ca="1">IF(F530&lt;PREMISSAS!$D$7,0,IFERROR(VLOOKUP(IF(LEFT(F530,2)="13",DATE(YEAR(F529),12,31),F530),IPCA!$A$3:$D$284,4,FALSE),1)*G530)</f>
        <v>0</v>
      </c>
      <c r="J530" s="21" t="str">
        <f t="shared" ca="1" si="56"/>
        <v/>
      </c>
      <c r="K530" s="4">
        <f t="shared" ca="1" si="57"/>
        <v>0</v>
      </c>
      <c r="M530" s="21" t="str">
        <f t="shared" ca="1" si="62"/>
        <v/>
      </c>
      <c r="N530" s="37">
        <f t="shared" ca="1" si="58"/>
        <v>0</v>
      </c>
      <c r="O530" s="4">
        <f ca="1">IFERROR(AVERAGEIF(N$5:$N530,"&gt;="&amp;_xlfn.PERCENTILE.EXC(N$5:$N530,0.2)),0)</f>
        <v>0</v>
      </c>
      <c r="Q530" s="21" t="str">
        <f t="shared" ca="1" si="59"/>
        <v/>
      </c>
      <c r="R530" s="4">
        <f ca="1">MIN(O530,PREMISSAS!$C$13)</f>
        <v>0</v>
      </c>
      <c r="S530" s="240"/>
      <c r="T530" s="240"/>
    </row>
    <row r="531" spans="2:20" x14ac:dyDescent="0.25">
      <c r="B531" s="21" t="str">
        <f t="shared" ca="1" si="60"/>
        <v/>
      </c>
      <c r="C531" s="22" t="str">
        <f ca="1">IF(B531="","",IF(LEFT(B531,2)="13",C530,IF(MONTH(B531)=1,C530*(1+PREMISSAS!$C$57),C530)))</f>
        <v/>
      </c>
      <c r="E531" s="18">
        <v>527</v>
      </c>
      <c r="F531" s="21" t="str">
        <f t="shared" ca="1" si="61"/>
        <v/>
      </c>
      <c r="G531" s="22">
        <f ca="1">IFERROR(VLOOKUP(F531,RESULTADOS!$O$5:$P$543,2,FALSE),VLOOKUP(F531,$B$5:$C$724,2,FALSE))</f>
        <v>0</v>
      </c>
      <c r="H531" s="4">
        <f ca="1">IF(F531&lt;PREMISSAS!$D$7,0,IFERROR(VLOOKUP(IF(LEFT(F531,2)="13",DATE(YEAR(F530),12,31),F531),IPCA!$A$3:$D$284,4,FALSE),1)*G531)</f>
        <v>0</v>
      </c>
      <c r="J531" s="21" t="str">
        <f t="shared" ca="1" si="56"/>
        <v/>
      </c>
      <c r="K531" s="4">
        <f t="shared" ca="1" si="57"/>
        <v>0</v>
      </c>
      <c r="M531" s="21" t="str">
        <f t="shared" ca="1" si="62"/>
        <v/>
      </c>
      <c r="N531" s="37">
        <f t="shared" ca="1" si="58"/>
        <v>0</v>
      </c>
      <c r="O531" s="4">
        <f ca="1">IFERROR(AVERAGEIF(N$5:$N531,"&gt;="&amp;_xlfn.PERCENTILE.EXC(N$5:$N531,0.2)),0)</f>
        <v>0</v>
      </c>
      <c r="Q531" s="21" t="str">
        <f t="shared" ca="1" si="59"/>
        <v/>
      </c>
      <c r="R531" s="4">
        <f ca="1">MIN(O531,PREMISSAS!$C$13)</f>
        <v>0</v>
      </c>
      <c r="S531" s="240"/>
      <c r="T531" s="240"/>
    </row>
    <row r="532" spans="2:20" x14ac:dyDescent="0.25">
      <c r="B532" s="21" t="str">
        <f t="shared" ca="1" si="60"/>
        <v/>
      </c>
      <c r="C532" s="22" t="str">
        <f ca="1">IF(B532="","",IF(LEFT(B532,2)="13",C531,IF(MONTH(B532)=1,C531*(1+PREMISSAS!$C$57),C531)))</f>
        <v/>
      </c>
      <c r="E532" s="18">
        <v>528</v>
      </c>
      <c r="F532" s="21" t="str">
        <f t="shared" ca="1" si="61"/>
        <v/>
      </c>
      <c r="G532" s="22">
        <f ca="1">IFERROR(VLOOKUP(F532,RESULTADOS!$O$5:$P$543,2,FALSE),VLOOKUP(F532,$B$5:$C$724,2,FALSE))</f>
        <v>0</v>
      </c>
      <c r="H532" s="4">
        <f ca="1">IF(F532&lt;PREMISSAS!$D$7,0,IFERROR(VLOOKUP(IF(LEFT(F532,2)="13",DATE(YEAR(F531),12,31),F532),IPCA!$A$3:$D$284,4,FALSE),1)*G532)</f>
        <v>0</v>
      </c>
      <c r="J532" s="21" t="str">
        <f t="shared" ca="1" si="56"/>
        <v/>
      </c>
      <c r="K532" s="4">
        <f t="shared" ca="1" si="57"/>
        <v>0</v>
      </c>
      <c r="M532" s="21" t="str">
        <f t="shared" ca="1" si="62"/>
        <v/>
      </c>
      <c r="N532" s="37">
        <f t="shared" ca="1" si="58"/>
        <v>0</v>
      </c>
      <c r="O532" s="4">
        <f ca="1">IFERROR(AVERAGEIF(N$5:$N532,"&gt;="&amp;_xlfn.PERCENTILE.EXC(N$5:$N532,0.2)),0)</f>
        <v>0</v>
      </c>
      <c r="Q532" s="21" t="str">
        <f t="shared" ca="1" si="59"/>
        <v/>
      </c>
      <c r="R532" s="4">
        <f ca="1">MIN(O532,PREMISSAS!$C$13)</f>
        <v>0</v>
      </c>
      <c r="S532" s="240"/>
      <c r="T532" s="240"/>
    </row>
    <row r="533" spans="2:20" x14ac:dyDescent="0.25">
      <c r="B533" s="21" t="str">
        <f t="shared" ca="1" si="60"/>
        <v/>
      </c>
      <c r="C533" s="22" t="str">
        <f ca="1">IF(B533="","",IF(LEFT(B533,2)="13",C532,IF(MONTH(B533)=1,C532*(1+PREMISSAS!$C$57),C532)))</f>
        <v/>
      </c>
      <c r="E533" s="18">
        <v>529</v>
      </c>
      <c r="F533" s="21" t="str">
        <f t="shared" ca="1" si="61"/>
        <v/>
      </c>
      <c r="G533" s="22">
        <f ca="1">IFERROR(VLOOKUP(F533,RESULTADOS!$O$5:$P$543,2,FALSE),VLOOKUP(F533,$B$5:$C$724,2,FALSE))</f>
        <v>0</v>
      </c>
      <c r="H533" s="4">
        <f ca="1">IF(F533&lt;PREMISSAS!$D$7,0,IFERROR(VLOOKUP(IF(LEFT(F533,2)="13",DATE(YEAR(F532),12,31),F533),IPCA!$A$3:$D$284,4,FALSE),1)*G533)</f>
        <v>0</v>
      </c>
      <c r="J533" s="21" t="str">
        <f t="shared" ca="1" si="56"/>
        <v/>
      </c>
      <c r="K533" s="4">
        <f t="shared" ca="1" si="57"/>
        <v>0</v>
      </c>
      <c r="M533" s="21" t="str">
        <f t="shared" ca="1" si="62"/>
        <v/>
      </c>
      <c r="N533" s="37">
        <f t="shared" ca="1" si="58"/>
        <v>0</v>
      </c>
      <c r="O533" s="4">
        <f ca="1">IFERROR(AVERAGEIF(N$5:$N533,"&gt;="&amp;_xlfn.PERCENTILE.EXC(N$5:$N533,0.2)),0)</f>
        <v>0</v>
      </c>
      <c r="Q533" s="21" t="str">
        <f t="shared" ca="1" si="59"/>
        <v/>
      </c>
      <c r="R533" s="4">
        <f ca="1">MIN(O533,PREMISSAS!$C$13)</f>
        <v>0</v>
      </c>
      <c r="S533" s="240"/>
      <c r="T533" s="240"/>
    </row>
    <row r="534" spans="2:20" x14ac:dyDescent="0.25">
      <c r="B534" s="21" t="str">
        <f t="shared" ca="1" si="60"/>
        <v/>
      </c>
      <c r="C534" s="22" t="str">
        <f ca="1">IF(B534="","",IF(LEFT(B534,2)="13",C533,IF(MONTH(B534)=1,C533*(1+PREMISSAS!$C$57),C533)))</f>
        <v/>
      </c>
      <c r="E534" s="18">
        <v>530</v>
      </c>
      <c r="F534" s="21" t="str">
        <f t="shared" ca="1" si="61"/>
        <v/>
      </c>
      <c r="G534" s="22">
        <f ca="1">IFERROR(VLOOKUP(F534,RESULTADOS!$O$5:$P$543,2,FALSE),VLOOKUP(F534,$B$5:$C$724,2,FALSE))</f>
        <v>0</v>
      </c>
      <c r="H534" s="4">
        <f ca="1">IF(F534&lt;PREMISSAS!$D$7,0,IFERROR(VLOOKUP(IF(LEFT(F534,2)="13",DATE(YEAR(F533),12,31),F534),IPCA!$A$3:$D$284,4,FALSE),1)*G534)</f>
        <v>0</v>
      </c>
      <c r="J534" s="21" t="str">
        <f t="shared" ca="1" si="56"/>
        <v/>
      </c>
      <c r="K534" s="4">
        <f t="shared" ca="1" si="57"/>
        <v>0</v>
      </c>
      <c r="M534" s="21" t="str">
        <f t="shared" ca="1" si="62"/>
        <v/>
      </c>
      <c r="N534" s="37">
        <f t="shared" ca="1" si="58"/>
        <v>0</v>
      </c>
      <c r="O534" s="4">
        <f ca="1">IFERROR(AVERAGEIF(N$5:$N534,"&gt;="&amp;_xlfn.PERCENTILE.EXC(N$5:$N534,0.2)),0)</f>
        <v>0</v>
      </c>
      <c r="Q534" s="21" t="str">
        <f t="shared" ca="1" si="59"/>
        <v/>
      </c>
      <c r="R534" s="4">
        <f ca="1">MIN(O534,PREMISSAS!$C$13)</f>
        <v>0</v>
      </c>
      <c r="S534" s="240"/>
      <c r="T534" s="240"/>
    </row>
    <row r="535" spans="2:20" x14ac:dyDescent="0.25">
      <c r="B535" s="21" t="str">
        <f t="shared" ca="1" si="60"/>
        <v/>
      </c>
      <c r="C535" s="22" t="str">
        <f ca="1">IF(B535="","",IF(LEFT(B535,2)="13",C534,IF(MONTH(B535)=1,C534*(1+PREMISSAS!$C$57),C534)))</f>
        <v/>
      </c>
      <c r="E535" s="18">
        <v>531</v>
      </c>
      <c r="F535" s="21" t="str">
        <f t="shared" ca="1" si="61"/>
        <v/>
      </c>
      <c r="G535" s="22">
        <f ca="1">IFERROR(VLOOKUP(F535,RESULTADOS!$O$5:$P$543,2,FALSE),VLOOKUP(F535,$B$5:$C$724,2,FALSE))</f>
        <v>0</v>
      </c>
      <c r="H535" s="4">
        <f ca="1">IF(F535&lt;PREMISSAS!$D$7,0,IFERROR(VLOOKUP(IF(LEFT(F535,2)="13",DATE(YEAR(F534),12,31),F535),IPCA!$A$3:$D$284,4,FALSE),1)*G535)</f>
        <v>0</v>
      </c>
      <c r="J535" s="21" t="str">
        <f t="shared" ca="1" si="56"/>
        <v/>
      </c>
      <c r="K535" s="4">
        <f t="shared" ca="1" si="57"/>
        <v>0</v>
      </c>
      <c r="M535" s="21" t="str">
        <f t="shared" ca="1" si="62"/>
        <v/>
      </c>
      <c r="N535" s="37">
        <f t="shared" ca="1" si="58"/>
        <v>0</v>
      </c>
      <c r="O535" s="4">
        <f ca="1">IFERROR(AVERAGEIF(N$5:$N535,"&gt;="&amp;_xlfn.PERCENTILE.EXC(N$5:$N535,0.2)),0)</f>
        <v>0</v>
      </c>
      <c r="Q535" s="21" t="str">
        <f t="shared" ca="1" si="59"/>
        <v/>
      </c>
      <c r="R535" s="4">
        <f ca="1">MIN(O535,PREMISSAS!$C$13)</f>
        <v>0</v>
      </c>
      <c r="S535" s="240"/>
      <c r="T535" s="240"/>
    </row>
    <row r="536" spans="2:20" x14ac:dyDescent="0.25">
      <c r="B536" s="21" t="str">
        <f t="shared" ca="1" si="60"/>
        <v/>
      </c>
      <c r="C536" s="22" t="str">
        <f ca="1">IF(B536="","",IF(LEFT(B536,2)="13",C535,IF(MONTH(B536)=1,C535*(1+PREMISSAS!$C$57),C535)))</f>
        <v/>
      </c>
      <c r="E536" s="18">
        <v>532</v>
      </c>
      <c r="F536" s="21" t="str">
        <f t="shared" ca="1" si="61"/>
        <v/>
      </c>
      <c r="G536" s="22">
        <f ca="1">IFERROR(VLOOKUP(F536,RESULTADOS!$O$5:$P$543,2,FALSE),VLOOKUP(F536,$B$5:$C$724,2,FALSE))</f>
        <v>0</v>
      </c>
      <c r="H536" s="4">
        <f ca="1">IF(F536&lt;PREMISSAS!$D$7,0,IFERROR(VLOOKUP(IF(LEFT(F536,2)="13",DATE(YEAR(F535),12,31),F536),IPCA!$A$3:$D$284,4,FALSE),1)*G536)</f>
        <v>0</v>
      </c>
      <c r="J536" s="21" t="str">
        <f t="shared" ca="1" si="56"/>
        <v/>
      </c>
      <c r="K536" s="4">
        <f t="shared" ca="1" si="57"/>
        <v>0</v>
      </c>
      <c r="M536" s="21" t="str">
        <f t="shared" ca="1" si="62"/>
        <v/>
      </c>
      <c r="N536" s="37">
        <f t="shared" ca="1" si="58"/>
        <v>0</v>
      </c>
      <c r="O536" s="4">
        <f ca="1">IFERROR(AVERAGEIF(N$5:$N536,"&gt;="&amp;_xlfn.PERCENTILE.EXC(N$5:$N536,0.2)),0)</f>
        <v>0</v>
      </c>
      <c r="Q536" s="21" t="str">
        <f t="shared" ca="1" si="59"/>
        <v/>
      </c>
      <c r="R536" s="4">
        <f ca="1">MIN(O536,PREMISSAS!$C$13)</f>
        <v>0</v>
      </c>
      <c r="S536" s="240"/>
      <c r="T536" s="240"/>
    </row>
    <row r="537" spans="2:20" x14ac:dyDescent="0.25">
      <c r="B537" s="21" t="str">
        <f t="shared" ca="1" si="60"/>
        <v/>
      </c>
      <c r="C537" s="22" t="str">
        <f ca="1">IF(B537="","",IF(LEFT(B537,2)="13",C536,IF(MONTH(B537)=1,C536*(1+PREMISSAS!$C$57),C536)))</f>
        <v/>
      </c>
      <c r="E537" s="18">
        <v>533</v>
      </c>
      <c r="F537" s="21" t="str">
        <f t="shared" ca="1" si="61"/>
        <v/>
      </c>
      <c r="G537" s="22">
        <f ca="1">IFERROR(VLOOKUP(F537,RESULTADOS!$O$5:$P$543,2,FALSE),VLOOKUP(F537,$B$5:$C$724,2,FALSE))</f>
        <v>0</v>
      </c>
      <c r="H537" s="4">
        <f ca="1">IF(F537&lt;PREMISSAS!$D$7,0,IFERROR(VLOOKUP(IF(LEFT(F537,2)="13",DATE(YEAR(F536),12,31),F537),IPCA!$A$3:$D$284,4,FALSE),1)*G537)</f>
        <v>0</v>
      </c>
      <c r="J537" s="21" t="str">
        <f t="shared" ca="1" si="56"/>
        <v/>
      </c>
      <c r="K537" s="4">
        <f t="shared" ca="1" si="57"/>
        <v>0</v>
      </c>
      <c r="M537" s="21" t="str">
        <f t="shared" ca="1" si="62"/>
        <v/>
      </c>
      <c r="N537" s="37">
        <f t="shared" ca="1" si="58"/>
        <v>0</v>
      </c>
      <c r="O537" s="4">
        <f ca="1">IFERROR(AVERAGEIF(N$5:$N537,"&gt;="&amp;_xlfn.PERCENTILE.EXC(N$5:$N537,0.2)),0)</f>
        <v>0</v>
      </c>
      <c r="Q537" s="21" t="str">
        <f t="shared" ca="1" si="59"/>
        <v/>
      </c>
      <c r="R537" s="4">
        <f ca="1">MIN(O537,PREMISSAS!$C$13)</f>
        <v>0</v>
      </c>
      <c r="S537" s="240"/>
      <c r="T537" s="240"/>
    </row>
    <row r="538" spans="2:20" x14ac:dyDescent="0.25">
      <c r="B538" s="21" t="str">
        <f t="shared" ca="1" si="60"/>
        <v/>
      </c>
      <c r="C538" s="22" t="str">
        <f ca="1">IF(B538="","",IF(LEFT(B538,2)="13",C537,IF(MONTH(B538)=1,C537*(1+PREMISSAS!$C$57),C537)))</f>
        <v/>
      </c>
      <c r="E538" s="18">
        <v>534</v>
      </c>
      <c r="F538" s="21" t="str">
        <f t="shared" ca="1" si="61"/>
        <v/>
      </c>
      <c r="G538" s="22">
        <f ca="1">IFERROR(VLOOKUP(F538,RESULTADOS!$O$5:$P$543,2,FALSE),VLOOKUP(F538,$B$5:$C$724,2,FALSE))</f>
        <v>0</v>
      </c>
      <c r="H538" s="4">
        <f ca="1">IF(F538&lt;PREMISSAS!$D$7,0,IFERROR(VLOOKUP(IF(LEFT(F538,2)="13",DATE(YEAR(F537),12,31),F538),IPCA!$A$3:$D$284,4,FALSE),1)*G538)</f>
        <v>0</v>
      </c>
      <c r="J538" s="21" t="str">
        <f t="shared" ca="1" si="56"/>
        <v/>
      </c>
      <c r="K538" s="4">
        <f t="shared" ca="1" si="57"/>
        <v>0</v>
      </c>
      <c r="M538" s="21" t="str">
        <f t="shared" ca="1" si="62"/>
        <v/>
      </c>
      <c r="N538" s="37">
        <f t="shared" ca="1" si="58"/>
        <v>0</v>
      </c>
      <c r="O538" s="4">
        <f ca="1">IFERROR(AVERAGEIF(N$5:$N538,"&gt;="&amp;_xlfn.PERCENTILE.EXC(N$5:$N538,0.2)),0)</f>
        <v>0</v>
      </c>
      <c r="Q538" s="21" t="str">
        <f t="shared" ca="1" si="59"/>
        <v/>
      </c>
      <c r="R538" s="4">
        <f ca="1">MIN(O538,PREMISSAS!$C$13)</f>
        <v>0</v>
      </c>
      <c r="S538" s="240"/>
      <c r="T538" s="240"/>
    </row>
    <row r="539" spans="2:20" x14ac:dyDescent="0.25">
      <c r="B539" s="21" t="str">
        <f t="shared" ca="1" si="60"/>
        <v/>
      </c>
      <c r="C539" s="22" t="str">
        <f ca="1">IF(B539="","",IF(LEFT(B539,2)="13",C538,IF(MONTH(B539)=1,C538*(1+PREMISSAS!$C$57),C538)))</f>
        <v/>
      </c>
      <c r="E539" s="18">
        <v>535</v>
      </c>
      <c r="F539" s="21" t="str">
        <f t="shared" ca="1" si="61"/>
        <v/>
      </c>
      <c r="G539" s="22">
        <f ca="1">IFERROR(VLOOKUP(F539,RESULTADOS!$O$5:$P$543,2,FALSE),VLOOKUP(F539,$B$5:$C$724,2,FALSE))</f>
        <v>0</v>
      </c>
      <c r="H539" s="4">
        <f ca="1">IF(F539&lt;PREMISSAS!$D$7,0,IFERROR(VLOOKUP(IF(LEFT(F539,2)="13",DATE(YEAR(F538),12,31),F539),IPCA!$A$3:$D$284,4,FALSE),1)*G539)</f>
        <v>0</v>
      </c>
      <c r="J539" s="21" t="str">
        <f t="shared" ca="1" si="56"/>
        <v/>
      </c>
      <c r="K539" s="4">
        <f t="shared" ca="1" si="57"/>
        <v>0</v>
      </c>
      <c r="M539" s="21" t="str">
        <f t="shared" ca="1" si="62"/>
        <v/>
      </c>
      <c r="N539" s="37">
        <f t="shared" ca="1" si="58"/>
        <v>0</v>
      </c>
      <c r="O539" s="4">
        <f ca="1">IFERROR(AVERAGEIF(N$5:$N539,"&gt;="&amp;_xlfn.PERCENTILE.EXC(N$5:$N539,0.2)),0)</f>
        <v>0</v>
      </c>
      <c r="Q539" s="21" t="str">
        <f t="shared" ca="1" si="59"/>
        <v/>
      </c>
      <c r="R539" s="4">
        <f ca="1">MIN(O539,PREMISSAS!$C$13)</f>
        <v>0</v>
      </c>
      <c r="S539" s="240"/>
      <c r="T539" s="240"/>
    </row>
    <row r="540" spans="2:20" x14ac:dyDescent="0.25">
      <c r="B540" s="21" t="str">
        <f t="shared" ca="1" si="60"/>
        <v/>
      </c>
      <c r="C540" s="22" t="str">
        <f ca="1">IF(B540="","",IF(LEFT(B540,2)="13",C539,IF(MONTH(B540)=1,C539*(1+PREMISSAS!$C$57),C539)))</f>
        <v/>
      </c>
      <c r="E540" s="18">
        <v>536</v>
      </c>
      <c r="F540" s="21" t="str">
        <f t="shared" ca="1" si="61"/>
        <v/>
      </c>
      <c r="G540" s="22">
        <f ca="1">IFERROR(VLOOKUP(F540,RESULTADOS!$O$5:$P$543,2,FALSE),VLOOKUP(F540,$B$5:$C$724,2,FALSE))</f>
        <v>0</v>
      </c>
      <c r="H540" s="4">
        <f ca="1">IF(F540&lt;PREMISSAS!$D$7,0,IFERROR(VLOOKUP(IF(LEFT(F540,2)="13",DATE(YEAR(F539),12,31),F540),IPCA!$A$3:$D$284,4,FALSE),1)*G540)</f>
        <v>0</v>
      </c>
      <c r="J540" s="21" t="str">
        <f t="shared" ca="1" si="56"/>
        <v/>
      </c>
      <c r="K540" s="4">
        <f t="shared" ca="1" si="57"/>
        <v>0</v>
      </c>
      <c r="M540" s="21" t="str">
        <f t="shared" ca="1" si="62"/>
        <v/>
      </c>
      <c r="N540" s="37">
        <f t="shared" ca="1" si="58"/>
        <v>0</v>
      </c>
      <c r="O540" s="4">
        <f ca="1">IFERROR(AVERAGEIF(N$5:$N540,"&gt;="&amp;_xlfn.PERCENTILE.EXC(N$5:$N540,0.2)),0)</f>
        <v>0</v>
      </c>
      <c r="Q540" s="21" t="str">
        <f t="shared" ca="1" si="59"/>
        <v/>
      </c>
      <c r="R540" s="4">
        <f ca="1">MIN(O540,PREMISSAS!$C$13)</f>
        <v>0</v>
      </c>
      <c r="S540" s="240"/>
      <c r="T540" s="240"/>
    </row>
    <row r="541" spans="2:20" x14ac:dyDescent="0.25">
      <c r="B541" s="21" t="str">
        <f t="shared" ca="1" si="60"/>
        <v/>
      </c>
      <c r="C541" s="22" t="str">
        <f ca="1">IF(B541="","",IF(LEFT(B541,2)="13",C540,IF(MONTH(B541)=1,C540*(1+PREMISSAS!$C$57),C540)))</f>
        <v/>
      </c>
      <c r="E541" s="18">
        <v>537</v>
      </c>
      <c r="F541" s="21" t="str">
        <f t="shared" ca="1" si="61"/>
        <v/>
      </c>
      <c r="G541" s="22">
        <f ca="1">IFERROR(VLOOKUP(F541,RESULTADOS!$O$5:$P$543,2,FALSE),VLOOKUP(F541,$B$5:$C$724,2,FALSE))</f>
        <v>0</v>
      </c>
      <c r="H541" s="4">
        <f ca="1">IF(F541&lt;PREMISSAS!$D$7,0,IFERROR(VLOOKUP(IF(LEFT(F541,2)="13",DATE(YEAR(F540),12,31),F541),IPCA!$A$3:$D$284,4,FALSE),1)*G541)</f>
        <v>0</v>
      </c>
      <c r="J541" s="21" t="str">
        <f t="shared" ca="1" si="56"/>
        <v/>
      </c>
      <c r="K541" s="4">
        <f t="shared" ca="1" si="57"/>
        <v>0</v>
      </c>
      <c r="M541" s="21" t="str">
        <f t="shared" ca="1" si="62"/>
        <v/>
      </c>
      <c r="N541" s="37">
        <f t="shared" ca="1" si="58"/>
        <v>0</v>
      </c>
      <c r="O541" s="4">
        <f ca="1">IFERROR(AVERAGEIF(N$5:$N541,"&gt;="&amp;_xlfn.PERCENTILE.EXC(N$5:$N541,0.2)),0)</f>
        <v>0</v>
      </c>
      <c r="Q541" s="21" t="str">
        <f t="shared" ca="1" si="59"/>
        <v/>
      </c>
      <c r="R541" s="4">
        <f ca="1">MIN(O541,PREMISSAS!$C$13)</f>
        <v>0</v>
      </c>
      <c r="S541" s="240"/>
      <c r="T541" s="240"/>
    </row>
    <row r="542" spans="2:20" x14ac:dyDescent="0.25">
      <c r="B542" s="21" t="str">
        <f t="shared" ca="1" si="60"/>
        <v/>
      </c>
      <c r="C542" s="22" t="str">
        <f ca="1">IF(B542="","",IF(LEFT(B542,2)="13",C541,IF(MONTH(B542)=1,C541*(1+PREMISSAS!$C$57),C541)))</f>
        <v/>
      </c>
      <c r="E542" s="18">
        <v>538</v>
      </c>
      <c r="F542" s="21" t="str">
        <f t="shared" ca="1" si="61"/>
        <v/>
      </c>
      <c r="G542" s="22">
        <f ca="1">IFERROR(VLOOKUP(F542,RESULTADOS!$O$5:$P$543,2,FALSE),VLOOKUP(F542,$B$5:$C$724,2,FALSE))</f>
        <v>0</v>
      </c>
      <c r="H542" s="4">
        <f ca="1">IF(F542&lt;PREMISSAS!$D$7,0,IFERROR(VLOOKUP(IF(LEFT(F542,2)="13",DATE(YEAR(F541),12,31),F542),IPCA!$A$3:$D$284,4,FALSE),1)*G542)</f>
        <v>0</v>
      </c>
      <c r="J542" s="21" t="str">
        <f t="shared" ca="1" si="56"/>
        <v/>
      </c>
      <c r="K542" s="4">
        <f t="shared" ca="1" si="57"/>
        <v>0</v>
      </c>
      <c r="M542" s="21" t="str">
        <f t="shared" ca="1" si="62"/>
        <v/>
      </c>
      <c r="N542" s="37">
        <f t="shared" ca="1" si="58"/>
        <v>0</v>
      </c>
      <c r="O542" s="4">
        <f ca="1">IFERROR(AVERAGEIF(N$5:$N542,"&gt;="&amp;_xlfn.PERCENTILE.EXC(N$5:$N542,0.2)),0)</f>
        <v>0</v>
      </c>
      <c r="Q542" s="21" t="str">
        <f t="shared" ca="1" si="59"/>
        <v/>
      </c>
      <c r="R542" s="4">
        <f ca="1">MIN(O542,PREMISSAS!$C$13)</f>
        <v>0</v>
      </c>
      <c r="S542" s="240"/>
      <c r="T542" s="240"/>
    </row>
    <row r="543" spans="2:20" x14ac:dyDescent="0.25">
      <c r="B543" s="21" t="str">
        <f t="shared" ca="1" si="60"/>
        <v/>
      </c>
      <c r="C543" s="22" t="str">
        <f ca="1">IF(B543="","",IF(LEFT(B543,2)="13",C542,IF(MONTH(B543)=1,C542*(1+PREMISSAS!$C$57),C542)))</f>
        <v/>
      </c>
      <c r="E543" s="18">
        <v>539</v>
      </c>
      <c r="F543" s="21" t="str">
        <f t="shared" ca="1" si="61"/>
        <v/>
      </c>
      <c r="G543" s="22">
        <f ca="1">IFERROR(VLOOKUP(F543,RESULTADOS!$O$5:$P$543,2,FALSE),VLOOKUP(F543,$B$5:$C$724,2,FALSE))</f>
        <v>0</v>
      </c>
      <c r="H543" s="4">
        <f ca="1">IF(F543&lt;PREMISSAS!$D$7,0,IFERROR(VLOOKUP(IF(LEFT(F543,2)="13",DATE(YEAR(F542),12,31),F543),IPCA!$A$3:$D$284,4,FALSE),1)*G543)</f>
        <v>0</v>
      </c>
      <c r="J543" s="21" t="str">
        <f t="shared" ca="1" si="56"/>
        <v/>
      </c>
      <c r="K543" s="4">
        <f t="shared" ca="1" si="57"/>
        <v>0</v>
      </c>
      <c r="M543" s="21" t="str">
        <f t="shared" ca="1" si="62"/>
        <v/>
      </c>
      <c r="N543" s="37">
        <f t="shared" ca="1" si="58"/>
        <v>0</v>
      </c>
      <c r="O543" s="4">
        <f ca="1">IFERROR(AVERAGEIF(N$5:$N543,"&gt;="&amp;_xlfn.PERCENTILE.EXC(N$5:$N543,0.2)),0)</f>
        <v>0</v>
      </c>
      <c r="Q543" s="21" t="str">
        <f t="shared" ca="1" si="59"/>
        <v/>
      </c>
      <c r="R543" s="4">
        <f ca="1">MIN(O543,PREMISSAS!$C$13)</f>
        <v>0</v>
      </c>
      <c r="S543" s="240"/>
      <c r="T543" s="240"/>
    </row>
    <row r="544" spans="2:20" x14ac:dyDescent="0.25">
      <c r="B544" s="21" t="str">
        <f t="shared" ca="1" si="60"/>
        <v/>
      </c>
      <c r="C544" s="22" t="str">
        <f ca="1">IF(B544="","",IF(LEFT(B544,2)="13",C543,IF(MONTH(B544)=1,C543*(1+PREMISSAS!$C$57),C543)))</f>
        <v/>
      </c>
      <c r="E544" s="18">
        <v>540</v>
      </c>
      <c r="F544" s="21" t="str">
        <f t="shared" ca="1" si="61"/>
        <v/>
      </c>
      <c r="G544" s="22">
        <f ca="1">IFERROR(VLOOKUP(F544,RESULTADOS!$O$5:$P$543,2,FALSE),VLOOKUP(F544,$B$5:$C$724,2,FALSE))</f>
        <v>0</v>
      </c>
      <c r="H544" s="4">
        <f ca="1">IF(F544&lt;PREMISSAS!$D$7,0,IFERROR(VLOOKUP(IF(LEFT(F544,2)="13",DATE(YEAR(F543),12,31),F544),IPCA!$A$3:$D$284,4,FALSE),1)*G544)</f>
        <v>0</v>
      </c>
      <c r="J544" s="21" t="str">
        <f t="shared" ca="1" si="56"/>
        <v/>
      </c>
      <c r="K544" s="4">
        <f t="shared" ca="1" si="57"/>
        <v>0</v>
      </c>
      <c r="M544" s="21" t="str">
        <f t="shared" ca="1" si="62"/>
        <v/>
      </c>
      <c r="N544" s="37">
        <f t="shared" ca="1" si="58"/>
        <v>0</v>
      </c>
      <c r="O544" s="4">
        <f ca="1">IFERROR(AVERAGEIF(N$5:$N544,"&gt;="&amp;_xlfn.PERCENTILE.EXC(N$5:$N544,0.2)),0)</f>
        <v>0</v>
      </c>
      <c r="Q544" s="21" t="str">
        <f t="shared" ca="1" si="59"/>
        <v/>
      </c>
      <c r="R544" s="4">
        <f ca="1">MIN(O544,PREMISSAS!$C$13)</f>
        <v>0</v>
      </c>
      <c r="S544" s="240"/>
      <c r="T544" s="240"/>
    </row>
    <row r="545" spans="2:20" x14ac:dyDescent="0.25">
      <c r="B545" s="21" t="str">
        <f t="shared" ca="1" si="60"/>
        <v/>
      </c>
      <c r="C545" s="22" t="str">
        <f ca="1">IF(B545="","",IF(LEFT(B545,2)="13",C544,IF(MONTH(B545)=1,C544*(1+PREMISSAS!$C$57),C544)))</f>
        <v/>
      </c>
      <c r="E545" s="18">
        <v>541</v>
      </c>
      <c r="F545" s="21" t="str">
        <f t="shared" ca="1" si="61"/>
        <v/>
      </c>
      <c r="G545" s="22">
        <f ca="1">IFERROR(VLOOKUP(F545,RESULTADOS!$O$5:$P$543,2,FALSE),VLOOKUP(F545,$B$5:$C$724,2,FALSE))</f>
        <v>0</v>
      </c>
      <c r="H545" s="4">
        <f ca="1">IF(F545&lt;PREMISSAS!$D$7,0,IFERROR(VLOOKUP(IF(LEFT(F545,2)="13",DATE(YEAR(F544),12,31),F545),IPCA!$A$3:$D$284,4,FALSE),1)*G545)</f>
        <v>0</v>
      </c>
      <c r="J545" s="21" t="str">
        <f t="shared" ca="1" si="56"/>
        <v/>
      </c>
      <c r="K545" s="4">
        <f t="shared" ca="1" si="57"/>
        <v>0</v>
      </c>
      <c r="M545" s="21" t="str">
        <f t="shared" ca="1" si="62"/>
        <v/>
      </c>
      <c r="N545" s="37">
        <f t="shared" ca="1" si="58"/>
        <v>0</v>
      </c>
      <c r="O545" s="4">
        <f ca="1">IFERROR(AVERAGEIF(N$5:$N545,"&gt;="&amp;_xlfn.PERCENTILE.EXC(N$5:$N545,0.2)),0)</f>
        <v>0</v>
      </c>
      <c r="Q545" s="21" t="str">
        <f t="shared" ca="1" si="59"/>
        <v/>
      </c>
      <c r="R545" s="4">
        <f ca="1">MIN(O545,PREMISSAS!$C$13)</f>
        <v>0</v>
      </c>
      <c r="S545" s="240"/>
      <c r="T545" s="240"/>
    </row>
    <row r="546" spans="2:20" x14ac:dyDescent="0.25">
      <c r="B546" s="21" t="str">
        <f t="shared" ca="1" si="60"/>
        <v/>
      </c>
      <c r="C546" s="22" t="str">
        <f ca="1">IF(B546="","",IF(LEFT(B546,2)="13",C545,IF(MONTH(B546)=1,C545*(1+PREMISSAS!$C$57),C545)))</f>
        <v/>
      </c>
      <c r="E546" s="18">
        <v>542</v>
      </c>
      <c r="F546" s="21" t="str">
        <f t="shared" ca="1" si="61"/>
        <v/>
      </c>
      <c r="G546" s="22">
        <f ca="1">IFERROR(VLOOKUP(F546,RESULTADOS!$O$5:$P$543,2,FALSE),VLOOKUP(F546,$B$5:$C$724,2,FALSE))</f>
        <v>0</v>
      </c>
      <c r="H546" s="4">
        <f ca="1">IF(F546&lt;PREMISSAS!$D$7,0,IFERROR(VLOOKUP(IF(LEFT(F546,2)="13",DATE(YEAR(F545),12,31),F546),IPCA!$A$3:$D$284,4,FALSE),1)*G546)</f>
        <v>0</v>
      </c>
      <c r="J546" s="21" t="str">
        <f t="shared" ca="1" si="56"/>
        <v/>
      </c>
      <c r="K546" s="4">
        <f t="shared" ca="1" si="57"/>
        <v>0</v>
      </c>
      <c r="M546" s="21" t="str">
        <f t="shared" ca="1" si="62"/>
        <v/>
      </c>
      <c r="N546" s="37">
        <f t="shared" ca="1" si="58"/>
        <v>0</v>
      </c>
      <c r="O546" s="4">
        <f ca="1">IFERROR(AVERAGEIF(N$5:$N546,"&gt;="&amp;_xlfn.PERCENTILE.EXC(N$5:$N546,0.2)),0)</f>
        <v>0</v>
      </c>
      <c r="Q546" s="21" t="str">
        <f t="shared" ca="1" si="59"/>
        <v/>
      </c>
      <c r="R546" s="4">
        <f ca="1">MIN(O546,PREMISSAS!$C$13)</f>
        <v>0</v>
      </c>
      <c r="S546" s="240"/>
      <c r="T546" s="240"/>
    </row>
    <row r="547" spans="2:20" x14ac:dyDescent="0.25">
      <c r="B547" s="21" t="str">
        <f t="shared" ca="1" si="60"/>
        <v/>
      </c>
      <c r="C547" s="22" t="str">
        <f ca="1">IF(B547="","",IF(LEFT(B547,2)="13",C546,IF(MONTH(B547)=1,C546*(1+PREMISSAS!$C$57),C546)))</f>
        <v/>
      </c>
      <c r="E547" s="18">
        <v>543</v>
      </c>
      <c r="F547" s="21" t="str">
        <f t="shared" ca="1" si="61"/>
        <v/>
      </c>
      <c r="G547" s="22">
        <f ca="1">IFERROR(VLOOKUP(F547,RESULTADOS!$O$5:$P$543,2,FALSE),VLOOKUP(F547,$B$5:$C$724,2,FALSE))</f>
        <v>0</v>
      </c>
      <c r="H547" s="4">
        <f ca="1">IF(F547&lt;PREMISSAS!$D$7,0,IFERROR(VLOOKUP(IF(LEFT(F547,2)="13",DATE(YEAR(F546),12,31),F547),IPCA!$A$3:$D$284,4,FALSE),1)*G547)</f>
        <v>0</v>
      </c>
      <c r="J547" s="21" t="str">
        <f t="shared" ca="1" si="56"/>
        <v/>
      </c>
      <c r="K547" s="4">
        <f t="shared" ca="1" si="57"/>
        <v>0</v>
      </c>
      <c r="M547" s="21" t="str">
        <f t="shared" ca="1" si="62"/>
        <v/>
      </c>
      <c r="N547" s="37">
        <f t="shared" ca="1" si="58"/>
        <v>0</v>
      </c>
      <c r="O547" s="4">
        <f ca="1">IFERROR(AVERAGEIF(N$5:$N547,"&gt;="&amp;_xlfn.PERCENTILE.EXC(N$5:$N547,0.2)),0)</f>
        <v>0</v>
      </c>
      <c r="Q547" s="21" t="str">
        <f t="shared" ca="1" si="59"/>
        <v/>
      </c>
      <c r="R547" s="4">
        <f ca="1">MIN(O547,PREMISSAS!$C$13)</f>
        <v>0</v>
      </c>
      <c r="S547" s="240"/>
      <c r="T547" s="240"/>
    </row>
    <row r="548" spans="2:20" x14ac:dyDescent="0.25">
      <c r="B548" s="21" t="str">
        <f t="shared" ca="1" si="60"/>
        <v/>
      </c>
      <c r="C548" s="22" t="str">
        <f ca="1">IF(B548="","",IF(LEFT(B548,2)="13",C547,IF(MONTH(B548)=1,C547*(1+PREMISSAS!$C$57),C547)))</f>
        <v/>
      </c>
      <c r="E548" s="18">
        <v>544</v>
      </c>
      <c r="F548" s="21" t="str">
        <f t="shared" ca="1" si="61"/>
        <v/>
      </c>
      <c r="G548" s="22">
        <f ca="1">IFERROR(VLOOKUP(F548,RESULTADOS!$O$5:$P$543,2,FALSE),VLOOKUP(F548,$B$5:$C$724,2,FALSE))</f>
        <v>0</v>
      </c>
      <c r="H548" s="4">
        <f ca="1">IF(F548&lt;PREMISSAS!$D$7,0,IFERROR(VLOOKUP(IF(LEFT(F548,2)="13",DATE(YEAR(F547),12,31),F548),IPCA!$A$3:$D$284,4,FALSE),1)*G548)</f>
        <v>0</v>
      </c>
      <c r="J548" s="21" t="str">
        <f t="shared" ca="1" si="56"/>
        <v/>
      </c>
      <c r="K548" s="4">
        <f t="shared" ca="1" si="57"/>
        <v>0</v>
      </c>
      <c r="M548" s="21" t="str">
        <f t="shared" ca="1" si="62"/>
        <v/>
      </c>
      <c r="N548" s="37">
        <f t="shared" ca="1" si="58"/>
        <v>0</v>
      </c>
      <c r="O548" s="4">
        <f ca="1">IFERROR(AVERAGEIF(N$5:$N548,"&gt;="&amp;_xlfn.PERCENTILE.EXC(N$5:$N548,0.2)),0)</f>
        <v>0</v>
      </c>
      <c r="Q548" s="21" t="str">
        <f t="shared" ca="1" si="59"/>
        <v/>
      </c>
      <c r="R548" s="4">
        <f ca="1">MIN(O548,PREMISSAS!$C$13)</f>
        <v>0</v>
      </c>
      <c r="S548" s="240"/>
      <c r="T548" s="240"/>
    </row>
    <row r="549" spans="2:20" x14ac:dyDescent="0.25">
      <c r="B549" s="21" t="str">
        <f t="shared" ca="1" si="60"/>
        <v/>
      </c>
      <c r="C549" s="22" t="str">
        <f ca="1">IF(B549="","",IF(LEFT(B549,2)="13",C548,IF(MONTH(B549)=1,C548*(1+PREMISSAS!$C$57),C548)))</f>
        <v/>
      </c>
      <c r="E549" s="18">
        <v>545</v>
      </c>
      <c r="F549" s="21" t="str">
        <f t="shared" ca="1" si="61"/>
        <v/>
      </c>
      <c r="G549" s="22">
        <f ca="1">IFERROR(VLOOKUP(F549,RESULTADOS!$O$5:$P$543,2,FALSE),VLOOKUP(F549,$B$5:$C$724,2,FALSE))</f>
        <v>0</v>
      </c>
      <c r="H549" s="4">
        <f ca="1">IF(F549&lt;PREMISSAS!$D$7,0,IFERROR(VLOOKUP(IF(LEFT(F549,2)="13",DATE(YEAR(F548),12,31),F549),IPCA!$A$3:$D$284,4,FALSE),1)*G549)</f>
        <v>0</v>
      </c>
      <c r="J549" s="21" t="str">
        <f t="shared" ca="1" si="56"/>
        <v/>
      </c>
      <c r="K549" s="4">
        <f t="shared" ca="1" si="57"/>
        <v>0</v>
      </c>
      <c r="M549" s="21" t="str">
        <f t="shared" ca="1" si="62"/>
        <v/>
      </c>
      <c r="N549" s="37">
        <f t="shared" ca="1" si="58"/>
        <v>0</v>
      </c>
      <c r="O549" s="4">
        <f ca="1">IFERROR(AVERAGEIF(N$5:$N549,"&gt;="&amp;_xlfn.PERCENTILE.EXC(N$5:$N549,0.2)),0)</f>
        <v>0</v>
      </c>
      <c r="Q549" s="21" t="str">
        <f t="shared" ca="1" si="59"/>
        <v/>
      </c>
      <c r="R549" s="4">
        <f ca="1">MIN(O549,PREMISSAS!$C$13)</f>
        <v>0</v>
      </c>
      <c r="S549" s="240"/>
      <c r="T549" s="240"/>
    </row>
    <row r="550" spans="2:20" x14ac:dyDescent="0.25">
      <c r="B550" s="21" t="str">
        <f t="shared" ca="1" si="60"/>
        <v/>
      </c>
      <c r="C550" s="22" t="str">
        <f ca="1">IF(B550="","",IF(LEFT(B550,2)="13",C549,IF(MONTH(B550)=1,C549*(1+PREMISSAS!$C$57),C549)))</f>
        <v/>
      </c>
      <c r="E550" s="18">
        <v>546</v>
      </c>
      <c r="F550" s="21" t="str">
        <f t="shared" ca="1" si="61"/>
        <v/>
      </c>
      <c r="G550" s="22">
        <f ca="1">IFERROR(VLOOKUP(F550,RESULTADOS!$O$5:$P$543,2,FALSE),VLOOKUP(F550,$B$5:$C$724,2,FALSE))</f>
        <v>0</v>
      </c>
      <c r="H550" s="4">
        <f ca="1">IF(F550&lt;PREMISSAS!$D$7,0,IFERROR(VLOOKUP(IF(LEFT(F550,2)="13",DATE(YEAR(F549),12,31),F550),IPCA!$A$3:$D$284,4,FALSE),1)*G550)</f>
        <v>0</v>
      </c>
      <c r="J550" s="21" t="str">
        <f t="shared" ca="1" si="56"/>
        <v/>
      </c>
      <c r="K550" s="4">
        <f t="shared" ca="1" si="57"/>
        <v>0</v>
      </c>
      <c r="M550" s="21" t="str">
        <f t="shared" ca="1" si="62"/>
        <v/>
      </c>
      <c r="N550" s="37">
        <f t="shared" ca="1" si="58"/>
        <v>0</v>
      </c>
      <c r="O550" s="4">
        <f ca="1">IFERROR(AVERAGEIF(N$5:$N550,"&gt;="&amp;_xlfn.PERCENTILE.EXC(N$5:$N550,0.2)),0)</f>
        <v>0</v>
      </c>
      <c r="Q550" s="21" t="str">
        <f t="shared" ca="1" si="59"/>
        <v/>
      </c>
      <c r="R550" s="4">
        <f ca="1">MIN(O550,PREMISSAS!$C$13)</f>
        <v>0</v>
      </c>
      <c r="S550" s="240"/>
      <c r="T550" s="240"/>
    </row>
    <row r="551" spans="2:20" x14ac:dyDescent="0.25">
      <c r="B551" s="21" t="str">
        <f t="shared" ca="1" si="60"/>
        <v/>
      </c>
      <c r="C551" s="22" t="str">
        <f ca="1">IF(B551="","",IF(LEFT(B551,2)="13",C550,IF(MONTH(B551)=1,C550*(1+PREMISSAS!$C$57),C550)))</f>
        <v/>
      </c>
      <c r="E551" s="18">
        <v>547</v>
      </c>
      <c r="F551" s="21" t="str">
        <f t="shared" ca="1" si="61"/>
        <v/>
      </c>
      <c r="G551" s="22">
        <f ca="1">IFERROR(VLOOKUP(F551,RESULTADOS!$O$5:$P$543,2,FALSE),VLOOKUP(F551,$B$5:$C$724,2,FALSE))</f>
        <v>0</v>
      </c>
      <c r="H551" s="4">
        <f ca="1">IF(F551&lt;PREMISSAS!$D$7,0,IFERROR(VLOOKUP(IF(LEFT(F551,2)="13",DATE(YEAR(F550),12,31),F551),IPCA!$A$3:$D$284,4,FALSE),1)*G551)</f>
        <v>0</v>
      </c>
      <c r="J551" s="21" t="str">
        <f t="shared" ca="1" si="56"/>
        <v/>
      </c>
      <c r="K551" s="4">
        <f t="shared" ca="1" si="57"/>
        <v>0</v>
      </c>
      <c r="M551" s="21" t="str">
        <f t="shared" ca="1" si="62"/>
        <v/>
      </c>
      <c r="N551" s="37">
        <f t="shared" ca="1" si="58"/>
        <v>0</v>
      </c>
      <c r="O551" s="4">
        <f ca="1">IFERROR(AVERAGEIF(N$5:$N551,"&gt;="&amp;_xlfn.PERCENTILE.EXC(N$5:$N551,0.2)),0)</f>
        <v>0</v>
      </c>
      <c r="Q551" s="21" t="str">
        <f t="shared" ca="1" si="59"/>
        <v/>
      </c>
      <c r="R551" s="4">
        <f ca="1">MIN(O551,PREMISSAS!$C$13)</f>
        <v>0</v>
      </c>
      <c r="S551" s="240"/>
      <c r="T551" s="240"/>
    </row>
    <row r="552" spans="2:20" x14ac:dyDescent="0.25">
      <c r="B552" s="21" t="str">
        <f t="shared" ca="1" si="60"/>
        <v/>
      </c>
      <c r="C552" s="22" t="str">
        <f ca="1">IF(B552="","",IF(LEFT(B552,2)="13",C551,IF(MONTH(B552)=1,C551*(1+PREMISSAS!$C$57),C551)))</f>
        <v/>
      </c>
      <c r="E552" s="18">
        <v>548</v>
      </c>
      <c r="F552" s="21" t="str">
        <f t="shared" ca="1" si="61"/>
        <v/>
      </c>
      <c r="G552" s="22">
        <f ca="1">IFERROR(VLOOKUP(F552,RESULTADOS!$O$5:$P$543,2,FALSE),VLOOKUP(F552,$B$5:$C$724,2,FALSE))</f>
        <v>0</v>
      </c>
      <c r="H552" s="4">
        <f ca="1">IF(F552&lt;PREMISSAS!$D$7,0,IFERROR(VLOOKUP(IF(LEFT(F552,2)="13",DATE(YEAR(F551),12,31),F552),IPCA!$A$3:$D$284,4,FALSE),1)*G552)</f>
        <v>0</v>
      </c>
      <c r="J552" s="21" t="str">
        <f t="shared" ca="1" si="56"/>
        <v/>
      </c>
      <c r="K552" s="4">
        <f t="shared" ca="1" si="57"/>
        <v>0</v>
      </c>
      <c r="M552" s="21" t="str">
        <f t="shared" ca="1" si="62"/>
        <v/>
      </c>
      <c r="N552" s="37">
        <f t="shared" ca="1" si="58"/>
        <v>0</v>
      </c>
      <c r="O552" s="4">
        <f ca="1">IFERROR(AVERAGEIF(N$5:$N552,"&gt;="&amp;_xlfn.PERCENTILE.EXC(N$5:$N552,0.2)),0)</f>
        <v>0</v>
      </c>
      <c r="Q552" s="21" t="str">
        <f t="shared" ca="1" si="59"/>
        <v/>
      </c>
      <c r="R552" s="4">
        <f ca="1">MIN(O552,PREMISSAS!$C$13)</f>
        <v>0</v>
      </c>
      <c r="S552" s="240"/>
      <c r="T552" s="240"/>
    </row>
    <row r="553" spans="2:20" x14ac:dyDescent="0.25">
      <c r="B553" s="21" t="str">
        <f t="shared" ca="1" si="60"/>
        <v/>
      </c>
      <c r="C553" s="22" t="str">
        <f ca="1">IF(B553="","",IF(LEFT(B553,2)="13",C552,IF(MONTH(B553)=1,C552*(1+PREMISSAS!$C$57),C552)))</f>
        <v/>
      </c>
      <c r="E553" s="18">
        <v>549</v>
      </c>
      <c r="F553" s="21" t="str">
        <f t="shared" ca="1" si="61"/>
        <v/>
      </c>
      <c r="G553" s="22">
        <f ca="1">IFERROR(VLOOKUP(F553,RESULTADOS!$O$5:$P$543,2,FALSE),VLOOKUP(F553,$B$5:$C$724,2,FALSE))</f>
        <v>0</v>
      </c>
      <c r="H553" s="4">
        <f ca="1">IF(F553&lt;PREMISSAS!$D$7,0,IFERROR(VLOOKUP(IF(LEFT(F553,2)="13",DATE(YEAR(F552),12,31),F553),IPCA!$A$3:$D$284,4,FALSE),1)*G553)</f>
        <v>0</v>
      </c>
      <c r="J553" s="21" t="str">
        <f t="shared" ca="1" si="56"/>
        <v/>
      </c>
      <c r="K553" s="4">
        <f t="shared" ca="1" si="57"/>
        <v>0</v>
      </c>
      <c r="M553" s="21" t="str">
        <f t="shared" ca="1" si="62"/>
        <v/>
      </c>
      <c r="N553" s="37">
        <f t="shared" ca="1" si="58"/>
        <v>0</v>
      </c>
      <c r="O553" s="4">
        <f ca="1">IFERROR(AVERAGEIF(N$5:$N553,"&gt;="&amp;_xlfn.PERCENTILE.EXC(N$5:$N553,0.2)),0)</f>
        <v>0</v>
      </c>
      <c r="Q553" s="21" t="str">
        <f t="shared" ca="1" si="59"/>
        <v/>
      </c>
      <c r="R553" s="4">
        <f ca="1">MIN(O553,PREMISSAS!$C$13)</f>
        <v>0</v>
      </c>
      <c r="S553" s="240"/>
      <c r="T553" s="240"/>
    </row>
    <row r="554" spans="2:20" x14ac:dyDescent="0.25">
      <c r="B554" s="21" t="str">
        <f t="shared" ca="1" si="60"/>
        <v/>
      </c>
      <c r="C554" s="22" t="str">
        <f ca="1">IF(B554="","",IF(LEFT(B554,2)="13",C553,IF(MONTH(B554)=1,C553*(1+PREMISSAS!$C$57),C553)))</f>
        <v/>
      </c>
      <c r="E554" s="18">
        <v>550</v>
      </c>
      <c r="F554" s="21" t="str">
        <f t="shared" ca="1" si="61"/>
        <v/>
      </c>
      <c r="G554" s="22">
        <f ca="1">IFERROR(VLOOKUP(F554,RESULTADOS!$O$5:$P$543,2,FALSE),VLOOKUP(F554,$B$5:$C$724,2,FALSE))</f>
        <v>0</v>
      </c>
      <c r="H554" s="4">
        <f ca="1">IF(F554&lt;PREMISSAS!$D$7,0,IFERROR(VLOOKUP(IF(LEFT(F554,2)="13",DATE(YEAR(F553),12,31),F554),IPCA!$A$3:$D$284,4,FALSE),1)*G554)</f>
        <v>0</v>
      </c>
      <c r="J554" s="21" t="str">
        <f t="shared" ca="1" si="56"/>
        <v/>
      </c>
      <c r="K554" s="4">
        <f t="shared" ca="1" si="57"/>
        <v>0</v>
      </c>
      <c r="M554" s="21" t="str">
        <f t="shared" ca="1" si="62"/>
        <v/>
      </c>
      <c r="N554" s="37">
        <f t="shared" ca="1" si="58"/>
        <v>0</v>
      </c>
      <c r="O554" s="4">
        <f ca="1">IFERROR(AVERAGEIF(N$5:$N554,"&gt;="&amp;_xlfn.PERCENTILE.EXC(N$5:$N554,0.2)),0)</f>
        <v>0</v>
      </c>
      <c r="Q554" s="21" t="str">
        <f t="shared" ca="1" si="59"/>
        <v/>
      </c>
      <c r="R554" s="4">
        <f ca="1">MIN(O554,PREMISSAS!$C$13)</f>
        <v>0</v>
      </c>
      <c r="S554" s="240"/>
      <c r="T554" s="240"/>
    </row>
    <row r="555" spans="2:20" x14ac:dyDescent="0.25">
      <c r="B555" s="21" t="str">
        <f t="shared" ca="1" si="60"/>
        <v/>
      </c>
      <c r="C555" s="22" t="str">
        <f ca="1">IF(B555="","",IF(LEFT(B555,2)="13",C554,IF(MONTH(B555)=1,C554*(1+PREMISSAS!$C$57),C554)))</f>
        <v/>
      </c>
      <c r="E555" s="18">
        <v>551</v>
      </c>
      <c r="F555" s="21" t="str">
        <f t="shared" ca="1" si="61"/>
        <v/>
      </c>
      <c r="G555" s="22">
        <f ca="1">IFERROR(VLOOKUP(F555,RESULTADOS!$O$5:$P$543,2,FALSE),VLOOKUP(F555,$B$5:$C$724,2,FALSE))</f>
        <v>0</v>
      </c>
      <c r="H555" s="4">
        <f ca="1">IF(F555&lt;PREMISSAS!$D$7,0,IFERROR(VLOOKUP(IF(LEFT(F555,2)="13",DATE(YEAR(F554),12,31),F555),IPCA!$A$3:$D$284,4,FALSE),1)*G555)</f>
        <v>0</v>
      </c>
      <c r="J555" s="21" t="str">
        <f t="shared" ca="1" si="56"/>
        <v/>
      </c>
      <c r="K555" s="4">
        <f t="shared" ca="1" si="57"/>
        <v>0</v>
      </c>
      <c r="M555" s="21" t="str">
        <f t="shared" ca="1" si="62"/>
        <v/>
      </c>
      <c r="N555" s="37">
        <f t="shared" ca="1" si="58"/>
        <v>0</v>
      </c>
      <c r="O555" s="4">
        <f ca="1">IFERROR(AVERAGEIF(N$5:$N555,"&gt;="&amp;_xlfn.PERCENTILE.EXC(N$5:$N555,0.2)),0)</f>
        <v>0</v>
      </c>
      <c r="Q555" s="21" t="str">
        <f t="shared" ca="1" si="59"/>
        <v/>
      </c>
      <c r="R555" s="4">
        <f ca="1">MIN(O555,PREMISSAS!$C$13)</f>
        <v>0</v>
      </c>
      <c r="S555" s="240"/>
      <c r="T555" s="240"/>
    </row>
    <row r="556" spans="2:20" x14ac:dyDescent="0.25">
      <c r="B556" s="21" t="str">
        <f t="shared" ca="1" si="60"/>
        <v/>
      </c>
      <c r="C556" s="22" t="str">
        <f ca="1">IF(B556="","",IF(LEFT(B556,2)="13",C555,IF(MONTH(B556)=1,C555*(1+PREMISSAS!$C$57),C555)))</f>
        <v/>
      </c>
      <c r="E556" s="18">
        <v>552</v>
      </c>
      <c r="F556" s="21" t="str">
        <f t="shared" ca="1" si="61"/>
        <v/>
      </c>
      <c r="G556" s="22">
        <f ca="1">IFERROR(VLOOKUP(F556,RESULTADOS!$O$5:$P$543,2,FALSE),VLOOKUP(F556,$B$5:$C$724,2,FALSE))</f>
        <v>0</v>
      </c>
      <c r="H556" s="4">
        <f ca="1">IF(F556&lt;PREMISSAS!$D$7,0,IFERROR(VLOOKUP(IF(LEFT(F556,2)="13",DATE(YEAR(F555),12,31),F556),IPCA!$A$3:$D$284,4,FALSE),1)*G556)</f>
        <v>0</v>
      </c>
      <c r="J556" s="21" t="str">
        <f t="shared" ca="1" si="56"/>
        <v/>
      </c>
      <c r="K556" s="4">
        <f t="shared" ca="1" si="57"/>
        <v>0</v>
      </c>
      <c r="M556" s="21" t="str">
        <f t="shared" ca="1" si="62"/>
        <v/>
      </c>
      <c r="N556" s="37">
        <f t="shared" ca="1" si="58"/>
        <v>0</v>
      </c>
      <c r="O556" s="4">
        <f ca="1">IFERROR(AVERAGEIF(N$5:$N556,"&gt;="&amp;_xlfn.PERCENTILE.EXC(N$5:$N556,0.2)),0)</f>
        <v>0</v>
      </c>
      <c r="Q556" s="21" t="str">
        <f t="shared" ca="1" si="59"/>
        <v/>
      </c>
      <c r="R556" s="4">
        <f ca="1">MIN(O556,PREMISSAS!$C$13)</f>
        <v>0</v>
      </c>
      <c r="S556" s="240"/>
      <c r="T556" s="240"/>
    </row>
    <row r="557" spans="2:20" x14ac:dyDescent="0.25">
      <c r="B557" s="21" t="str">
        <f t="shared" ca="1" si="60"/>
        <v/>
      </c>
      <c r="C557" s="22" t="str">
        <f ca="1">IF(B557="","",IF(LEFT(B557,2)="13",C556,IF(MONTH(B557)=1,C556*(1+PREMISSAS!$C$57),C556)))</f>
        <v/>
      </c>
      <c r="E557" s="18">
        <v>553</v>
      </c>
      <c r="F557" s="21" t="str">
        <f t="shared" ca="1" si="61"/>
        <v/>
      </c>
      <c r="G557" s="22">
        <f ca="1">IFERROR(VLOOKUP(F557,RESULTADOS!$O$5:$P$543,2,FALSE),VLOOKUP(F557,$B$5:$C$724,2,FALSE))</f>
        <v>0</v>
      </c>
      <c r="H557" s="4">
        <f ca="1">IF(F557&lt;PREMISSAS!$D$7,0,IFERROR(VLOOKUP(IF(LEFT(F557,2)="13",DATE(YEAR(F556),12,31),F557),IPCA!$A$3:$D$284,4,FALSE),1)*G557)</f>
        <v>0</v>
      </c>
      <c r="J557" s="21" t="str">
        <f t="shared" ca="1" si="56"/>
        <v/>
      </c>
      <c r="K557" s="4">
        <f t="shared" ca="1" si="57"/>
        <v>0</v>
      </c>
      <c r="M557" s="21" t="str">
        <f t="shared" ca="1" si="62"/>
        <v/>
      </c>
      <c r="N557" s="37">
        <f t="shared" ca="1" si="58"/>
        <v>0</v>
      </c>
      <c r="O557" s="4">
        <f ca="1">IFERROR(AVERAGEIF(N$5:$N557,"&gt;="&amp;_xlfn.PERCENTILE.EXC(N$5:$N557,0.2)),0)</f>
        <v>0</v>
      </c>
      <c r="Q557" s="21" t="str">
        <f t="shared" ca="1" si="59"/>
        <v/>
      </c>
      <c r="R557" s="4">
        <f ca="1">MIN(O557,PREMISSAS!$C$13)</f>
        <v>0</v>
      </c>
      <c r="S557" s="240"/>
      <c r="T557" s="240"/>
    </row>
    <row r="558" spans="2:20" x14ac:dyDescent="0.25">
      <c r="B558" s="21" t="str">
        <f t="shared" ca="1" si="60"/>
        <v/>
      </c>
      <c r="C558" s="22" t="str">
        <f ca="1">IF(B558="","",IF(LEFT(B558,2)="13",C557,IF(MONTH(B558)=1,C557*(1+PREMISSAS!$C$57),C557)))</f>
        <v/>
      </c>
      <c r="E558" s="18">
        <v>554</v>
      </c>
      <c r="F558" s="21" t="str">
        <f t="shared" ca="1" si="61"/>
        <v/>
      </c>
      <c r="G558" s="22">
        <f ca="1">IFERROR(VLOOKUP(F558,RESULTADOS!$O$5:$P$543,2,FALSE),VLOOKUP(F558,$B$5:$C$724,2,FALSE))</f>
        <v>0</v>
      </c>
      <c r="H558" s="4">
        <f ca="1">IF(F558&lt;PREMISSAS!$D$7,0,IFERROR(VLOOKUP(IF(LEFT(F558,2)="13",DATE(YEAR(F557),12,31),F558),IPCA!$A$3:$D$284,4,FALSE),1)*G558)</f>
        <v>0</v>
      </c>
      <c r="J558" s="21" t="str">
        <f t="shared" ca="1" si="56"/>
        <v/>
      </c>
      <c r="K558" s="4">
        <f t="shared" ca="1" si="57"/>
        <v>0</v>
      </c>
      <c r="M558" s="21" t="str">
        <f t="shared" ca="1" si="62"/>
        <v/>
      </c>
      <c r="N558" s="37">
        <f t="shared" ca="1" si="58"/>
        <v>0</v>
      </c>
      <c r="O558" s="4">
        <f ca="1">IFERROR(AVERAGEIF(N$5:$N558,"&gt;="&amp;_xlfn.PERCENTILE.EXC(N$5:$N558,0.2)),0)</f>
        <v>0</v>
      </c>
      <c r="Q558" s="21" t="str">
        <f t="shared" ca="1" si="59"/>
        <v/>
      </c>
      <c r="R558" s="4">
        <f ca="1">MIN(O558,PREMISSAS!$C$13)</f>
        <v>0</v>
      </c>
      <c r="S558" s="240"/>
      <c r="T558" s="240"/>
    </row>
    <row r="559" spans="2:20" x14ac:dyDescent="0.25">
      <c r="B559" s="21" t="str">
        <f t="shared" ca="1" si="60"/>
        <v/>
      </c>
      <c r="C559" s="22" t="str">
        <f ca="1">IF(B559="","",IF(LEFT(B559,2)="13",C558,IF(MONTH(B559)=1,C558*(1+PREMISSAS!$C$57),C558)))</f>
        <v/>
      </c>
      <c r="E559" s="18">
        <v>555</v>
      </c>
      <c r="F559" s="21" t="str">
        <f t="shared" ca="1" si="61"/>
        <v/>
      </c>
      <c r="G559" s="22">
        <f ca="1">IFERROR(VLOOKUP(F559,RESULTADOS!$O$5:$P$543,2,FALSE),VLOOKUP(F559,$B$5:$C$724,2,FALSE))</f>
        <v>0</v>
      </c>
      <c r="H559" s="4">
        <f ca="1">IF(F559&lt;PREMISSAS!$D$7,0,IFERROR(VLOOKUP(IF(LEFT(F559,2)="13",DATE(YEAR(F558),12,31),F559),IPCA!$A$3:$D$284,4,FALSE),1)*G559)</f>
        <v>0</v>
      </c>
      <c r="J559" s="21" t="str">
        <f t="shared" ca="1" si="56"/>
        <v/>
      </c>
      <c r="K559" s="4">
        <f t="shared" ca="1" si="57"/>
        <v>0</v>
      </c>
      <c r="M559" s="21" t="str">
        <f t="shared" ca="1" si="62"/>
        <v/>
      </c>
      <c r="N559" s="37">
        <f t="shared" ca="1" si="58"/>
        <v>0</v>
      </c>
      <c r="O559" s="4">
        <f ca="1">IFERROR(AVERAGEIF(N$5:$N559,"&gt;="&amp;_xlfn.PERCENTILE.EXC(N$5:$N559,0.2)),0)</f>
        <v>0</v>
      </c>
      <c r="Q559" s="21" t="str">
        <f t="shared" ca="1" si="59"/>
        <v/>
      </c>
      <c r="R559" s="4">
        <f ca="1">MIN(O559,PREMISSAS!$C$13)</f>
        <v>0</v>
      </c>
      <c r="S559" s="240"/>
      <c r="T559" s="240"/>
    </row>
    <row r="560" spans="2:20" x14ac:dyDescent="0.25">
      <c r="B560" s="21" t="str">
        <f t="shared" ca="1" si="60"/>
        <v/>
      </c>
      <c r="C560" s="22" t="str">
        <f ca="1">IF(B560="","",IF(LEFT(B560,2)="13",C559,IF(MONTH(B560)=1,C559*(1+PREMISSAS!$C$57),C559)))</f>
        <v/>
      </c>
      <c r="E560" s="18">
        <v>556</v>
      </c>
      <c r="F560" s="21" t="str">
        <f t="shared" ca="1" si="61"/>
        <v/>
      </c>
      <c r="G560" s="22">
        <f ca="1">IFERROR(VLOOKUP(F560,RESULTADOS!$O$5:$P$543,2,FALSE),VLOOKUP(F560,$B$5:$C$724,2,FALSE))</f>
        <v>0</v>
      </c>
      <c r="H560" s="4">
        <f ca="1">IF(F560&lt;PREMISSAS!$D$7,0,IFERROR(VLOOKUP(IF(LEFT(F560,2)="13",DATE(YEAR(F559),12,31),F560),IPCA!$A$3:$D$284,4,FALSE),1)*G560)</f>
        <v>0</v>
      </c>
      <c r="J560" s="21" t="str">
        <f t="shared" ca="1" si="56"/>
        <v/>
      </c>
      <c r="K560" s="4">
        <f t="shared" ca="1" si="57"/>
        <v>0</v>
      </c>
      <c r="M560" s="21" t="str">
        <f t="shared" ca="1" si="62"/>
        <v/>
      </c>
      <c r="N560" s="37">
        <f t="shared" ca="1" si="58"/>
        <v>0</v>
      </c>
      <c r="O560" s="4">
        <f ca="1">IFERROR(AVERAGEIF(N$5:$N560,"&gt;="&amp;_xlfn.PERCENTILE.EXC(N$5:$N560,0.2)),0)</f>
        <v>0</v>
      </c>
      <c r="Q560" s="21" t="str">
        <f t="shared" ca="1" si="59"/>
        <v/>
      </c>
      <c r="R560" s="4">
        <f ca="1">MIN(O560,PREMISSAS!$C$13)</f>
        <v>0</v>
      </c>
      <c r="S560" s="240"/>
      <c r="T560" s="240"/>
    </row>
    <row r="561" spans="2:20" x14ac:dyDescent="0.25">
      <c r="B561" s="21" t="str">
        <f t="shared" ca="1" si="60"/>
        <v/>
      </c>
      <c r="C561" s="22" t="str">
        <f ca="1">IF(B561="","",IF(LEFT(B561,2)="13",C560,IF(MONTH(B561)=1,C560*(1+PREMISSAS!$C$57),C560)))</f>
        <v/>
      </c>
      <c r="E561" s="18">
        <v>557</v>
      </c>
      <c r="F561" s="21" t="str">
        <f t="shared" ca="1" si="61"/>
        <v/>
      </c>
      <c r="G561" s="22">
        <f ca="1">IFERROR(VLOOKUP(F561,RESULTADOS!$O$5:$P$543,2,FALSE),VLOOKUP(F561,$B$5:$C$724,2,FALSE))</f>
        <v>0</v>
      </c>
      <c r="H561" s="4">
        <f ca="1">IF(F561&lt;PREMISSAS!$D$7,0,IFERROR(VLOOKUP(IF(LEFT(F561,2)="13",DATE(YEAR(F560),12,31),F561),IPCA!$A$3:$D$284,4,FALSE),1)*G561)</f>
        <v>0</v>
      </c>
      <c r="J561" s="21" t="str">
        <f t="shared" ca="1" si="56"/>
        <v/>
      </c>
      <c r="K561" s="4">
        <f t="shared" ca="1" si="57"/>
        <v>0</v>
      </c>
      <c r="M561" s="21" t="str">
        <f t="shared" ca="1" si="62"/>
        <v/>
      </c>
      <c r="N561" s="37">
        <f t="shared" ca="1" si="58"/>
        <v>0</v>
      </c>
      <c r="O561" s="4">
        <f ca="1">IFERROR(AVERAGEIF(N$5:$N561,"&gt;="&amp;_xlfn.PERCENTILE.EXC(N$5:$N561,0.2)),0)</f>
        <v>0</v>
      </c>
      <c r="Q561" s="21" t="str">
        <f t="shared" ca="1" si="59"/>
        <v/>
      </c>
      <c r="R561" s="4">
        <f ca="1">MIN(O561,PREMISSAS!$C$13)</f>
        <v>0</v>
      </c>
      <c r="S561" s="240"/>
      <c r="T561" s="240"/>
    </row>
    <row r="562" spans="2:20" x14ac:dyDescent="0.25">
      <c r="B562" s="21" t="str">
        <f t="shared" ca="1" si="60"/>
        <v/>
      </c>
      <c r="C562" s="22" t="str">
        <f ca="1">IF(B562="","",IF(LEFT(B562,2)="13",C561,IF(MONTH(B562)=1,C561*(1+PREMISSAS!$C$57),C561)))</f>
        <v/>
      </c>
      <c r="E562" s="18">
        <v>558</v>
      </c>
      <c r="F562" s="21" t="str">
        <f t="shared" ca="1" si="61"/>
        <v/>
      </c>
      <c r="G562" s="22">
        <f ca="1">IFERROR(VLOOKUP(F562,RESULTADOS!$O$5:$P$543,2,FALSE),VLOOKUP(F562,$B$5:$C$724,2,FALSE))</f>
        <v>0</v>
      </c>
      <c r="H562" s="4">
        <f ca="1">IF(F562&lt;PREMISSAS!$D$7,0,IFERROR(VLOOKUP(IF(LEFT(F562,2)="13",DATE(YEAR(F561),12,31),F562),IPCA!$A$3:$D$284,4,FALSE),1)*G562)</f>
        <v>0</v>
      </c>
      <c r="J562" s="21" t="str">
        <f t="shared" ca="1" si="56"/>
        <v/>
      </c>
      <c r="K562" s="4">
        <f t="shared" ca="1" si="57"/>
        <v>0</v>
      </c>
      <c r="M562" s="21" t="str">
        <f t="shared" ca="1" si="62"/>
        <v/>
      </c>
      <c r="N562" s="37">
        <f t="shared" ca="1" si="58"/>
        <v>0</v>
      </c>
      <c r="O562" s="4">
        <f ca="1">IFERROR(AVERAGEIF(N$5:$N562,"&gt;="&amp;_xlfn.PERCENTILE.EXC(N$5:$N562,0.2)),0)</f>
        <v>0</v>
      </c>
      <c r="Q562" s="21" t="str">
        <f t="shared" ca="1" si="59"/>
        <v/>
      </c>
      <c r="R562" s="4">
        <f ca="1">MIN(O562,PREMISSAS!$C$13)</f>
        <v>0</v>
      </c>
      <c r="S562" s="240"/>
      <c r="T562" s="240"/>
    </row>
    <row r="563" spans="2:20" x14ac:dyDescent="0.25">
      <c r="B563" s="21" t="str">
        <f t="shared" ca="1" si="60"/>
        <v/>
      </c>
      <c r="C563" s="22" t="str">
        <f ca="1">IF(B563="","",IF(LEFT(B563,2)="13",C562,IF(MONTH(B563)=1,C562*(1+PREMISSAS!$C$57),C562)))</f>
        <v/>
      </c>
      <c r="E563" s="18">
        <v>559</v>
      </c>
      <c r="F563" s="21" t="str">
        <f t="shared" ca="1" si="61"/>
        <v/>
      </c>
      <c r="G563" s="22">
        <f ca="1">IFERROR(VLOOKUP(F563,RESULTADOS!$O$5:$P$543,2,FALSE),VLOOKUP(F563,$B$5:$C$724,2,FALSE))</f>
        <v>0</v>
      </c>
      <c r="H563" s="4">
        <f ca="1">IF(F563&lt;PREMISSAS!$D$7,0,IFERROR(VLOOKUP(IF(LEFT(F563,2)="13",DATE(YEAR(F562),12,31),F563),IPCA!$A$3:$D$284,4,FALSE),1)*G563)</f>
        <v>0</v>
      </c>
      <c r="J563" s="21" t="str">
        <f t="shared" ca="1" si="56"/>
        <v/>
      </c>
      <c r="K563" s="4">
        <f t="shared" ca="1" si="57"/>
        <v>0</v>
      </c>
      <c r="M563" s="21" t="str">
        <f t="shared" ca="1" si="62"/>
        <v/>
      </c>
      <c r="N563" s="37">
        <f t="shared" ca="1" si="58"/>
        <v>0</v>
      </c>
      <c r="O563" s="4">
        <f ca="1">IFERROR(AVERAGEIF(N$5:$N563,"&gt;="&amp;_xlfn.PERCENTILE.EXC(N$5:$N563,0.2)),0)</f>
        <v>0</v>
      </c>
      <c r="Q563" s="21" t="str">
        <f t="shared" ca="1" si="59"/>
        <v/>
      </c>
      <c r="R563" s="4">
        <f ca="1">MIN(O563,PREMISSAS!$C$13)</f>
        <v>0</v>
      </c>
      <c r="S563" s="240"/>
      <c r="T563" s="240"/>
    </row>
    <row r="564" spans="2:20" x14ac:dyDescent="0.25">
      <c r="B564" s="21" t="str">
        <f t="shared" ca="1" si="60"/>
        <v/>
      </c>
      <c r="C564" s="22" t="str">
        <f ca="1">IF(B564="","",IF(LEFT(B564,2)="13",C563,IF(MONTH(B564)=1,C563*(1+PREMISSAS!$C$57),C563)))</f>
        <v/>
      </c>
      <c r="E564" s="18">
        <v>560</v>
      </c>
      <c r="F564" s="21" t="str">
        <f t="shared" ca="1" si="61"/>
        <v/>
      </c>
      <c r="G564" s="22">
        <f ca="1">IFERROR(VLOOKUP(F564,RESULTADOS!$O$5:$P$543,2,FALSE),VLOOKUP(F564,$B$5:$C$724,2,FALSE))</f>
        <v>0</v>
      </c>
      <c r="H564" s="4">
        <f ca="1">IF(F564&lt;PREMISSAS!$D$7,0,IFERROR(VLOOKUP(IF(LEFT(F564,2)="13",DATE(YEAR(F563),12,31),F564),IPCA!$A$3:$D$284,4,FALSE),1)*G564)</f>
        <v>0</v>
      </c>
      <c r="J564" s="21" t="str">
        <f t="shared" ca="1" si="56"/>
        <v/>
      </c>
      <c r="K564" s="4">
        <f t="shared" ca="1" si="57"/>
        <v>0</v>
      </c>
      <c r="M564" s="21" t="str">
        <f t="shared" ca="1" si="62"/>
        <v/>
      </c>
      <c r="N564" s="37">
        <f t="shared" ca="1" si="58"/>
        <v>0</v>
      </c>
      <c r="O564" s="4">
        <f ca="1">IFERROR(AVERAGEIF(N$5:$N564,"&gt;="&amp;_xlfn.PERCENTILE.EXC(N$5:$N564,0.2)),0)</f>
        <v>0</v>
      </c>
      <c r="Q564" s="21" t="str">
        <f t="shared" ca="1" si="59"/>
        <v/>
      </c>
      <c r="R564" s="4">
        <f ca="1">MIN(O564,PREMISSAS!$C$13)</f>
        <v>0</v>
      </c>
      <c r="S564" s="240"/>
      <c r="T564" s="240"/>
    </row>
    <row r="565" spans="2:20" x14ac:dyDescent="0.25">
      <c r="B565" s="21" t="str">
        <f t="shared" ca="1" si="60"/>
        <v/>
      </c>
      <c r="C565" s="22" t="str">
        <f ca="1">IF(B565="","",IF(LEFT(B565,2)="13",C564,IF(MONTH(B565)=1,C564*(1+PREMISSAS!$C$57),C564)))</f>
        <v/>
      </c>
      <c r="E565" s="18">
        <v>561</v>
      </c>
      <c r="F565" s="21" t="str">
        <f t="shared" ca="1" si="61"/>
        <v/>
      </c>
      <c r="G565" s="22">
        <f ca="1">IFERROR(VLOOKUP(F565,RESULTADOS!$O$5:$P$543,2,FALSE),VLOOKUP(F565,$B$5:$C$724,2,FALSE))</f>
        <v>0</v>
      </c>
      <c r="H565" s="4">
        <f ca="1">IF(F565&lt;PREMISSAS!$D$7,0,IFERROR(VLOOKUP(IF(LEFT(F565,2)="13",DATE(YEAR(F564),12,31),F565),IPCA!$A$3:$D$284,4,FALSE),1)*G565)</f>
        <v>0</v>
      </c>
      <c r="J565" s="21" t="str">
        <f t="shared" ca="1" si="56"/>
        <v/>
      </c>
      <c r="K565" s="4">
        <f t="shared" ca="1" si="57"/>
        <v>0</v>
      </c>
      <c r="M565" s="21" t="str">
        <f t="shared" ca="1" si="62"/>
        <v/>
      </c>
      <c r="N565" s="37">
        <f t="shared" ca="1" si="58"/>
        <v>0</v>
      </c>
      <c r="O565" s="4">
        <f ca="1">IFERROR(AVERAGEIF(N$5:$N565,"&gt;="&amp;_xlfn.PERCENTILE.EXC(N$5:$N565,0.2)),0)</f>
        <v>0</v>
      </c>
      <c r="Q565" s="21" t="str">
        <f t="shared" ca="1" si="59"/>
        <v/>
      </c>
      <c r="R565" s="4">
        <f ca="1">MIN(O565,PREMISSAS!$C$13)</f>
        <v>0</v>
      </c>
      <c r="S565" s="240"/>
      <c r="T565" s="240"/>
    </row>
    <row r="566" spans="2:20" x14ac:dyDescent="0.25">
      <c r="B566" s="21" t="str">
        <f t="shared" ca="1" si="60"/>
        <v/>
      </c>
      <c r="C566" s="22" t="str">
        <f ca="1">IF(B566="","",IF(LEFT(B566,2)="13",C565,IF(MONTH(B566)=1,C565*(1+PREMISSAS!$C$57),C565)))</f>
        <v/>
      </c>
      <c r="E566" s="18">
        <v>562</v>
      </c>
      <c r="F566" s="21" t="str">
        <f t="shared" ca="1" si="61"/>
        <v/>
      </c>
      <c r="G566" s="22">
        <f ca="1">IFERROR(VLOOKUP(F566,RESULTADOS!$O$5:$P$543,2,FALSE),VLOOKUP(F566,$B$5:$C$724,2,FALSE))</f>
        <v>0</v>
      </c>
      <c r="H566" s="4">
        <f ca="1">IF(F566&lt;PREMISSAS!$D$7,0,IFERROR(VLOOKUP(IF(LEFT(F566,2)="13",DATE(YEAR(F565),12,31),F566),IPCA!$A$3:$D$284,4,FALSE),1)*G566)</f>
        <v>0</v>
      </c>
      <c r="J566" s="21" t="str">
        <f t="shared" ca="1" si="56"/>
        <v/>
      </c>
      <c r="K566" s="4">
        <f t="shared" ca="1" si="57"/>
        <v>0</v>
      </c>
      <c r="M566" s="21" t="str">
        <f t="shared" ca="1" si="62"/>
        <v/>
      </c>
      <c r="N566" s="37">
        <f t="shared" ca="1" si="58"/>
        <v>0</v>
      </c>
      <c r="O566" s="4">
        <f ca="1">IFERROR(AVERAGEIF(N$5:$N566,"&gt;="&amp;_xlfn.PERCENTILE.EXC(N$5:$N566,0.2)),0)</f>
        <v>0</v>
      </c>
      <c r="Q566" s="21" t="str">
        <f t="shared" ca="1" si="59"/>
        <v/>
      </c>
      <c r="R566" s="4">
        <f ca="1">MIN(O566,PREMISSAS!$C$13)</f>
        <v>0</v>
      </c>
      <c r="S566" s="240"/>
      <c r="T566" s="240"/>
    </row>
    <row r="567" spans="2:20" x14ac:dyDescent="0.25">
      <c r="B567" s="21" t="str">
        <f t="shared" ca="1" si="60"/>
        <v/>
      </c>
      <c r="C567" s="22" t="str">
        <f ca="1">IF(B567="","",IF(LEFT(B567,2)="13",C566,IF(MONTH(B567)=1,C566*(1+PREMISSAS!$C$57),C566)))</f>
        <v/>
      </c>
      <c r="E567" s="18">
        <v>563</v>
      </c>
      <c r="F567" s="21" t="str">
        <f t="shared" ca="1" si="61"/>
        <v/>
      </c>
      <c r="G567" s="22">
        <f ca="1">IFERROR(VLOOKUP(F567,RESULTADOS!$O$5:$P$543,2,FALSE),VLOOKUP(F567,$B$5:$C$724,2,FALSE))</f>
        <v>0</v>
      </c>
      <c r="H567" s="4">
        <f ca="1">IF(F567&lt;PREMISSAS!$D$7,0,IFERROR(VLOOKUP(IF(LEFT(F567,2)="13",DATE(YEAR(F566),12,31),F567),IPCA!$A$3:$D$284,4,FALSE),1)*G567)</f>
        <v>0</v>
      </c>
      <c r="J567" s="21" t="str">
        <f t="shared" ca="1" si="56"/>
        <v/>
      </c>
      <c r="K567" s="4">
        <f t="shared" ca="1" si="57"/>
        <v>0</v>
      </c>
      <c r="M567" s="21" t="str">
        <f t="shared" ca="1" si="62"/>
        <v/>
      </c>
      <c r="N567" s="37">
        <f t="shared" ca="1" si="58"/>
        <v>0</v>
      </c>
      <c r="O567" s="4">
        <f ca="1">IFERROR(AVERAGEIF(N$5:$N567,"&gt;="&amp;_xlfn.PERCENTILE.EXC(N$5:$N567,0.2)),0)</f>
        <v>0</v>
      </c>
      <c r="Q567" s="21" t="str">
        <f t="shared" ca="1" si="59"/>
        <v/>
      </c>
      <c r="R567" s="4">
        <f ca="1">MIN(O567,PREMISSAS!$C$13)</f>
        <v>0</v>
      </c>
      <c r="S567" s="240"/>
      <c r="T567" s="240"/>
    </row>
    <row r="568" spans="2:20" x14ac:dyDescent="0.25">
      <c r="B568" s="21" t="str">
        <f t="shared" ca="1" si="60"/>
        <v/>
      </c>
      <c r="C568" s="22" t="str">
        <f ca="1">IF(B568="","",IF(LEFT(B568,2)="13",C567,IF(MONTH(B568)=1,C567*(1+PREMISSAS!$C$57),C567)))</f>
        <v/>
      </c>
      <c r="E568" s="18">
        <v>564</v>
      </c>
      <c r="F568" s="21" t="str">
        <f t="shared" ca="1" si="61"/>
        <v/>
      </c>
      <c r="G568" s="22">
        <f ca="1">IFERROR(VLOOKUP(F568,RESULTADOS!$O$5:$P$543,2,FALSE),VLOOKUP(F568,$B$5:$C$724,2,FALSE))</f>
        <v>0</v>
      </c>
      <c r="H568" s="4">
        <f ca="1">IF(F568&lt;PREMISSAS!$D$7,0,IFERROR(VLOOKUP(IF(LEFT(F568,2)="13",DATE(YEAR(F567),12,31),F568),IPCA!$A$3:$D$284,4,FALSE),1)*G568)</f>
        <v>0</v>
      </c>
      <c r="J568" s="21" t="str">
        <f t="shared" ca="1" si="56"/>
        <v/>
      </c>
      <c r="K568" s="4">
        <f t="shared" ca="1" si="57"/>
        <v>0</v>
      </c>
      <c r="M568" s="21" t="str">
        <f t="shared" ca="1" si="62"/>
        <v/>
      </c>
      <c r="N568" s="37">
        <f t="shared" ca="1" si="58"/>
        <v>0</v>
      </c>
      <c r="O568" s="4">
        <f ca="1">IFERROR(AVERAGEIF(N$5:$N568,"&gt;="&amp;_xlfn.PERCENTILE.EXC(N$5:$N568,0.2)),0)</f>
        <v>0</v>
      </c>
      <c r="Q568" s="21" t="str">
        <f t="shared" ca="1" si="59"/>
        <v/>
      </c>
      <c r="R568" s="4">
        <f ca="1">MIN(O568,PREMISSAS!$C$13)</f>
        <v>0</v>
      </c>
      <c r="S568" s="240"/>
      <c r="T568" s="240"/>
    </row>
    <row r="569" spans="2:20" x14ac:dyDescent="0.25">
      <c r="B569" s="21" t="str">
        <f t="shared" ca="1" si="60"/>
        <v/>
      </c>
      <c r="C569" s="22" t="str">
        <f ca="1">IF(B569="","",IF(LEFT(B569,2)="13",C568,IF(MONTH(B569)=1,C568*(1+PREMISSAS!$C$57),C568)))</f>
        <v/>
      </c>
      <c r="E569" s="18">
        <v>565</v>
      </c>
      <c r="F569" s="21" t="str">
        <f t="shared" ca="1" si="61"/>
        <v/>
      </c>
      <c r="G569" s="22">
        <f ca="1">IFERROR(VLOOKUP(F569,RESULTADOS!$O$5:$P$543,2,FALSE),VLOOKUP(F569,$B$5:$C$724,2,FALSE))</f>
        <v>0</v>
      </c>
      <c r="H569" s="4">
        <f ca="1">IF(F569&lt;PREMISSAS!$D$7,0,IFERROR(VLOOKUP(IF(LEFT(F569,2)="13",DATE(YEAR(F568),12,31),F569),IPCA!$A$3:$D$284,4,FALSE),1)*G569)</f>
        <v>0</v>
      </c>
      <c r="J569" s="21" t="str">
        <f t="shared" ca="1" si="56"/>
        <v/>
      </c>
      <c r="K569" s="4">
        <f t="shared" ca="1" si="57"/>
        <v>0</v>
      </c>
      <c r="M569" s="21" t="str">
        <f t="shared" ca="1" si="62"/>
        <v/>
      </c>
      <c r="N569" s="37">
        <f t="shared" ca="1" si="58"/>
        <v>0</v>
      </c>
      <c r="O569" s="4">
        <f ca="1">IFERROR(AVERAGEIF(N$5:$N569,"&gt;="&amp;_xlfn.PERCENTILE.EXC(N$5:$N569,0.2)),0)</f>
        <v>0</v>
      </c>
      <c r="Q569" s="21" t="str">
        <f t="shared" ca="1" si="59"/>
        <v/>
      </c>
      <c r="R569" s="4">
        <f ca="1">MIN(O569,PREMISSAS!$C$13)</f>
        <v>0</v>
      </c>
      <c r="S569" s="240"/>
      <c r="T569" s="240"/>
    </row>
    <row r="570" spans="2:20" x14ac:dyDescent="0.25">
      <c r="B570" s="21" t="str">
        <f t="shared" ca="1" si="60"/>
        <v/>
      </c>
      <c r="C570" s="22" t="str">
        <f ca="1">IF(B570="","",IF(LEFT(B570,2)="13",C569,IF(MONTH(B570)=1,C569*(1+PREMISSAS!$C$57),C569)))</f>
        <v/>
      </c>
      <c r="E570" s="18">
        <v>566</v>
      </c>
      <c r="F570" s="21" t="str">
        <f t="shared" ca="1" si="61"/>
        <v/>
      </c>
      <c r="G570" s="22">
        <f ca="1">IFERROR(VLOOKUP(F570,RESULTADOS!$O$5:$P$543,2,FALSE),VLOOKUP(F570,$B$5:$C$724,2,FALSE))</f>
        <v>0</v>
      </c>
      <c r="H570" s="4">
        <f ca="1">IF(F570&lt;PREMISSAS!$D$7,0,IFERROR(VLOOKUP(IF(LEFT(F570,2)="13",DATE(YEAR(F569),12,31),F570),IPCA!$A$3:$D$284,4,FALSE),1)*G570)</f>
        <v>0</v>
      </c>
      <c r="J570" s="21" t="str">
        <f t="shared" ca="1" si="56"/>
        <v/>
      </c>
      <c r="K570" s="4">
        <f t="shared" ca="1" si="57"/>
        <v>0</v>
      </c>
      <c r="M570" s="21" t="str">
        <f t="shared" ca="1" si="62"/>
        <v/>
      </c>
      <c r="N570" s="37">
        <f t="shared" ca="1" si="58"/>
        <v>0</v>
      </c>
      <c r="O570" s="4">
        <f ca="1">IFERROR(AVERAGEIF(N$5:$N570,"&gt;="&amp;_xlfn.PERCENTILE.EXC(N$5:$N570,0.2)),0)</f>
        <v>0</v>
      </c>
      <c r="Q570" s="21" t="str">
        <f t="shared" ca="1" si="59"/>
        <v/>
      </c>
      <c r="R570" s="4">
        <f ca="1">MIN(O570,PREMISSAS!$C$13)</f>
        <v>0</v>
      </c>
      <c r="S570" s="240"/>
      <c r="T570" s="240"/>
    </row>
    <row r="571" spans="2:20" x14ac:dyDescent="0.25">
      <c r="B571" s="21" t="str">
        <f t="shared" ca="1" si="60"/>
        <v/>
      </c>
      <c r="C571" s="22" t="str">
        <f ca="1">IF(B571="","",IF(LEFT(B571,2)="13",C570,IF(MONTH(B571)=1,C570*(1+PREMISSAS!$C$57),C570)))</f>
        <v/>
      </c>
      <c r="E571" s="18">
        <v>567</v>
      </c>
      <c r="F571" s="21" t="str">
        <f t="shared" ca="1" si="61"/>
        <v/>
      </c>
      <c r="G571" s="22">
        <f ca="1">IFERROR(VLOOKUP(F571,RESULTADOS!$O$5:$P$543,2,FALSE),VLOOKUP(F571,$B$5:$C$724,2,FALSE))</f>
        <v>0</v>
      </c>
      <c r="H571" s="4">
        <f ca="1">IF(F571&lt;PREMISSAS!$D$7,0,IFERROR(VLOOKUP(IF(LEFT(F571,2)="13",DATE(YEAR(F570),12,31),F571),IPCA!$A$3:$D$284,4,FALSE),1)*G571)</f>
        <v>0</v>
      </c>
      <c r="J571" s="21" t="str">
        <f t="shared" ca="1" si="56"/>
        <v/>
      </c>
      <c r="K571" s="4">
        <f t="shared" ca="1" si="57"/>
        <v>0</v>
      </c>
      <c r="M571" s="21" t="str">
        <f t="shared" ca="1" si="62"/>
        <v/>
      </c>
      <c r="N571" s="37">
        <f t="shared" ca="1" si="58"/>
        <v>0</v>
      </c>
      <c r="O571" s="4">
        <f ca="1">IFERROR(AVERAGEIF(N$5:$N571,"&gt;="&amp;_xlfn.PERCENTILE.EXC(N$5:$N571,0.2)),0)</f>
        <v>0</v>
      </c>
      <c r="Q571" s="21" t="str">
        <f t="shared" ca="1" si="59"/>
        <v/>
      </c>
      <c r="R571" s="4">
        <f ca="1">MIN(O571,PREMISSAS!$C$13)</f>
        <v>0</v>
      </c>
      <c r="S571" s="240"/>
      <c r="T571" s="240"/>
    </row>
    <row r="572" spans="2:20" x14ac:dyDescent="0.25">
      <c r="B572" s="21" t="str">
        <f t="shared" ca="1" si="60"/>
        <v/>
      </c>
      <c r="C572" s="22" t="str">
        <f ca="1">IF(B572="","",IF(LEFT(B572,2)="13",C571,IF(MONTH(B572)=1,C571*(1+PREMISSAS!$C$57),C571)))</f>
        <v/>
      </c>
      <c r="E572" s="18">
        <v>568</v>
      </c>
      <c r="F572" s="21" t="str">
        <f t="shared" ca="1" si="61"/>
        <v/>
      </c>
      <c r="G572" s="22">
        <f ca="1">IFERROR(VLOOKUP(F572,RESULTADOS!$O$5:$P$543,2,FALSE),VLOOKUP(F572,$B$5:$C$724,2,FALSE))</f>
        <v>0</v>
      </c>
      <c r="H572" s="4">
        <f ca="1">IF(F572&lt;PREMISSAS!$D$7,0,IFERROR(VLOOKUP(IF(LEFT(F572,2)="13",DATE(YEAR(F571),12,31),F572),IPCA!$A$3:$D$284,4,FALSE),1)*G572)</f>
        <v>0</v>
      </c>
      <c r="J572" s="21" t="str">
        <f t="shared" ca="1" si="56"/>
        <v/>
      </c>
      <c r="K572" s="4">
        <f t="shared" ca="1" si="57"/>
        <v>0</v>
      </c>
      <c r="M572" s="21" t="str">
        <f t="shared" ca="1" si="62"/>
        <v/>
      </c>
      <c r="N572" s="37">
        <f t="shared" ca="1" si="58"/>
        <v>0</v>
      </c>
      <c r="O572" s="4">
        <f ca="1">IFERROR(AVERAGEIF(N$5:$N572,"&gt;="&amp;_xlfn.PERCENTILE.EXC(N$5:$N572,0.2)),0)</f>
        <v>0</v>
      </c>
      <c r="Q572" s="21" t="str">
        <f t="shared" ca="1" si="59"/>
        <v/>
      </c>
      <c r="R572" s="4">
        <f ca="1">MIN(O572,PREMISSAS!$C$13)</f>
        <v>0</v>
      </c>
      <c r="S572" s="240"/>
      <c r="T572" s="240"/>
    </row>
    <row r="573" spans="2:20" x14ac:dyDescent="0.25">
      <c r="B573" s="21" t="str">
        <f t="shared" ca="1" si="60"/>
        <v/>
      </c>
      <c r="C573" s="22" t="str">
        <f ca="1">IF(B573="","",IF(LEFT(B573,2)="13",C572,IF(MONTH(B573)=1,C572*(1+PREMISSAS!$C$57),C572)))</f>
        <v/>
      </c>
      <c r="E573" s="18">
        <v>569</v>
      </c>
      <c r="F573" s="21" t="str">
        <f t="shared" ca="1" si="61"/>
        <v/>
      </c>
      <c r="G573" s="22">
        <f ca="1">IFERROR(VLOOKUP(F573,RESULTADOS!$O$5:$P$543,2,FALSE),VLOOKUP(F573,$B$5:$C$724,2,FALSE))</f>
        <v>0</v>
      </c>
      <c r="H573" s="4">
        <f ca="1">IF(F573&lt;PREMISSAS!$D$7,0,IFERROR(VLOOKUP(IF(LEFT(F573,2)="13",DATE(YEAR(F572),12,31),F573),IPCA!$A$3:$D$284,4,FALSE),1)*G573)</f>
        <v>0</v>
      </c>
      <c r="J573" s="21" t="str">
        <f t="shared" ca="1" si="56"/>
        <v/>
      </c>
      <c r="K573" s="4">
        <f t="shared" ca="1" si="57"/>
        <v>0</v>
      </c>
      <c r="M573" s="21" t="str">
        <f t="shared" ca="1" si="62"/>
        <v/>
      </c>
      <c r="N573" s="37">
        <f t="shared" ca="1" si="58"/>
        <v>0</v>
      </c>
      <c r="O573" s="4">
        <f ca="1">IFERROR(AVERAGEIF(N$5:$N573,"&gt;="&amp;_xlfn.PERCENTILE.EXC(N$5:$N573,0.2)),0)</f>
        <v>0</v>
      </c>
      <c r="Q573" s="21" t="str">
        <f t="shared" ca="1" si="59"/>
        <v/>
      </c>
      <c r="R573" s="4">
        <f ca="1">MIN(O573,PREMISSAS!$C$13)</f>
        <v>0</v>
      </c>
      <c r="S573" s="240"/>
      <c r="T573" s="240"/>
    </row>
    <row r="574" spans="2:20" x14ac:dyDescent="0.25">
      <c r="B574" s="21" t="str">
        <f t="shared" ca="1" si="60"/>
        <v/>
      </c>
      <c r="C574" s="22" t="str">
        <f ca="1">IF(B574="","",IF(LEFT(B574,2)="13",C573,IF(MONTH(B574)=1,C573*(1+PREMISSAS!$C$57),C573)))</f>
        <v/>
      </c>
      <c r="E574" s="18">
        <v>570</v>
      </c>
      <c r="F574" s="21" t="str">
        <f t="shared" ca="1" si="61"/>
        <v/>
      </c>
      <c r="G574" s="22">
        <f ca="1">IFERROR(VLOOKUP(F574,RESULTADOS!$O$5:$P$543,2,FALSE),VLOOKUP(F574,$B$5:$C$724,2,FALSE))</f>
        <v>0</v>
      </c>
      <c r="H574" s="4">
        <f ca="1">IF(F574&lt;PREMISSAS!$D$7,0,IFERROR(VLOOKUP(IF(LEFT(F574,2)="13",DATE(YEAR(F573),12,31),F574),IPCA!$A$3:$D$284,4,FALSE),1)*G574)</f>
        <v>0</v>
      </c>
      <c r="J574" s="21" t="str">
        <f t="shared" ca="1" si="56"/>
        <v/>
      </c>
      <c r="K574" s="4">
        <f t="shared" ca="1" si="57"/>
        <v>0</v>
      </c>
      <c r="M574" s="21" t="str">
        <f t="shared" ca="1" si="62"/>
        <v/>
      </c>
      <c r="N574" s="37">
        <f t="shared" ca="1" si="58"/>
        <v>0</v>
      </c>
      <c r="O574" s="4">
        <f ca="1">IFERROR(AVERAGEIF(N$5:$N574,"&gt;="&amp;_xlfn.PERCENTILE.EXC(N$5:$N574,0.2)),0)</f>
        <v>0</v>
      </c>
      <c r="Q574" s="21" t="str">
        <f t="shared" ca="1" si="59"/>
        <v/>
      </c>
      <c r="R574" s="4">
        <f ca="1">MIN(O574,PREMISSAS!$C$13)</f>
        <v>0</v>
      </c>
      <c r="S574" s="240"/>
      <c r="T574" s="240"/>
    </row>
    <row r="575" spans="2:20" x14ac:dyDescent="0.25">
      <c r="B575" s="21" t="str">
        <f t="shared" ca="1" si="60"/>
        <v/>
      </c>
      <c r="C575" s="22" t="str">
        <f ca="1">IF(B575="","",IF(LEFT(B575,2)="13",C574,IF(MONTH(B575)=1,C574*(1+PREMISSAS!$C$57),C574)))</f>
        <v/>
      </c>
      <c r="E575" s="18">
        <v>571</v>
      </c>
      <c r="F575" s="21" t="str">
        <f t="shared" ca="1" si="61"/>
        <v/>
      </c>
      <c r="G575" s="22">
        <f ca="1">IFERROR(VLOOKUP(F575,RESULTADOS!$O$5:$P$543,2,FALSE),VLOOKUP(F575,$B$5:$C$724,2,FALSE))</f>
        <v>0</v>
      </c>
      <c r="H575" s="4">
        <f ca="1">IF(F575&lt;PREMISSAS!$D$7,0,IFERROR(VLOOKUP(IF(LEFT(F575,2)="13",DATE(YEAR(F574),12,31),F575),IPCA!$A$3:$D$284,4,FALSE),1)*G575)</f>
        <v>0</v>
      </c>
      <c r="J575" s="21" t="str">
        <f t="shared" ca="1" si="56"/>
        <v/>
      </c>
      <c r="K575" s="4">
        <f t="shared" ca="1" si="57"/>
        <v>0</v>
      </c>
      <c r="M575" s="21" t="str">
        <f t="shared" ca="1" si="62"/>
        <v/>
      </c>
      <c r="N575" s="37">
        <f t="shared" ca="1" si="58"/>
        <v>0</v>
      </c>
      <c r="O575" s="4">
        <f ca="1">IFERROR(AVERAGEIF(N$5:$N575,"&gt;="&amp;_xlfn.PERCENTILE.EXC(N$5:$N575,0.2)),0)</f>
        <v>0</v>
      </c>
      <c r="Q575" s="21" t="str">
        <f t="shared" ca="1" si="59"/>
        <v/>
      </c>
      <c r="R575" s="4">
        <f ca="1">MIN(O575,PREMISSAS!$C$13)</f>
        <v>0</v>
      </c>
      <c r="S575" s="240"/>
      <c r="T575" s="240"/>
    </row>
    <row r="576" spans="2:20" x14ac:dyDescent="0.25">
      <c r="B576" s="21" t="str">
        <f t="shared" ca="1" si="60"/>
        <v/>
      </c>
      <c r="C576" s="22" t="str">
        <f ca="1">IF(B576="","",IF(LEFT(B576,2)="13",C575,IF(MONTH(B576)=1,C575*(1+PREMISSAS!$C$57),C575)))</f>
        <v/>
      </c>
      <c r="E576" s="18">
        <v>572</v>
      </c>
      <c r="F576" s="21" t="str">
        <f t="shared" ca="1" si="61"/>
        <v/>
      </c>
      <c r="G576" s="22">
        <f ca="1">IFERROR(VLOOKUP(F576,RESULTADOS!$O$5:$P$543,2,FALSE),VLOOKUP(F576,$B$5:$C$724,2,FALSE))</f>
        <v>0</v>
      </c>
      <c r="H576" s="4">
        <f ca="1">IF(F576&lt;PREMISSAS!$D$7,0,IFERROR(VLOOKUP(IF(LEFT(F576,2)="13",DATE(YEAR(F575),12,31),F576),IPCA!$A$3:$D$284,4,FALSE),1)*G576)</f>
        <v>0</v>
      </c>
      <c r="J576" s="21" t="str">
        <f t="shared" ca="1" si="56"/>
        <v/>
      </c>
      <c r="K576" s="4">
        <f t="shared" ca="1" si="57"/>
        <v>0</v>
      </c>
      <c r="M576" s="21" t="str">
        <f t="shared" ca="1" si="62"/>
        <v/>
      </c>
      <c r="N576" s="37">
        <f t="shared" ca="1" si="58"/>
        <v>0</v>
      </c>
      <c r="O576" s="4">
        <f ca="1">IFERROR(AVERAGEIF(N$5:$N576,"&gt;="&amp;_xlfn.PERCENTILE.EXC(N$5:$N576,0.2)),0)</f>
        <v>0</v>
      </c>
      <c r="Q576" s="21" t="str">
        <f t="shared" ca="1" si="59"/>
        <v/>
      </c>
      <c r="R576" s="4">
        <f ca="1">MIN(O576,PREMISSAS!$C$13)</f>
        <v>0</v>
      </c>
      <c r="S576" s="240"/>
      <c r="T576" s="240"/>
    </row>
    <row r="577" spans="2:20" x14ac:dyDescent="0.25">
      <c r="B577" s="21" t="str">
        <f t="shared" ca="1" si="60"/>
        <v/>
      </c>
      <c r="C577" s="22" t="str">
        <f ca="1">IF(B577="","",IF(LEFT(B577,2)="13",C576,IF(MONTH(B577)=1,C576*(1+PREMISSAS!$C$57),C576)))</f>
        <v/>
      </c>
      <c r="E577" s="18">
        <v>573</v>
      </c>
      <c r="F577" s="21" t="str">
        <f t="shared" ca="1" si="61"/>
        <v/>
      </c>
      <c r="G577" s="22">
        <f ca="1">IFERROR(VLOOKUP(F577,RESULTADOS!$O$5:$P$543,2,FALSE),VLOOKUP(F577,$B$5:$C$724,2,FALSE))</f>
        <v>0</v>
      </c>
      <c r="H577" s="4">
        <f ca="1">IF(F577&lt;PREMISSAS!$D$7,0,IFERROR(VLOOKUP(IF(LEFT(F577,2)="13",DATE(YEAR(F576),12,31),F577),IPCA!$A$3:$D$284,4,FALSE),1)*G577)</f>
        <v>0</v>
      </c>
      <c r="J577" s="21" t="str">
        <f t="shared" ca="1" si="56"/>
        <v/>
      </c>
      <c r="K577" s="4">
        <f t="shared" ca="1" si="57"/>
        <v>0</v>
      </c>
      <c r="M577" s="21" t="str">
        <f t="shared" ca="1" si="62"/>
        <v/>
      </c>
      <c r="N577" s="37">
        <f t="shared" ca="1" si="58"/>
        <v>0</v>
      </c>
      <c r="O577" s="4">
        <f ca="1">IFERROR(AVERAGEIF(N$5:$N577,"&gt;="&amp;_xlfn.PERCENTILE.EXC(N$5:$N577,0.2)),0)</f>
        <v>0</v>
      </c>
      <c r="Q577" s="21" t="str">
        <f t="shared" ca="1" si="59"/>
        <v/>
      </c>
      <c r="R577" s="4">
        <f ca="1">MIN(O577,PREMISSAS!$C$13)</f>
        <v>0</v>
      </c>
      <c r="S577" s="240"/>
      <c r="T577" s="240"/>
    </row>
    <row r="578" spans="2:20" x14ac:dyDescent="0.25">
      <c r="B578" s="21" t="str">
        <f t="shared" ca="1" si="60"/>
        <v/>
      </c>
      <c r="C578" s="22" t="str">
        <f ca="1">IF(B578="","",IF(LEFT(B578,2)="13",C577,IF(MONTH(B578)=1,C577*(1+PREMISSAS!$C$57),C577)))</f>
        <v/>
      </c>
      <c r="E578" s="18">
        <v>574</v>
      </c>
      <c r="F578" s="21" t="str">
        <f t="shared" ca="1" si="61"/>
        <v/>
      </c>
      <c r="G578" s="22">
        <f ca="1">IFERROR(VLOOKUP(F578,RESULTADOS!$O$5:$P$543,2,FALSE),VLOOKUP(F578,$B$5:$C$724,2,FALSE))</f>
        <v>0</v>
      </c>
      <c r="H578" s="4">
        <f ca="1">IF(F578&lt;PREMISSAS!$D$7,0,IFERROR(VLOOKUP(IF(LEFT(F578,2)="13",DATE(YEAR(F577),12,31),F578),IPCA!$A$3:$D$284,4,FALSE),1)*G578)</f>
        <v>0</v>
      </c>
      <c r="J578" s="21" t="str">
        <f t="shared" ca="1" si="56"/>
        <v/>
      </c>
      <c r="K578" s="4">
        <f t="shared" ca="1" si="57"/>
        <v>0</v>
      </c>
      <c r="M578" s="21" t="str">
        <f t="shared" ca="1" si="62"/>
        <v/>
      </c>
      <c r="N578" s="37">
        <f t="shared" ca="1" si="58"/>
        <v>0</v>
      </c>
      <c r="O578" s="4">
        <f ca="1">IFERROR(AVERAGEIF(N$5:$N578,"&gt;="&amp;_xlfn.PERCENTILE.EXC(N$5:$N578,0.2)),0)</f>
        <v>0</v>
      </c>
      <c r="Q578" s="21" t="str">
        <f t="shared" ca="1" si="59"/>
        <v/>
      </c>
      <c r="R578" s="4">
        <f ca="1">MIN(O578,PREMISSAS!$C$13)</f>
        <v>0</v>
      </c>
      <c r="S578" s="240"/>
      <c r="T578" s="240"/>
    </row>
    <row r="579" spans="2:20" x14ac:dyDescent="0.25">
      <c r="B579" s="21" t="str">
        <f t="shared" ca="1" si="60"/>
        <v/>
      </c>
      <c r="C579" s="22" t="str">
        <f ca="1">IF(B579="","",IF(LEFT(B579,2)="13",C578,IF(MONTH(B579)=1,C578*(1+PREMISSAS!$C$57),C578)))</f>
        <v/>
      </c>
      <c r="E579" s="18">
        <v>575</v>
      </c>
      <c r="F579" s="21" t="str">
        <f t="shared" ca="1" si="61"/>
        <v/>
      </c>
      <c r="G579" s="22">
        <f ca="1">IFERROR(VLOOKUP(F579,RESULTADOS!$O$5:$P$543,2,FALSE),VLOOKUP(F579,$B$5:$C$724,2,FALSE))</f>
        <v>0</v>
      </c>
      <c r="H579" s="4">
        <f ca="1">IF(F579&lt;PREMISSAS!$D$7,0,IFERROR(VLOOKUP(IF(LEFT(F579,2)="13",DATE(YEAR(F578),12,31),F579),IPCA!$A$3:$D$284,4,FALSE),1)*G579)</f>
        <v>0</v>
      </c>
      <c r="J579" s="21" t="str">
        <f t="shared" ca="1" si="56"/>
        <v/>
      </c>
      <c r="K579" s="4">
        <f t="shared" ca="1" si="57"/>
        <v>0</v>
      </c>
      <c r="M579" s="21" t="str">
        <f t="shared" ca="1" si="62"/>
        <v/>
      </c>
      <c r="N579" s="37">
        <f t="shared" ca="1" si="58"/>
        <v>0</v>
      </c>
      <c r="O579" s="4">
        <f ca="1">IFERROR(AVERAGEIF(N$5:$N579,"&gt;="&amp;_xlfn.PERCENTILE.EXC(N$5:$N579,0.2)),0)</f>
        <v>0</v>
      </c>
      <c r="Q579" s="21" t="str">
        <f t="shared" ca="1" si="59"/>
        <v/>
      </c>
      <c r="R579" s="4">
        <f ca="1">MIN(O579,PREMISSAS!$C$13)</f>
        <v>0</v>
      </c>
      <c r="S579" s="240"/>
      <c r="T579" s="240"/>
    </row>
    <row r="580" spans="2:20" x14ac:dyDescent="0.25">
      <c r="B580" s="21" t="str">
        <f t="shared" ca="1" si="60"/>
        <v/>
      </c>
      <c r="C580" s="22" t="str">
        <f ca="1">IF(B580="","",IF(LEFT(B580,2)="13",C579,IF(MONTH(B580)=1,C579*(1+PREMISSAS!$C$57),C579)))</f>
        <v/>
      </c>
      <c r="E580" s="18">
        <v>576</v>
      </c>
      <c r="F580" s="21" t="str">
        <f t="shared" ca="1" si="61"/>
        <v/>
      </c>
      <c r="G580" s="22">
        <f ca="1">IFERROR(VLOOKUP(F580,RESULTADOS!$O$5:$P$543,2,FALSE),VLOOKUP(F580,$B$5:$C$724,2,FALSE))</f>
        <v>0</v>
      </c>
      <c r="H580" s="4">
        <f ca="1">IF(F580&lt;PREMISSAS!$D$7,0,IFERROR(VLOOKUP(IF(LEFT(F580,2)="13",DATE(YEAR(F579),12,31),F580),IPCA!$A$3:$D$284,4,FALSE),1)*G580)</f>
        <v>0</v>
      </c>
      <c r="J580" s="21" t="str">
        <f t="shared" ca="1" si="56"/>
        <v/>
      </c>
      <c r="K580" s="4">
        <f t="shared" ca="1" si="57"/>
        <v>0</v>
      </c>
      <c r="M580" s="21" t="str">
        <f t="shared" ca="1" si="62"/>
        <v/>
      </c>
      <c r="N580" s="37">
        <f t="shared" ca="1" si="58"/>
        <v>0</v>
      </c>
      <c r="O580" s="4">
        <f ca="1">IFERROR(AVERAGEIF(N$5:$N580,"&gt;="&amp;_xlfn.PERCENTILE.EXC(N$5:$N580,0.2)),0)</f>
        <v>0</v>
      </c>
      <c r="Q580" s="21" t="str">
        <f t="shared" ca="1" si="59"/>
        <v/>
      </c>
      <c r="R580" s="4">
        <f ca="1">MIN(O580,PREMISSAS!$C$13)</f>
        <v>0</v>
      </c>
      <c r="S580" s="240"/>
      <c r="T580" s="240"/>
    </row>
    <row r="581" spans="2:20" x14ac:dyDescent="0.25">
      <c r="B581" s="21" t="str">
        <f t="shared" ca="1" si="60"/>
        <v/>
      </c>
      <c r="C581" s="22" t="str">
        <f ca="1">IF(B581="","",IF(LEFT(B581,2)="13",C580,IF(MONTH(B581)=1,C580*(1+PREMISSAS!$C$57),C580)))</f>
        <v/>
      </c>
      <c r="E581" s="18">
        <v>577</v>
      </c>
      <c r="F581" s="21" t="str">
        <f t="shared" ca="1" si="61"/>
        <v/>
      </c>
      <c r="G581" s="22">
        <f ca="1">IFERROR(VLOOKUP(F581,RESULTADOS!$O$5:$P$543,2,FALSE),VLOOKUP(F581,$B$5:$C$724,2,FALSE))</f>
        <v>0</v>
      </c>
      <c r="H581" s="4">
        <f ca="1">IF(F581&lt;PREMISSAS!$D$7,0,IFERROR(VLOOKUP(IF(LEFT(F581,2)="13",DATE(YEAR(F580),12,31),F581),IPCA!$A$3:$D$284,4,FALSE),1)*G581)</f>
        <v>0</v>
      </c>
      <c r="J581" s="21" t="str">
        <f t="shared" ref="J581:J591" ca="1" si="63">F581</f>
        <v/>
      </c>
      <c r="K581" s="4">
        <f t="shared" ref="K581:K591" ca="1" si="64">G581</f>
        <v>0</v>
      </c>
      <c r="M581" s="21" t="str">
        <f t="shared" ca="1" si="62"/>
        <v/>
      </c>
      <c r="N581" s="37">
        <f t="shared" ca="1" si="58"/>
        <v>0</v>
      </c>
      <c r="O581" s="4">
        <f ca="1">IFERROR(AVERAGEIF(N$5:$N581,"&gt;="&amp;_xlfn.PERCENTILE.EXC(N$5:$N581,0.2)),0)</f>
        <v>0</v>
      </c>
      <c r="Q581" s="21" t="str">
        <f t="shared" ca="1" si="59"/>
        <v/>
      </c>
      <c r="R581" s="4">
        <f ca="1">MIN(O581,PREMISSAS!$C$13)</f>
        <v>0</v>
      </c>
      <c r="S581" s="240"/>
      <c r="T581" s="240"/>
    </row>
    <row r="582" spans="2:20" x14ac:dyDescent="0.25">
      <c r="B582" s="21" t="str">
        <f t="shared" ca="1" si="60"/>
        <v/>
      </c>
      <c r="C582" s="22" t="str">
        <f ca="1">IF(B582="","",IF(LEFT(B582,2)="13",C581,IF(MONTH(B582)=1,C581*(1+PREMISSAS!$C$57),C581)))</f>
        <v/>
      </c>
      <c r="E582" s="18">
        <v>578</v>
      </c>
      <c r="F582" s="21" t="str">
        <f t="shared" ca="1" si="61"/>
        <v/>
      </c>
      <c r="G582" s="22">
        <f ca="1">IFERROR(VLOOKUP(F582,RESULTADOS!$O$5:$P$543,2,FALSE),VLOOKUP(F582,$B$5:$C$724,2,FALSE))</f>
        <v>0</v>
      </c>
      <c r="H582" s="4">
        <f ca="1">IF(F582&lt;PREMISSAS!$D$7,0,IFERROR(VLOOKUP(IF(LEFT(F582,2)="13",DATE(YEAR(F581),12,31),F582),IPCA!$A$3:$D$284,4,FALSE),1)*G582)</f>
        <v>0</v>
      </c>
      <c r="J582" s="21" t="str">
        <f t="shared" ca="1" si="63"/>
        <v/>
      </c>
      <c r="K582" s="4">
        <f t="shared" ca="1" si="64"/>
        <v>0</v>
      </c>
      <c r="M582" s="21" t="str">
        <f t="shared" ca="1" si="62"/>
        <v/>
      </c>
      <c r="N582" s="37">
        <f t="shared" ref="N582:N628" ca="1" si="65">IFERROR(VLOOKUP(M582,$F$5:$H$628,3,FALSE),0)</f>
        <v>0</v>
      </c>
      <c r="O582" s="4">
        <f ca="1">IFERROR(AVERAGEIF(N$5:$N582,"&gt;="&amp;_xlfn.PERCENTILE.EXC(N$5:$N582,0.2)),0)</f>
        <v>0</v>
      </c>
      <c r="Q582" s="21" t="str">
        <f t="shared" ref="Q582:Q628" ca="1" si="66">M582</f>
        <v/>
      </c>
      <c r="R582" s="4">
        <f ca="1">MIN(O582,PREMISSAS!$C$13)</f>
        <v>0</v>
      </c>
      <c r="S582" s="240"/>
      <c r="T582" s="240"/>
    </row>
    <row r="583" spans="2:20" x14ac:dyDescent="0.25">
      <c r="B583" s="21" t="str">
        <f t="shared" ref="B583:B646" ca="1" si="67">IFERROR(IF(LEFT(B582,2)="13",DATE(RIGHT(B582,4),12,31),IF(EOMONTH(B582,0)&gt;$F$1,"",IF(MONTH(B582)=11,"13º "&amp;YEAR(B582),EOMONTH(B582,1)))),"")</f>
        <v/>
      </c>
      <c r="C583" s="22" t="str">
        <f ca="1">IF(B583="","",IF(LEFT(B583,2)="13",C582,IF(MONTH(B583)=1,C582*(1+PREMISSAS!$C$57),C582)))</f>
        <v/>
      </c>
      <c r="E583" s="18">
        <v>579</v>
      </c>
      <c r="F583" s="21" t="str">
        <f t="shared" ref="F583:F646" ca="1" si="68">IFERROR(IF(LEFT(F582,2)="13",DATE(RIGHT(F582,4),12,31),IF(EOMONTH(F582,0)&gt;$F$1,"",IF(MONTH(F582)=11,"13º "&amp;YEAR(F582),EOMONTH(F582,1)))),"")</f>
        <v/>
      </c>
      <c r="G583" s="22">
        <f ca="1">IFERROR(VLOOKUP(F583,RESULTADOS!$O$5:$P$543,2,FALSE),VLOOKUP(F583,$B$5:$C$724,2,FALSE))</f>
        <v>0</v>
      </c>
      <c r="H583" s="4">
        <f ca="1">IF(F583&lt;PREMISSAS!$D$7,0,IFERROR(VLOOKUP(IF(LEFT(F583,2)="13",DATE(YEAR(F582),12,31),F583),IPCA!$A$3:$D$284,4,FALSE),1)*G583)</f>
        <v>0</v>
      </c>
      <c r="J583" s="21" t="str">
        <f t="shared" ca="1" si="63"/>
        <v/>
      </c>
      <c r="K583" s="4">
        <f t="shared" ca="1" si="64"/>
        <v>0</v>
      </c>
      <c r="M583" s="21" t="str">
        <f t="shared" ref="M583:M646" ca="1" si="69">IFERROR(IF(LEFT(M582,2)="13",DATE(RIGHT(M582,4),12,31),IF(EOMONTH(M582,0)&gt;$F$1,"",IF(MONTH(M582)=11,"13º "&amp;YEAR(M582),EOMONTH(M582,1)))),"")</f>
        <v/>
      </c>
      <c r="N583" s="37">
        <f t="shared" ca="1" si="65"/>
        <v>0</v>
      </c>
      <c r="O583" s="4">
        <f ca="1">IFERROR(AVERAGEIF(N$5:$N583,"&gt;="&amp;_xlfn.PERCENTILE.EXC(N$5:$N583,0.2)),0)</f>
        <v>0</v>
      </c>
      <c r="Q583" s="21" t="str">
        <f t="shared" ca="1" si="66"/>
        <v/>
      </c>
      <c r="R583" s="4">
        <f ca="1">MIN(O583,PREMISSAS!$C$13)</f>
        <v>0</v>
      </c>
      <c r="S583" s="240"/>
      <c r="T583" s="240"/>
    </row>
    <row r="584" spans="2:20" x14ac:dyDescent="0.25">
      <c r="B584" s="21" t="str">
        <f t="shared" ca="1" si="67"/>
        <v/>
      </c>
      <c r="C584" s="22" t="str">
        <f ca="1">IF(B584="","",IF(LEFT(B584,2)="13",C583,IF(MONTH(B584)=1,C583*(1+PREMISSAS!$C$57),C583)))</f>
        <v/>
      </c>
      <c r="E584" s="18">
        <v>580</v>
      </c>
      <c r="F584" s="21" t="str">
        <f t="shared" ca="1" si="68"/>
        <v/>
      </c>
      <c r="G584" s="22">
        <f ca="1">IFERROR(VLOOKUP(F584,RESULTADOS!$O$5:$P$543,2,FALSE),VLOOKUP(F584,$B$5:$C$724,2,FALSE))</f>
        <v>0</v>
      </c>
      <c r="H584" s="4">
        <f ca="1">IF(F584&lt;PREMISSAS!$D$7,0,IFERROR(VLOOKUP(IF(LEFT(F584,2)="13",DATE(YEAR(F583),12,31),F584),IPCA!$A$3:$D$284,4,FALSE),1)*G584)</f>
        <v>0</v>
      </c>
      <c r="J584" s="21" t="str">
        <f t="shared" ca="1" si="63"/>
        <v/>
      </c>
      <c r="K584" s="4">
        <f t="shared" ca="1" si="64"/>
        <v>0</v>
      </c>
      <c r="M584" s="21" t="str">
        <f t="shared" ca="1" si="69"/>
        <v/>
      </c>
      <c r="N584" s="37">
        <f t="shared" ca="1" si="65"/>
        <v>0</v>
      </c>
      <c r="O584" s="4">
        <f ca="1">IFERROR(AVERAGEIF(N$5:$N584,"&gt;="&amp;_xlfn.PERCENTILE.EXC(N$5:$N584,0.2)),0)</f>
        <v>0</v>
      </c>
      <c r="Q584" s="21" t="str">
        <f t="shared" ca="1" si="66"/>
        <v/>
      </c>
      <c r="R584" s="4">
        <f ca="1">MIN(O584,PREMISSAS!$C$13)</f>
        <v>0</v>
      </c>
      <c r="S584" s="240"/>
      <c r="T584" s="240"/>
    </row>
    <row r="585" spans="2:20" x14ac:dyDescent="0.25">
      <c r="B585" s="21" t="str">
        <f t="shared" ca="1" si="67"/>
        <v/>
      </c>
      <c r="C585" s="22" t="str">
        <f ca="1">IF(B585="","",IF(LEFT(B585,2)="13",C584,IF(MONTH(B585)=1,C584*(1+PREMISSAS!$C$57),C584)))</f>
        <v/>
      </c>
      <c r="E585" s="18">
        <v>581</v>
      </c>
      <c r="F585" s="21" t="str">
        <f t="shared" ca="1" si="68"/>
        <v/>
      </c>
      <c r="G585" s="22">
        <f ca="1">IFERROR(VLOOKUP(F585,RESULTADOS!$O$5:$P$543,2,FALSE),VLOOKUP(F585,$B$5:$C$724,2,FALSE))</f>
        <v>0</v>
      </c>
      <c r="H585" s="4">
        <f ca="1">IF(F585&lt;PREMISSAS!$D$7,0,IFERROR(VLOOKUP(IF(LEFT(F585,2)="13",DATE(YEAR(F584),12,31),F585),IPCA!$A$3:$D$284,4,FALSE),1)*G585)</f>
        <v>0</v>
      </c>
      <c r="J585" s="21" t="str">
        <f t="shared" ca="1" si="63"/>
        <v/>
      </c>
      <c r="K585" s="4">
        <f t="shared" ca="1" si="64"/>
        <v>0</v>
      </c>
      <c r="M585" s="21" t="str">
        <f t="shared" ca="1" si="69"/>
        <v/>
      </c>
      <c r="N585" s="37">
        <f t="shared" ca="1" si="65"/>
        <v>0</v>
      </c>
      <c r="O585" s="4">
        <f ca="1">IFERROR(AVERAGEIF(N$5:$N585,"&gt;="&amp;_xlfn.PERCENTILE.EXC(N$5:$N585,0.2)),0)</f>
        <v>0</v>
      </c>
      <c r="Q585" s="21" t="str">
        <f t="shared" ca="1" si="66"/>
        <v/>
      </c>
      <c r="R585" s="4">
        <f ca="1">MIN(O585,PREMISSAS!$C$13)</f>
        <v>0</v>
      </c>
      <c r="S585" s="240"/>
      <c r="T585" s="240"/>
    </row>
    <row r="586" spans="2:20" x14ac:dyDescent="0.25">
      <c r="B586" s="21" t="str">
        <f t="shared" ca="1" si="67"/>
        <v/>
      </c>
      <c r="C586" s="22" t="str">
        <f ca="1">IF(B586="","",IF(LEFT(B586,2)="13",C585,IF(MONTH(B586)=1,C585*(1+PREMISSAS!$C$57),C585)))</f>
        <v/>
      </c>
      <c r="E586" s="18">
        <v>582</v>
      </c>
      <c r="F586" s="21" t="str">
        <f t="shared" ca="1" si="68"/>
        <v/>
      </c>
      <c r="G586" s="22">
        <f ca="1">IFERROR(VLOOKUP(F586,RESULTADOS!$O$5:$P$543,2,FALSE),VLOOKUP(F586,$B$5:$C$724,2,FALSE))</f>
        <v>0</v>
      </c>
      <c r="H586" s="4">
        <f ca="1">IF(F586&lt;PREMISSAS!$D$7,0,IFERROR(VLOOKUP(IF(LEFT(F586,2)="13",DATE(YEAR(F585),12,31),F586),IPCA!$A$3:$D$284,4,FALSE),1)*G586)</f>
        <v>0</v>
      </c>
      <c r="J586" s="21" t="str">
        <f t="shared" ca="1" si="63"/>
        <v/>
      </c>
      <c r="K586" s="4">
        <f t="shared" ca="1" si="64"/>
        <v>0</v>
      </c>
      <c r="M586" s="21" t="str">
        <f t="shared" ca="1" si="69"/>
        <v/>
      </c>
      <c r="N586" s="37">
        <f t="shared" ca="1" si="65"/>
        <v>0</v>
      </c>
      <c r="O586" s="4">
        <f ca="1">IFERROR(AVERAGEIF(N$5:$N586,"&gt;="&amp;_xlfn.PERCENTILE.EXC(N$5:$N586,0.2)),0)</f>
        <v>0</v>
      </c>
      <c r="Q586" s="21" t="str">
        <f t="shared" ca="1" si="66"/>
        <v/>
      </c>
      <c r="R586" s="4">
        <f ca="1">MIN(O586,PREMISSAS!$C$13)</f>
        <v>0</v>
      </c>
      <c r="S586" s="240"/>
      <c r="T586" s="240"/>
    </row>
    <row r="587" spans="2:20" x14ac:dyDescent="0.25">
      <c r="B587" s="21" t="str">
        <f t="shared" ca="1" si="67"/>
        <v/>
      </c>
      <c r="C587" s="22" t="str">
        <f ca="1">IF(B587="","",IF(LEFT(B587,2)="13",C586,IF(MONTH(B587)=1,C586*(1+PREMISSAS!$C$57),C586)))</f>
        <v/>
      </c>
      <c r="E587" s="18">
        <v>583</v>
      </c>
      <c r="F587" s="21" t="str">
        <f t="shared" ca="1" si="68"/>
        <v/>
      </c>
      <c r="G587" s="22">
        <f ca="1">IFERROR(VLOOKUP(F587,RESULTADOS!$O$5:$P$543,2,FALSE),VLOOKUP(F587,$B$5:$C$724,2,FALSE))</f>
        <v>0</v>
      </c>
      <c r="H587" s="4">
        <f ca="1">IF(F587&lt;PREMISSAS!$D$7,0,IFERROR(VLOOKUP(IF(LEFT(F587,2)="13",DATE(YEAR(F586),12,31),F587),IPCA!$A$3:$D$284,4,FALSE),1)*G587)</f>
        <v>0</v>
      </c>
      <c r="J587" s="21" t="str">
        <f t="shared" ca="1" si="63"/>
        <v/>
      </c>
      <c r="K587" s="4">
        <f t="shared" ca="1" si="64"/>
        <v>0</v>
      </c>
      <c r="M587" s="21" t="str">
        <f t="shared" ca="1" si="69"/>
        <v/>
      </c>
      <c r="N587" s="37">
        <f t="shared" ca="1" si="65"/>
        <v>0</v>
      </c>
      <c r="O587" s="4">
        <f ca="1">IFERROR(AVERAGEIF(N$5:$N587,"&gt;="&amp;_xlfn.PERCENTILE.EXC(N$5:$N587,0.2)),0)</f>
        <v>0</v>
      </c>
      <c r="Q587" s="21" t="str">
        <f t="shared" ca="1" si="66"/>
        <v/>
      </c>
      <c r="R587" s="4">
        <f ca="1">MIN(O587,PREMISSAS!$C$13)</f>
        <v>0</v>
      </c>
      <c r="S587" s="240"/>
      <c r="T587" s="240"/>
    </row>
    <row r="588" spans="2:20" x14ac:dyDescent="0.25">
      <c r="B588" s="21" t="str">
        <f t="shared" ca="1" si="67"/>
        <v/>
      </c>
      <c r="C588" s="22" t="str">
        <f ca="1">IF(B588="","",IF(LEFT(B588,2)="13",C587,IF(MONTH(B588)=1,C587*(1+PREMISSAS!$C$57),C587)))</f>
        <v/>
      </c>
      <c r="E588" s="18">
        <v>584</v>
      </c>
      <c r="F588" s="21" t="str">
        <f t="shared" ca="1" si="68"/>
        <v/>
      </c>
      <c r="G588" s="22">
        <f ca="1">IFERROR(VLOOKUP(F588,RESULTADOS!$O$5:$P$543,2,FALSE),VLOOKUP(F588,$B$5:$C$724,2,FALSE))</f>
        <v>0</v>
      </c>
      <c r="H588" s="4">
        <f ca="1">IF(F588&lt;PREMISSAS!$D$7,0,IFERROR(VLOOKUP(IF(LEFT(F588,2)="13",DATE(YEAR(F587),12,31),F588),IPCA!$A$3:$D$284,4,FALSE),1)*G588)</f>
        <v>0</v>
      </c>
      <c r="J588" s="21" t="str">
        <f t="shared" ca="1" si="63"/>
        <v/>
      </c>
      <c r="K588" s="4">
        <f t="shared" ca="1" si="64"/>
        <v>0</v>
      </c>
      <c r="M588" s="21" t="str">
        <f t="shared" ca="1" si="69"/>
        <v/>
      </c>
      <c r="N588" s="37">
        <f t="shared" ca="1" si="65"/>
        <v>0</v>
      </c>
      <c r="O588" s="4">
        <f ca="1">IFERROR(AVERAGEIF(N$5:$N588,"&gt;="&amp;_xlfn.PERCENTILE.EXC(N$5:$N588,0.2)),0)</f>
        <v>0</v>
      </c>
      <c r="Q588" s="21" t="str">
        <f t="shared" ca="1" si="66"/>
        <v/>
      </c>
      <c r="R588" s="4">
        <f ca="1">MIN(O588,PREMISSAS!$C$13)</f>
        <v>0</v>
      </c>
      <c r="S588" s="240"/>
      <c r="T588" s="240"/>
    </row>
    <row r="589" spans="2:20" x14ac:dyDescent="0.25">
      <c r="B589" s="21" t="str">
        <f t="shared" ca="1" si="67"/>
        <v/>
      </c>
      <c r="C589" s="22" t="str">
        <f ca="1">IF(B589="","",IF(LEFT(B589,2)="13",C588,IF(MONTH(B589)=1,C588*(1+PREMISSAS!$C$57),C588)))</f>
        <v/>
      </c>
      <c r="E589" s="18">
        <v>585</v>
      </c>
      <c r="F589" s="21" t="str">
        <f t="shared" ca="1" si="68"/>
        <v/>
      </c>
      <c r="G589" s="22">
        <f ca="1">IFERROR(VLOOKUP(F589,RESULTADOS!$O$5:$P$543,2,FALSE),VLOOKUP(F589,$B$5:$C$724,2,FALSE))</f>
        <v>0</v>
      </c>
      <c r="H589" s="4">
        <f ca="1">IF(F589&lt;PREMISSAS!$D$7,0,IFERROR(VLOOKUP(IF(LEFT(F589,2)="13",DATE(YEAR(F588),12,31),F589),IPCA!$A$3:$D$284,4,FALSE),1)*G589)</f>
        <v>0</v>
      </c>
      <c r="J589" s="21" t="str">
        <f t="shared" ca="1" si="63"/>
        <v/>
      </c>
      <c r="K589" s="4">
        <f t="shared" ca="1" si="64"/>
        <v>0</v>
      </c>
      <c r="M589" s="21" t="str">
        <f t="shared" ca="1" si="69"/>
        <v/>
      </c>
      <c r="N589" s="37">
        <f t="shared" ca="1" si="65"/>
        <v>0</v>
      </c>
      <c r="O589" s="4">
        <f ca="1">IFERROR(AVERAGEIF(N$5:$N589,"&gt;="&amp;_xlfn.PERCENTILE.EXC(N$5:$N589,0.2)),0)</f>
        <v>0</v>
      </c>
      <c r="Q589" s="21" t="str">
        <f t="shared" ca="1" si="66"/>
        <v/>
      </c>
      <c r="R589" s="4">
        <f ca="1">MIN(O589,PREMISSAS!$C$13)</f>
        <v>0</v>
      </c>
      <c r="S589" s="240"/>
      <c r="T589" s="240"/>
    </row>
    <row r="590" spans="2:20" x14ac:dyDescent="0.25">
      <c r="B590" s="21" t="str">
        <f t="shared" ca="1" si="67"/>
        <v/>
      </c>
      <c r="C590" s="22" t="str">
        <f ca="1">IF(B590="","",IF(LEFT(B590,2)="13",C589,IF(MONTH(B590)=1,C589*(1+PREMISSAS!$C$57),C589)))</f>
        <v/>
      </c>
      <c r="E590" s="18">
        <v>586</v>
      </c>
      <c r="F590" s="21" t="str">
        <f t="shared" ca="1" si="68"/>
        <v/>
      </c>
      <c r="G590" s="22">
        <f ca="1">IFERROR(VLOOKUP(F590,RESULTADOS!$O$5:$P$543,2,FALSE),VLOOKUP(F590,$B$5:$C$724,2,FALSE))</f>
        <v>0</v>
      </c>
      <c r="H590" s="4">
        <f ca="1">IF(F590&lt;PREMISSAS!$D$7,0,IFERROR(VLOOKUP(IF(LEFT(F590,2)="13",DATE(YEAR(F589),12,31),F590),IPCA!$A$3:$D$284,4,FALSE),1)*G590)</f>
        <v>0</v>
      </c>
      <c r="J590" s="21" t="str">
        <f t="shared" ca="1" si="63"/>
        <v/>
      </c>
      <c r="K590" s="4">
        <f t="shared" ca="1" si="64"/>
        <v>0</v>
      </c>
      <c r="M590" s="21" t="str">
        <f t="shared" ca="1" si="69"/>
        <v/>
      </c>
      <c r="N590" s="37">
        <f t="shared" ca="1" si="65"/>
        <v>0</v>
      </c>
      <c r="O590" s="4">
        <f ca="1">IFERROR(AVERAGEIF(N$5:$N590,"&gt;="&amp;_xlfn.PERCENTILE.EXC(N$5:$N590,0.2)),0)</f>
        <v>0</v>
      </c>
      <c r="Q590" s="21" t="str">
        <f t="shared" ca="1" si="66"/>
        <v/>
      </c>
      <c r="R590" s="4">
        <f ca="1">MIN(O590,PREMISSAS!$C$13)</f>
        <v>0</v>
      </c>
      <c r="S590" s="240"/>
      <c r="T590" s="240"/>
    </row>
    <row r="591" spans="2:20" x14ac:dyDescent="0.25">
      <c r="B591" s="21" t="str">
        <f t="shared" ca="1" si="67"/>
        <v/>
      </c>
      <c r="C591" s="22" t="str">
        <f ca="1">IF(B591="","",IF(LEFT(B591,2)="13",C590,IF(MONTH(B591)=1,C590*(1+PREMISSAS!$C$57),C590)))</f>
        <v/>
      </c>
      <c r="E591" s="18">
        <v>587</v>
      </c>
      <c r="F591" s="21" t="str">
        <f t="shared" ca="1" si="68"/>
        <v/>
      </c>
      <c r="G591" s="22">
        <f ca="1">IFERROR(VLOOKUP(F591,RESULTADOS!$O$5:$P$543,2,FALSE),VLOOKUP(F591,$B$5:$C$724,2,FALSE))</f>
        <v>0</v>
      </c>
      <c r="H591" s="4">
        <f ca="1">IF(F591&lt;PREMISSAS!$D$7,0,IFERROR(VLOOKUP(IF(LEFT(F591,2)="13",DATE(YEAR(F590),12,31),F591),IPCA!$A$3:$D$284,4,FALSE),1)*G591)</f>
        <v>0</v>
      </c>
      <c r="J591" s="21" t="str">
        <f t="shared" ca="1" si="63"/>
        <v/>
      </c>
      <c r="K591" s="4">
        <f t="shared" ca="1" si="64"/>
        <v>0</v>
      </c>
      <c r="M591" s="21" t="str">
        <f t="shared" ca="1" si="69"/>
        <v/>
      </c>
      <c r="N591" s="37">
        <f t="shared" ca="1" si="65"/>
        <v>0</v>
      </c>
      <c r="O591" s="4">
        <f ca="1">IFERROR(AVERAGEIF(N$5:$N591,"&gt;="&amp;_xlfn.PERCENTILE.EXC(N$5:$N591,0.2)),0)</f>
        <v>0</v>
      </c>
      <c r="Q591" s="21" t="str">
        <f t="shared" ca="1" si="66"/>
        <v/>
      </c>
      <c r="R591" s="4">
        <f ca="1">MIN(O591,PREMISSAS!$C$13)</f>
        <v>0</v>
      </c>
      <c r="S591" s="240"/>
      <c r="T591" s="240"/>
    </row>
    <row r="592" spans="2:20" x14ac:dyDescent="0.25">
      <c r="B592" s="21" t="str">
        <f t="shared" ca="1" si="67"/>
        <v/>
      </c>
      <c r="C592" s="22" t="str">
        <f ca="1">IF(B592="","",IF(LEFT(B592,2)="13",C591,IF(MONTH(B592)=1,C591*(1+PREMISSAS!$C$57),C591)))</f>
        <v/>
      </c>
      <c r="E592" s="18">
        <v>588</v>
      </c>
      <c r="F592" s="21" t="str">
        <f t="shared" ca="1" si="68"/>
        <v/>
      </c>
      <c r="G592" s="22">
        <f ca="1">IFERROR(VLOOKUP(F592,RESULTADOS!$O$5:$P$543,2,FALSE),VLOOKUP(F592,$B$5:$C$724,2,FALSE))</f>
        <v>0</v>
      </c>
      <c r="H592" s="4">
        <f ca="1">IF(F592&lt;PREMISSAS!$D$7,0,IFERROR(VLOOKUP(IF(LEFT(F592,2)="13",DATE(YEAR(F591),12,31),F592),IPCA!$A$3:$D$284,4,FALSE),1)*G592)</f>
        <v>0</v>
      </c>
      <c r="J592" s="21" t="str">
        <f t="shared" ref="J592:J628" ca="1" si="70">F592</f>
        <v/>
      </c>
      <c r="K592" s="4">
        <f t="shared" ref="K592:K628" ca="1" si="71">G592</f>
        <v>0</v>
      </c>
      <c r="M592" s="21" t="str">
        <f t="shared" ca="1" si="69"/>
        <v/>
      </c>
      <c r="N592" s="37">
        <f t="shared" ca="1" si="65"/>
        <v>0</v>
      </c>
      <c r="O592" s="4">
        <f ca="1">IFERROR(AVERAGEIF(N$5:$N592,"&gt;="&amp;_xlfn.PERCENTILE.EXC(N$5:$N592,0.2)),0)</f>
        <v>0</v>
      </c>
      <c r="Q592" s="21" t="str">
        <f t="shared" ca="1" si="66"/>
        <v/>
      </c>
      <c r="R592" s="4">
        <f ca="1">MIN(O592,PREMISSAS!$C$13)</f>
        <v>0</v>
      </c>
      <c r="S592" s="240"/>
      <c r="T592" s="240"/>
    </row>
    <row r="593" spans="2:20" x14ac:dyDescent="0.25">
      <c r="B593" s="21" t="str">
        <f t="shared" ca="1" si="67"/>
        <v/>
      </c>
      <c r="C593" s="22" t="str">
        <f ca="1">IF(B593="","",IF(LEFT(B593,2)="13",C592,IF(MONTH(B593)=1,C592*(1+PREMISSAS!$C$57),C592)))</f>
        <v/>
      </c>
      <c r="E593" s="18">
        <v>589</v>
      </c>
      <c r="F593" s="21" t="str">
        <f t="shared" ca="1" si="68"/>
        <v/>
      </c>
      <c r="G593" s="22">
        <f ca="1">IFERROR(VLOOKUP(F593,RESULTADOS!$O$5:$P$543,2,FALSE),VLOOKUP(F593,$B$5:$C$724,2,FALSE))</f>
        <v>0</v>
      </c>
      <c r="H593" s="4">
        <f ca="1">IF(F593&lt;PREMISSAS!$D$7,0,IFERROR(VLOOKUP(IF(LEFT(F593,2)="13",DATE(YEAR(F592),12,31),F593),IPCA!$A$3:$D$284,4,FALSE),1)*G593)</f>
        <v>0</v>
      </c>
      <c r="J593" s="21" t="str">
        <f t="shared" ca="1" si="70"/>
        <v/>
      </c>
      <c r="K593" s="4">
        <f t="shared" ca="1" si="71"/>
        <v>0</v>
      </c>
      <c r="M593" s="21" t="str">
        <f t="shared" ca="1" si="69"/>
        <v/>
      </c>
      <c r="N593" s="37">
        <f t="shared" ca="1" si="65"/>
        <v>0</v>
      </c>
      <c r="O593" s="4">
        <f ca="1">IFERROR(AVERAGEIF(N$5:$N593,"&gt;="&amp;_xlfn.PERCENTILE.EXC(N$5:$N593,0.2)),0)</f>
        <v>0</v>
      </c>
      <c r="Q593" s="21" t="str">
        <f t="shared" ca="1" si="66"/>
        <v/>
      </c>
      <c r="R593" s="4">
        <f ca="1">MIN(O593,PREMISSAS!$C$13)</f>
        <v>0</v>
      </c>
      <c r="S593" s="240"/>
      <c r="T593" s="240"/>
    </row>
    <row r="594" spans="2:20" x14ac:dyDescent="0.25">
      <c r="B594" s="21" t="str">
        <f t="shared" ca="1" si="67"/>
        <v/>
      </c>
      <c r="C594" s="22" t="str">
        <f ca="1">IF(B594="","",IF(LEFT(B594,2)="13",C593,IF(MONTH(B594)=1,C593*(1+PREMISSAS!$C$57),C593)))</f>
        <v/>
      </c>
      <c r="E594" s="18">
        <v>590</v>
      </c>
      <c r="F594" s="21" t="str">
        <f t="shared" ca="1" si="68"/>
        <v/>
      </c>
      <c r="G594" s="22">
        <f ca="1">IFERROR(VLOOKUP(F594,RESULTADOS!$O$5:$P$543,2,FALSE),VLOOKUP(F594,$B$5:$C$724,2,FALSE))</f>
        <v>0</v>
      </c>
      <c r="H594" s="4">
        <f ca="1">IF(F594&lt;PREMISSAS!$D$7,0,IFERROR(VLOOKUP(IF(LEFT(F594,2)="13",DATE(YEAR(F593),12,31),F594),IPCA!$A$3:$D$284,4,FALSE),1)*G594)</f>
        <v>0</v>
      </c>
      <c r="J594" s="21" t="str">
        <f t="shared" ca="1" si="70"/>
        <v/>
      </c>
      <c r="K594" s="4">
        <f t="shared" ca="1" si="71"/>
        <v>0</v>
      </c>
      <c r="M594" s="21" t="str">
        <f t="shared" ca="1" si="69"/>
        <v/>
      </c>
      <c r="N594" s="37">
        <f t="shared" ca="1" si="65"/>
        <v>0</v>
      </c>
      <c r="O594" s="4">
        <f ca="1">IFERROR(AVERAGEIF(N$5:$N594,"&gt;="&amp;_xlfn.PERCENTILE.EXC(N$5:$N594,0.2)),0)</f>
        <v>0</v>
      </c>
      <c r="Q594" s="21" t="str">
        <f t="shared" ca="1" si="66"/>
        <v/>
      </c>
      <c r="R594" s="4">
        <f ca="1">MIN(O594,PREMISSAS!$C$13)</f>
        <v>0</v>
      </c>
      <c r="S594" s="240"/>
      <c r="T594" s="240"/>
    </row>
    <row r="595" spans="2:20" x14ac:dyDescent="0.25">
      <c r="B595" s="21" t="str">
        <f t="shared" ca="1" si="67"/>
        <v/>
      </c>
      <c r="C595" s="22" t="str">
        <f ca="1">IF(B595="","",IF(LEFT(B595,2)="13",C594,IF(MONTH(B595)=1,C594*(1+PREMISSAS!$C$57),C594)))</f>
        <v/>
      </c>
      <c r="E595" s="18">
        <v>591</v>
      </c>
      <c r="F595" s="21" t="str">
        <f t="shared" ca="1" si="68"/>
        <v/>
      </c>
      <c r="G595" s="22">
        <f ca="1">IFERROR(VLOOKUP(F595,RESULTADOS!$O$5:$P$543,2,FALSE),VLOOKUP(F595,$B$5:$C$724,2,FALSE))</f>
        <v>0</v>
      </c>
      <c r="H595" s="4">
        <f ca="1">IF(F595&lt;PREMISSAS!$D$7,0,IFERROR(VLOOKUP(IF(LEFT(F595,2)="13",DATE(YEAR(F594),12,31),F595),IPCA!$A$3:$D$284,4,FALSE),1)*G595)</f>
        <v>0</v>
      </c>
      <c r="J595" s="21" t="str">
        <f t="shared" ca="1" si="70"/>
        <v/>
      </c>
      <c r="K595" s="4">
        <f t="shared" ca="1" si="71"/>
        <v>0</v>
      </c>
      <c r="M595" s="21" t="str">
        <f t="shared" ca="1" si="69"/>
        <v/>
      </c>
      <c r="N595" s="37">
        <f t="shared" ca="1" si="65"/>
        <v>0</v>
      </c>
      <c r="O595" s="4">
        <f ca="1">IFERROR(AVERAGEIF(N$5:$N595,"&gt;="&amp;_xlfn.PERCENTILE.EXC(N$5:$N595,0.2)),0)</f>
        <v>0</v>
      </c>
      <c r="Q595" s="21" t="str">
        <f t="shared" ca="1" si="66"/>
        <v/>
      </c>
      <c r="R595" s="4">
        <f ca="1">MIN(O595,PREMISSAS!$C$13)</f>
        <v>0</v>
      </c>
      <c r="S595" s="240"/>
      <c r="T595" s="240"/>
    </row>
    <row r="596" spans="2:20" x14ac:dyDescent="0.25">
      <c r="B596" s="21" t="str">
        <f t="shared" ca="1" si="67"/>
        <v/>
      </c>
      <c r="C596" s="22" t="str">
        <f ca="1">IF(B596="","",IF(LEFT(B596,2)="13",C595,IF(MONTH(B596)=1,C595*(1+PREMISSAS!$C$57),C595)))</f>
        <v/>
      </c>
      <c r="E596" s="18">
        <v>592</v>
      </c>
      <c r="F596" s="21" t="str">
        <f t="shared" ca="1" si="68"/>
        <v/>
      </c>
      <c r="G596" s="22">
        <f ca="1">IFERROR(VLOOKUP(F596,RESULTADOS!$O$5:$P$543,2,FALSE),VLOOKUP(F596,$B$5:$C$724,2,FALSE))</f>
        <v>0</v>
      </c>
      <c r="H596" s="4">
        <f ca="1">IF(F596&lt;PREMISSAS!$D$7,0,IFERROR(VLOOKUP(IF(LEFT(F596,2)="13",DATE(YEAR(F595),12,31),F596),IPCA!$A$3:$D$284,4,FALSE),1)*G596)</f>
        <v>0</v>
      </c>
      <c r="J596" s="21" t="str">
        <f t="shared" ca="1" si="70"/>
        <v/>
      </c>
      <c r="K596" s="4">
        <f t="shared" ca="1" si="71"/>
        <v>0</v>
      </c>
      <c r="M596" s="21" t="str">
        <f t="shared" ca="1" si="69"/>
        <v/>
      </c>
      <c r="N596" s="37">
        <f t="shared" ca="1" si="65"/>
        <v>0</v>
      </c>
      <c r="O596" s="4">
        <f ca="1">IFERROR(AVERAGEIF(N$5:$N596,"&gt;="&amp;_xlfn.PERCENTILE.EXC(N$5:$N596,0.2)),0)</f>
        <v>0</v>
      </c>
      <c r="Q596" s="21" t="str">
        <f t="shared" ca="1" si="66"/>
        <v/>
      </c>
      <c r="R596" s="4">
        <f ca="1">MIN(O596,PREMISSAS!$C$13)</f>
        <v>0</v>
      </c>
      <c r="S596" s="240"/>
      <c r="T596" s="240"/>
    </row>
    <row r="597" spans="2:20" x14ac:dyDescent="0.25">
      <c r="B597" s="21" t="str">
        <f t="shared" ca="1" si="67"/>
        <v/>
      </c>
      <c r="C597" s="22" t="str">
        <f ca="1">IF(B597="","",IF(LEFT(B597,2)="13",C596,IF(MONTH(B597)=1,C596*(1+PREMISSAS!$C$57),C596)))</f>
        <v/>
      </c>
      <c r="E597" s="18">
        <v>593</v>
      </c>
      <c r="F597" s="21" t="str">
        <f t="shared" ca="1" si="68"/>
        <v/>
      </c>
      <c r="G597" s="22">
        <f ca="1">IFERROR(VLOOKUP(F597,RESULTADOS!$O$5:$P$543,2,FALSE),VLOOKUP(F597,$B$5:$C$724,2,FALSE))</f>
        <v>0</v>
      </c>
      <c r="H597" s="4">
        <f ca="1">IF(F597&lt;PREMISSAS!$D$7,0,IFERROR(VLOOKUP(IF(LEFT(F597,2)="13",DATE(YEAR(F596),12,31),F597),IPCA!$A$3:$D$284,4,FALSE),1)*G597)</f>
        <v>0</v>
      </c>
      <c r="J597" s="21" t="str">
        <f t="shared" ca="1" si="70"/>
        <v/>
      </c>
      <c r="K597" s="4">
        <f t="shared" ca="1" si="71"/>
        <v>0</v>
      </c>
      <c r="M597" s="21" t="str">
        <f t="shared" ca="1" si="69"/>
        <v/>
      </c>
      <c r="N597" s="37">
        <f t="shared" ca="1" si="65"/>
        <v>0</v>
      </c>
      <c r="O597" s="4">
        <f ca="1">IFERROR(AVERAGEIF(N$5:$N597,"&gt;="&amp;_xlfn.PERCENTILE.EXC(N$5:$N597,0.2)),0)</f>
        <v>0</v>
      </c>
      <c r="Q597" s="21" t="str">
        <f t="shared" ca="1" si="66"/>
        <v/>
      </c>
      <c r="R597" s="4">
        <f ca="1">MIN(O597,PREMISSAS!$C$13)</f>
        <v>0</v>
      </c>
      <c r="S597" s="240"/>
      <c r="T597" s="240"/>
    </row>
    <row r="598" spans="2:20" x14ac:dyDescent="0.25">
      <c r="B598" s="21" t="str">
        <f t="shared" ca="1" si="67"/>
        <v/>
      </c>
      <c r="C598" s="22" t="str">
        <f ca="1">IF(B598="","",IF(LEFT(B598,2)="13",C597,IF(MONTH(B598)=1,C597*(1+PREMISSAS!$C$57),C597)))</f>
        <v/>
      </c>
      <c r="E598" s="18">
        <v>594</v>
      </c>
      <c r="F598" s="21" t="str">
        <f t="shared" ca="1" si="68"/>
        <v/>
      </c>
      <c r="G598" s="22">
        <f ca="1">IFERROR(VLOOKUP(F598,RESULTADOS!$O$5:$P$543,2,FALSE),VLOOKUP(F598,$B$5:$C$724,2,FALSE))</f>
        <v>0</v>
      </c>
      <c r="H598" s="4">
        <f ca="1">IF(F598&lt;PREMISSAS!$D$7,0,IFERROR(VLOOKUP(IF(LEFT(F598,2)="13",DATE(YEAR(F597),12,31),F598),IPCA!$A$3:$D$284,4,FALSE),1)*G598)</f>
        <v>0</v>
      </c>
      <c r="J598" s="21" t="str">
        <f t="shared" ca="1" si="70"/>
        <v/>
      </c>
      <c r="K598" s="4">
        <f t="shared" ca="1" si="71"/>
        <v>0</v>
      </c>
      <c r="M598" s="21" t="str">
        <f t="shared" ca="1" si="69"/>
        <v/>
      </c>
      <c r="N598" s="37">
        <f t="shared" ca="1" si="65"/>
        <v>0</v>
      </c>
      <c r="O598" s="4">
        <f ca="1">IFERROR(AVERAGEIF(N$5:$N598,"&gt;="&amp;_xlfn.PERCENTILE.EXC(N$5:$N598,0.2)),0)</f>
        <v>0</v>
      </c>
      <c r="Q598" s="21" t="str">
        <f t="shared" ca="1" si="66"/>
        <v/>
      </c>
      <c r="R598" s="4">
        <f ca="1">MIN(O598,PREMISSAS!$C$13)</f>
        <v>0</v>
      </c>
      <c r="S598" s="240"/>
      <c r="T598" s="240"/>
    </row>
    <row r="599" spans="2:20" x14ac:dyDescent="0.25">
      <c r="B599" s="21" t="str">
        <f t="shared" ca="1" si="67"/>
        <v/>
      </c>
      <c r="C599" s="22" t="str">
        <f ca="1">IF(B599="","",IF(LEFT(B599,2)="13",C598,IF(MONTH(B599)=1,C598*(1+PREMISSAS!$C$57),C598)))</f>
        <v/>
      </c>
      <c r="E599" s="18">
        <v>595</v>
      </c>
      <c r="F599" s="21" t="str">
        <f t="shared" ca="1" si="68"/>
        <v/>
      </c>
      <c r="G599" s="22">
        <f ca="1">IFERROR(VLOOKUP(F599,RESULTADOS!$O$5:$P$543,2,FALSE),VLOOKUP(F599,$B$5:$C$724,2,FALSE))</f>
        <v>0</v>
      </c>
      <c r="H599" s="4">
        <f ca="1">IF(F599&lt;PREMISSAS!$D$7,0,IFERROR(VLOOKUP(IF(LEFT(F599,2)="13",DATE(YEAR(F598),12,31),F599),IPCA!$A$3:$D$284,4,FALSE),1)*G599)</f>
        <v>0</v>
      </c>
      <c r="J599" s="21" t="str">
        <f t="shared" ca="1" si="70"/>
        <v/>
      </c>
      <c r="K599" s="4">
        <f t="shared" ca="1" si="71"/>
        <v>0</v>
      </c>
      <c r="M599" s="21" t="str">
        <f t="shared" ca="1" si="69"/>
        <v/>
      </c>
      <c r="N599" s="37">
        <f t="shared" ca="1" si="65"/>
        <v>0</v>
      </c>
      <c r="O599" s="4">
        <f ca="1">IFERROR(AVERAGEIF(N$5:$N599,"&gt;="&amp;_xlfn.PERCENTILE.EXC(N$5:$N599,0.2)),0)</f>
        <v>0</v>
      </c>
      <c r="Q599" s="21" t="str">
        <f t="shared" ca="1" si="66"/>
        <v/>
      </c>
      <c r="R599" s="4">
        <f ca="1">MIN(O599,PREMISSAS!$C$13)</f>
        <v>0</v>
      </c>
      <c r="S599" s="240"/>
      <c r="T599" s="240"/>
    </row>
    <row r="600" spans="2:20" x14ac:dyDescent="0.25">
      <c r="B600" s="21" t="str">
        <f t="shared" ca="1" si="67"/>
        <v/>
      </c>
      <c r="C600" s="22" t="str">
        <f ca="1">IF(B600="","",IF(LEFT(B600,2)="13",C599,IF(MONTH(B600)=1,C599*(1+PREMISSAS!$C$57),C599)))</f>
        <v/>
      </c>
      <c r="E600" s="18">
        <v>596</v>
      </c>
      <c r="F600" s="21" t="str">
        <f t="shared" ca="1" si="68"/>
        <v/>
      </c>
      <c r="G600" s="22">
        <f ca="1">IFERROR(VLOOKUP(F600,RESULTADOS!$O$5:$P$543,2,FALSE),VLOOKUP(F600,$B$5:$C$724,2,FALSE))</f>
        <v>0</v>
      </c>
      <c r="H600" s="4">
        <f ca="1">IF(F600&lt;PREMISSAS!$D$7,0,IFERROR(VLOOKUP(IF(LEFT(F600,2)="13",DATE(YEAR(F599),12,31),F600),IPCA!$A$3:$D$284,4,FALSE),1)*G600)</f>
        <v>0</v>
      </c>
      <c r="J600" s="21" t="str">
        <f t="shared" ca="1" si="70"/>
        <v/>
      </c>
      <c r="K600" s="4">
        <f t="shared" ca="1" si="71"/>
        <v>0</v>
      </c>
      <c r="M600" s="21" t="str">
        <f t="shared" ca="1" si="69"/>
        <v/>
      </c>
      <c r="N600" s="37">
        <f t="shared" ca="1" si="65"/>
        <v>0</v>
      </c>
      <c r="O600" s="4">
        <f ca="1">IFERROR(AVERAGEIF(N$5:$N600,"&gt;="&amp;_xlfn.PERCENTILE.EXC(N$5:$N600,0.2)),0)</f>
        <v>0</v>
      </c>
      <c r="Q600" s="21" t="str">
        <f t="shared" ca="1" si="66"/>
        <v/>
      </c>
      <c r="R600" s="4">
        <f ca="1">MIN(O600,PREMISSAS!$C$13)</f>
        <v>0</v>
      </c>
      <c r="S600" s="240"/>
      <c r="T600" s="240"/>
    </row>
    <row r="601" spans="2:20" x14ac:dyDescent="0.25">
      <c r="B601" s="21" t="str">
        <f t="shared" ca="1" si="67"/>
        <v/>
      </c>
      <c r="C601" s="22" t="str">
        <f ca="1">IF(B601="","",IF(LEFT(B601,2)="13",C600,IF(MONTH(B601)=1,C600*(1+PREMISSAS!$C$57),C600)))</f>
        <v/>
      </c>
      <c r="E601" s="18">
        <v>597</v>
      </c>
      <c r="F601" s="21" t="str">
        <f t="shared" ca="1" si="68"/>
        <v/>
      </c>
      <c r="G601" s="22">
        <f ca="1">IFERROR(VLOOKUP(F601,RESULTADOS!$O$5:$P$543,2,FALSE),VLOOKUP(F601,$B$5:$C$724,2,FALSE))</f>
        <v>0</v>
      </c>
      <c r="H601" s="4">
        <f ca="1">IF(F601&lt;PREMISSAS!$D$7,0,IFERROR(VLOOKUP(IF(LEFT(F601,2)="13",DATE(YEAR(F600),12,31),F601),IPCA!$A$3:$D$284,4,FALSE),1)*G601)</f>
        <v>0</v>
      </c>
      <c r="J601" s="21" t="str">
        <f t="shared" ca="1" si="70"/>
        <v/>
      </c>
      <c r="K601" s="4">
        <f t="shared" ca="1" si="71"/>
        <v>0</v>
      </c>
      <c r="M601" s="21" t="str">
        <f t="shared" ca="1" si="69"/>
        <v/>
      </c>
      <c r="N601" s="37">
        <f t="shared" ca="1" si="65"/>
        <v>0</v>
      </c>
      <c r="O601" s="4">
        <f ca="1">IFERROR(AVERAGEIF(N$5:$N601,"&gt;="&amp;_xlfn.PERCENTILE.EXC(N$5:$N601,0.2)),0)</f>
        <v>0</v>
      </c>
      <c r="Q601" s="21" t="str">
        <f t="shared" ca="1" si="66"/>
        <v/>
      </c>
      <c r="R601" s="4">
        <f ca="1">MIN(O601,PREMISSAS!$C$13)</f>
        <v>0</v>
      </c>
      <c r="S601" s="240"/>
      <c r="T601" s="240"/>
    </row>
    <row r="602" spans="2:20" x14ac:dyDescent="0.25">
      <c r="B602" s="21" t="str">
        <f t="shared" ca="1" si="67"/>
        <v/>
      </c>
      <c r="C602" s="22" t="str">
        <f ca="1">IF(B602="","",IF(LEFT(B602,2)="13",C601,IF(MONTH(B602)=1,C601*(1+PREMISSAS!$C$57),C601)))</f>
        <v/>
      </c>
      <c r="E602" s="18">
        <v>598</v>
      </c>
      <c r="F602" s="21" t="str">
        <f t="shared" ca="1" si="68"/>
        <v/>
      </c>
      <c r="G602" s="22">
        <f ca="1">IFERROR(VLOOKUP(F602,RESULTADOS!$O$5:$P$543,2,FALSE),VLOOKUP(F602,$B$5:$C$724,2,FALSE))</f>
        <v>0</v>
      </c>
      <c r="H602" s="4">
        <f ca="1">IF(F602&lt;PREMISSAS!$D$7,0,IFERROR(VLOOKUP(IF(LEFT(F602,2)="13",DATE(YEAR(F601),12,31),F602),IPCA!$A$3:$D$284,4,FALSE),1)*G602)</f>
        <v>0</v>
      </c>
      <c r="J602" s="21" t="str">
        <f t="shared" ca="1" si="70"/>
        <v/>
      </c>
      <c r="K602" s="4">
        <f t="shared" ca="1" si="71"/>
        <v>0</v>
      </c>
      <c r="M602" s="21" t="str">
        <f t="shared" ca="1" si="69"/>
        <v/>
      </c>
      <c r="N602" s="37">
        <f t="shared" ca="1" si="65"/>
        <v>0</v>
      </c>
      <c r="O602" s="4">
        <f ca="1">IFERROR(AVERAGEIF(N$5:$N602,"&gt;="&amp;_xlfn.PERCENTILE.EXC(N$5:$N602,0.2)),0)</f>
        <v>0</v>
      </c>
      <c r="Q602" s="21" t="str">
        <f t="shared" ca="1" si="66"/>
        <v/>
      </c>
      <c r="R602" s="4">
        <f ca="1">MIN(O602,PREMISSAS!$C$13)</f>
        <v>0</v>
      </c>
      <c r="S602" s="240"/>
      <c r="T602" s="240"/>
    </row>
    <row r="603" spans="2:20" x14ac:dyDescent="0.25">
      <c r="B603" s="21" t="str">
        <f t="shared" ca="1" si="67"/>
        <v/>
      </c>
      <c r="C603" s="22" t="str">
        <f ca="1">IF(B603="","",IF(LEFT(B603,2)="13",C602,IF(MONTH(B603)=1,C602*(1+PREMISSAS!$C$57),C602)))</f>
        <v/>
      </c>
      <c r="E603" s="18">
        <v>599</v>
      </c>
      <c r="F603" s="21" t="str">
        <f t="shared" ca="1" si="68"/>
        <v/>
      </c>
      <c r="G603" s="22">
        <f ca="1">IFERROR(VLOOKUP(F603,RESULTADOS!$O$5:$P$543,2,FALSE),VLOOKUP(F603,$B$5:$C$724,2,FALSE))</f>
        <v>0</v>
      </c>
      <c r="H603" s="4">
        <f ca="1">IF(F603&lt;PREMISSAS!$D$7,0,IFERROR(VLOOKUP(IF(LEFT(F603,2)="13",DATE(YEAR(F602),12,31),F603),IPCA!$A$3:$D$284,4,FALSE),1)*G603)</f>
        <v>0</v>
      </c>
      <c r="J603" s="21" t="str">
        <f t="shared" ca="1" si="70"/>
        <v/>
      </c>
      <c r="K603" s="4">
        <f t="shared" ca="1" si="71"/>
        <v>0</v>
      </c>
      <c r="M603" s="21" t="str">
        <f t="shared" ca="1" si="69"/>
        <v/>
      </c>
      <c r="N603" s="37">
        <f t="shared" ca="1" si="65"/>
        <v>0</v>
      </c>
      <c r="O603" s="4">
        <f ca="1">IFERROR(AVERAGEIF(N$5:$N603,"&gt;="&amp;_xlfn.PERCENTILE.EXC(N$5:$N603,0.2)),0)</f>
        <v>0</v>
      </c>
      <c r="Q603" s="21" t="str">
        <f t="shared" ca="1" si="66"/>
        <v/>
      </c>
      <c r="R603" s="4">
        <f ca="1">MIN(O603,PREMISSAS!$C$13)</f>
        <v>0</v>
      </c>
      <c r="S603" s="240"/>
      <c r="T603" s="240"/>
    </row>
    <row r="604" spans="2:20" x14ac:dyDescent="0.25">
      <c r="B604" s="21" t="str">
        <f t="shared" ca="1" si="67"/>
        <v/>
      </c>
      <c r="C604" s="22" t="str">
        <f ca="1">IF(B604="","",IF(LEFT(B604,2)="13",C603,IF(MONTH(B604)=1,C603*(1+PREMISSAS!$C$57),C603)))</f>
        <v/>
      </c>
      <c r="E604" s="18">
        <v>600</v>
      </c>
      <c r="F604" s="21" t="str">
        <f t="shared" ca="1" si="68"/>
        <v/>
      </c>
      <c r="G604" s="22">
        <f ca="1">IFERROR(VLOOKUP(F604,RESULTADOS!$O$5:$P$543,2,FALSE),VLOOKUP(F604,$B$5:$C$724,2,FALSE))</f>
        <v>0</v>
      </c>
      <c r="H604" s="4">
        <f ca="1">IF(F604&lt;PREMISSAS!$D$7,0,IFERROR(VLOOKUP(IF(LEFT(F604,2)="13",DATE(YEAR(F603),12,31),F604),IPCA!$A$3:$D$284,4,FALSE),1)*G604)</f>
        <v>0</v>
      </c>
      <c r="J604" s="21" t="str">
        <f t="shared" ca="1" si="70"/>
        <v/>
      </c>
      <c r="K604" s="4">
        <f t="shared" ca="1" si="71"/>
        <v>0</v>
      </c>
      <c r="M604" s="21" t="str">
        <f t="shared" ca="1" si="69"/>
        <v/>
      </c>
      <c r="N604" s="37">
        <f t="shared" ca="1" si="65"/>
        <v>0</v>
      </c>
      <c r="O604" s="4">
        <f ca="1">IFERROR(AVERAGEIF(N$5:$N604,"&gt;="&amp;_xlfn.PERCENTILE.EXC(N$5:$N604,0.2)),0)</f>
        <v>0</v>
      </c>
      <c r="Q604" s="21" t="str">
        <f t="shared" ca="1" si="66"/>
        <v/>
      </c>
      <c r="R604" s="4">
        <f ca="1">MIN(O604,PREMISSAS!$C$13)</f>
        <v>0</v>
      </c>
      <c r="S604" s="240"/>
      <c r="T604" s="240"/>
    </row>
    <row r="605" spans="2:20" x14ac:dyDescent="0.25">
      <c r="B605" s="21" t="str">
        <f t="shared" ca="1" si="67"/>
        <v/>
      </c>
      <c r="C605" s="22" t="str">
        <f ca="1">IF(B605="","",IF(LEFT(B605,2)="13",C604,IF(MONTH(B605)=1,C604*(1+PREMISSAS!$C$57),C604)))</f>
        <v/>
      </c>
      <c r="E605" s="18">
        <v>601</v>
      </c>
      <c r="F605" s="21" t="str">
        <f t="shared" ca="1" si="68"/>
        <v/>
      </c>
      <c r="G605" s="22">
        <f ca="1">IFERROR(VLOOKUP(F605,RESULTADOS!$O$5:$P$543,2,FALSE),VLOOKUP(F605,$B$5:$C$724,2,FALSE))</f>
        <v>0</v>
      </c>
      <c r="H605" s="4">
        <f ca="1">IF(F605&lt;PREMISSAS!$D$7,0,IFERROR(VLOOKUP(IF(LEFT(F605,2)="13",DATE(YEAR(F604),12,31),F605),IPCA!$A$3:$D$284,4,FALSE),1)*G605)</f>
        <v>0</v>
      </c>
      <c r="J605" s="21" t="str">
        <f t="shared" ca="1" si="70"/>
        <v/>
      </c>
      <c r="K605" s="4">
        <f t="shared" ca="1" si="71"/>
        <v>0</v>
      </c>
      <c r="M605" s="21" t="str">
        <f t="shared" ca="1" si="69"/>
        <v/>
      </c>
      <c r="N605" s="37">
        <f t="shared" ca="1" si="65"/>
        <v>0</v>
      </c>
      <c r="O605" s="4">
        <f ca="1">IFERROR(AVERAGEIF(N$5:$N605,"&gt;="&amp;_xlfn.PERCENTILE.EXC(N$5:$N605,0.2)),0)</f>
        <v>0</v>
      </c>
      <c r="Q605" s="21" t="str">
        <f t="shared" ca="1" si="66"/>
        <v/>
      </c>
      <c r="R605" s="4">
        <f ca="1">MIN(O605,PREMISSAS!$C$13)</f>
        <v>0</v>
      </c>
      <c r="S605" s="240"/>
      <c r="T605" s="240"/>
    </row>
    <row r="606" spans="2:20" x14ac:dyDescent="0.25">
      <c r="B606" s="21" t="str">
        <f t="shared" ca="1" si="67"/>
        <v/>
      </c>
      <c r="C606" s="22" t="str">
        <f ca="1">IF(B606="","",IF(LEFT(B606,2)="13",C605,IF(MONTH(B606)=1,C605*(1+PREMISSAS!$C$57),C605)))</f>
        <v/>
      </c>
      <c r="E606" s="18">
        <v>602</v>
      </c>
      <c r="F606" s="21" t="str">
        <f t="shared" ca="1" si="68"/>
        <v/>
      </c>
      <c r="G606" s="22">
        <f ca="1">IFERROR(VLOOKUP(F606,RESULTADOS!$O$5:$P$543,2,FALSE),VLOOKUP(F606,$B$5:$C$724,2,FALSE))</f>
        <v>0</v>
      </c>
      <c r="H606" s="4">
        <f ca="1">IF(F606&lt;PREMISSAS!$D$7,0,IFERROR(VLOOKUP(IF(LEFT(F606,2)="13",DATE(YEAR(F605),12,31),F606),IPCA!$A$3:$D$284,4,FALSE),1)*G606)</f>
        <v>0</v>
      </c>
      <c r="J606" s="21" t="str">
        <f t="shared" ca="1" si="70"/>
        <v/>
      </c>
      <c r="K606" s="4">
        <f t="shared" ca="1" si="71"/>
        <v>0</v>
      </c>
      <c r="M606" s="21" t="str">
        <f t="shared" ca="1" si="69"/>
        <v/>
      </c>
      <c r="N606" s="37">
        <f t="shared" ca="1" si="65"/>
        <v>0</v>
      </c>
      <c r="O606" s="4">
        <f ca="1">IFERROR(AVERAGEIF(N$5:$N606,"&gt;="&amp;_xlfn.PERCENTILE.EXC(N$5:$N606,0.2)),0)</f>
        <v>0</v>
      </c>
      <c r="Q606" s="21" t="str">
        <f t="shared" ca="1" si="66"/>
        <v/>
      </c>
      <c r="R606" s="4">
        <f ca="1">MIN(O606,PREMISSAS!$C$13)</f>
        <v>0</v>
      </c>
      <c r="S606" s="240"/>
      <c r="T606" s="240"/>
    </row>
    <row r="607" spans="2:20" x14ac:dyDescent="0.25">
      <c r="B607" s="21" t="str">
        <f t="shared" ca="1" si="67"/>
        <v/>
      </c>
      <c r="C607" s="22" t="str">
        <f ca="1">IF(B607="","",IF(LEFT(B607,2)="13",C606,IF(MONTH(B607)=1,C606*(1+PREMISSAS!$C$57),C606)))</f>
        <v/>
      </c>
      <c r="E607" s="18">
        <v>603</v>
      </c>
      <c r="F607" s="21" t="str">
        <f t="shared" ca="1" si="68"/>
        <v/>
      </c>
      <c r="G607" s="22">
        <f ca="1">IFERROR(VLOOKUP(F607,RESULTADOS!$O$5:$P$543,2,FALSE),VLOOKUP(F607,$B$5:$C$724,2,FALSE))</f>
        <v>0</v>
      </c>
      <c r="H607" s="4">
        <f ca="1">IF(F607&lt;PREMISSAS!$D$7,0,IFERROR(VLOOKUP(IF(LEFT(F607,2)="13",DATE(YEAR(F606),12,31),F607),IPCA!$A$3:$D$284,4,FALSE),1)*G607)</f>
        <v>0</v>
      </c>
      <c r="J607" s="21" t="str">
        <f t="shared" ca="1" si="70"/>
        <v/>
      </c>
      <c r="K607" s="4">
        <f t="shared" ca="1" si="71"/>
        <v>0</v>
      </c>
      <c r="M607" s="21" t="str">
        <f t="shared" ca="1" si="69"/>
        <v/>
      </c>
      <c r="N607" s="37">
        <f t="shared" ca="1" si="65"/>
        <v>0</v>
      </c>
      <c r="O607" s="4">
        <f ca="1">IFERROR(AVERAGEIF(N$5:$N607,"&gt;="&amp;_xlfn.PERCENTILE.EXC(N$5:$N607,0.2)),0)</f>
        <v>0</v>
      </c>
      <c r="Q607" s="21" t="str">
        <f t="shared" ca="1" si="66"/>
        <v/>
      </c>
      <c r="R607" s="4">
        <f ca="1">MIN(O607,PREMISSAS!$C$13)</f>
        <v>0</v>
      </c>
      <c r="S607" s="240"/>
      <c r="T607" s="240"/>
    </row>
    <row r="608" spans="2:20" x14ac:dyDescent="0.25">
      <c r="B608" s="21" t="str">
        <f t="shared" ca="1" si="67"/>
        <v/>
      </c>
      <c r="C608" s="22" t="str">
        <f ca="1">IF(B608="","",IF(LEFT(B608,2)="13",C607,IF(MONTH(B608)=1,C607*(1+PREMISSAS!$C$57),C607)))</f>
        <v/>
      </c>
      <c r="E608" s="18">
        <v>604</v>
      </c>
      <c r="F608" s="21" t="str">
        <f t="shared" ca="1" si="68"/>
        <v/>
      </c>
      <c r="G608" s="22">
        <f ca="1">IFERROR(VLOOKUP(F608,RESULTADOS!$O$5:$P$543,2,FALSE),VLOOKUP(F608,$B$5:$C$724,2,FALSE))</f>
        <v>0</v>
      </c>
      <c r="H608" s="4">
        <f ca="1">IF(F608&lt;PREMISSAS!$D$7,0,IFERROR(VLOOKUP(IF(LEFT(F608,2)="13",DATE(YEAR(F607),12,31),F608),IPCA!$A$3:$D$284,4,FALSE),1)*G608)</f>
        <v>0</v>
      </c>
      <c r="J608" s="21" t="str">
        <f t="shared" ca="1" si="70"/>
        <v/>
      </c>
      <c r="K608" s="4">
        <f t="shared" ca="1" si="71"/>
        <v>0</v>
      </c>
      <c r="M608" s="21" t="str">
        <f t="shared" ca="1" si="69"/>
        <v/>
      </c>
      <c r="N608" s="37">
        <f t="shared" ca="1" si="65"/>
        <v>0</v>
      </c>
      <c r="O608" s="4">
        <f ca="1">IFERROR(AVERAGEIF(N$5:$N608,"&gt;="&amp;_xlfn.PERCENTILE.EXC(N$5:$N608,0.2)),0)</f>
        <v>0</v>
      </c>
      <c r="Q608" s="21" t="str">
        <f t="shared" ca="1" si="66"/>
        <v/>
      </c>
      <c r="R608" s="4">
        <f ca="1">MIN(O608,PREMISSAS!$C$13)</f>
        <v>0</v>
      </c>
      <c r="S608" s="240"/>
      <c r="T608" s="240"/>
    </row>
    <row r="609" spans="2:20" x14ac:dyDescent="0.25">
      <c r="B609" s="21" t="str">
        <f t="shared" ca="1" si="67"/>
        <v/>
      </c>
      <c r="C609" s="22" t="str">
        <f ca="1">IF(B609="","",IF(LEFT(B609,2)="13",C608,IF(MONTH(B609)=1,C608*(1+PREMISSAS!$C$57),C608)))</f>
        <v/>
      </c>
      <c r="E609" s="18">
        <v>605</v>
      </c>
      <c r="F609" s="21" t="str">
        <f t="shared" ca="1" si="68"/>
        <v/>
      </c>
      <c r="G609" s="22">
        <f ca="1">IFERROR(VLOOKUP(F609,RESULTADOS!$O$5:$P$543,2,FALSE),VLOOKUP(F609,$B$5:$C$724,2,FALSE))</f>
        <v>0</v>
      </c>
      <c r="H609" s="4">
        <f ca="1">IF(F609&lt;PREMISSAS!$D$7,0,IFERROR(VLOOKUP(IF(LEFT(F609,2)="13",DATE(YEAR(F608),12,31),F609),IPCA!$A$3:$D$284,4,FALSE),1)*G609)</f>
        <v>0</v>
      </c>
      <c r="J609" s="21" t="str">
        <f t="shared" ca="1" si="70"/>
        <v/>
      </c>
      <c r="K609" s="4">
        <f t="shared" ca="1" si="71"/>
        <v>0</v>
      </c>
      <c r="M609" s="21" t="str">
        <f t="shared" ca="1" si="69"/>
        <v/>
      </c>
      <c r="N609" s="37">
        <f t="shared" ca="1" si="65"/>
        <v>0</v>
      </c>
      <c r="O609" s="4">
        <f ca="1">IFERROR(AVERAGEIF(N$5:$N609,"&gt;="&amp;_xlfn.PERCENTILE.EXC(N$5:$N609,0.2)),0)</f>
        <v>0</v>
      </c>
      <c r="Q609" s="21" t="str">
        <f t="shared" ca="1" si="66"/>
        <v/>
      </c>
      <c r="R609" s="4">
        <f ca="1">MIN(O609,PREMISSAS!$C$13)</f>
        <v>0</v>
      </c>
      <c r="S609" s="240"/>
      <c r="T609" s="240"/>
    </row>
    <row r="610" spans="2:20" x14ac:dyDescent="0.25">
      <c r="B610" s="21" t="str">
        <f t="shared" ca="1" si="67"/>
        <v/>
      </c>
      <c r="C610" s="22" t="str">
        <f ca="1">IF(B610="","",IF(LEFT(B610,2)="13",C609,IF(MONTH(B610)=1,C609*(1+PREMISSAS!$C$57),C609)))</f>
        <v/>
      </c>
      <c r="E610" s="18">
        <v>606</v>
      </c>
      <c r="F610" s="21" t="str">
        <f t="shared" ca="1" si="68"/>
        <v/>
      </c>
      <c r="G610" s="22">
        <f ca="1">IFERROR(VLOOKUP(F610,RESULTADOS!$O$5:$P$543,2,FALSE),VLOOKUP(F610,$B$5:$C$724,2,FALSE))</f>
        <v>0</v>
      </c>
      <c r="H610" s="4">
        <f ca="1">IF(F610&lt;PREMISSAS!$D$7,0,IFERROR(VLOOKUP(IF(LEFT(F610,2)="13",DATE(YEAR(F609),12,31),F610),IPCA!$A$3:$D$284,4,FALSE),1)*G610)</f>
        <v>0</v>
      </c>
      <c r="J610" s="21" t="str">
        <f t="shared" ca="1" si="70"/>
        <v/>
      </c>
      <c r="K610" s="4">
        <f t="shared" ca="1" si="71"/>
        <v>0</v>
      </c>
      <c r="M610" s="21" t="str">
        <f t="shared" ca="1" si="69"/>
        <v/>
      </c>
      <c r="N610" s="37">
        <f t="shared" ca="1" si="65"/>
        <v>0</v>
      </c>
      <c r="O610" s="4">
        <f ca="1">IFERROR(AVERAGEIF(N$5:$N610,"&gt;="&amp;_xlfn.PERCENTILE.EXC(N$5:$N610,0.2)),0)</f>
        <v>0</v>
      </c>
      <c r="Q610" s="21" t="str">
        <f t="shared" ca="1" si="66"/>
        <v/>
      </c>
      <c r="R610" s="4">
        <f ca="1">MIN(O610,PREMISSAS!$C$13)</f>
        <v>0</v>
      </c>
      <c r="S610" s="240"/>
      <c r="T610" s="240"/>
    </row>
    <row r="611" spans="2:20" x14ac:dyDescent="0.25">
      <c r="B611" s="21" t="str">
        <f t="shared" ca="1" si="67"/>
        <v/>
      </c>
      <c r="C611" s="22" t="str">
        <f ca="1">IF(B611="","",IF(LEFT(B611,2)="13",C610,IF(MONTH(B611)=1,C610*(1+PREMISSAS!$C$57),C610)))</f>
        <v/>
      </c>
      <c r="E611" s="18">
        <v>607</v>
      </c>
      <c r="F611" s="21" t="str">
        <f t="shared" ca="1" si="68"/>
        <v/>
      </c>
      <c r="G611" s="22">
        <f ca="1">IFERROR(VLOOKUP(F611,RESULTADOS!$O$5:$P$543,2,FALSE),VLOOKUP(F611,$B$5:$C$724,2,FALSE))</f>
        <v>0</v>
      </c>
      <c r="H611" s="4">
        <f ca="1">IF(F611&lt;PREMISSAS!$D$7,0,IFERROR(VLOOKUP(IF(LEFT(F611,2)="13",DATE(YEAR(F610),12,31),F611),IPCA!$A$3:$D$284,4,FALSE),1)*G611)</f>
        <v>0</v>
      </c>
      <c r="J611" s="21" t="str">
        <f t="shared" ca="1" si="70"/>
        <v/>
      </c>
      <c r="K611" s="4">
        <f t="shared" ca="1" si="71"/>
        <v>0</v>
      </c>
      <c r="M611" s="21" t="str">
        <f t="shared" ca="1" si="69"/>
        <v/>
      </c>
      <c r="N611" s="37">
        <f t="shared" ca="1" si="65"/>
        <v>0</v>
      </c>
      <c r="O611" s="4">
        <f ca="1">IFERROR(AVERAGEIF(N$5:$N611,"&gt;="&amp;_xlfn.PERCENTILE.EXC(N$5:$N611,0.2)),0)</f>
        <v>0</v>
      </c>
      <c r="Q611" s="21" t="str">
        <f t="shared" ca="1" si="66"/>
        <v/>
      </c>
      <c r="R611" s="4">
        <f ca="1">MIN(O611,PREMISSAS!$C$13)</f>
        <v>0</v>
      </c>
      <c r="S611" s="240"/>
      <c r="T611" s="240"/>
    </row>
    <row r="612" spans="2:20" x14ac:dyDescent="0.25">
      <c r="B612" s="21" t="str">
        <f t="shared" ca="1" si="67"/>
        <v/>
      </c>
      <c r="C612" s="22" t="str">
        <f ca="1">IF(B612="","",IF(LEFT(B612,2)="13",C611,IF(MONTH(B612)=1,C611*(1+PREMISSAS!$C$57),C611)))</f>
        <v/>
      </c>
      <c r="E612" s="18">
        <v>608</v>
      </c>
      <c r="F612" s="21" t="str">
        <f t="shared" ca="1" si="68"/>
        <v/>
      </c>
      <c r="G612" s="22">
        <f ca="1">IFERROR(VLOOKUP(F612,RESULTADOS!$O$5:$P$543,2,FALSE),VLOOKUP(F612,$B$5:$C$724,2,FALSE))</f>
        <v>0</v>
      </c>
      <c r="H612" s="4">
        <f ca="1">IF(F612&lt;PREMISSAS!$D$7,0,IFERROR(VLOOKUP(IF(LEFT(F612,2)="13",DATE(YEAR(F611),12,31),F612),IPCA!$A$3:$D$284,4,FALSE),1)*G612)</f>
        <v>0</v>
      </c>
      <c r="J612" s="21" t="str">
        <f t="shared" ca="1" si="70"/>
        <v/>
      </c>
      <c r="K612" s="4">
        <f t="shared" ca="1" si="71"/>
        <v>0</v>
      </c>
      <c r="M612" s="21" t="str">
        <f t="shared" ca="1" si="69"/>
        <v/>
      </c>
      <c r="N612" s="37">
        <f t="shared" ca="1" si="65"/>
        <v>0</v>
      </c>
      <c r="O612" s="4">
        <f ca="1">IFERROR(AVERAGEIF(N$5:$N612,"&gt;="&amp;_xlfn.PERCENTILE.EXC(N$5:$N612,0.2)),0)</f>
        <v>0</v>
      </c>
      <c r="Q612" s="21" t="str">
        <f t="shared" ca="1" si="66"/>
        <v/>
      </c>
      <c r="R612" s="4">
        <f ca="1">MIN(O612,PREMISSAS!$C$13)</f>
        <v>0</v>
      </c>
      <c r="S612" s="240"/>
      <c r="T612" s="240"/>
    </row>
    <row r="613" spans="2:20" x14ac:dyDescent="0.25">
      <c r="B613" s="21" t="str">
        <f t="shared" ca="1" si="67"/>
        <v/>
      </c>
      <c r="C613" s="22" t="str">
        <f ca="1">IF(B613="","",IF(LEFT(B613,2)="13",C612,IF(MONTH(B613)=1,C612*(1+PREMISSAS!$C$57),C612)))</f>
        <v/>
      </c>
      <c r="E613" s="18">
        <v>609</v>
      </c>
      <c r="F613" s="21" t="str">
        <f t="shared" ca="1" si="68"/>
        <v/>
      </c>
      <c r="G613" s="22">
        <f ca="1">IFERROR(VLOOKUP(F613,RESULTADOS!$O$5:$P$543,2,FALSE),VLOOKUP(F613,$B$5:$C$724,2,FALSE))</f>
        <v>0</v>
      </c>
      <c r="H613" s="4">
        <f ca="1">IF(F613&lt;PREMISSAS!$D$7,0,IFERROR(VLOOKUP(IF(LEFT(F613,2)="13",DATE(YEAR(F612),12,31),F613),IPCA!$A$3:$D$284,4,FALSE),1)*G613)</f>
        <v>0</v>
      </c>
      <c r="J613" s="21" t="str">
        <f t="shared" ca="1" si="70"/>
        <v/>
      </c>
      <c r="K613" s="4">
        <f t="shared" ca="1" si="71"/>
        <v>0</v>
      </c>
      <c r="M613" s="21" t="str">
        <f t="shared" ca="1" si="69"/>
        <v/>
      </c>
      <c r="N613" s="37">
        <f t="shared" ca="1" si="65"/>
        <v>0</v>
      </c>
      <c r="O613" s="4">
        <f ca="1">IFERROR(AVERAGEIF(N$5:$N613,"&gt;="&amp;_xlfn.PERCENTILE.EXC(N$5:$N613,0.2)),0)</f>
        <v>0</v>
      </c>
      <c r="Q613" s="21" t="str">
        <f t="shared" ca="1" si="66"/>
        <v/>
      </c>
      <c r="R613" s="4">
        <f ca="1">MIN(O613,PREMISSAS!$C$13)</f>
        <v>0</v>
      </c>
      <c r="S613" s="240"/>
      <c r="T613" s="240"/>
    </row>
    <row r="614" spans="2:20" x14ac:dyDescent="0.25">
      <c r="B614" s="21" t="str">
        <f t="shared" ca="1" si="67"/>
        <v/>
      </c>
      <c r="C614" s="22" t="str">
        <f ca="1">IF(B614="","",IF(LEFT(B614,2)="13",C613,IF(MONTH(B614)=1,C613*(1+PREMISSAS!$C$57),C613)))</f>
        <v/>
      </c>
      <c r="E614" s="18">
        <v>610</v>
      </c>
      <c r="F614" s="21" t="str">
        <f t="shared" ca="1" si="68"/>
        <v/>
      </c>
      <c r="G614" s="22">
        <f ca="1">IFERROR(VLOOKUP(F614,RESULTADOS!$O$5:$P$543,2,FALSE),VLOOKUP(F614,$B$5:$C$724,2,FALSE))</f>
        <v>0</v>
      </c>
      <c r="H614" s="4">
        <f ca="1">IF(F614&lt;PREMISSAS!$D$7,0,IFERROR(VLOOKUP(IF(LEFT(F614,2)="13",DATE(YEAR(F613),12,31),F614),IPCA!$A$3:$D$284,4,FALSE),1)*G614)</f>
        <v>0</v>
      </c>
      <c r="J614" s="21" t="str">
        <f t="shared" ca="1" si="70"/>
        <v/>
      </c>
      <c r="K614" s="4">
        <f t="shared" ca="1" si="71"/>
        <v>0</v>
      </c>
      <c r="M614" s="21" t="str">
        <f t="shared" ca="1" si="69"/>
        <v/>
      </c>
      <c r="N614" s="37">
        <f t="shared" ca="1" si="65"/>
        <v>0</v>
      </c>
      <c r="O614" s="4">
        <f ca="1">IFERROR(AVERAGEIF(N$5:$N614,"&gt;="&amp;_xlfn.PERCENTILE.EXC(N$5:$N614,0.2)),0)</f>
        <v>0</v>
      </c>
      <c r="Q614" s="21" t="str">
        <f t="shared" ca="1" si="66"/>
        <v/>
      </c>
      <c r="R614" s="4">
        <f ca="1">MIN(O614,PREMISSAS!$C$13)</f>
        <v>0</v>
      </c>
      <c r="S614" s="240"/>
      <c r="T614" s="240"/>
    </row>
    <row r="615" spans="2:20" x14ac:dyDescent="0.25">
      <c r="B615" s="21" t="str">
        <f t="shared" ca="1" si="67"/>
        <v/>
      </c>
      <c r="C615" s="22" t="str">
        <f ca="1">IF(B615="","",IF(LEFT(B615,2)="13",C614,IF(MONTH(B615)=1,C614*(1+PREMISSAS!$C$57),C614)))</f>
        <v/>
      </c>
      <c r="E615" s="18">
        <v>611</v>
      </c>
      <c r="F615" s="21" t="str">
        <f t="shared" ca="1" si="68"/>
        <v/>
      </c>
      <c r="G615" s="22">
        <f ca="1">IFERROR(VLOOKUP(F615,RESULTADOS!$O$5:$P$543,2,FALSE),VLOOKUP(F615,$B$5:$C$724,2,FALSE))</f>
        <v>0</v>
      </c>
      <c r="H615" s="4">
        <f ca="1">IF(F615&lt;PREMISSAS!$D$7,0,IFERROR(VLOOKUP(IF(LEFT(F615,2)="13",DATE(YEAR(F614),12,31),F615),IPCA!$A$3:$D$284,4,FALSE),1)*G615)</f>
        <v>0</v>
      </c>
      <c r="J615" s="21" t="str">
        <f t="shared" ca="1" si="70"/>
        <v/>
      </c>
      <c r="K615" s="4">
        <f t="shared" ca="1" si="71"/>
        <v>0</v>
      </c>
      <c r="M615" s="21" t="str">
        <f t="shared" ca="1" si="69"/>
        <v/>
      </c>
      <c r="N615" s="37">
        <f t="shared" ca="1" si="65"/>
        <v>0</v>
      </c>
      <c r="O615" s="4">
        <f ca="1">IFERROR(AVERAGEIF(N$5:$N615,"&gt;="&amp;_xlfn.PERCENTILE.EXC(N$5:$N615,0.2)),0)</f>
        <v>0</v>
      </c>
      <c r="Q615" s="21" t="str">
        <f t="shared" ca="1" si="66"/>
        <v/>
      </c>
      <c r="R615" s="4">
        <f ca="1">MIN(O615,PREMISSAS!$C$13)</f>
        <v>0</v>
      </c>
      <c r="S615" s="240"/>
      <c r="T615" s="240"/>
    </row>
    <row r="616" spans="2:20" x14ac:dyDescent="0.25">
      <c r="B616" s="21" t="str">
        <f t="shared" ca="1" si="67"/>
        <v/>
      </c>
      <c r="C616" s="22" t="str">
        <f ca="1">IF(B616="","",IF(LEFT(B616,2)="13",C615,IF(MONTH(B616)=1,C615*(1+PREMISSAS!$C$57),C615)))</f>
        <v/>
      </c>
      <c r="E616" s="18">
        <v>612</v>
      </c>
      <c r="F616" s="21" t="str">
        <f t="shared" ca="1" si="68"/>
        <v/>
      </c>
      <c r="G616" s="22">
        <f ca="1">IFERROR(VLOOKUP(F616,RESULTADOS!$O$5:$P$543,2,FALSE),VLOOKUP(F616,$B$5:$C$724,2,FALSE))</f>
        <v>0</v>
      </c>
      <c r="H616" s="4">
        <f ca="1">IF(F616&lt;PREMISSAS!$D$7,0,IFERROR(VLOOKUP(IF(LEFT(F616,2)="13",DATE(YEAR(F615),12,31),F616),IPCA!$A$3:$D$284,4,FALSE),1)*G616)</f>
        <v>0</v>
      </c>
      <c r="J616" s="21" t="str">
        <f t="shared" ca="1" si="70"/>
        <v/>
      </c>
      <c r="K616" s="4">
        <f t="shared" ca="1" si="71"/>
        <v>0</v>
      </c>
      <c r="M616" s="21" t="str">
        <f t="shared" ca="1" si="69"/>
        <v/>
      </c>
      <c r="N616" s="37">
        <f t="shared" ca="1" si="65"/>
        <v>0</v>
      </c>
      <c r="O616" s="4">
        <f ca="1">IFERROR(AVERAGEIF(N$5:$N616,"&gt;="&amp;_xlfn.PERCENTILE.EXC(N$5:$N616,0.2)),0)</f>
        <v>0</v>
      </c>
      <c r="Q616" s="21" t="str">
        <f t="shared" ca="1" si="66"/>
        <v/>
      </c>
      <c r="R616" s="4">
        <f ca="1">MIN(O616,PREMISSAS!$C$13)</f>
        <v>0</v>
      </c>
      <c r="S616" s="240"/>
      <c r="T616" s="240"/>
    </row>
    <row r="617" spans="2:20" x14ac:dyDescent="0.25">
      <c r="B617" s="21" t="str">
        <f t="shared" ca="1" si="67"/>
        <v/>
      </c>
      <c r="C617" s="22" t="str">
        <f ca="1">IF(B617="","",IF(LEFT(B617,2)="13",C616,IF(MONTH(B617)=1,C616*(1+PREMISSAS!$C$57),C616)))</f>
        <v/>
      </c>
      <c r="E617" s="18">
        <v>613</v>
      </c>
      <c r="F617" s="21" t="str">
        <f t="shared" ca="1" si="68"/>
        <v/>
      </c>
      <c r="G617" s="22">
        <f ca="1">IFERROR(VLOOKUP(F617,RESULTADOS!$O$5:$P$543,2,FALSE),VLOOKUP(F617,$B$5:$C$724,2,FALSE))</f>
        <v>0</v>
      </c>
      <c r="H617" s="4">
        <f ca="1">IF(F617&lt;PREMISSAS!$D$7,0,IFERROR(VLOOKUP(IF(LEFT(F617,2)="13",DATE(YEAR(F616),12,31),F617),IPCA!$A$3:$D$284,4,FALSE),1)*G617)</f>
        <v>0</v>
      </c>
      <c r="J617" s="21" t="str">
        <f t="shared" ca="1" si="70"/>
        <v/>
      </c>
      <c r="K617" s="4">
        <f t="shared" ca="1" si="71"/>
        <v>0</v>
      </c>
      <c r="M617" s="21" t="str">
        <f t="shared" ca="1" si="69"/>
        <v/>
      </c>
      <c r="N617" s="37">
        <f t="shared" ca="1" si="65"/>
        <v>0</v>
      </c>
      <c r="O617" s="4">
        <f ca="1">IFERROR(AVERAGEIF(N$5:$N617,"&gt;="&amp;_xlfn.PERCENTILE.EXC(N$5:$N617,0.2)),0)</f>
        <v>0</v>
      </c>
      <c r="Q617" s="21" t="str">
        <f t="shared" ca="1" si="66"/>
        <v/>
      </c>
      <c r="R617" s="4">
        <f ca="1">MIN(O617,PREMISSAS!$C$13)</f>
        <v>0</v>
      </c>
      <c r="S617" s="240"/>
      <c r="T617" s="240"/>
    </row>
    <row r="618" spans="2:20" x14ac:dyDescent="0.25">
      <c r="B618" s="21" t="str">
        <f t="shared" ca="1" si="67"/>
        <v/>
      </c>
      <c r="C618" s="22" t="str">
        <f ca="1">IF(B618="","",IF(LEFT(B618,2)="13",C617,IF(MONTH(B618)=1,C617*(1+PREMISSAS!$C$57),C617)))</f>
        <v/>
      </c>
      <c r="E618" s="18">
        <v>614</v>
      </c>
      <c r="F618" s="21" t="str">
        <f t="shared" ca="1" si="68"/>
        <v/>
      </c>
      <c r="G618" s="22">
        <f ca="1">IFERROR(VLOOKUP(F618,RESULTADOS!$O$5:$P$543,2,FALSE),VLOOKUP(F618,$B$5:$C$724,2,FALSE))</f>
        <v>0</v>
      </c>
      <c r="H618" s="4">
        <f ca="1">IF(F618&lt;PREMISSAS!$D$7,0,IFERROR(VLOOKUP(IF(LEFT(F618,2)="13",DATE(YEAR(F617),12,31),F618),IPCA!$A$3:$D$284,4,FALSE),1)*G618)</f>
        <v>0</v>
      </c>
      <c r="J618" s="21" t="str">
        <f t="shared" ca="1" si="70"/>
        <v/>
      </c>
      <c r="K618" s="4">
        <f t="shared" ca="1" si="71"/>
        <v>0</v>
      </c>
      <c r="M618" s="21" t="str">
        <f t="shared" ca="1" si="69"/>
        <v/>
      </c>
      <c r="N618" s="37">
        <f t="shared" ca="1" si="65"/>
        <v>0</v>
      </c>
      <c r="O618" s="4">
        <f ca="1">IFERROR(AVERAGEIF(N$5:$N618,"&gt;="&amp;_xlfn.PERCENTILE.EXC(N$5:$N618,0.2)),0)</f>
        <v>0</v>
      </c>
      <c r="Q618" s="21" t="str">
        <f t="shared" ca="1" si="66"/>
        <v/>
      </c>
      <c r="R618" s="4">
        <f ca="1">MIN(O618,PREMISSAS!$C$13)</f>
        <v>0</v>
      </c>
      <c r="S618" s="240"/>
      <c r="T618" s="240"/>
    </row>
    <row r="619" spans="2:20" x14ac:dyDescent="0.25">
      <c r="B619" s="21" t="str">
        <f t="shared" ca="1" si="67"/>
        <v/>
      </c>
      <c r="C619" s="22" t="str">
        <f ca="1">IF(B619="","",IF(LEFT(B619,2)="13",C618,IF(MONTH(B619)=1,C618*(1+PREMISSAS!$C$57),C618)))</f>
        <v/>
      </c>
      <c r="E619" s="18">
        <v>615</v>
      </c>
      <c r="F619" s="21" t="str">
        <f t="shared" ca="1" si="68"/>
        <v/>
      </c>
      <c r="G619" s="22">
        <f ca="1">IFERROR(VLOOKUP(F619,RESULTADOS!$O$5:$P$543,2,FALSE),VLOOKUP(F619,$B$5:$C$724,2,FALSE))</f>
        <v>0</v>
      </c>
      <c r="H619" s="4">
        <f ca="1">IF(F619&lt;PREMISSAS!$D$7,0,IFERROR(VLOOKUP(IF(LEFT(F619,2)="13",DATE(YEAR(F618),12,31),F619),IPCA!$A$3:$D$284,4,FALSE),1)*G619)</f>
        <v>0</v>
      </c>
      <c r="J619" s="21" t="str">
        <f t="shared" ca="1" si="70"/>
        <v/>
      </c>
      <c r="K619" s="4">
        <f t="shared" ca="1" si="71"/>
        <v>0</v>
      </c>
      <c r="M619" s="21" t="str">
        <f t="shared" ca="1" si="69"/>
        <v/>
      </c>
      <c r="N619" s="37">
        <f t="shared" ca="1" si="65"/>
        <v>0</v>
      </c>
      <c r="O619" s="4">
        <f ca="1">IFERROR(AVERAGEIF(N$5:$N619,"&gt;="&amp;_xlfn.PERCENTILE.EXC(N$5:$N619,0.2)),0)</f>
        <v>0</v>
      </c>
      <c r="Q619" s="21" t="str">
        <f t="shared" ca="1" si="66"/>
        <v/>
      </c>
      <c r="R619" s="4">
        <f ca="1">MIN(O619,PREMISSAS!$C$13)</f>
        <v>0</v>
      </c>
      <c r="S619" s="240"/>
      <c r="T619" s="240"/>
    </row>
    <row r="620" spans="2:20" x14ac:dyDescent="0.25">
      <c r="B620" s="21" t="str">
        <f t="shared" ca="1" si="67"/>
        <v/>
      </c>
      <c r="C620" s="22" t="str">
        <f ca="1">IF(B620="","",IF(LEFT(B620,2)="13",C619,IF(MONTH(B620)=1,C619*(1+PREMISSAS!$C$57),C619)))</f>
        <v/>
      </c>
      <c r="E620" s="18">
        <v>616</v>
      </c>
      <c r="F620" s="21" t="str">
        <f t="shared" ca="1" si="68"/>
        <v/>
      </c>
      <c r="G620" s="22">
        <f ca="1">IFERROR(VLOOKUP(F620,RESULTADOS!$O$5:$P$543,2,FALSE),VLOOKUP(F620,$B$5:$C$724,2,FALSE))</f>
        <v>0</v>
      </c>
      <c r="H620" s="4">
        <f ca="1">IF(F620&lt;PREMISSAS!$D$7,0,IFERROR(VLOOKUP(IF(LEFT(F620,2)="13",DATE(YEAR(F619),12,31),F620),IPCA!$A$3:$D$284,4,FALSE),1)*G620)</f>
        <v>0</v>
      </c>
      <c r="J620" s="21" t="str">
        <f t="shared" ca="1" si="70"/>
        <v/>
      </c>
      <c r="K620" s="4">
        <f t="shared" ca="1" si="71"/>
        <v>0</v>
      </c>
      <c r="M620" s="21" t="str">
        <f t="shared" ca="1" si="69"/>
        <v/>
      </c>
      <c r="N620" s="37">
        <f t="shared" ca="1" si="65"/>
        <v>0</v>
      </c>
      <c r="O620" s="4">
        <f ca="1">IFERROR(AVERAGEIF(N$5:$N620,"&gt;="&amp;_xlfn.PERCENTILE.EXC(N$5:$N620,0.2)),0)</f>
        <v>0</v>
      </c>
      <c r="Q620" s="21" t="str">
        <f t="shared" ca="1" si="66"/>
        <v/>
      </c>
      <c r="R620" s="4">
        <f ca="1">MIN(O620,PREMISSAS!$C$13)</f>
        <v>0</v>
      </c>
      <c r="S620" s="240"/>
      <c r="T620" s="240"/>
    </row>
    <row r="621" spans="2:20" x14ac:dyDescent="0.25">
      <c r="B621" s="21" t="str">
        <f t="shared" ca="1" si="67"/>
        <v/>
      </c>
      <c r="C621" s="22" t="str">
        <f ca="1">IF(B621="","",IF(LEFT(B621,2)="13",C620,IF(MONTH(B621)=1,C620*(1+PREMISSAS!$C$57),C620)))</f>
        <v/>
      </c>
      <c r="E621" s="18">
        <v>617</v>
      </c>
      <c r="F621" s="21" t="str">
        <f t="shared" ca="1" si="68"/>
        <v/>
      </c>
      <c r="G621" s="22">
        <f ca="1">IFERROR(VLOOKUP(F621,RESULTADOS!$O$5:$P$543,2,FALSE),VLOOKUP(F621,$B$5:$C$724,2,FALSE))</f>
        <v>0</v>
      </c>
      <c r="H621" s="4">
        <f ca="1">IF(F621&lt;PREMISSAS!$D$7,0,IFERROR(VLOOKUP(IF(LEFT(F621,2)="13",DATE(YEAR(F620),12,31),F621),IPCA!$A$3:$D$284,4,FALSE),1)*G621)</f>
        <v>0</v>
      </c>
      <c r="J621" s="21" t="str">
        <f t="shared" ca="1" si="70"/>
        <v/>
      </c>
      <c r="K621" s="4">
        <f t="shared" ca="1" si="71"/>
        <v>0</v>
      </c>
      <c r="M621" s="21" t="str">
        <f t="shared" ca="1" si="69"/>
        <v/>
      </c>
      <c r="N621" s="37">
        <f t="shared" ca="1" si="65"/>
        <v>0</v>
      </c>
      <c r="O621" s="4">
        <f ca="1">IFERROR(AVERAGEIF(N$5:$N621,"&gt;="&amp;_xlfn.PERCENTILE.EXC(N$5:$N621,0.2)),0)</f>
        <v>0</v>
      </c>
      <c r="Q621" s="21" t="str">
        <f t="shared" ca="1" si="66"/>
        <v/>
      </c>
      <c r="R621" s="4">
        <f ca="1">MIN(O621,PREMISSAS!$C$13)</f>
        <v>0</v>
      </c>
      <c r="S621" s="240"/>
      <c r="T621" s="240"/>
    </row>
    <row r="622" spans="2:20" x14ac:dyDescent="0.25">
      <c r="B622" s="21" t="str">
        <f t="shared" ca="1" si="67"/>
        <v/>
      </c>
      <c r="C622" s="22" t="str">
        <f ca="1">IF(B622="","",IF(LEFT(B622,2)="13",C621,IF(MONTH(B622)=1,C621*(1+PREMISSAS!$C$57),C621)))</f>
        <v/>
      </c>
      <c r="E622" s="18">
        <v>618</v>
      </c>
      <c r="F622" s="21" t="str">
        <f t="shared" ca="1" si="68"/>
        <v/>
      </c>
      <c r="G622" s="22">
        <f ca="1">IFERROR(VLOOKUP(F622,RESULTADOS!$O$5:$P$543,2,FALSE),VLOOKUP(F622,$B$5:$C$724,2,FALSE))</f>
        <v>0</v>
      </c>
      <c r="H622" s="4">
        <f ca="1">IF(F622&lt;PREMISSAS!$D$7,0,IFERROR(VLOOKUP(IF(LEFT(F622,2)="13",DATE(YEAR(F621),12,31),F622),IPCA!$A$3:$D$284,4,FALSE),1)*G622)</f>
        <v>0</v>
      </c>
      <c r="J622" s="21" t="str">
        <f t="shared" ca="1" si="70"/>
        <v/>
      </c>
      <c r="K622" s="4">
        <f t="shared" ca="1" si="71"/>
        <v>0</v>
      </c>
      <c r="M622" s="21" t="str">
        <f t="shared" ca="1" si="69"/>
        <v/>
      </c>
      <c r="N622" s="37">
        <f t="shared" ca="1" si="65"/>
        <v>0</v>
      </c>
      <c r="O622" s="4">
        <f ca="1">IFERROR(AVERAGEIF(N$5:$N622,"&gt;="&amp;_xlfn.PERCENTILE.EXC(N$5:$N622,0.2)),0)</f>
        <v>0</v>
      </c>
      <c r="Q622" s="21" t="str">
        <f t="shared" ca="1" si="66"/>
        <v/>
      </c>
      <c r="R622" s="4">
        <f ca="1">MIN(O622,PREMISSAS!$C$13)</f>
        <v>0</v>
      </c>
      <c r="S622" s="240"/>
      <c r="T622" s="240"/>
    </row>
    <row r="623" spans="2:20" x14ac:dyDescent="0.25">
      <c r="B623" s="21" t="str">
        <f t="shared" ca="1" si="67"/>
        <v/>
      </c>
      <c r="C623" s="22" t="str">
        <f ca="1">IF(B623="","",IF(LEFT(B623,2)="13",C622,IF(MONTH(B623)=1,C622*(1+PREMISSAS!$C$57),C622)))</f>
        <v/>
      </c>
      <c r="E623" s="18">
        <v>619</v>
      </c>
      <c r="F623" s="21" t="str">
        <f t="shared" ca="1" si="68"/>
        <v/>
      </c>
      <c r="G623" s="22">
        <f ca="1">IFERROR(VLOOKUP(F623,RESULTADOS!$O$5:$P$543,2,FALSE),VLOOKUP(F623,$B$5:$C$724,2,FALSE))</f>
        <v>0</v>
      </c>
      <c r="H623" s="4">
        <f ca="1">IF(F623&lt;PREMISSAS!$D$7,0,IFERROR(VLOOKUP(IF(LEFT(F623,2)="13",DATE(YEAR(F622),12,31),F623),IPCA!$A$3:$D$284,4,FALSE),1)*G623)</f>
        <v>0</v>
      </c>
      <c r="J623" s="21" t="str">
        <f t="shared" ca="1" si="70"/>
        <v/>
      </c>
      <c r="K623" s="4">
        <f t="shared" ca="1" si="71"/>
        <v>0</v>
      </c>
      <c r="M623" s="21" t="str">
        <f t="shared" ca="1" si="69"/>
        <v/>
      </c>
      <c r="N623" s="37">
        <f t="shared" ca="1" si="65"/>
        <v>0</v>
      </c>
      <c r="O623" s="4">
        <f ca="1">IFERROR(AVERAGEIF(N$5:$N623,"&gt;="&amp;_xlfn.PERCENTILE.EXC(N$5:$N623,0.2)),0)</f>
        <v>0</v>
      </c>
      <c r="Q623" s="21" t="str">
        <f t="shared" ca="1" si="66"/>
        <v/>
      </c>
      <c r="R623" s="4">
        <f ca="1">MIN(O623,PREMISSAS!$C$13)</f>
        <v>0</v>
      </c>
      <c r="S623" s="240"/>
      <c r="T623" s="240"/>
    </row>
    <row r="624" spans="2:20" x14ac:dyDescent="0.25">
      <c r="B624" s="21" t="str">
        <f t="shared" ca="1" si="67"/>
        <v/>
      </c>
      <c r="C624" s="22" t="str">
        <f ca="1">IF(B624="","",IF(LEFT(B624,2)="13",C623,IF(MONTH(B624)=1,C623*(1+PREMISSAS!$C$57),C623)))</f>
        <v/>
      </c>
      <c r="E624" s="18">
        <v>620</v>
      </c>
      <c r="F624" s="21" t="str">
        <f t="shared" ca="1" si="68"/>
        <v/>
      </c>
      <c r="G624" s="22">
        <f ca="1">IFERROR(VLOOKUP(F624,RESULTADOS!$O$5:$P$543,2,FALSE),VLOOKUP(F624,$B$5:$C$724,2,FALSE))</f>
        <v>0</v>
      </c>
      <c r="H624" s="4">
        <f ca="1">IF(F624&lt;PREMISSAS!$D$7,0,IFERROR(VLOOKUP(IF(LEFT(F624,2)="13",DATE(YEAR(F623),12,31),F624),IPCA!$A$3:$D$284,4,FALSE),1)*G624)</f>
        <v>0</v>
      </c>
      <c r="J624" s="21" t="str">
        <f t="shared" ca="1" si="70"/>
        <v/>
      </c>
      <c r="K624" s="4">
        <f t="shared" ca="1" si="71"/>
        <v>0</v>
      </c>
      <c r="M624" s="21" t="str">
        <f t="shared" ca="1" si="69"/>
        <v/>
      </c>
      <c r="N624" s="37">
        <f t="shared" ca="1" si="65"/>
        <v>0</v>
      </c>
      <c r="O624" s="4">
        <f ca="1">IFERROR(AVERAGEIF(N$5:$N624,"&gt;="&amp;_xlfn.PERCENTILE.EXC(N$5:$N624,0.2)),0)</f>
        <v>0</v>
      </c>
      <c r="Q624" s="21" t="str">
        <f t="shared" ca="1" si="66"/>
        <v/>
      </c>
      <c r="R624" s="4">
        <f ca="1">MIN(O624,PREMISSAS!$C$13)</f>
        <v>0</v>
      </c>
      <c r="S624" s="240"/>
      <c r="T624" s="240"/>
    </row>
    <row r="625" spans="2:20" x14ac:dyDescent="0.25">
      <c r="B625" s="21" t="str">
        <f t="shared" ca="1" si="67"/>
        <v/>
      </c>
      <c r="C625" s="22" t="str">
        <f ca="1">IF(B625="","",IF(LEFT(B625,2)="13",C624,IF(MONTH(B625)=1,C624*(1+PREMISSAS!$C$57),C624)))</f>
        <v/>
      </c>
      <c r="E625" s="18">
        <v>621</v>
      </c>
      <c r="F625" s="21" t="str">
        <f t="shared" ca="1" si="68"/>
        <v/>
      </c>
      <c r="G625" s="22">
        <f ca="1">IFERROR(VLOOKUP(F625,RESULTADOS!$O$5:$P$543,2,FALSE),VLOOKUP(F625,$B$5:$C$724,2,FALSE))</f>
        <v>0</v>
      </c>
      <c r="H625" s="4">
        <f ca="1">IF(F625&lt;PREMISSAS!$D$7,0,IFERROR(VLOOKUP(IF(LEFT(F625,2)="13",DATE(YEAR(F624),12,31),F625),IPCA!$A$3:$D$284,4,FALSE),1)*G625)</f>
        <v>0</v>
      </c>
      <c r="J625" s="21" t="str">
        <f t="shared" ca="1" si="70"/>
        <v/>
      </c>
      <c r="K625" s="4">
        <f t="shared" ca="1" si="71"/>
        <v>0</v>
      </c>
      <c r="M625" s="21" t="str">
        <f t="shared" ca="1" si="69"/>
        <v/>
      </c>
      <c r="N625" s="37">
        <f t="shared" ca="1" si="65"/>
        <v>0</v>
      </c>
      <c r="O625" s="4">
        <f ca="1">IFERROR(AVERAGEIF(N$5:$N625,"&gt;="&amp;_xlfn.PERCENTILE.EXC(N$5:$N625,0.2)),0)</f>
        <v>0</v>
      </c>
      <c r="Q625" s="21" t="str">
        <f t="shared" ca="1" si="66"/>
        <v/>
      </c>
      <c r="R625" s="4">
        <f ca="1">MIN(O625,PREMISSAS!$C$13)</f>
        <v>0</v>
      </c>
      <c r="S625" s="240"/>
      <c r="T625" s="240"/>
    </row>
    <row r="626" spans="2:20" x14ac:dyDescent="0.25">
      <c r="B626" s="21" t="str">
        <f t="shared" ca="1" si="67"/>
        <v/>
      </c>
      <c r="C626" s="22" t="str">
        <f ca="1">IF(B626="","",IF(LEFT(B626,2)="13",C625,IF(MONTH(B626)=1,C625*(1+PREMISSAS!$C$57),C625)))</f>
        <v/>
      </c>
      <c r="E626" s="18">
        <v>622</v>
      </c>
      <c r="F626" s="21" t="str">
        <f t="shared" ca="1" si="68"/>
        <v/>
      </c>
      <c r="G626" s="22">
        <f ca="1">IFERROR(VLOOKUP(F626,RESULTADOS!$O$5:$P$543,2,FALSE),VLOOKUP(F626,$B$5:$C$724,2,FALSE))</f>
        <v>0</v>
      </c>
      <c r="H626" s="4">
        <f ca="1">IF(F626&lt;PREMISSAS!$D$7,0,IFERROR(VLOOKUP(IF(LEFT(F626,2)="13",DATE(YEAR(F625),12,31),F626),IPCA!$A$3:$D$284,4,FALSE),1)*G626)</f>
        <v>0</v>
      </c>
      <c r="J626" s="21" t="str">
        <f t="shared" ca="1" si="70"/>
        <v/>
      </c>
      <c r="K626" s="4">
        <f t="shared" ca="1" si="71"/>
        <v>0</v>
      </c>
      <c r="M626" s="21" t="str">
        <f t="shared" ca="1" si="69"/>
        <v/>
      </c>
      <c r="N626" s="37">
        <f t="shared" ca="1" si="65"/>
        <v>0</v>
      </c>
      <c r="O626" s="4">
        <f ca="1">IFERROR(AVERAGEIF(N$5:$N626,"&gt;="&amp;_xlfn.PERCENTILE.EXC(N$5:$N626,0.2)),0)</f>
        <v>0</v>
      </c>
      <c r="Q626" s="21" t="str">
        <f t="shared" ca="1" si="66"/>
        <v/>
      </c>
      <c r="R626" s="4">
        <f ca="1">MIN(O626,PREMISSAS!$C$13)</f>
        <v>0</v>
      </c>
      <c r="S626" s="240"/>
      <c r="T626" s="240"/>
    </row>
    <row r="627" spans="2:20" x14ac:dyDescent="0.25">
      <c r="B627" s="21" t="str">
        <f t="shared" ca="1" si="67"/>
        <v/>
      </c>
      <c r="C627" s="22" t="str">
        <f ca="1">IF(B627="","",IF(LEFT(B627,2)="13",C626,IF(MONTH(B627)=1,C626*(1+PREMISSAS!$C$57),C626)))</f>
        <v/>
      </c>
      <c r="E627" s="18">
        <v>623</v>
      </c>
      <c r="F627" s="21" t="str">
        <f t="shared" ca="1" si="68"/>
        <v/>
      </c>
      <c r="G627" s="22">
        <f ca="1">IFERROR(VLOOKUP(F627,RESULTADOS!$O$5:$P$543,2,FALSE),VLOOKUP(F627,$B$5:$C$724,2,FALSE))</f>
        <v>0</v>
      </c>
      <c r="H627" s="4">
        <f ca="1">IF(F627&lt;PREMISSAS!$D$7,0,IFERROR(VLOOKUP(IF(LEFT(F627,2)="13",DATE(YEAR(F626),12,31),F627),IPCA!$A$3:$D$284,4,FALSE),1)*G627)</f>
        <v>0</v>
      </c>
      <c r="J627" s="21" t="str">
        <f t="shared" ca="1" si="70"/>
        <v/>
      </c>
      <c r="K627" s="4">
        <f t="shared" ca="1" si="71"/>
        <v>0</v>
      </c>
      <c r="M627" s="21" t="str">
        <f t="shared" ca="1" si="69"/>
        <v/>
      </c>
      <c r="N627" s="37">
        <f t="shared" ca="1" si="65"/>
        <v>0</v>
      </c>
      <c r="O627" s="4">
        <f ca="1">IFERROR(AVERAGEIF(N$5:$N627,"&gt;="&amp;_xlfn.PERCENTILE.EXC(N$5:$N627,0.2)),0)</f>
        <v>0</v>
      </c>
      <c r="Q627" s="21" t="str">
        <f t="shared" ca="1" si="66"/>
        <v/>
      </c>
      <c r="R627" s="4">
        <f ca="1">MIN(O627,PREMISSAS!$C$13)</f>
        <v>0</v>
      </c>
      <c r="S627" s="240"/>
      <c r="T627" s="240"/>
    </row>
    <row r="628" spans="2:20" x14ac:dyDescent="0.25">
      <c r="B628" s="21" t="str">
        <f t="shared" ca="1" si="67"/>
        <v/>
      </c>
      <c r="C628" s="22" t="str">
        <f ca="1">IF(B628="","",IF(LEFT(B628,2)="13",C627,IF(MONTH(B628)=1,C627*(1+PREMISSAS!$C$57),C627)))</f>
        <v/>
      </c>
      <c r="E628" s="18">
        <v>624</v>
      </c>
      <c r="F628" s="21" t="str">
        <f t="shared" ca="1" si="68"/>
        <v/>
      </c>
      <c r="G628" s="22">
        <f ca="1">IFERROR(VLOOKUP(F628,RESULTADOS!$O$5:$P$543,2,FALSE),VLOOKUP(F628,$B$5:$C$724,2,FALSE))</f>
        <v>0</v>
      </c>
      <c r="H628" s="4">
        <f ca="1">IF(F628&lt;PREMISSAS!$D$7,0,IFERROR(VLOOKUP(IF(LEFT(F628,2)="13",DATE(YEAR(F627),12,31),F628),IPCA!$A$3:$D$284,4,FALSE),1)*G628)</f>
        <v>0</v>
      </c>
      <c r="J628" s="21" t="str">
        <f t="shared" ca="1" si="70"/>
        <v/>
      </c>
      <c r="K628" s="4">
        <f t="shared" ca="1" si="71"/>
        <v>0</v>
      </c>
      <c r="M628" s="21" t="str">
        <f t="shared" ca="1" si="69"/>
        <v/>
      </c>
      <c r="N628" s="37">
        <f t="shared" ca="1" si="65"/>
        <v>0</v>
      </c>
      <c r="O628" s="4">
        <f ca="1">IFERROR(AVERAGEIF(N$5:$N628,"&gt;="&amp;_xlfn.PERCENTILE.EXC(N$5:$N628,0.2)),0)</f>
        <v>0</v>
      </c>
      <c r="Q628" s="21" t="str">
        <f t="shared" ca="1" si="66"/>
        <v/>
      </c>
      <c r="R628" s="4">
        <f ca="1">MIN(O628,PREMISSAS!$C$13)</f>
        <v>0</v>
      </c>
      <c r="S628" s="240"/>
      <c r="T628" s="240"/>
    </row>
    <row r="629" spans="2:20" x14ac:dyDescent="0.25">
      <c r="B629" s="21" t="str">
        <f t="shared" ca="1" si="67"/>
        <v/>
      </c>
      <c r="C629" s="22" t="str">
        <f ca="1">IF(B629="","",IF(LEFT(B629,2)="13",C628,IF(MONTH(B629)=1,C628*(1+PREMISSAS!$C$57),C628)))</f>
        <v/>
      </c>
      <c r="E629" s="18">
        <v>625</v>
      </c>
      <c r="F629" s="21" t="str">
        <f t="shared" ca="1" si="68"/>
        <v/>
      </c>
      <c r="G629" s="22">
        <f ca="1">IFERROR(VLOOKUP(F629,RESULTADOS!$O$5:$P$543,2,FALSE),VLOOKUP(F629,$B$5:$C$724,2,FALSE))</f>
        <v>0</v>
      </c>
      <c r="H629" s="4">
        <f ca="1">IF(F629&lt;PREMISSAS!$D$7,0,IFERROR(VLOOKUP(IF(LEFT(F629,2)="13",DATE(YEAR(F628),12,31),F629),IPCA!$A$3:$D$284,4,FALSE),1)*G629)</f>
        <v>0</v>
      </c>
      <c r="J629" s="21" t="str">
        <f t="shared" ref="J629:J640" ca="1" si="72">F629</f>
        <v/>
      </c>
      <c r="K629" s="4">
        <f t="shared" ref="K629:K640" ca="1" si="73">G629</f>
        <v>0</v>
      </c>
      <c r="M629" s="21" t="str">
        <f t="shared" ca="1" si="69"/>
        <v/>
      </c>
      <c r="N629" s="37">
        <f t="shared" ref="N629:N640" ca="1" si="74">IFERROR(VLOOKUP(M629,$F$5:$H$628,3,FALSE),0)</f>
        <v>0</v>
      </c>
      <c r="O629" s="4">
        <f ca="1">IFERROR(AVERAGEIF(N$5:$N629,"&gt;="&amp;_xlfn.PERCENTILE.EXC(N$5:$N629,0.2)),0)</f>
        <v>0</v>
      </c>
      <c r="Q629" s="21" t="str">
        <f t="shared" ref="Q629:Q640" ca="1" si="75">M629</f>
        <v/>
      </c>
      <c r="R629" s="4">
        <f ca="1">MIN(O629,PREMISSAS!$C$13)</f>
        <v>0</v>
      </c>
      <c r="S629" s="240"/>
      <c r="T629" s="240"/>
    </row>
    <row r="630" spans="2:20" x14ac:dyDescent="0.25">
      <c r="B630" s="21" t="str">
        <f t="shared" ca="1" si="67"/>
        <v/>
      </c>
      <c r="C630" s="22" t="str">
        <f ca="1">IF(B630="","",IF(LEFT(B630,2)="13",C629,IF(MONTH(B630)=1,C629*(1+PREMISSAS!$C$57),C629)))</f>
        <v/>
      </c>
      <c r="E630" s="18">
        <v>626</v>
      </c>
      <c r="F630" s="21" t="str">
        <f t="shared" ca="1" si="68"/>
        <v/>
      </c>
      <c r="G630" s="22">
        <f ca="1">IFERROR(VLOOKUP(F630,RESULTADOS!$O$5:$P$543,2,FALSE),VLOOKUP(F630,$B$5:$C$724,2,FALSE))</f>
        <v>0</v>
      </c>
      <c r="H630" s="4">
        <f ca="1">IF(F630&lt;PREMISSAS!$D$7,0,IFERROR(VLOOKUP(IF(LEFT(F630,2)="13",DATE(YEAR(F629),12,31),F630),IPCA!$A$3:$D$284,4,FALSE),1)*G630)</f>
        <v>0</v>
      </c>
      <c r="J630" s="21" t="str">
        <f t="shared" ca="1" si="72"/>
        <v/>
      </c>
      <c r="K630" s="4">
        <f t="shared" ca="1" si="73"/>
        <v>0</v>
      </c>
      <c r="M630" s="21" t="str">
        <f t="shared" ca="1" si="69"/>
        <v/>
      </c>
      <c r="N630" s="37">
        <f t="shared" ca="1" si="74"/>
        <v>0</v>
      </c>
      <c r="O630" s="4">
        <f ca="1">IFERROR(AVERAGEIF(N$5:$N630,"&gt;="&amp;_xlfn.PERCENTILE.EXC(N$5:$N630,0.2)),0)</f>
        <v>0</v>
      </c>
      <c r="Q630" s="21" t="str">
        <f t="shared" ca="1" si="75"/>
        <v/>
      </c>
      <c r="R630" s="4">
        <f ca="1">MIN(O630,PREMISSAS!$C$13)</f>
        <v>0</v>
      </c>
      <c r="S630" s="240"/>
      <c r="T630" s="240"/>
    </row>
    <row r="631" spans="2:20" x14ac:dyDescent="0.25">
      <c r="B631" s="21" t="str">
        <f t="shared" ca="1" si="67"/>
        <v/>
      </c>
      <c r="C631" s="22" t="str">
        <f ca="1">IF(B631="","",IF(LEFT(B631,2)="13",C630,IF(MONTH(B631)=1,C630*(1+PREMISSAS!$C$57),C630)))</f>
        <v/>
      </c>
      <c r="E631" s="18">
        <v>627</v>
      </c>
      <c r="F631" s="21" t="str">
        <f t="shared" ca="1" si="68"/>
        <v/>
      </c>
      <c r="G631" s="22">
        <f ca="1">IFERROR(VLOOKUP(F631,RESULTADOS!$O$5:$P$543,2,FALSE),VLOOKUP(F631,$B$5:$C$724,2,FALSE))</f>
        <v>0</v>
      </c>
      <c r="H631" s="4">
        <f ca="1">IF(F631&lt;PREMISSAS!$D$7,0,IFERROR(VLOOKUP(IF(LEFT(F631,2)="13",DATE(YEAR(F630),12,31),F631),IPCA!$A$3:$D$284,4,FALSE),1)*G631)</f>
        <v>0</v>
      </c>
      <c r="J631" s="21" t="str">
        <f t="shared" ca="1" si="72"/>
        <v/>
      </c>
      <c r="K631" s="4">
        <f t="shared" ca="1" si="73"/>
        <v>0</v>
      </c>
      <c r="M631" s="21" t="str">
        <f t="shared" ca="1" si="69"/>
        <v/>
      </c>
      <c r="N631" s="37">
        <f t="shared" ca="1" si="74"/>
        <v>0</v>
      </c>
      <c r="O631" s="4">
        <f ca="1">IFERROR(AVERAGEIF(N$5:$N631,"&gt;="&amp;_xlfn.PERCENTILE.EXC(N$5:$N631,0.2)),0)</f>
        <v>0</v>
      </c>
      <c r="Q631" s="21" t="str">
        <f t="shared" ca="1" si="75"/>
        <v/>
      </c>
      <c r="R631" s="4">
        <f ca="1">MIN(O631,PREMISSAS!$C$13)</f>
        <v>0</v>
      </c>
      <c r="S631" s="240"/>
      <c r="T631" s="240"/>
    </row>
    <row r="632" spans="2:20" x14ac:dyDescent="0.25">
      <c r="B632" s="21" t="str">
        <f t="shared" ca="1" si="67"/>
        <v/>
      </c>
      <c r="C632" s="22" t="str">
        <f ca="1">IF(B632="","",IF(LEFT(B632,2)="13",C631,IF(MONTH(B632)=1,C631*(1+PREMISSAS!$C$57),C631)))</f>
        <v/>
      </c>
      <c r="E632" s="18">
        <v>628</v>
      </c>
      <c r="F632" s="21" t="str">
        <f t="shared" ca="1" si="68"/>
        <v/>
      </c>
      <c r="G632" s="22">
        <f ca="1">IFERROR(VLOOKUP(F632,RESULTADOS!$O$5:$P$543,2,FALSE),VLOOKUP(F632,$B$5:$C$724,2,FALSE))</f>
        <v>0</v>
      </c>
      <c r="H632" s="4">
        <f ca="1">IF(F632&lt;PREMISSAS!$D$7,0,IFERROR(VLOOKUP(IF(LEFT(F632,2)="13",DATE(YEAR(F631),12,31),F632),IPCA!$A$3:$D$284,4,FALSE),1)*G632)</f>
        <v>0</v>
      </c>
      <c r="J632" s="21" t="str">
        <f t="shared" ca="1" si="72"/>
        <v/>
      </c>
      <c r="K632" s="4">
        <f t="shared" ca="1" si="73"/>
        <v>0</v>
      </c>
      <c r="M632" s="21" t="str">
        <f t="shared" ca="1" si="69"/>
        <v/>
      </c>
      <c r="N632" s="37">
        <f t="shared" ca="1" si="74"/>
        <v>0</v>
      </c>
      <c r="O632" s="4">
        <f ca="1">IFERROR(AVERAGEIF(N$5:$N632,"&gt;="&amp;_xlfn.PERCENTILE.EXC(N$5:$N632,0.2)),0)</f>
        <v>0</v>
      </c>
      <c r="Q632" s="21" t="str">
        <f t="shared" ca="1" si="75"/>
        <v/>
      </c>
      <c r="R632" s="4">
        <f ca="1">MIN(O632,PREMISSAS!$C$13)</f>
        <v>0</v>
      </c>
      <c r="S632" s="240"/>
      <c r="T632" s="240"/>
    </row>
    <row r="633" spans="2:20" x14ac:dyDescent="0.25">
      <c r="B633" s="21" t="str">
        <f t="shared" ca="1" si="67"/>
        <v/>
      </c>
      <c r="C633" s="22" t="str">
        <f ca="1">IF(B633="","",IF(LEFT(B633,2)="13",C632,IF(MONTH(B633)=1,C632*(1+PREMISSAS!$C$57),C632)))</f>
        <v/>
      </c>
      <c r="E633" s="18">
        <v>629</v>
      </c>
      <c r="F633" s="21" t="str">
        <f t="shared" ca="1" si="68"/>
        <v/>
      </c>
      <c r="G633" s="22">
        <f ca="1">IFERROR(VLOOKUP(F633,RESULTADOS!$O$5:$P$543,2,FALSE),VLOOKUP(F633,$B$5:$C$724,2,FALSE))</f>
        <v>0</v>
      </c>
      <c r="H633" s="4">
        <f ca="1">IF(F633&lt;PREMISSAS!$D$7,0,IFERROR(VLOOKUP(IF(LEFT(F633,2)="13",DATE(YEAR(F632),12,31),F633),IPCA!$A$3:$D$284,4,FALSE),1)*G633)</f>
        <v>0</v>
      </c>
      <c r="J633" s="21" t="str">
        <f t="shared" ca="1" si="72"/>
        <v/>
      </c>
      <c r="K633" s="4">
        <f t="shared" ca="1" si="73"/>
        <v>0</v>
      </c>
      <c r="M633" s="21" t="str">
        <f t="shared" ca="1" si="69"/>
        <v/>
      </c>
      <c r="N633" s="37">
        <f t="shared" ca="1" si="74"/>
        <v>0</v>
      </c>
      <c r="O633" s="4">
        <f ca="1">IFERROR(AVERAGEIF(N$5:$N633,"&gt;="&amp;_xlfn.PERCENTILE.EXC(N$5:$N633,0.2)),0)</f>
        <v>0</v>
      </c>
      <c r="Q633" s="21" t="str">
        <f t="shared" ca="1" si="75"/>
        <v/>
      </c>
      <c r="R633" s="4">
        <f ca="1">MIN(O633,PREMISSAS!$C$13)</f>
        <v>0</v>
      </c>
      <c r="S633" s="240"/>
      <c r="T633" s="240"/>
    </row>
    <row r="634" spans="2:20" x14ac:dyDescent="0.25">
      <c r="B634" s="21" t="str">
        <f t="shared" ca="1" si="67"/>
        <v/>
      </c>
      <c r="C634" s="22" t="str">
        <f ca="1">IF(B634="","",IF(LEFT(B634,2)="13",C633,IF(MONTH(B634)=1,C633*(1+PREMISSAS!$C$57),C633)))</f>
        <v/>
      </c>
      <c r="E634" s="18">
        <v>630</v>
      </c>
      <c r="F634" s="21" t="str">
        <f t="shared" ca="1" si="68"/>
        <v/>
      </c>
      <c r="G634" s="22">
        <f ca="1">IFERROR(VLOOKUP(F634,RESULTADOS!$O$5:$P$543,2,FALSE),VLOOKUP(F634,$B$5:$C$724,2,FALSE))</f>
        <v>0</v>
      </c>
      <c r="H634" s="4">
        <f ca="1">IF(F634&lt;PREMISSAS!$D$7,0,IFERROR(VLOOKUP(IF(LEFT(F634,2)="13",DATE(YEAR(F633),12,31),F634),IPCA!$A$3:$D$284,4,FALSE),1)*G634)</f>
        <v>0</v>
      </c>
      <c r="J634" s="21" t="str">
        <f t="shared" ca="1" si="72"/>
        <v/>
      </c>
      <c r="K634" s="4">
        <f t="shared" ca="1" si="73"/>
        <v>0</v>
      </c>
      <c r="M634" s="21" t="str">
        <f t="shared" ca="1" si="69"/>
        <v/>
      </c>
      <c r="N634" s="37">
        <f t="shared" ca="1" si="74"/>
        <v>0</v>
      </c>
      <c r="O634" s="4">
        <f ca="1">IFERROR(AVERAGEIF(N$5:$N634,"&gt;="&amp;_xlfn.PERCENTILE.EXC(N$5:$N634,0.2)),0)</f>
        <v>0</v>
      </c>
      <c r="Q634" s="21" t="str">
        <f t="shared" ca="1" si="75"/>
        <v/>
      </c>
      <c r="R634" s="4">
        <f ca="1">MIN(O634,PREMISSAS!$C$13)</f>
        <v>0</v>
      </c>
      <c r="S634" s="240"/>
      <c r="T634" s="240"/>
    </row>
    <row r="635" spans="2:20" x14ac:dyDescent="0.25">
      <c r="B635" s="21" t="str">
        <f t="shared" ca="1" si="67"/>
        <v/>
      </c>
      <c r="C635" s="22" t="str">
        <f ca="1">IF(B635="","",IF(LEFT(B635,2)="13",C634,IF(MONTH(B635)=1,C634*(1+PREMISSAS!$C$57),C634)))</f>
        <v/>
      </c>
      <c r="E635" s="18">
        <v>631</v>
      </c>
      <c r="F635" s="21" t="str">
        <f t="shared" ca="1" si="68"/>
        <v/>
      </c>
      <c r="G635" s="22">
        <f ca="1">IFERROR(VLOOKUP(F635,RESULTADOS!$O$5:$P$543,2,FALSE),VLOOKUP(F635,$B$5:$C$724,2,FALSE))</f>
        <v>0</v>
      </c>
      <c r="H635" s="4">
        <f ca="1">IF(F635&lt;PREMISSAS!$D$7,0,IFERROR(VLOOKUP(IF(LEFT(F635,2)="13",DATE(YEAR(F634),12,31),F635),IPCA!$A$3:$D$284,4,FALSE),1)*G635)</f>
        <v>0</v>
      </c>
      <c r="J635" s="21" t="str">
        <f t="shared" ca="1" si="72"/>
        <v/>
      </c>
      <c r="K635" s="4">
        <f t="shared" ca="1" si="73"/>
        <v>0</v>
      </c>
      <c r="M635" s="21" t="str">
        <f t="shared" ca="1" si="69"/>
        <v/>
      </c>
      <c r="N635" s="37">
        <f t="shared" ca="1" si="74"/>
        <v>0</v>
      </c>
      <c r="O635" s="4">
        <f ca="1">IFERROR(AVERAGEIF(N$5:$N635,"&gt;="&amp;_xlfn.PERCENTILE.EXC(N$5:$N635,0.2)),0)</f>
        <v>0</v>
      </c>
      <c r="Q635" s="21" t="str">
        <f t="shared" ca="1" si="75"/>
        <v/>
      </c>
      <c r="R635" s="4">
        <f ca="1">MIN(O635,PREMISSAS!$C$13)</f>
        <v>0</v>
      </c>
      <c r="S635" s="240"/>
      <c r="T635" s="240"/>
    </row>
    <row r="636" spans="2:20" x14ac:dyDescent="0.25">
      <c r="B636" s="21" t="str">
        <f t="shared" ca="1" si="67"/>
        <v/>
      </c>
      <c r="C636" s="22" t="str">
        <f ca="1">IF(B636="","",IF(LEFT(B636,2)="13",C635,IF(MONTH(B636)=1,C635*(1+PREMISSAS!$C$57),C635)))</f>
        <v/>
      </c>
      <c r="E636" s="18">
        <v>632</v>
      </c>
      <c r="F636" s="21" t="str">
        <f t="shared" ca="1" si="68"/>
        <v/>
      </c>
      <c r="G636" s="22">
        <f ca="1">IFERROR(VLOOKUP(F636,RESULTADOS!$O$5:$P$543,2,FALSE),VLOOKUP(F636,$B$5:$C$724,2,FALSE))</f>
        <v>0</v>
      </c>
      <c r="H636" s="4">
        <f ca="1">IF(F636&lt;PREMISSAS!$D$7,0,IFERROR(VLOOKUP(IF(LEFT(F636,2)="13",DATE(YEAR(F635),12,31),F636),IPCA!$A$3:$D$284,4,FALSE),1)*G636)</f>
        <v>0</v>
      </c>
      <c r="J636" s="21" t="str">
        <f t="shared" ca="1" si="72"/>
        <v/>
      </c>
      <c r="K636" s="4">
        <f t="shared" ca="1" si="73"/>
        <v>0</v>
      </c>
      <c r="M636" s="21" t="str">
        <f t="shared" ca="1" si="69"/>
        <v/>
      </c>
      <c r="N636" s="37">
        <f t="shared" ca="1" si="74"/>
        <v>0</v>
      </c>
      <c r="O636" s="4">
        <f ca="1">IFERROR(AVERAGEIF(N$5:$N636,"&gt;="&amp;_xlfn.PERCENTILE.EXC(N$5:$N636,0.2)),0)</f>
        <v>0</v>
      </c>
      <c r="Q636" s="21" t="str">
        <f t="shared" ca="1" si="75"/>
        <v/>
      </c>
      <c r="R636" s="4">
        <f ca="1">MIN(O636,PREMISSAS!$C$13)</f>
        <v>0</v>
      </c>
      <c r="S636" s="240"/>
      <c r="T636" s="240"/>
    </row>
    <row r="637" spans="2:20" x14ac:dyDescent="0.25">
      <c r="B637" s="21" t="str">
        <f t="shared" ca="1" si="67"/>
        <v/>
      </c>
      <c r="C637" s="22" t="str">
        <f ca="1">IF(B637="","",IF(LEFT(B637,2)="13",C636,IF(MONTH(B637)=1,C636*(1+PREMISSAS!$C$57),C636)))</f>
        <v/>
      </c>
      <c r="E637" s="18">
        <v>633</v>
      </c>
      <c r="F637" s="21" t="str">
        <f t="shared" ca="1" si="68"/>
        <v/>
      </c>
      <c r="G637" s="22">
        <f ca="1">IFERROR(VLOOKUP(F637,RESULTADOS!$O$5:$P$543,2,FALSE),VLOOKUP(F637,$B$5:$C$724,2,FALSE))</f>
        <v>0</v>
      </c>
      <c r="H637" s="4">
        <f ca="1">IF(F637&lt;PREMISSAS!$D$7,0,IFERROR(VLOOKUP(IF(LEFT(F637,2)="13",DATE(YEAR(F636),12,31),F637),IPCA!$A$3:$D$284,4,FALSE),1)*G637)</f>
        <v>0</v>
      </c>
      <c r="J637" s="21" t="str">
        <f t="shared" ca="1" si="72"/>
        <v/>
      </c>
      <c r="K637" s="4">
        <f t="shared" ca="1" si="73"/>
        <v>0</v>
      </c>
      <c r="M637" s="21" t="str">
        <f t="shared" ca="1" si="69"/>
        <v/>
      </c>
      <c r="N637" s="37">
        <f t="shared" ca="1" si="74"/>
        <v>0</v>
      </c>
      <c r="O637" s="4">
        <f ca="1">IFERROR(AVERAGEIF(N$5:$N637,"&gt;="&amp;_xlfn.PERCENTILE.EXC(N$5:$N637,0.2)),0)</f>
        <v>0</v>
      </c>
      <c r="Q637" s="21" t="str">
        <f t="shared" ca="1" si="75"/>
        <v/>
      </c>
      <c r="R637" s="4">
        <f ca="1">MIN(O637,PREMISSAS!$C$13)</f>
        <v>0</v>
      </c>
      <c r="S637" s="240"/>
      <c r="T637" s="240"/>
    </row>
    <row r="638" spans="2:20" x14ac:dyDescent="0.25">
      <c r="B638" s="21" t="str">
        <f t="shared" ca="1" si="67"/>
        <v/>
      </c>
      <c r="C638" s="22" t="str">
        <f ca="1">IF(B638="","",IF(LEFT(B638,2)="13",C637,IF(MONTH(B638)=1,C637*(1+PREMISSAS!$C$57),C637)))</f>
        <v/>
      </c>
      <c r="E638" s="18">
        <v>634</v>
      </c>
      <c r="F638" s="21" t="str">
        <f t="shared" ca="1" si="68"/>
        <v/>
      </c>
      <c r="G638" s="22">
        <f ca="1">IFERROR(VLOOKUP(F638,RESULTADOS!$O$5:$P$543,2,FALSE),VLOOKUP(F638,$B$5:$C$724,2,FALSE))</f>
        <v>0</v>
      </c>
      <c r="H638" s="4">
        <f ca="1">IF(F638&lt;PREMISSAS!$D$7,0,IFERROR(VLOOKUP(IF(LEFT(F638,2)="13",DATE(YEAR(F637),12,31),F638),IPCA!$A$3:$D$284,4,FALSE),1)*G638)</f>
        <v>0</v>
      </c>
      <c r="J638" s="21" t="str">
        <f t="shared" ca="1" si="72"/>
        <v/>
      </c>
      <c r="K638" s="4">
        <f t="shared" ca="1" si="73"/>
        <v>0</v>
      </c>
      <c r="M638" s="21" t="str">
        <f t="shared" ca="1" si="69"/>
        <v/>
      </c>
      <c r="N638" s="37">
        <f t="shared" ca="1" si="74"/>
        <v>0</v>
      </c>
      <c r="O638" s="4">
        <f ca="1">IFERROR(AVERAGEIF(N$5:$N638,"&gt;="&amp;_xlfn.PERCENTILE.EXC(N$5:$N638,0.2)),0)</f>
        <v>0</v>
      </c>
      <c r="Q638" s="21" t="str">
        <f t="shared" ca="1" si="75"/>
        <v/>
      </c>
      <c r="R638" s="4">
        <f ca="1">MIN(O638,PREMISSAS!$C$13)</f>
        <v>0</v>
      </c>
      <c r="S638" s="240"/>
      <c r="T638" s="240"/>
    </row>
    <row r="639" spans="2:20" x14ac:dyDescent="0.25">
      <c r="B639" s="21" t="str">
        <f t="shared" ca="1" si="67"/>
        <v/>
      </c>
      <c r="C639" s="22" t="str">
        <f ca="1">IF(B639="","",IF(LEFT(B639,2)="13",C638,IF(MONTH(B639)=1,C638*(1+PREMISSAS!$C$57),C638)))</f>
        <v/>
      </c>
      <c r="E639" s="18">
        <v>635</v>
      </c>
      <c r="F639" s="21" t="str">
        <f t="shared" ca="1" si="68"/>
        <v/>
      </c>
      <c r="G639" s="22">
        <f ca="1">IFERROR(VLOOKUP(F639,RESULTADOS!$O$5:$P$543,2,FALSE),VLOOKUP(F639,$B$5:$C$724,2,FALSE))</f>
        <v>0</v>
      </c>
      <c r="H639" s="4">
        <f ca="1">IF(F639&lt;PREMISSAS!$D$7,0,IFERROR(VLOOKUP(IF(LEFT(F639,2)="13",DATE(YEAR(F638),12,31),F639),IPCA!$A$3:$D$284,4,FALSE),1)*G639)</f>
        <v>0</v>
      </c>
      <c r="J639" s="21" t="str">
        <f t="shared" ca="1" si="72"/>
        <v/>
      </c>
      <c r="K639" s="4">
        <f t="shared" ca="1" si="73"/>
        <v>0</v>
      </c>
      <c r="M639" s="21" t="str">
        <f t="shared" ca="1" si="69"/>
        <v/>
      </c>
      <c r="N639" s="37">
        <f t="shared" ca="1" si="74"/>
        <v>0</v>
      </c>
      <c r="O639" s="4">
        <f ca="1">IFERROR(AVERAGEIF(N$5:$N639,"&gt;="&amp;_xlfn.PERCENTILE.EXC(N$5:$N639,0.2)),0)</f>
        <v>0</v>
      </c>
      <c r="Q639" s="21" t="str">
        <f t="shared" ca="1" si="75"/>
        <v/>
      </c>
      <c r="R639" s="4">
        <f ca="1">MIN(O639,PREMISSAS!$C$13)</f>
        <v>0</v>
      </c>
      <c r="S639" s="240"/>
      <c r="T639" s="240"/>
    </row>
    <row r="640" spans="2:20" x14ac:dyDescent="0.25">
      <c r="B640" s="21" t="str">
        <f t="shared" ca="1" si="67"/>
        <v/>
      </c>
      <c r="C640" s="22" t="str">
        <f ca="1">IF(B640="","",IF(LEFT(B640,2)="13",C639,IF(MONTH(B640)=1,C639*(1+PREMISSAS!$C$57),C639)))</f>
        <v/>
      </c>
      <c r="E640" s="18">
        <v>636</v>
      </c>
      <c r="F640" s="21" t="str">
        <f t="shared" ca="1" si="68"/>
        <v/>
      </c>
      <c r="G640" s="22">
        <f ca="1">IFERROR(VLOOKUP(F640,RESULTADOS!$O$5:$P$543,2,FALSE),VLOOKUP(F640,$B$5:$C$724,2,FALSE))</f>
        <v>0</v>
      </c>
      <c r="H640" s="4">
        <f ca="1">IF(F640&lt;PREMISSAS!$D$7,0,IFERROR(VLOOKUP(IF(LEFT(F640,2)="13",DATE(YEAR(F639),12,31),F640),IPCA!$A$3:$D$284,4,FALSE),1)*G640)</f>
        <v>0</v>
      </c>
      <c r="J640" s="21" t="str">
        <f t="shared" ca="1" si="72"/>
        <v/>
      </c>
      <c r="K640" s="4">
        <f t="shared" ca="1" si="73"/>
        <v>0</v>
      </c>
      <c r="M640" s="21" t="str">
        <f t="shared" ca="1" si="69"/>
        <v/>
      </c>
      <c r="N640" s="37">
        <f t="shared" ca="1" si="74"/>
        <v>0</v>
      </c>
      <c r="O640" s="4">
        <f ca="1">IFERROR(AVERAGEIF(N$5:$N640,"&gt;="&amp;_xlfn.PERCENTILE.EXC(N$5:$N640,0.2)),0)</f>
        <v>0</v>
      </c>
      <c r="Q640" s="21" t="str">
        <f t="shared" ca="1" si="75"/>
        <v/>
      </c>
      <c r="R640" s="4">
        <f ca="1">MIN(O640,PREMISSAS!$C$13)</f>
        <v>0</v>
      </c>
      <c r="S640" s="240"/>
      <c r="T640" s="240"/>
    </row>
    <row r="641" spans="2:20" x14ac:dyDescent="0.25">
      <c r="B641" s="21" t="str">
        <f t="shared" ca="1" si="67"/>
        <v/>
      </c>
      <c r="C641" s="22" t="str">
        <f ca="1">IF(B641="","",IF(LEFT(B641,2)="13",C640,IF(MONTH(B641)=1,C640*(1+PREMISSAS!$C$57),C640)))</f>
        <v/>
      </c>
      <c r="E641" s="18">
        <v>637</v>
      </c>
      <c r="F641" s="21" t="str">
        <f t="shared" ca="1" si="68"/>
        <v/>
      </c>
      <c r="G641" s="22">
        <f ca="1">IFERROR(VLOOKUP(F641,RESULTADOS!$O$5:$P$543,2,FALSE),VLOOKUP(F641,$B$5:$C$724,2,FALSE))</f>
        <v>0</v>
      </c>
      <c r="H641" s="4">
        <f ca="1">IF(F641&lt;PREMISSAS!$D$7,0,IFERROR(VLOOKUP(IF(LEFT(F641,2)="13",DATE(YEAR(F640),12,31),F641),IPCA!$A$3:$D$284,4,FALSE),1)*G641)</f>
        <v>0</v>
      </c>
      <c r="J641" s="21" t="str">
        <f t="shared" ref="J641:J653" ca="1" si="76">F641</f>
        <v/>
      </c>
      <c r="K641" s="4">
        <f t="shared" ref="K641:K653" ca="1" si="77">G641</f>
        <v>0</v>
      </c>
      <c r="M641" s="21" t="str">
        <f t="shared" ca="1" si="69"/>
        <v/>
      </c>
      <c r="N641" s="37">
        <f t="shared" ref="N641:N653" ca="1" si="78">IFERROR(VLOOKUP(M641,$F$5:$H$628,3,FALSE),0)</f>
        <v>0</v>
      </c>
      <c r="O641" s="4">
        <f ca="1">IFERROR(AVERAGEIF(N$5:$N641,"&gt;="&amp;_xlfn.PERCENTILE.EXC(N$5:$N641,0.2)),0)</f>
        <v>0</v>
      </c>
      <c r="Q641" s="21" t="str">
        <f t="shared" ref="Q641:Q653" ca="1" si="79">M641</f>
        <v/>
      </c>
      <c r="R641" s="4">
        <f ca="1">MIN(O641,PREMISSAS!$C$13)</f>
        <v>0</v>
      </c>
      <c r="S641" s="240"/>
      <c r="T641" s="240"/>
    </row>
    <row r="642" spans="2:20" x14ac:dyDescent="0.25">
      <c r="B642" s="21" t="str">
        <f t="shared" ca="1" si="67"/>
        <v/>
      </c>
      <c r="C642" s="22" t="str">
        <f ca="1">IF(B642="","",IF(LEFT(B642,2)="13",C641,IF(MONTH(B642)=1,C641*(1+PREMISSAS!$C$57),C641)))</f>
        <v/>
      </c>
      <c r="E642" s="18">
        <v>638</v>
      </c>
      <c r="F642" s="21" t="str">
        <f t="shared" ca="1" si="68"/>
        <v/>
      </c>
      <c r="G642" s="22">
        <f ca="1">IFERROR(VLOOKUP(F642,RESULTADOS!$O$5:$P$543,2,FALSE),VLOOKUP(F642,$B$5:$C$724,2,FALSE))</f>
        <v>0</v>
      </c>
      <c r="H642" s="4">
        <f ca="1">IF(F642&lt;PREMISSAS!$D$7,0,IFERROR(VLOOKUP(IF(LEFT(F642,2)="13",DATE(YEAR(F641),12,31),F642),IPCA!$A$3:$D$284,4,FALSE),1)*G642)</f>
        <v>0</v>
      </c>
      <c r="J642" s="21" t="str">
        <f t="shared" ca="1" si="76"/>
        <v/>
      </c>
      <c r="K642" s="4">
        <f t="shared" ca="1" si="77"/>
        <v>0</v>
      </c>
      <c r="M642" s="21" t="str">
        <f t="shared" ca="1" si="69"/>
        <v/>
      </c>
      <c r="N642" s="37">
        <f t="shared" ca="1" si="78"/>
        <v>0</v>
      </c>
      <c r="O642" s="4">
        <f ca="1">IFERROR(AVERAGEIF(N$5:$N642,"&gt;="&amp;_xlfn.PERCENTILE.EXC(N$5:$N642,0.2)),0)</f>
        <v>0</v>
      </c>
      <c r="Q642" s="21" t="str">
        <f t="shared" ca="1" si="79"/>
        <v/>
      </c>
      <c r="R642" s="4">
        <f ca="1">MIN(O642,PREMISSAS!$C$13)</f>
        <v>0</v>
      </c>
      <c r="S642" s="240"/>
      <c r="T642" s="240"/>
    </row>
    <row r="643" spans="2:20" x14ac:dyDescent="0.25">
      <c r="B643" s="21" t="str">
        <f t="shared" ca="1" si="67"/>
        <v/>
      </c>
      <c r="C643" s="22" t="str">
        <f ca="1">IF(B643="","",IF(LEFT(B643,2)="13",C642,IF(MONTH(B643)=1,C642*(1+PREMISSAS!$C$57),C642)))</f>
        <v/>
      </c>
      <c r="E643" s="18">
        <v>639</v>
      </c>
      <c r="F643" s="21" t="str">
        <f t="shared" ca="1" si="68"/>
        <v/>
      </c>
      <c r="G643" s="22">
        <f ca="1">IFERROR(VLOOKUP(F643,RESULTADOS!$O$5:$P$543,2,FALSE),VLOOKUP(F643,$B$5:$C$724,2,FALSE))</f>
        <v>0</v>
      </c>
      <c r="H643" s="4">
        <f ca="1">IF(F643&lt;PREMISSAS!$D$7,0,IFERROR(VLOOKUP(IF(LEFT(F643,2)="13",DATE(YEAR(F642),12,31),F643),IPCA!$A$3:$D$284,4,FALSE),1)*G643)</f>
        <v>0</v>
      </c>
      <c r="J643" s="21" t="str">
        <f t="shared" ca="1" si="76"/>
        <v/>
      </c>
      <c r="K643" s="4">
        <f t="shared" ca="1" si="77"/>
        <v>0</v>
      </c>
      <c r="M643" s="21" t="str">
        <f t="shared" ca="1" si="69"/>
        <v/>
      </c>
      <c r="N643" s="37">
        <f t="shared" ca="1" si="78"/>
        <v>0</v>
      </c>
      <c r="O643" s="4">
        <f ca="1">IFERROR(AVERAGEIF(N$5:$N643,"&gt;="&amp;_xlfn.PERCENTILE.EXC(N$5:$N643,0.2)),0)</f>
        <v>0</v>
      </c>
      <c r="Q643" s="21" t="str">
        <f t="shared" ca="1" si="79"/>
        <v/>
      </c>
      <c r="R643" s="4">
        <f ca="1">MIN(O643,PREMISSAS!$C$13)</f>
        <v>0</v>
      </c>
      <c r="S643" s="240"/>
      <c r="T643" s="240"/>
    </row>
    <row r="644" spans="2:20" x14ac:dyDescent="0.25">
      <c r="B644" s="21" t="str">
        <f t="shared" ca="1" si="67"/>
        <v/>
      </c>
      <c r="C644" s="22" t="str">
        <f ca="1">IF(B644="","",IF(LEFT(B644,2)="13",C643,IF(MONTH(B644)=1,C643*(1+PREMISSAS!$C$57),C643)))</f>
        <v/>
      </c>
      <c r="E644" s="18">
        <v>640</v>
      </c>
      <c r="F644" s="21" t="str">
        <f t="shared" ca="1" si="68"/>
        <v/>
      </c>
      <c r="G644" s="22">
        <f ca="1">IFERROR(VLOOKUP(F644,RESULTADOS!$O$5:$P$543,2,FALSE),VLOOKUP(F644,$B$5:$C$724,2,FALSE))</f>
        <v>0</v>
      </c>
      <c r="H644" s="4">
        <f ca="1">IF(F644&lt;PREMISSAS!$D$7,0,IFERROR(VLOOKUP(IF(LEFT(F644,2)="13",DATE(YEAR(F643),12,31),F644),IPCA!$A$3:$D$284,4,FALSE),1)*G644)</f>
        <v>0</v>
      </c>
      <c r="J644" s="21" t="str">
        <f t="shared" ca="1" si="76"/>
        <v/>
      </c>
      <c r="K644" s="4">
        <f t="shared" ca="1" si="77"/>
        <v>0</v>
      </c>
      <c r="M644" s="21" t="str">
        <f t="shared" ca="1" si="69"/>
        <v/>
      </c>
      <c r="N644" s="37">
        <f t="shared" ca="1" si="78"/>
        <v>0</v>
      </c>
      <c r="O644" s="4">
        <f ca="1">IFERROR(AVERAGEIF(N$5:$N644,"&gt;="&amp;_xlfn.PERCENTILE.EXC(N$5:$N644,0.2)),0)</f>
        <v>0</v>
      </c>
      <c r="Q644" s="21" t="str">
        <f t="shared" ca="1" si="79"/>
        <v/>
      </c>
      <c r="R644" s="4">
        <f ca="1">MIN(O644,PREMISSAS!$C$13)</f>
        <v>0</v>
      </c>
      <c r="S644" s="240"/>
      <c r="T644" s="240"/>
    </row>
    <row r="645" spans="2:20" x14ac:dyDescent="0.25">
      <c r="B645" s="21" t="str">
        <f t="shared" ca="1" si="67"/>
        <v/>
      </c>
      <c r="C645" s="22" t="str">
        <f ca="1">IF(B645="","",IF(LEFT(B645,2)="13",C644,IF(MONTH(B645)=1,C644*(1+PREMISSAS!$C$57),C644)))</f>
        <v/>
      </c>
      <c r="E645" s="18">
        <v>641</v>
      </c>
      <c r="F645" s="21" t="str">
        <f t="shared" ca="1" si="68"/>
        <v/>
      </c>
      <c r="G645" s="22">
        <f ca="1">IFERROR(VLOOKUP(F645,RESULTADOS!$O$5:$P$543,2,FALSE),VLOOKUP(F645,$B$5:$C$724,2,FALSE))</f>
        <v>0</v>
      </c>
      <c r="H645" s="4">
        <f ca="1">IF(F645&lt;PREMISSAS!$D$7,0,IFERROR(VLOOKUP(IF(LEFT(F645,2)="13",DATE(YEAR(F644),12,31),F645),IPCA!$A$3:$D$284,4,FALSE),1)*G645)</f>
        <v>0</v>
      </c>
      <c r="J645" s="21" t="str">
        <f t="shared" ca="1" si="76"/>
        <v/>
      </c>
      <c r="K645" s="4">
        <f t="shared" ca="1" si="77"/>
        <v>0</v>
      </c>
      <c r="M645" s="21" t="str">
        <f t="shared" ca="1" si="69"/>
        <v/>
      </c>
      <c r="N645" s="37">
        <f t="shared" ca="1" si="78"/>
        <v>0</v>
      </c>
      <c r="O645" s="4">
        <f ca="1">IFERROR(AVERAGEIF(N$5:$N645,"&gt;="&amp;_xlfn.PERCENTILE.EXC(N$5:$N645,0.2)),0)</f>
        <v>0</v>
      </c>
      <c r="Q645" s="21" t="str">
        <f t="shared" ca="1" si="79"/>
        <v/>
      </c>
      <c r="R645" s="4">
        <f ca="1">MIN(O645,PREMISSAS!$C$13)</f>
        <v>0</v>
      </c>
      <c r="S645" s="240"/>
      <c r="T645" s="240"/>
    </row>
    <row r="646" spans="2:20" x14ac:dyDescent="0.25">
      <c r="B646" s="21" t="str">
        <f t="shared" ca="1" si="67"/>
        <v/>
      </c>
      <c r="C646" s="22" t="str">
        <f ca="1">IF(B646="","",IF(LEFT(B646,2)="13",C645,IF(MONTH(B646)=1,C645*(1+PREMISSAS!$C$57),C645)))</f>
        <v/>
      </c>
      <c r="E646" s="18">
        <v>642</v>
      </c>
      <c r="F646" s="21" t="str">
        <f t="shared" ca="1" si="68"/>
        <v/>
      </c>
      <c r="G646" s="22">
        <f ca="1">IFERROR(VLOOKUP(F646,RESULTADOS!$O$5:$P$543,2,FALSE),VLOOKUP(F646,$B$5:$C$724,2,FALSE))</f>
        <v>0</v>
      </c>
      <c r="H646" s="4">
        <f ca="1">IF(F646&lt;PREMISSAS!$D$7,0,IFERROR(VLOOKUP(IF(LEFT(F646,2)="13",DATE(YEAR(F645),12,31),F646),IPCA!$A$3:$D$284,4,FALSE),1)*G646)</f>
        <v>0</v>
      </c>
      <c r="J646" s="21" t="str">
        <f t="shared" ca="1" si="76"/>
        <v/>
      </c>
      <c r="K646" s="4">
        <f t="shared" ca="1" si="77"/>
        <v>0</v>
      </c>
      <c r="M646" s="21" t="str">
        <f t="shared" ca="1" si="69"/>
        <v/>
      </c>
      <c r="N646" s="37">
        <f t="shared" ca="1" si="78"/>
        <v>0</v>
      </c>
      <c r="O646" s="4">
        <f ca="1">IFERROR(AVERAGEIF(N$5:$N646,"&gt;="&amp;_xlfn.PERCENTILE.EXC(N$5:$N646,0.2)),0)</f>
        <v>0</v>
      </c>
      <c r="Q646" s="21" t="str">
        <f t="shared" ca="1" si="79"/>
        <v/>
      </c>
      <c r="R646" s="4">
        <f ca="1">MIN(O646,PREMISSAS!$C$13)</f>
        <v>0</v>
      </c>
      <c r="S646" s="240"/>
      <c r="T646" s="240"/>
    </row>
    <row r="647" spans="2:20" x14ac:dyDescent="0.25">
      <c r="B647" s="21" t="str">
        <f t="shared" ref="B647:B710" ca="1" si="80">IFERROR(IF(LEFT(B646,2)="13",DATE(RIGHT(B646,4),12,31),IF(EOMONTH(B646,0)&gt;$F$1,"",IF(MONTH(B646)=11,"13º "&amp;YEAR(B646),EOMONTH(B646,1)))),"")</f>
        <v/>
      </c>
      <c r="C647" s="22" t="str">
        <f ca="1">IF(B647="","",IF(LEFT(B647,2)="13",C646,IF(MONTH(B647)=1,C646*(1+PREMISSAS!$C$57),C646)))</f>
        <v/>
      </c>
      <c r="E647" s="18">
        <v>643</v>
      </c>
      <c r="F647" s="21" t="str">
        <f t="shared" ref="F647:F710" ca="1" si="81">IFERROR(IF(LEFT(F646,2)="13",DATE(RIGHT(F646,4),12,31),IF(EOMONTH(F646,0)&gt;$F$1,"",IF(MONTH(F646)=11,"13º "&amp;YEAR(F646),EOMONTH(F646,1)))),"")</f>
        <v/>
      </c>
      <c r="G647" s="22">
        <f ca="1">IFERROR(VLOOKUP(F647,RESULTADOS!$O$5:$P$543,2,FALSE),VLOOKUP(F647,$B$5:$C$724,2,FALSE))</f>
        <v>0</v>
      </c>
      <c r="H647" s="4">
        <f ca="1">IF(F647&lt;PREMISSAS!$D$7,0,IFERROR(VLOOKUP(IF(LEFT(F647,2)="13",DATE(YEAR(F646),12,31),F647),IPCA!$A$3:$D$284,4,FALSE),1)*G647)</f>
        <v>0</v>
      </c>
      <c r="J647" s="21" t="str">
        <f t="shared" ca="1" si="76"/>
        <v/>
      </c>
      <c r="K647" s="4">
        <f t="shared" ca="1" si="77"/>
        <v>0</v>
      </c>
      <c r="M647" s="21" t="str">
        <f t="shared" ref="M647:M710" ca="1" si="82">IFERROR(IF(LEFT(M646,2)="13",DATE(RIGHT(M646,4),12,31),IF(EOMONTH(M646,0)&gt;$F$1,"",IF(MONTH(M646)=11,"13º "&amp;YEAR(M646),EOMONTH(M646,1)))),"")</f>
        <v/>
      </c>
      <c r="N647" s="37">
        <f t="shared" ca="1" si="78"/>
        <v>0</v>
      </c>
      <c r="O647" s="4">
        <f ca="1">IFERROR(AVERAGEIF(N$5:$N647,"&gt;="&amp;_xlfn.PERCENTILE.EXC(N$5:$N647,0.2)),0)</f>
        <v>0</v>
      </c>
      <c r="Q647" s="21" t="str">
        <f t="shared" ca="1" si="79"/>
        <v/>
      </c>
      <c r="R647" s="4">
        <f ca="1">MIN(O647,PREMISSAS!$C$13)</f>
        <v>0</v>
      </c>
      <c r="S647" s="240"/>
      <c r="T647" s="240"/>
    </row>
    <row r="648" spans="2:20" x14ac:dyDescent="0.25">
      <c r="B648" s="21" t="str">
        <f t="shared" ca="1" si="80"/>
        <v/>
      </c>
      <c r="C648" s="22" t="str">
        <f ca="1">IF(B648="","",IF(LEFT(B648,2)="13",C647,IF(MONTH(B648)=1,C647*(1+PREMISSAS!$C$57),C647)))</f>
        <v/>
      </c>
      <c r="E648" s="18">
        <v>644</v>
      </c>
      <c r="F648" s="21" t="str">
        <f t="shared" ca="1" si="81"/>
        <v/>
      </c>
      <c r="G648" s="22">
        <f ca="1">IFERROR(VLOOKUP(F648,RESULTADOS!$O$5:$P$543,2,FALSE),VLOOKUP(F648,$B$5:$C$724,2,FALSE))</f>
        <v>0</v>
      </c>
      <c r="H648" s="4">
        <f ca="1">IF(F648&lt;PREMISSAS!$D$7,0,IFERROR(VLOOKUP(IF(LEFT(F648,2)="13",DATE(YEAR(F647),12,31),F648),IPCA!$A$3:$D$284,4,FALSE),1)*G648)</f>
        <v>0</v>
      </c>
      <c r="J648" s="21" t="str">
        <f t="shared" ca="1" si="76"/>
        <v/>
      </c>
      <c r="K648" s="4">
        <f t="shared" ca="1" si="77"/>
        <v>0</v>
      </c>
      <c r="M648" s="21" t="str">
        <f t="shared" ca="1" si="82"/>
        <v/>
      </c>
      <c r="N648" s="37">
        <f t="shared" ca="1" si="78"/>
        <v>0</v>
      </c>
      <c r="O648" s="4">
        <f ca="1">IFERROR(AVERAGEIF(N$5:$N648,"&gt;="&amp;_xlfn.PERCENTILE.EXC(N$5:$N648,0.2)),0)</f>
        <v>0</v>
      </c>
      <c r="Q648" s="21" t="str">
        <f t="shared" ca="1" si="79"/>
        <v/>
      </c>
      <c r="R648" s="4">
        <f ca="1">MIN(O648,PREMISSAS!$C$13)</f>
        <v>0</v>
      </c>
      <c r="S648" s="240"/>
      <c r="T648" s="240"/>
    </row>
    <row r="649" spans="2:20" x14ac:dyDescent="0.25">
      <c r="B649" s="21" t="str">
        <f t="shared" ca="1" si="80"/>
        <v/>
      </c>
      <c r="C649" s="22" t="str">
        <f ca="1">IF(B649="","",IF(LEFT(B649,2)="13",C648,IF(MONTH(B649)=1,C648*(1+PREMISSAS!$C$57),C648)))</f>
        <v/>
      </c>
      <c r="E649" s="18">
        <v>645</v>
      </c>
      <c r="F649" s="21" t="str">
        <f t="shared" ca="1" si="81"/>
        <v/>
      </c>
      <c r="G649" s="22">
        <f ca="1">IFERROR(VLOOKUP(F649,RESULTADOS!$O$5:$P$543,2,FALSE),VLOOKUP(F649,$B$5:$C$724,2,FALSE))</f>
        <v>0</v>
      </c>
      <c r="H649" s="4">
        <f ca="1">IF(F649&lt;PREMISSAS!$D$7,0,IFERROR(VLOOKUP(IF(LEFT(F649,2)="13",DATE(YEAR(F648),12,31),F649),IPCA!$A$3:$D$284,4,FALSE),1)*G649)</f>
        <v>0</v>
      </c>
      <c r="J649" s="21" t="str">
        <f t="shared" ca="1" si="76"/>
        <v/>
      </c>
      <c r="K649" s="4">
        <f t="shared" ca="1" si="77"/>
        <v>0</v>
      </c>
      <c r="M649" s="21" t="str">
        <f t="shared" ca="1" si="82"/>
        <v/>
      </c>
      <c r="N649" s="37">
        <f t="shared" ca="1" si="78"/>
        <v>0</v>
      </c>
      <c r="O649" s="4">
        <f ca="1">IFERROR(AVERAGEIF(N$5:$N649,"&gt;="&amp;_xlfn.PERCENTILE.EXC(N$5:$N649,0.2)),0)</f>
        <v>0</v>
      </c>
      <c r="Q649" s="21" t="str">
        <f t="shared" ca="1" si="79"/>
        <v/>
      </c>
      <c r="R649" s="4">
        <f ca="1">MIN(O649,PREMISSAS!$C$13)</f>
        <v>0</v>
      </c>
      <c r="S649" s="240"/>
      <c r="T649" s="240"/>
    </row>
    <row r="650" spans="2:20" x14ac:dyDescent="0.25">
      <c r="B650" s="21" t="str">
        <f t="shared" ca="1" si="80"/>
        <v/>
      </c>
      <c r="C650" s="22" t="str">
        <f ca="1">IF(B650="","",IF(LEFT(B650,2)="13",C649,IF(MONTH(B650)=1,C649*(1+PREMISSAS!$C$57),C649)))</f>
        <v/>
      </c>
      <c r="E650" s="18">
        <v>646</v>
      </c>
      <c r="F650" s="21" t="str">
        <f t="shared" ca="1" si="81"/>
        <v/>
      </c>
      <c r="G650" s="22">
        <f ca="1">IFERROR(VLOOKUP(F650,RESULTADOS!$O$5:$P$543,2,FALSE),VLOOKUP(F650,$B$5:$C$724,2,FALSE))</f>
        <v>0</v>
      </c>
      <c r="H650" s="4">
        <f ca="1">IF(F650&lt;PREMISSAS!$D$7,0,IFERROR(VLOOKUP(IF(LEFT(F650,2)="13",DATE(YEAR(F649),12,31),F650),IPCA!$A$3:$D$284,4,FALSE),1)*G650)</f>
        <v>0</v>
      </c>
      <c r="J650" s="21" t="str">
        <f t="shared" ca="1" si="76"/>
        <v/>
      </c>
      <c r="K650" s="4">
        <f t="shared" ca="1" si="77"/>
        <v>0</v>
      </c>
      <c r="M650" s="21" t="str">
        <f t="shared" ca="1" si="82"/>
        <v/>
      </c>
      <c r="N650" s="37">
        <f t="shared" ca="1" si="78"/>
        <v>0</v>
      </c>
      <c r="O650" s="4">
        <f ca="1">IFERROR(AVERAGEIF(N$5:$N650,"&gt;="&amp;_xlfn.PERCENTILE.EXC(N$5:$N650,0.2)),0)</f>
        <v>0</v>
      </c>
      <c r="Q650" s="21" t="str">
        <f t="shared" ca="1" si="79"/>
        <v/>
      </c>
      <c r="R650" s="4">
        <f ca="1">MIN(O650,PREMISSAS!$C$13)</f>
        <v>0</v>
      </c>
      <c r="S650" s="240"/>
      <c r="T650" s="240"/>
    </row>
    <row r="651" spans="2:20" x14ac:dyDescent="0.25">
      <c r="B651" s="21" t="str">
        <f t="shared" ca="1" si="80"/>
        <v/>
      </c>
      <c r="C651" s="22" t="str">
        <f ca="1">IF(B651="","",IF(LEFT(B651,2)="13",C650,IF(MONTH(B651)=1,C650*(1+PREMISSAS!$C$57),C650)))</f>
        <v/>
      </c>
      <c r="E651" s="18">
        <v>647</v>
      </c>
      <c r="F651" s="21" t="str">
        <f t="shared" ca="1" si="81"/>
        <v/>
      </c>
      <c r="G651" s="22">
        <f ca="1">IFERROR(VLOOKUP(F651,RESULTADOS!$O$5:$P$543,2,FALSE),VLOOKUP(F651,$B$5:$C$724,2,FALSE))</f>
        <v>0</v>
      </c>
      <c r="H651" s="4">
        <f ca="1">IF(F651&lt;PREMISSAS!$D$7,0,IFERROR(VLOOKUP(IF(LEFT(F651,2)="13",DATE(YEAR(F650),12,31),F651),IPCA!$A$3:$D$284,4,FALSE),1)*G651)</f>
        <v>0</v>
      </c>
      <c r="J651" s="21" t="str">
        <f t="shared" ca="1" si="76"/>
        <v/>
      </c>
      <c r="K651" s="4">
        <f t="shared" ca="1" si="77"/>
        <v>0</v>
      </c>
      <c r="M651" s="21" t="str">
        <f t="shared" ca="1" si="82"/>
        <v/>
      </c>
      <c r="N651" s="37">
        <f t="shared" ca="1" si="78"/>
        <v>0</v>
      </c>
      <c r="O651" s="4">
        <f ca="1">IFERROR(AVERAGEIF(N$5:$N651,"&gt;="&amp;_xlfn.PERCENTILE.EXC(N$5:$N651,0.2)),0)</f>
        <v>0</v>
      </c>
      <c r="Q651" s="21" t="str">
        <f t="shared" ca="1" si="79"/>
        <v/>
      </c>
      <c r="R651" s="4">
        <f ca="1">MIN(O651,PREMISSAS!$C$13)</f>
        <v>0</v>
      </c>
      <c r="S651" s="240"/>
      <c r="T651" s="240"/>
    </row>
    <row r="652" spans="2:20" x14ac:dyDescent="0.25">
      <c r="B652" s="21" t="str">
        <f t="shared" ca="1" si="80"/>
        <v/>
      </c>
      <c r="C652" s="22" t="str">
        <f ca="1">IF(B652="","",IF(LEFT(B652,2)="13",C651,IF(MONTH(B652)=1,C651*(1+PREMISSAS!$C$57),C651)))</f>
        <v/>
      </c>
      <c r="E652" s="18">
        <v>648</v>
      </c>
      <c r="F652" s="21" t="str">
        <f t="shared" ca="1" si="81"/>
        <v/>
      </c>
      <c r="G652" s="22">
        <f ca="1">IFERROR(VLOOKUP(F652,RESULTADOS!$O$5:$P$543,2,FALSE),VLOOKUP(F652,$B$5:$C$724,2,FALSE))</f>
        <v>0</v>
      </c>
      <c r="H652" s="4">
        <f ca="1">IF(F652&lt;PREMISSAS!$D$7,0,IFERROR(VLOOKUP(IF(LEFT(F652,2)="13",DATE(YEAR(F651),12,31),F652),IPCA!$A$3:$D$284,4,FALSE),1)*G652)</f>
        <v>0</v>
      </c>
      <c r="J652" s="21" t="str">
        <f t="shared" ca="1" si="76"/>
        <v/>
      </c>
      <c r="K652" s="4">
        <f t="shared" ca="1" si="77"/>
        <v>0</v>
      </c>
      <c r="M652" s="21" t="str">
        <f t="shared" ca="1" si="82"/>
        <v/>
      </c>
      <c r="N652" s="37">
        <f t="shared" ca="1" si="78"/>
        <v>0</v>
      </c>
      <c r="O652" s="4">
        <f ca="1">IFERROR(AVERAGEIF(N$5:$N652,"&gt;="&amp;_xlfn.PERCENTILE.EXC(N$5:$N652,0.2)),0)</f>
        <v>0</v>
      </c>
      <c r="Q652" s="21" t="str">
        <f t="shared" ca="1" si="79"/>
        <v/>
      </c>
      <c r="R652" s="4">
        <f ca="1">MIN(O652,PREMISSAS!$C$13)</f>
        <v>0</v>
      </c>
      <c r="S652" s="240"/>
      <c r="T652" s="240"/>
    </row>
    <row r="653" spans="2:20" x14ac:dyDescent="0.25">
      <c r="B653" s="21" t="str">
        <f t="shared" ca="1" si="80"/>
        <v/>
      </c>
      <c r="C653" s="22" t="str">
        <f ca="1">IF(B653="","",IF(LEFT(B653,2)="13",C652,IF(MONTH(B653)=1,C652*(1+PREMISSAS!$C$57),C652)))</f>
        <v/>
      </c>
      <c r="E653" s="18">
        <v>649</v>
      </c>
      <c r="F653" s="21" t="str">
        <f t="shared" ca="1" si="81"/>
        <v/>
      </c>
      <c r="G653" s="22">
        <f ca="1">IFERROR(VLOOKUP(F653,RESULTADOS!$O$5:$P$543,2,FALSE),VLOOKUP(F653,$B$5:$C$724,2,FALSE))</f>
        <v>0</v>
      </c>
      <c r="H653" s="4">
        <f ca="1">IF(F653&lt;PREMISSAS!$D$7,0,IFERROR(VLOOKUP(IF(LEFT(F653,2)="13",DATE(YEAR(F652),12,31),F653),IPCA!$A$3:$D$284,4,FALSE),1)*G653)</f>
        <v>0</v>
      </c>
      <c r="J653" s="21" t="str">
        <f t="shared" ca="1" si="76"/>
        <v/>
      </c>
      <c r="K653" s="4">
        <f t="shared" ca="1" si="77"/>
        <v>0</v>
      </c>
      <c r="M653" s="21" t="str">
        <f t="shared" ca="1" si="82"/>
        <v/>
      </c>
      <c r="N653" s="37">
        <f t="shared" ca="1" si="78"/>
        <v>0</v>
      </c>
      <c r="O653" s="4">
        <f ca="1">IFERROR(AVERAGEIF(N$5:$N653,"&gt;="&amp;_xlfn.PERCENTILE.EXC(N$5:$N653,0.2)),0)</f>
        <v>0</v>
      </c>
      <c r="Q653" s="21" t="str">
        <f t="shared" ca="1" si="79"/>
        <v/>
      </c>
      <c r="R653" s="4">
        <f ca="1">MIN(O653,PREMISSAS!$C$13)</f>
        <v>0</v>
      </c>
      <c r="S653" s="240"/>
      <c r="T653" s="240"/>
    </row>
    <row r="654" spans="2:20" x14ac:dyDescent="0.25">
      <c r="B654" s="21" t="str">
        <f t="shared" ca="1" si="80"/>
        <v/>
      </c>
      <c r="C654" s="22" t="str">
        <f ca="1">IF(B654="","",IF(LEFT(B654,2)="13",C653,IF(MONTH(B654)=1,C653*(1+PREMISSAS!$C$57),C653)))</f>
        <v/>
      </c>
      <c r="E654" s="18">
        <v>650</v>
      </c>
      <c r="F654" s="21" t="str">
        <f t="shared" ca="1" si="81"/>
        <v/>
      </c>
      <c r="G654" s="22">
        <f ca="1">IFERROR(VLOOKUP(F654,RESULTADOS!$O$5:$P$543,2,FALSE),VLOOKUP(F654,$B$5:$C$724,2,FALSE))</f>
        <v>0</v>
      </c>
      <c r="H654" s="4">
        <f ca="1">IF(F654&lt;PREMISSAS!$D$7,0,IFERROR(VLOOKUP(IF(LEFT(F654,2)="13",DATE(YEAR(F653),12,31),F654),IPCA!$A$3:$D$284,4,FALSE),1)*G654)</f>
        <v>0</v>
      </c>
      <c r="J654" s="21" t="str">
        <f t="shared" ref="J654:K658" ca="1" si="83">F654</f>
        <v/>
      </c>
      <c r="K654" s="4">
        <f t="shared" ca="1" si="83"/>
        <v>0</v>
      </c>
      <c r="M654" s="21" t="str">
        <f t="shared" ca="1" si="82"/>
        <v/>
      </c>
      <c r="N654" s="37">
        <f ca="1">IFERROR(VLOOKUP(M654,$F$5:$H$628,3,FALSE),0)</f>
        <v>0</v>
      </c>
      <c r="O654" s="4">
        <f ca="1">IFERROR(AVERAGEIF(N$5:$N654,"&gt;="&amp;_xlfn.PERCENTILE.EXC(N$5:$N654,0.2)),0)</f>
        <v>0</v>
      </c>
      <c r="Q654" s="21" t="str">
        <f ca="1">M654</f>
        <v/>
      </c>
      <c r="R654" s="4">
        <f ca="1">MIN(O654,PREMISSAS!$C$13)</f>
        <v>0</v>
      </c>
      <c r="S654" s="240"/>
      <c r="T654" s="240"/>
    </row>
    <row r="655" spans="2:20" x14ac:dyDescent="0.25">
      <c r="B655" s="21" t="str">
        <f t="shared" ca="1" si="80"/>
        <v/>
      </c>
      <c r="C655" s="22" t="str">
        <f ca="1">IF(B655="","",IF(LEFT(B655,2)="13",C654,IF(MONTH(B655)=1,C654*(1+PREMISSAS!$C$57),C654)))</f>
        <v/>
      </c>
      <c r="E655" s="18">
        <v>651</v>
      </c>
      <c r="F655" s="21" t="str">
        <f t="shared" ca="1" si="81"/>
        <v/>
      </c>
      <c r="G655" s="22">
        <f ca="1">IFERROR(VLOOKUP(F655,RESULTADOS!$O$5:$P$543,2,FALSE),VLOOKUP(F655,$B$5:$C$724,2,FALSE))</f>
        <v>0</v>
      </c>
      <c r="H655" s="4">
        <f ca="1">IF(F655&lt;PREMISSAS!$D$7,0,IFERROR(VLOOKUP(IF(LEFT(F655,2)="13",DATE(YEAR(F654),12,31),F655),IPCA!$A$3:$D$284,4,FALSE),1)*G655)</f>
        <v>0</v>
      </c>
      <c r="J655" s="21" t="str">
        <f t="shared" ca="1" si="83"/>
        <v/>
      </c>
      <c r="K655" s="4">
        <f t="shared" ca="1" si="83"/>
        <v>0</v>
      </c>
      <c r="M655" s="21" t="str">
        <f t="shared" ca="1" si="82"/>
        <v/>
      </c>
      <c r="N655" s="37">
        <f ca="1">IFERROR(VLOOKUP(M655,$F$5:$H$628,3,FALSE),0)</f>
        <v>0</v>
      </c>
      <c r="O655" s="4">
        <f ca="1">IFERROR(AVERAGEIF(N$5:$N655,"&gt;="&amp;_xlfn.PERCENTILE.EXC(N$5:$N655,0.2)),0)</f>
        <v>0</v>
      </c>
      <c r="Q655" s="21" t="str">
        <f ca="1">M655</f>
        <v/>
      </c>
      <c r="R655" s="4">
        <f ca="1">MIN(O655,PREMISSAS!$C$13)</f>
        <v>0</v>
      </c>
      <c r="S655" s="240"/>
      <c r="T655" s="240"/>
    </row>
    <row r="656" spans="2:20" x14ac:dyDescent="0.25">
      <c r="B656" s="21" t="str">
        <f t="shared" ca="1" si="80"/>
        <v/>
      </c>
      <c r="C656" s="22" t="str">
        <f ca="1">IF(B656="","",IF(LEFT(B656,2)="13",C655,IF(MONTH(B656)=1,C655*(1+PREMISSAS!$C$57),C655)))</f>
        <v/>
      </c>
      <c r="E656" s="18">
        <v>652</v>
      </c>
      <c r="F656" s="21" t="str">
        <f t="shared" ca="1" si="81"/>
        <v/>
      </c>
      <c r="G656" s="22">
        <f ca="1">IFERROR(VLOOKUP(F656,RESULTADOS!$O$5:$P$543,2,FALSE),VLOOKUP(F656,$B$5:$C$724,2,FALSE))</f>
        <v>0</v>
      </c>
      <c r="H656" s="4">
        <f ca="1">IF(F656&lt;PREMISSAS!$D$7,0,IFERROR(VLOOKUP(IF(LEFT(F656,2)="13",DATE(YEAR(F655),12,31),F656),IPCA!$A$3:$D$284,4,FALSE),1)*G656)</f>
        <v>0</v>
      </c>
      <c r="J656" s="21" t="str">
        <f t="shared" ca="1" si="83"/>
        <v/>
      </c>
      <c r="K656" s="4">
        <f t="shared" ca="1" si="83"/>
        <v>0</v>
      </c>
      <c r="M656" s="21" t="str">
        <f t="shared" ca="1" si="82"/>
        <v/>
      </c>
      <c r="N656" s="37">
        <f ca="1">IFERROR(VLOOKUP(M656,$F$5:$H$628,3,FALSE),0)</f>
        <v>0</v>
      </c>
      <c r="O656" s="4">
        <f ca="1">IFERROR(AVERAGEIF(N$5:$N656,"&gt;="&amp;_xlfn.PERCENTILE.EXC(N$5:$N656,0.2)),0)</f>
        <v>0</v>
      </c>
      <c r="Q656" s="21" t="str">
        <f ca="1">M656</f>
        <v/>
      </c>
      <c r="R656" s="4">
        <f ca="1">MIN(O656,PREMISSAS!$C$13)</f>
        <v>0</v>
      </c>
      <c r="S656" s="240"/>
      <c r="T656" s="240"/>
    </row>
    <row r="657" spans="2:20" x14ac:dyDescent="0.25">
      <c r="B657" s="21" t="str">
        <f t="shared" ca="1" si="80"/>
        <v/>
      </c>
      <c r="C657" s="22" t="str">
        <f ca="1">IF(B657="","",IF(LEFT(B657,2)="13",C656,IF(MONTH(B657)=1,C656*(1+PREMISSAS!$C$57),C656)))</f>
        <v/>
      </c>
      <c r="E657" s="18">
        <v>653</v>
      </c>
      <c r="F657" s="21" t="str">
        <f t="shared" ca="1" si="81"/>
        <v/>
      </c>
      <c r="G657" s="22">
        <f ca="1">IFERROR(VLOOKUP(F657,RESULTADOS!$O$5:$P$543,2,FALSE),VLOOKUP(F657,$B$5:$C$724,2,FALSE))</f>
        <v>0</v>
      </c>
      <c r="H657" s="4">
        <f ca="1">IF(F657&lt;PREMISSAS!$D$7,0,IFERROR(VLOOKUP(IF(LEFT(F657,2)="13",DATE(YEAR(F656),12,31),F657),IPCA!$A$3:$D$284,4,FALSE),1)*G657)</f>
        <v>0</v>
      </c>
      <c r="J657" s="21" t="str">
        <f t="shared" ca="1" si="83"/>
        <v/>
      </c>
      <c r="K657" s="4">
        <f t="shared" ca="1" si="83"/>
        <v>0</v>
      </c>
      <c r="M657" s="21" t="str">
        <f t="shared" ca="1" si="82"/>
        <v/>
      </c>
      <c r="N657" s="37">
        <f ca="1">IFERROR(VLOOKUP(M657,$F$5:$H$628,3,FALSE),0)</f>
        <v>0</v>
      </c>
      <c r="O657" s="4">
        <f ca="1">IFERROR(AVERAGEIF(N$5:$N657,"&gt;="&amp;_xlfn.PERCENTILE.EXC(N$5:$N657,0.2)),0)</f>
        <v>0</v>
      </c>
      <c r="Q657" s="21" t="str">
        <f ca="1">M657</f>
        <v/>
      </c>
      <c r="R657" s="4">
        <f ca="1">MIN(O657,PREMISSAS!$C$13)</f>
        <v>0</v>
      </c>
      <c r="S657" s="240"/>
      <c r="T657" s="240"/>
    </row>
    <row r="658" spans="2:20" x14ac:dyDescent="0.25">
      <c r="B658" s="21" t="str">
        <f t="shared" ca="1" si="80"/>
        <v/>
      </c>
      <c r="C658" s="22" t="str">
        <f ca="1">IF(B658="","",IF(LEFT(B658,2)="13",C657,IF(MONTH(B658)=1,C657*(1+PREMISSAS!$C$57),C657)))</f>
        <v/>
      </c>
      <c r="E658" s="18">
        <v>654</v>
      </c>
      <c r="F658" s="21" t="str">
        <f t="shared" ca="1" si="81"/>
        <v/>
      </c>
      <c r="G658" s="22">
        <f ca="1">IFERROR(VLOOKUP(F658,RESULTADOS!$O$5:$P$543,2,FALSE),VLOOKUP(F658,$B$5:$C$724,2,FALSE))</f>
        <v>0</v>
      </c>
      <c r="H658" s="4">
        <f ca="1">IF(F658&lt;PREMISSAS!$D$7,0,IFERROR(VLOOKUP(IF(LEFT(F658,2)="13",DATE(YEAR(F657),12,31),F658),IPCA!$A$3:$D$284,4,FALSE),1)*G658)</f>
        <v>0</v>
      </c>
      <c r="J658" s="21" t="str">
        <f t="shared" ca="1" si="83"/>
        <v/>
      </c>
      <c r="K658" s="4">
        <f t="shared" ca="1" si="83"/>
        <v>0</v>
      </c>
      <c r="M658" s="21" t="str">
        <f t="shared" ca="1" si="82"/>
        <v/>
      </c>
      <c r="N658" s="37">
        <f ca="1">IFERROR(VLOOKUP(M658,$F$5:$H$628,3,FALSE),0)</f>
        <v>0</v>
      </c>
      <c r="O658" s="4">
        <f ca="1">IFERROR(AVERAGEIF(N$5:$N658,"&gt;="&amp;_xlfn.PERCENTILE.EXC(N$5:$N658,0.2)),0)</f>
        <v>0</v>
      </c>
      <c r="Q658" s="21" t="str">
        <f ca="1">M658</f>
        <v/>
      </c>
      <c r="R658" s="4">
        <f ca="1">MIN(O658,PREMISSAS!$C$13)</f>
        <v>0</v>
      </c>
      <c r="S658" s="240"/>
      <c r="T658" s="240"/>
    </row>
    <row r="659" spans="2:20" x14ac:dyDescent="0.25">
      <c r="B659" s="21" t="str">
        <f t="shared" ca="1" si="80"/>
        <v/>
      </c>
      <c r="C659" s="22" t="str">
        <f ca="1">IF(B659="","",IF(LEFT(B659,2)="13",C658,IF(MONTH(B659)=1,C658*(1+PREMISSAS!$C$57),C658)))</f>
        <v/>
      </c>
      <c r="E659" s="18">
        <v>655</v>
      </c>
      <c r="F659" s="21" t="str">
        <f t="shared" ca="1" si="81"/>
        <v/>
      </c>
      <c r="G659" s="22">
        <f ca="1">IFERROR(VLOOKUP(F659,RESULTADOS!$O$5:$P$543,2,FALSE),VLOOKUP(F659,$B$5:$C$724,2,FALSE))</f>
        <v>0</v>
      </c>
      <c r="H659" s="4">
        <f ca="1">IF(F659&lt;PREMISSAS!$D$7,0,IFERROR(VLOOKUP(IF(LEFT(F659,2)="13",DATE(YEAR(F658),12,31),F659),IPCA!$A$3:$D$284,4,FALSE),1)*G659)</f>
        <v>0</v>
      </c>
      <c r="J659" s="21" t="str">
        <f t="shared" ref="J659:J688" ca="1" si="84">F659</f>
        <v/>
      </c>
      <c r="K659" s="4">
        <f t="shared" ref="K659:K688" ca="1" si="85">G659</f>
        <v>0</v>
      </c>
      <c r="M659" s="21" t="str">
        <f t="shared" ca="1" si="82"/>
        <v/>
      </c>
      <c r="N659" s="37">
        <f t="shared" ref="N659:N688" ca="1" si="86">IFERROR(VLOOKUP(M659,$F$5:$H$628,3,FALSE),0)</f>
        <v>0</v>
      </c>
      <c r="O659" s="4">
        <f ca="1">IFERROR(AVERAGEIF(N$5:$N659,"&gt;="&amp;_xlfn.PERCENTILE.EXC(N$5:$N659,0.2)),0)</f>
        <v>0</v>
      </c>
      <c r="Q659" s="21" t="str">
        <f t="shared" ref="Q659:Q688" ca="1" si="87">M659</f>
        <v/>
      </c>
      <c r="R659" s="4">
        <f ca="1">MIN(O659,PREMISSAS!$C$13)</f>
        <v>0</v>
      </c>
      <c r="S659" s="240"/>
      <c r="T659" s="240"/>
    </row>
    <row r="660" spans="2:20" x14ac:dyDescent="0.25">
      <c r="B660" s="21" t="str">
        <f t="shared" ca="1" si="80"/>
        <v/>
      </c>
      <c r="C660" s="22" t="str">
        <f ca="1">IF(B660="","",IF(LEFT(B660,2)="13",C659,IF(MONTH(B660)=1,C659*(1+PREMISSAS!$C$57),C659)))</f>
        <v/>
      </c>
      <c r="E660" s="18">
        <v>656</v>
      </c>
      <c r="F660" s="21" t="str">
        <f t="shared" ca="1" si="81"/>
        <v/>
      </c>
      <c r="G660" s="22">
        <f ca="1">IFERROR(VLOOKUP(F660,RESULTADOS!$O$5:$P$543,2,FALSE),VLOOKUP(F660,$B$5:$C$724,2,FALSE))</f>
        <v>0</v>
      </c>
      <c r="H660" s="4">
        <f ca="1">IF(F660&lt;PREMISSAS!$D$7,0,IFERROR(VLOOKUP(IF(LEFT(F660,2)="13",DATE(YEAR(F659),12,31),F660),IPCA!$A$3:$D$284,4,FALSE),1)*G660)</f>
        <v>0</v>
      </c>
      <c r="J660" s="21" t="str">
        <f t="shared" ca="1" si="84"/>
        <v/>
      </c>
      <c r="K660" s="4">
        <f t="shared" ca="1" si="85"/>
        <v>0</v>
      </c>
      <c r="M660" s="21" t="str">
        <f t="shared" ca="1" si="82"/>
        <v/>
      </c>
      <c r="N660" s="37">
        <f t="shared" ca="1" si="86"/>
        <v>0</v>
      </c>
      <c r="O660" s="4">
        <f ca="1">IFERROR(AVERAGEIF(N$5:$N660,"&gt;="&amp;_xlfn.PERCENTILE.EXC(N$5:$N660,0.2)),0)</f>
        <v>0</v>
      </c>
      <c r="Q660" s="21" t="str">
        <f t="shared" ca="1" si="87"/>
        <v/>
      </c>
      <c r="R660" s="4">
        <f ca="1">MIN(O660,PREMISSAS!$C$13)</f>
        <v>0</v>
      </c>
      <c r="S660" s="240"/>
      <c r="T660" s="240"/>
    </row>
    <row r="661" spans="2:20" x14ac:dyDescent="0.25">
      <c r="B661" s="21" t="str">
        <f t="shared" ca="1" si="80"/>
        <v/>
      </c>
      <c r="C661" s="22" t="str">
        <f ca="1">IF(B661="","",IF(LEFT(B661,2)="13",C660,IF(MONTH(B661)=1,C660*(1+PREMISSAS!$C$57),C660)))</f>
        <v/>
      </c>
      <c r="E661" s="18">
        <v>657</v>
      </c>
      <c r="F661" s="21" t="str">
        <f t="shared" ca="1" si="81"/>
        <v/>
      </c>
      <c r="G661" s="22">
        <f ca="1">IFERROR(VLOOKUP(F661,RESULTADOS!$O$5:$P$543,2,FALSE),VLOOKUP(F661,$B$5:$C$724,2,FALSE))</f>
        <v>0</v>
      </c>
      <c r="H661" s="4">
        <f ca="1">IF(F661&lt;PREMISSAS!$D$7,0,IFERROR(VLOOKUP(IF(LEFT(F661,2)="13",DATE(YEAR(F660),12,31),F661),IPCA!$A$3:$D$284,4,FALSE),1)*G661)</f>
        <v>0</v>
      </c>
      <c r="J661" s="21" t="str">
        <f t="shared" ca="1" si="84"/>
        <v/>
      </c>
      <c r="K661" s="4">
        <f t="shared" ca="1" si="85"/>
        <v>0</v>
      </c>
      <c r="M661" s="21" t="str">
        <f t="shared" ca="1" si="82"/>
        <v/>
      </c>
      <c r="N661" s="37">
        <f t="shared" ca="1" si="86"/>
        <v>0</v>
      </c>
      <c r="O661" s="4">
        <f ca="1">IFERROR(AVERAGEIF(N$5:$N661,"&gt;="&amp;_xlfn.PERCENTILE.EXC(N$5:$N661,0.2)),0)</f>
        <v>0</v>
      </c>
      <c r="Q661" s="21" t="str">
        <f t="shared" ca="1" si="87"/>
        <v/>
      </c>
      <c r="R661" s="4">
        <f ca="1">MIN(O661,PREMISSAS!$C$13)</f>
        <v>0</v>
      </c>
      <c r="S661" s="240"/>
      <c r="T661" s="240"/>
    </row>
    <row r="662" spans="2:20" x14ac:dyDescent="0.25">
      <c r="B662" s="21" t="str">
        <f t="shared" ca="1" si="80"/>
        <v/>
      </c>
      <c r="C662" s="22" t="str">
        <f ca="1">IF(B662="","",IF(LEFT(B662,2)="13",C661,IF(MONTH(B662)=1,C661*(1+PREMISSAS!$C$57),C661)))</f>
        <v/>
      </c>
      <c r="E662" s="18">
        <v>658</v>
      </c>
      <c r="F662" s="21" t="str">
        <f t="shared" ca="1" si="81"/>
        <v/>
      </c>
      <c r="G662" s="22">
        <f ca="1">IFERROR(VLOOKUP(F662,RESULTADOS!$O$5:$P$543,2,FALSE),VLOOKUP(F662,$B$5:$C$724,2,FALSE))</f>
        <v>0</v>
      </c>
      <c r="H662" s="4">
        <f ca="1">IF(F662&lt;PREMISSAS!$D$7,0,IFERROR(VLOOKUP(IF(LEFT(F662,2)="13",DATE(YEAR(F661),12,31),F662),IPCA!$A$3:$D$284,4,FALSE),1)*G662)</f>
        <v>0</v>
      </c>
      <c r="J662" s="21" t="str">
        <f t="shared" ca="1" si="84"/>
        <v/>
      </c>
      <c r="K662" s="4">
        <f t="shared" ca="1" si="85"/>
        <v>0</v>
      </c>
      <c r="M662" s="21" t="str">
        <f t="shared" ca="1" si="82"/>
        <v/>
      </c>
      <c r="N662" s="37">
        <f t="shared" ca="1" si="86"/>
        <v>0</v>
      </c>
      <c r="O662" s="4">
        <f ca="1">IFERROR(AVERAGEIF(N$5:$N662,"&gt;="&amp;_xlfn.PERCENTILE.EXC(N$5:$N662,0.2)),0)</f>
        <v>0</v>
      </c>
      <c r="Q662" s="21" t="str">
        <f t="shared" ca="1" si="87"/>
        <v/>
      </c>
      <c r="R662" s="4">
        <f ca="1">MIN(O662,PREMISSAS!$C$13)</f>
        <v>0</v>
      </c>
      <c r="S662" s="240"/>
      <c r="T662" s="240"/>
    </row>
    <row r="663" spans="2:20" x14ac:dyDescent="0.25">
      <c r="B663" s="21" t="str">
        <f t="shared" ca="1" si="80"/>
        <v/>
      </c>
      <c r="C663" s="22" t="str">
        <f ca="1">IF(B663="","",IF(LEFT(B663,2)="13",C662,IF(MONTH(B663)=1,C662*(1+PREMISSAS!$C$57),C662)))</f>
        <v/>
      </c>
      <c r="E663" s="18">
        <v>659</v>
      </c>
      <c r="F663" s="21" t="str">
        <f t="shared" ca="1" si="81"/>
        <v/>
      </c>
      <c r="G663" s="22">
        <f ca="1">IFERROR(VLOOKUP(F663,RESULTADOS!$O$5:$P$543,2,FALSE),VLOOKUP(F663,$B$5:$C$724,2,FALSE))</f>
        <v>0</v>
      </c>
      <c r="H663" s="4">
        <f ca="1">IF(F663&lt;PREMISSAS!$D$7,0,IFERROR(VLOOKUP(IF(LEFT(F663,2)="13",DATE(YEAR(F662),12,31),F663),IPCA!$A$3:$D$284,4,FALSE),1)*G663)</f>
        <v>0</v>
      </c>
      <c r="J663" s="21" t="str">
        <f t="shared" ca="1" si="84"/>
        <v/>
      </c>
      <c r="K663" s="4">
        <f t="shared" ca="1" si="85"/>
        <v>0</v>
      </c>
      <c r="M663" s="21" t="str">
        <f t="shared" ca="1" si="82"/>
        <v/>
      </c>
      <c r="N663" s="37">
        <f t="shared" ca="1" si="86"/>
        <v>0</v>
      </c>
      <c r="O663" s="4">
        <f ca="1">IFERROR(AVERAGEIF(N$5:$N663,"&gt;="&amp;_xlfn.PERCENTILE.EXC(N$5:$N663,0.2)),0)</f>
        <v>0</v>
      </c>
      <c r="Q663" s="21" t="str">
        <f t="shared" ca="1" si="87"/>
        <v/>
      </c>
      <c r="R663" s="4">
        <f ca="1">MIN(O663,PREMISSAS!$C$13)</f>
        <v>0</v>
      </c>
      <c r="S663" s="240"/>
      <c r="T663" s="240"/>
    </row>
    <row r="664" spans="2:20" x14ac:dyDescent="0.25">
      <c r="B664" s="21" t="str">
        <f t="shared" ca="1" si="80"/>
        <v/>
      </c>
      <c r="C664" s="22" t="str">
        <f ca="1">IF(B664="","",IF(LEFT(B664,2)="13",C663,IF(MONTH(B664)=1,C663*(1+PREMISSAS!$C$57),C663)))</f>
        <v/>
      </c>
      <c r="E664" s="18">
        <v>660</v>
      </c>
      <c r="F664" s="21" t="str">
        <f t="shared" ca="1" si="81"/>
        <v/>
      </c>
      <c r="G664" s="22">
        <f ca="1">IFERROR(VLOOKUP(F664,RESULTADOS!$O$5:$P$543,2,FALSE),VLOOKUP(F664,$B$5:$C$724,2,FALSE))</f>
        <v>0</v>
      </c>
      <c r="H664" s="4">
        <f ca="1">IF(F664&lt;PREMISSAS!$D$7,0,IFERROR(VLOOKUP(IF(LEFT(F664,2)="13",DATE(YEAR(F663),12,31),F664),IPCA!$A$3:$D$284,4,FALSE),1)*G664)</f>
        <v>0</v>
      </c>
      <c r="J664" s="21" t="str">
        <f t="shared" ca="1" si="84"/>
        <v/>
      </c>
      <c r="K664" s="4">
        <f t="shared" ca="1" si="85"/>
        <v>0</v>
      </c>
      <c r="M664" s="21" t="str">
        <f t="shared" ca="1" si="82"/>
        <v/>
      </c>
      <c r="N664" s="37">
        <f t="shared" ca="1" si="86"/>
        <v>0</v>
      </c>
      <c r="O664" s="4">
        <f ca="1">IFERROR(AVERAGEIF(N$5:$N664,"&gt;="&amp;_xlfn.PERCENTILE.EXC(N$5:$N664,0.2)),0)</f>
        <v>0</v>
      </c>
      <c r="Q664" s="21" t="str">
        <f t="shared" ca="1" si="87"/>
        <v/>
      </c>
      <c r="R664" s="4">
        <f ca="1">MIN(O664,PREMISSAS!$C$13)</f>
        <v>0</v>
      </c>
      <c r="S664" s="240"/>
      <c r="T664" s="240"/>
    </row>
    <row r="665" spans="2:20" x14ac:dyDescent="0.25">
      <c r="B665" s="21" t="str">
        <f t="shared" ca="1" si="80"/>
        <v/>
      </c>
      <c r="C665" s="22" t="str">
        <f ca="1">IF(B665="","",IF(LEFT(B665,2)="13",C664,IF(MONTH(B665)=1,C664*(1+PREMISSAS!$C$57),C664)))</f>
        <v/>
      </c>
      <c r="E665" s="18">
        <v>661</v>
      </c>
      <c r="F665" s="21" t="str">
        <f t="shared" ca="1" si="81"/>
        <v/>
      </c>
      <c r="G665" s="22">
        <f ca="1">IFERROR(VLOOKUP(F665,RESULTADOS!$O$5:$P$543,2,FALSE),VLOOKUP(F665,$B$5:$C$724,2,FALSE))</f>
        <v>0</v>
      </c>
      <c r="H665" s="4">
        <f ca="1">IF(F665&lt;PREMISSAS!$D$7,0,IFERROR(VLOOKUP(IF(LEFT(F665,2)="13",DATE(YEAR(F664),12,31),F665),IPCA!$A$3:$D$284,4,FALSE),1)*G665)</f>
        <v>0</v>
      </c>
      <c r="J665" s="21" t="str">
        <f t="shared" ca="1" si="84"/>
        <v/>
      </c>
      <c r="K665" s="4">
        <f t="shared" ca="1" si="85"/>
        <v>0</v>
      </c>
      <c r="M665" s="21" t="str">
        <f t="shared" ca="1" si="82"/>
        <v/>
      </c>
      <c r="N665" s="37">
        <f t="shared" ca="1" si="86"/>
        <v>0</v>
      </c>
      <c r="O665" s="4">
        <f ca="1">IFERROR(AVERAGEIF(N$5:$N665,"&gt;="&amp;_xlfn.PERCENTILE.EXC(N$5:$N665,0.2)),0)</f>
        <v>0</v>
      </c>
      <c r="Q665" s="21" t="str">
        <f t="shared" ca="1" si="87"/>
        <v/>
      </c>
      <c r="R665" s="4">
        <f ca="1">MIN(O665,PREMISSAS!$C$13)</f>
        <v>0</v>
      </c>
      <c r="S665" s="240"/>
      <c r="T665" s="240"/>
    </row>
    <row r="666" spans="2:20" x14ac:dyDescent="0.25">
      <c r="B666" s="21" t="str">
        <f t="shared" ca="1" si="80"/>
        <v/>
      </c>
      <c r="C666" s="22" t="str">
        <f ca="1">IF(B666="","",IF(LEFT(B666,2)="13",C665,IF(MONTH(B666)=1,C665*(1+PREMISSAS!$C$57),C665)))</f>
        <v/>
      </c>
      <c r="E666" s="18">
        <v>662</v>
      </c>
      <c r="F666" s="21" t="str">
        <f t="shared" ca="1" si="81"/>
        <v/>
      </c>
      <c r="G666" s="22">
        <f ca="1">IFERROR(VLOOKUP(F666,RESULTADOS!$O$5:$P$543,2,FALSE),VLOOKUP(F666,$B$5:$C$724,2,FALSE))</f>
        <v>0</v>
      </c>
      <c r="H666" s="4">
        <f ca="1">IF(F666&lt;PREMISSAS!$D$7,0,IFERROR(VLOOKUP(IF(LEFT(F666,2)="13",DATE(YEAR(F665),12,31),F666),IPCA!$A$3:$D$284,4,FALSE),1)*G666)</f>
        <v>0</v>
      </c>
      <c r="J666" s="21" t="str">
        <f t="shared" ca="1" si="84"/>
        <v/>
      </c>
      <c r="K666" s="4">
        <f t="shared" ca="1" si="85"/>
        <v>0</v>
      </c>
      <c r="M666" s="21" t="str">
        <f t="shared" ca="1" si="82"/>
        <v/>
      </c>
      <c r="N666" s="37">
        <f t="shared" ca="1" si="86"/>
        <v>0</v>
      </c>
      <c r="O666" s="4">
        <f ca="1">IFERROR(AVERAGEIF(N$5:$N666,"&gt;="&amp;_xlfn.PERCENTILE.EXC(N$5:$N666,0.2)),0)</f>
        <v>0</v>
      </c>
      <c r="Q666" s="21" t="str">
        <f t="shared" ca="1" si="87"/>
        <v/>
      </c>
      <c r="R666" s="4">
        <f ca="1">MIN(O666,PREMISSAS!$C$13)</f>
        <v>0</v>
      </c>
      <c r="S666" s="240"/>
      <c r="T666" s="240"/>
    </row>
    <row r="667" spans="2:20" x14ac:dyDescent="0.25">
      <c r="B667" s="21" t="str">
        <f t="shared" ca="1" si="80"/>
        <v/>
      </c>
      <c r="C667" s="22" t="str">
        <f ca="1">IF(B667="","",IF(LEFT(B667,2)="13",C666,IF(MONTH(B667)=1,C666*(1+PREMISSAS!$C$57),C666)))</f>
        <v/>
      </c>
      <c r="E667" s="18">
        <v>663</v>
      </c>
      <c r="F667" s="21" t="str">
        <f t="shared" ca="1" si="81"/>
        <v/>
      </c>
      <c r="G667" s="22">
        <f ca="1">IFERROR(VLOOKUP(F667,RESULTADOS!$O$5:$P$543,2,FALSE),VLOOKUP(F667,$B$5:$C$724,2,FALSE))</f>
        <v>0</v>
      </c>
      <c r="H667" s="4">
        <f ca="1">IF(F667&lt;PREMISSAS!$D$7,0,IFERROR(VLOOKUP(IF(LEFT(F667,2)="13",DATE(YEAR(F666),12,31),F667),IPCA!$A$3:$D$284,4,FALSE),1)*G667)</f>
        <v>0</v>
      </c>
      <c r="J667" s="21" t="str">
        <f t="shared" ca="1" si="84"/>
        <v/>
      </c>
      <c r="K667" s="4">
        <f t="shared" ca="1" si="85"/>
        <v>0</v>
      </c>
      <c r="M667" s="21" t="str">
        <f t="shared" ca="1" si="82"/>
        <v/>
      </c>
      <c r="N667" s="37">
        <f t="shared" ca="1" si="86"/>
        <v>0</v>
      </c>
      <c r="O667" s="4">
        <f ca="1">IFERROR(AVERAGEIF(N$5:$N667,"&gt;="&amp;_xlfn.PERCENTILE.EXC(N$5:$N667,0.2)),0)</f>
        <v>0</v>
      </c>
      <c r="Q667" s="21" t="str">
        <f t="shared" ca="1" si="87"/>
        <v/>
      </c>
      <c r="R667" s="4">
        <f ca="1">MIN(O667,PREMISSAS!$C$13)</f>
        <v>0</v>
      </c>
      <c r="S667" s="240"/>
      <c r="T667" s="240"/>
    </row>
    <row r="668" spans="2:20" x14ac:dyDescent="0.25">
      <c r="B668" s="21" t="str">
        <f t="shared" ca="1" si="80"/>
        <v/>
      </c>
      <c r="C668" s="22" t="str">
        <f ca="1">IF(B668="","",IF(LEFT(B668,2)="13",C667,IF(MONTH(B668)=1,C667*(1+PREMISSAS!$C$57),C667)))</f>
        <v/>
      </c>
      <c r="E668" s="18">
        <v>664</v>
      </c>
      <c r="F668" s="21" t="str">
        <f t="shared" ca="1" si="81"/>
        <v/>
      </c>
      <c r="G668" s="22">
        <f ca="1">IFERROR(VLOOKUP(F668,RESULTADOS!$O$5:$P$543,2,FALSE),VLOOKUP(F668,$B$5:$C$724,2,FALSE))</f>
        <v>0</v>
      </c>
      <c r="H668" s="4">
        <f ca="1">IF(F668&lt;PREMISSAS!$D$7,0,IFERROR(VLOOKUP(IF(LEFT(F668,2)="13",DATE(YEAR(F667),12,31),F668),IPCA!$A$3:$D$284,4,FALSE),1)*G668)</f>
        <v>0</v>
      </c>
      <c r="J668" s="21" t="str">
        <f t="shared" ca="1" si="84"/>
        <v/>
      </c>
      <c r="K668" s="4">
        <f t="shared" ca="1" si="85"/>
        <v>0</v>
      </c>
      <c r="M668" s="21" t="str">
        <f t="shared" ca="1" si="82"/>
        <v/>
      </c>
      <c r="N668" s="37">
        <f t="shared" ca="1" si="86"/>
        <v>0</v>
      </c>
      <c r="O668" s="4">
        <f ca="1">IFERROR(AVERAGEIF(N$5:$N668,"&gt;="&amp;_xlfn.PERCENTILE.EXC(N$5:$N668,0.2)),0)</f>
        <v>0</v>
      </c>
      <c r="Q668" s="21" t="str">
        <f t="shared" ca="1" si="87"/>
        <v/>
      </c>
      <c r="R668" s="4">
        <f ca="1">MIN(O668,PREMISSAS!$C$13)</f>
        <v>0</v>
      </c>
      <c r="S668" s="240"/>
      <c r="T668" s="240"/>
    </row>
    <row r="669" spans="2:20" x14ac:dyDescent="0.25">
      <c r="B669" s="21" t="str">
        <f t="shared" ca="1" si="80"/>
        <v/>
      </c>
      <c r="C669" s="22" t="str">
        <f ca="1">IF(B669="","",IF(LEFT(B669,2)="13",C668,IF(MONTH(B669)=1,C668*(1+PREMISSAS!$C$57),C668)))</f>
        <v/>
      </c>
      <c r="E669" s="18">
        <v>665</v>
      </c>
      <c r="F669" s="21" t="str">
        <f t="shared" ca="1" si="81"/>
        <v/>
      </c>
      <c r="G669" s="22">
        <f ca="1">IFERROR(VLOOKUP(F669,RESULTADOS!$O$5:$P$543,2,FALSE),VLOOKUP(F669,$B$5:$C$724,2,FALSE))</f>
        <v>0</v>
      </c>
      <c r="H669" s="4">
        <f ca="1">IF(F669&lt;PREMISSAS!$D$7,0,IFERROR(VLOOKUP(IF(LEFT(F669,2)="13",DATE(YEAR(F668),12,31),F669),IPCA!$A$3:$D$284,4,FALSE),1)*G669)</f>
        <v>0</v>
      </c>
      <c r="J669" s="21" t="str">
        <f t="shared" ca="1" si="84"/>
        <v/>
      </c>
      <c r="K669" s="4">
        <f t="shared" ca="1" si="85"/>
        <v>0</v>
      </c>
      <c r="M669" s="21" t="str">
        <f t="shared" ca="1" si="82"/>
        <v/>
      </c>
      <c r="N669" s="37">
        <f t="shared" ca="1" si="86"/>
        <v>0</v>
      </c>
      <c r="O669" s="4">
        <f ca="1">IFERROR(AVERAGEIF(N$5:$N669,"&gt;="&amp;_xlfn.PERCENTILE.EXC(N$5:$N669,0.2)),0)</f>
        <v>0</v>
      </c>
      <c r="Q669" s="21" t="str">
        <f t="shared" ca="1" si="87"/>
        <v/>
      </c>
      <c r="R669" s="4">
        <f ca="1">MIN(O669,PREMISSAS!$C$13)</f>
        <v>0</v>
      </c>
      <c r="S669" s="240"/>
      <c r="T669" s="240"/>
    </row>
    <row r="670" spans="2:20" x14ac:dyDescent="0.25">
      <c r="B670" s="21" t="str">
        <f t="shared" ca="1" si="80"/>
        <v/>
      </c>
      <c r="C670" s="22" t="str">
        <f ca="1">IF(B670="","",IF(LEFT(B670,2)="13",C669,IF(MONTH(B670)=1,C669*(1+PREMISSAS!$C$57),C669)))</f>
        <v/>
      </c>
      <c r="E670" s="18">
        <v>666</v>
      </c>
      <c r="F670" s="21" t="str">
        <f t="shared" ca="1" si="81"/>
        <v/>
      </c>
      <c r="G670" s="22">
        <f ca="1">IFERROR(VLOOKUP(F670,RESULTADOS!$O$5:$P$543,2,FALSE),VLOOKUP(F670,$B$5:$C$724,2,FALSE))</f>
        <v>0</v>
      </c>
      <c r="H670" s="4">
        <f ca="1">IF(F670&lt;PREMISSAS!$D$7,0,IFERROR(VLOOKUP(IF(LEFT(F670,2)="13",DATE(YEAR(F669),12,31),F670),IPCA!$A$3:$D$284,4,FALSE),1)*G670)</f>
        <v>0</v>
      </c>
      <c r="J670" s="21" t="str">
        <f t="shared" ca="1" si="84"/>
        <v/>
      </c>
      <c r="K670" s="4">
        <f t="shared" ca="1" si="85"/>
        <v>0</v>
      </c>
      <c r="M670" s="21" t="str">
        <f t="shared" ca="1" si="82"/>
        <v/>
      </c>
      <c r="N670" s="37">
        <f t="shared" ca="1" si="86"/>
        <v>0</v>
      </c>
      <c r="O670" s="4">
        <f ca="1">IFERROR(AVERAGEIF(N$5:$N670,"&gt;="&amp;_xlfn.PERCENTILE.EXC(N$5:$N670,0.2)),0)</f>
        <v>0</v>
      </c>
      <c r="Q670" s="21" t="str">
        <f t="shared" ca="1" si="87"/>
        <v/>
      </c>
      <c r="R670" s="4">
        <f ca="1">MIN(O670,PREMISSAS!$C$13)</f>
        <v>0</v>
      </c>
      <c r="S670" s="240"/>
      <c r="T670" s="240"/>
    </row>
    <row r="671" spans="2:20" x14ac:dyDescent="0.25">
      <c r="B671" s="21" t="str">
        <f t="shared" ca="1" si="80"/>
        <v/>
      </c>
      <c r="C671" s="22" t="str">
        <f ca="1">IF(B671="","",IF(LEFT(B671,2)="13",C670,IF(MONTH(B671)=1,C670*(1+PREMISSAS!$C$57),C670)))</f>
        <v/>
      </c>
      <c r="E671" s="18">
        <v>667</v>
      </c>
      <c r="F671" s="21" t="str">
        <f t="shared" ca="1" si="81"/>
        <v/>
      </c>
      <c r="G671" s="22">
        <f ca="1">IFERROR(VLOOKUP(F671,RESULTADOS!$O$5:$P$543,2,FALSE),VLOOKUP(F671,$B$5:$C$724,2,FALSE))</f>
        <v>0</v>
      </c>
      <c r="H671" s="4">
        <f ca="1">IF(F671&lt;PREMISSAS!$D$7,0,IFERROR(VLOOKUP(IF(LEFT(F671,2)="13",DATE(YEAR(F670),12,31),F671),IPCA!$A$3:$D$284,4,FALSE),1)*G671)</f>
        <v>0</v>
      </c>
      <c r="J671" s="21" t="str">
        <f t="shared" ca="1" si="84"/>
        <v/>
      </c>
      <c r="K671" s="4">
        <f t="shared" ca="1" si="85"/>
        <v>0</v>
      </c>
      <c r="M671" s="21" t="str">
        <f t="shared" ca="1" si="82"/>
        <v/>
      </c>
      <c r="N671" s="37">
        <f t="shared" ca="1" si="86"/>
        <v>0</v>
      </c>
      <c r="O671" s="4">
        <f ca="1">IFERROR(AVERAGEIF(N$5:$N671,"&gt;="&amp;_xlfn.PERCENTILE.EXC(N$5:$N671,0.2)),0)</f>
        <v>0</v>
      </c>
      <c r="Q671" s="21" t="str">
        <f t="shared" ca="1" si="87"/>
        <v/>
      </c>
      <c r="R671" s="4">
        <f ca="1">MIN(O671,PREMISSAS!$C$13)</f>
        <v>0</v>
      </c>
      <c r="S671" s="240"/>
      <c r="T671" s="240"/>
    </row>
    <row r="672" spans="2:20" x14ac:dyDescent="0.25">
      <c r="B672" s="21" t="str">
        <f t="shared" ca="1" si="80"/>
        <v/>
      </c>
      <c r="C672" s="22" t="str">
        <f ca="1">IF(B672="","",IF(LEFT(B672,2)="13",C671,IF(MONTH(B672)=1,C671*(1+PREMISSAS!$C$57),C671)))</f>
        <v/>
      </c>
      <c r="E672" s="18">
        <v>668</v>
      </c>
      <c r="F672" s="21" t="str">
        <f t="shared" ca="1" si="81"/>
        <v/>
      </c>
      <c r="G672" s="22">
        <f ca="1">IFERROR(VLOOKUP(F672,RESULTADOS!$O$5:$P$543,2,FALSE),VLOOKUP(F672,$B$5:$C$724,2,FALSE))</f>
        <v>0</v>
      </c>
      <c r="H672" s="4">
        <f ca="1">IF(F672&lt;PREMISSAS!$D$7,0,IFERROR(VLOOKUP(IF(LEFT(F672,2)="13",DATE(YEAR(F671),12,31),F672),IPCA!$A$3:$D$284,4,FALSE),1)*G672)</f>
        <v>0</v>
      </c>
      <c r="J672" s="21" t="str">
        <f t="shared" ca="1" si="84"/>
        <v/>
      </c>
      <c r="K672" s="4">
        <f t="shared" ca="1" si="85"/>
        <v>0</v>
      </c>
      <c r="M672" s="21" t="str">
        <f t="shared" ca="1" si="82"/>
        <v/>
      </c>
      <c r="N672" s="37">
        <f t="shared" ca="1" si="86"/>
        <v>0</v>
      </c>
      <c r="O672" s="4">
        <f ca="1">IFERROR(AVERAGEIF(N$5:$N672,"&gt;="&amp;_xlfn.PERCENTILE.EXC(N$5:$N672,0.2)),0)</f>
        <v>0</v>
      </c>
      <c r="Q672" s="21" t="str">
        <f t="shared" ca="1" si="87"/>
        <v/>
      </c>
      <c r="R672" s="4">
        <f ca="1">MIN(O672,PREMISSAS!$C$13)</f>
        <v>0</v>
      </c>
      <c r="S672" s="240"/>
      <c r="T672" s="240"/>
    </row>
    <row r="673" spans="2:20" x14ac:dyDescent="0.25">
      <c r="B673" s="21" t="str">
        <f t="shared" ca="1" si="80"/>
        <v/>
      </c>
      <c r="C673" s="22" t="str">
        <f ca="1">IF(B673="","",IF(LEFT(B673,2)="13",C672,IF(MONTH(B673)=1,C672*(1+PREMISSAS!$C$57),C672)))</f>
        <v/>
      </c>
      <c r="E673" s="18">
        <v>669</v>
      </c>
      <c r="F673" s="21" t="str">
        <f t="shared" ca="1" si="81"/>
        <v/>
      </c>
      <c r="G673" s="22">
        <f ca="1">IFERROR(VLOOKUP(F673,RESULTADOS!$O$5:$P$543,2,FALSE),VLOOKUP(F673,$B$5:$C$724,2,FALSE))</f>
        <v>0</v>
      </c>
      <c r="H673" s="4">
        <f ca="1">IF(F673&lt;PREMISSAS!$D$7,0,IFERROR(VLOOKUP(IF(LEFT(F673,2)="13",DATE(YEAR(F672),12,31),F673),IPCA!$A$3:$D$284,4,FALSE),1)*G673)</f>
        <v>0</v>
      </c>
      <c r="J673" s="21" t="str">
        <f t="shared" ca="1" si="84"/>
        <v/>
      </c>
      <c r="K673" s="4">
        <f t="shared" ca="1" si="85"/>
        <v>0</v>
      </c>
      <c r="M673" s="21" t="str">
        <f t="shared" ca="1" si="82"/>
        <v/>
      </c>
      <c r="N673" s="37">
        <f t="shared" ca="1" si="86"/>
        <v>0</v>
      </c>
      <c r="O673" s="4">
        <f ca="1">IFERROR(AVERAGEIF(N$5:$N673,"&gt;="&amp;_xlfn.PERCENTILE.EXC(N$5:$N673,0.2)),0)</f>
        <v>0</v>
      </c>
      <c r="Q673" s="21" t="str">
        <f t="shared" ca="1" si="87"/>
        <v/>
      </c>
      <c r="R673" s="4">
        <f ca="1">MIN(O673,PREMISSAS!$C$13)</f>
        <v>0</v>
      </c>
      <c r="S673" s="240"/>
      <c r="T673" s="240"/>
    </row>
    <row r="674" spans="2:20" x14ac:dyDescent="0.25">
      <c r="B674" s="21" t="str">
        <f t="shared" ca="1" si="80"/>
        <v/>
      </c>
      <c r="C674" s="22" t="str">
        <f ca="1">IF(B674="","",IF(LEFT(B674,2)="13",C673,IF(MONTH(B674)=1,C673*(1+PREMISSAS!$C$57),C673)))</f>
        <v/>
      </c>
      <c r="E674" s="18">
        <v>670</v>
      </c>
      <c r="F674" s="21" t="str">
        <f t="shared" ca="1" si="81"/>
        <v/>
      </c>
      <c r="G674" s="22">
        <f ca="1">IFERROR(VLOOKUP(F674,RESULTADOS!$O$5:$P$543,2,FALSE),VLOOKUP(F674,$B$5:$C$724,2,FALSE))</f>
        <v>0</v>
      </c>
      <c r="H674" s="4">
        <f ca="1">IF(F674&lt;PREMISSAS!$D$7,0,IFERROR(VLOOKUP(IF(LEFT(F674,2)="13",DATE(YEAR(F673),12,31),F674),IPCA!$A$3:$D$284,4,FALSE),1)*G674)</f>
        <v>0</v>
      </c>
      <c r="J674" s="21" t="str">
        <f t="shared" ca="1" si="84"/>
        <v/>
      </c>
      <c r="K674" s="4">
        <f t="shared" ca="1" si="85"/>
        <v>0</v>
      </c>
      <c r="M674" s="21" t="str">
        <f t="shared" ca="1" si="82"/>
        <v/>
      </c>
      <c r="N674" s="37">
        <f t="shared" ca="1" si="86"/>
        <v>0</v>
      </c>
      <c r="O674" s="4">
        <f ca="1">IFERROR(AVERAGEIF(N$5:$N674,"&gt;="&amp;_xlfn.PERCENTILE.EXC(N$5:$N674,0.2)),0)</f>
        <v>0</v>
      </c>
      <c r="Q674" s="21" t="str">
        <f t="shared" ca="1" si="87"/>
        <v/>
      </c>
      <c r="R674" s="4">
        <f ca="1">MIN(O674,PREMISSAS!$C$13)</f>
        <v>0</v>
      </c>
      <c r="S674" s="240"/>
      <c r="T674" s="240"/>
    </row>
    <row r="675" spans="2:20" x14ac:dyDescent="0.25">
      <c r="B675" s="21" t="str">
        <f t="shared" ca="1" si="80"/>
        <v/>
      </c>
      <c r="C675" s="22" t="str">
        <f ca="1">IF(B675="","",IF(LEFT(B675,2)="13",C674,IF(MONTH(B675)=1,C674*(1+PREMISSAS!$C$57),C674)))</f>
        <v/>
      </c>
      <c r="E675" s="18">
        <v>671</v>
      </c>
      <c r="F675" s="21" t="str">
        <f t="shared" ca="1" si="81"/>
        <v/>
      </c>
      <c r="G675" s="22">
        <f ca="1">IFERROR(VLOOKUP(F675,RESULTADOS!$O$5:$P$543,2,FALSE),VLOOKUP(F675,$B$5:$C$724,2,FALSE))</f>
        <v>0</v>
      </c>
      <c r="H675" s="4">
        <f ca="1">IF(F675&lt;PREMISSAS!$D$7,0,IFERROR(VLOOKUP(IF(LEFT(F675,2)="13",DATE(YEAR(F674),12,31),F675),IPCA!$A$3:$D$284,4,FALSE),1)*G675)</f>
        <v>0</v>
      </c>
      <c r="J675" s="21" t="str">
        <f t="shared" ca="1" si="84"/>
        <v/>
      </c>
      <c r="K675" s="4">
        <f t="shared" ca="1" si="85"/>
        <v>0</v>
      </c>
      <c r="M675" s="21" t="str">
        <f t="shared" ca="1" si="82"/>
        <v/>
      </c>
      <c r="N675" s="37">
        <f t="shared" ca="1" si="86"/>
        <v>0</v>
      </c>
      <c r="O675" s="4">
        <f ca="1">IFERROR(AVERAGEIF(N$5:$N675,"&gt;="&amp;_xlfn.PERCENTILE.EXC(N$5:$N675,0.2)),0)</f>
        <v>0</v>
      </c>
      <c r="Q675" s="21" t="str">
        <f t="shared" ca="1" si="87"/>
        <v/>
      </c>
      <c r="R675" s="4">
        <f ca="1">MIN(O675,PREMISSAS!$C$13)</f>
        <v>0</v>
      </c>
      <c r="S675" s="240"/>
      <c r="T675" s="240"/>
    </row>
    <row r="676" spans="2:20" x14ac:dyDescent="0.25">
      <c r="B676" s="21" t="str">
        <f t="shared" ca="1" si="80"/>
        <v/>
      </c>
      <c r="C676" s="22" t="str">
        <f ca="1">IF(B676="","",IF(LEFT(B676,2)="13",C675,IF(MONTH(B676)=1,C675*(1+PREMISSAS!$C$57),C675)))</f>
        <v/>
      </c>
      <c r="E676" s="18">
        <v>672</v>
      </c>
      <c r="F676" s="21" t="str">
        <f t="shared" ca="1" si="81"/>
        <v/>
      </c>
      <c r="G676" s="22">
        <f ca="1">IFERROR(VLOOKUP(F676,RESULTADOS!$O$5:$P$543,2,FALSE),VLOOKUP(F676,$B$5:$C$724,2,FALSE))</f>
        <v>0</v>
      </c>
      <c r="H676" s="4">
        <f ca="1">IF(F676&lt;PREMISSAS!$D$7,0,IFERROR(VLOOKUP(IF(LEFT(F676,2)="13",DATE(YEAR(F675),12,31),F676),IPCA!$A$3:$D$284,4,FALSE),1)*G676)</f>
        <v>0</v>
      </c>
      <c r="J676" s="21" t="str">
        <f t="shared" ca="1" si="84"/>
        <v/>
      </c>
      <c r="K676" s="4">
        <f t="shared" ca="1" si="85"/>
        <v>0</v>
      </c>
      <c r="M676" s="21" t="str">
        <f t="shared" ca="1" si="82"/>
        <v/>
      </c>
      <c r="N676" s="37">
        <f t="shared" ca="1" si="86"/>
        <v>0</v>
      </c>
      <c r="O676" s="4">
        <f ca="1">IFERROR(AVERAGEIF(N$5:$N676,"&gt;="&amp;_xlfn.PERCENTILE.EXC(N$5:$N676,0.2)),0)</f>
        <v>0</v>
      </c>
      <c r="Q676" s="21" t="str">
        <f t="shared" ca="1" si="87"/>
        <v/>
      </c>
      <c r="R676" s="4">
        <f ca="1">MIN(O676,PREMISSAS!$C$13)</f>
        <v>0</v>
      </c>
      <c r="S676" s="240"/>
      <c r="T676" s="240"/>
    </row>
    <row r="677" spans="2:20" x14ac:dyDescent="0.25">
      <c r="B677" s="21" t="str">
        <f t="shared" ca="1" si="80"/>
        <v/>
      </c>
      <c r="C677" s="22" t="str">
        <f ca="1">IF(B677="","",IF(LEFT(B677,2)="13",C676,IF(MONTH(B677)=1,C676*(1+PREMISSAS!$C$57),C676)))</f>
        <v/>
      </c>
      <c r="E677" s="18">
        <v>673</v>
      </c>
      <c r="F677" s="21" t="str">
        <f t="shared" ca="1" si="81"/>
        <v/>
      </c>
      <c r="G677" s="22">
        <f ca="1">IFERROR(VLOOKUP(F677,RESULTADOS!$O$5:$P$543,2,FALSE),VLOOKUP(F677,$B$5:$C$724,2,FALSE))</f>
        <v>0</v>
      </c>
      <c r="H677" s="4">
        <f ca="1">IF(F677&lt;PREMISSAS!$D$7,0,IFERROR(VLOOKUP(IF(LEFT(F677,2)="13",DATE(YEAR(F676),12,31),F677),IPCA!$A$3:$D$284,4,FALSE),1)*G677)</f>
        <v>0</v>
      </c>
      <c r="J677" s="21" t="str">
        <f t="shared" ca="1" si="84"/>
        <v/>
      </c>
      <c r="K677" s="4">
        <f t="shared" ca="1" si="85"/>
        <v>0</v>
      </c>
      <c r="M677" s="21" t="str">
        <f t="shared" ca="1" si="82"/>
        <v/>
      </c>
      <c r="N677" s="37">
        <f t="shared" ca="1" si="86"/>
        <v>0</v>
      </c>
      <c r="O677" s="4">
        <f ca="1">IFERROR(AVERAGEIF(N$5:$N677,"&gt;="&amp;_xlfn.PERCENTILE.EXC(N$5:$N677,0.2)),0)</f>
        <v>0</v>
      </c>
      <c r="Q677" s="21" t="str">
        <f t="shared" ca="1" si="87"/>
        <v/>
      </c>
      <c r="R677" s="4">
        <f ca="1">MIN(O677,PREMISSAS!$C$13)</f>
        <v>0</v>
      </c>
      <c r="S677" s="240"/>
      <c r="T677" s="240"/>
    </row>
    <row r="678" spans="2:20" x14ac:dyDescent="0.25">
      <c r="B678" s="21" t="str">
        <f t="shared" ca="1" si="80"/>
        <v/>
      </c>
      <c r="C678" s="22" t="str">
        <f ca="1">IF(B678="","",IF(LEFT(B678,2)="13",C677,IF(MONTH(B678)=1,C677*(1+PREMISSAS!$C$57),C677)))</f>
        <v/>
      </c>
      <c r="E678" s="18">
        <v>674</v>
      </c>
      <c r="F678" s="21" t="str">
        <f t="shared" ca="1" si="81"/>
        <v/>
      </c>
      <c r="G678" s="22">
        <f ca="1">IFERROR(VLOOKUP(F678,RESULTADOS!$O$5:$P$543,2,FALSE),VLOOKUP(F678,$B$5:$C$724,2,FALSE))</f>
        <v>0</v>
      </c>
      <c r="H678" s="4">
        <f ca="1">IF(F678&lt;PREMISSAS!$D$7,0,IFERROR(VLOOKUP(IF(LEFT(F678,2)="13",DATE(YEAR(F677),12,31),F678),IPCA!$A$3:$D$284,4,FALSE),1)*G678)</f>
        <v>0</v>
      </c>
      <c r="J678" s="21" t="str">
        <f t="shared" ca="1" si="84"/>
        <v/>
      </c>
      <c r="K678" s="4">
        <f t="shared" ca="1" si="85"/>
        <v>0</v>
      </c>
      <c r="M678" s="21" t="str">
        <f t="shared" ca="1" si="82"/>
        <v/>
      </c>
      <c r="N678" s="37">
        <f t="shared" ca="1" si="86"/>
        <v>0</v>
      </c>
      <c r="O678" s="4">
        <f ca="1">IFERROR(AVERAGEIF(N$5:$N678,"&gt;="&amp;_xlfn.PERCENTILE.EXC(N$5:$N678,0.2)),0)</f>
        <v>0</v>
      </c>
      <c r="Q678" s="21" t="str">
        <f t="shared" ca="1" si="87"/>
        <v/>
      </c>
      <c r="R678" s="4">
        <f ca="1">MIN(O678,PREMISSAS!$C$13)</f>
        <v>0</v>
      </c>
      <c r="S678" s="240"/>
      <c r="T678" s="240"/>
    </row>
    <row r="679" spans="2:20" x14ac:dyDescent="0.25">
      <c r="B679" s="21" t="str">
        <f t="shared" ca="1" si="80"/>
        <v/>
      </c>
      <c r="C679" s="22" t="str">
        <f ca="1">IF(B679="","",IF(LEFT(B679,2)="13",C678,IF(MONTH(B679)=1,C678*(1+PREMISSAS!$C$57),C678)))</f>
        <v/>
      </c>
      <c r="E679" s="18">
        <v>675</v>
      </c>
      <c r="F679" s="21" t="str">
        <f t="shared" ca="1" si="81"/>
        <v/>
      </c>
      <c r="G679" s="22">
        <f ca="1">IFERROR(VLOOKUP(F679,RESULTADOS!$O$5:$P$543,2,FALSE),VLOOKUP(F679,$B$5:$C$724,2,FALSE))</f>
        <v>0</v>
      </c>
      <c r="H679" s="4">
        <f ca="1">IF(F679&lt;PREMISSAS!$D$7,0,IFERROR(VLOOKUP(IF(LEFT(F679,2)="13",DATE(YEAR(F678),12,31),F679),IPCA!$A$3:$D$284,4,FALSE),1)*G679)</f>
        <v>0</v>
      </c>
      <c r="J679" s="21" t="str">
        <f t="shared" ca="1" si="84"/>
        <v/>
      </c>
      <c r="K679" s="4">
        <f t="shared" ca="1" si="85"/>
        <v>0</v>
      </c>
      <c r="M679" s="21" t="str">
        <f t="shared" ca="1" si="82"/>
        <v/>
      </c>
      <c r="N679" s="37">
        <f t="shared" ca="1" si="86"/>
        <v>0</v>
      </c>
      <c r="O679" s="4">
        <f ca="1">IFERROR(AVERAGEIF(N$5:$N679,"&gt;="&amp;_xlfn.PERCENTILE.EXC(N$5:$N679,0.2)),0)</f>
        <v>0</v>
      </c>
      <c r="Q679" s="21" t="str">
        <f t="shared" ca="1" si="87"/>
        <v/>
      </c>
      <c r="R679" s="4">
        <f ca="1">MIN(O679,PREMISSAS!$C$13)</f>
        <v>0</v>
      </c>
      <c r="S679" s="240"/>
      <c r="T679" s="240"/>
    </row>
    <row r="680" spans="2:20" x14ac:dyDescent="0.25">
      <c r="B680" s="21" t="str">
        <f t="shared" ca="1" si="80"/>
        <v/>
      </c>
      <c r="C680" s="22" t="str">
        <f ca="1">IF(B680="","",IF(LEFT(B680,2)="13",C679,IF(MONTH(B680)=1,C679*(1+PREMISSAS!$C$57),C679)))</f>
        <v/>
      </c>
      <c r="E680" s="18">
        <v>676</v>
      </c>
      <c r="F680" s="21" t="str">
        <f t="shared" ca="1" si="81"/>
        <v/>
      </c>
      <c r="G680" s="22">
        <f ca="1">IFERROR(VLOOKUP(F680,RESULTADOS!$O$5:$P$543,2,FALSE),VLOOKUP(F680,$B$5:$C$724,2,FALSE))</f>
        <v>0</v>
      </c>
      <c r="H680" s="4">
        <f ca="1">IF(F680&lt;PREMISSAS!$D$7,0,IFERROR(VLOOKUP(IF(LEFT(F680,2)="13",DATE(YEAR(F679),12,31),F680),IPCA!$A$3:$D$284,4,FALSE),1)*G680)</f>
        <v>0</v>
      </c>
      <c r="J680" s="21" t="str">
        <f t="shared" ca="1" si="84"/>
        <v/>
      </c>
      <c r="K680" s="4">
        <f t="shared" ca="1" si="85"/>
        <v>0</v>
      </c>
      <c r="M680" s="21" t="str">
        <f t="shared" ca="1" si="82"/>
        <v/>
      </c>
      <c r="N680" s="37">
        <f t="shared" ca="1" si="86"/>
        <v>0</v>
      </c>
      <c r="O680" s="4">
        <f ca="1">IFERROR(AVERAGEIF(N$5:$N680,"&gt;="&amp;_xlfn.PERCENTILE.EXC(N$5:$N680,0.2)),0)</f>
        <v>0</v>
      </c>
      <c r="Q680" s="21" t="str">
        <f t="shared" ca="1" si="87"/>
        <v/>
      </c>
      <c r="R680" s="4">
        <f ca="1">MIN(O680,PREMISSAS!$C$13)</f>
        <v>0</v>
      </c>
      <c r="S680" s="240"/>
      <c r="T680" s="240"/>
    </row>
    <row r="681" spans="2:20" x14ac:dyDescent="0.25">
      <c r="B681" s="21" t="str">
        <f t="shared" ca="1" si="80"/>
        <v/>
      </c>
      <c r="C681" s="22" t="str">
        <f ca="1">IF(B681="","",IF(LEFT(B681,2)="13",C680,IF(MONTH(B681)=1,C680*(1+PREMISSAS!$C$57),C680)))</f>
        <v/>
      </c>
      <c r="E681" s="18">
        <v>677</v>
      </c>
      <c r="F681" s="21" t="str">
        <f t="shared" ca="1" si="81"/>
        <v/>
      </c>
      <c r="G681" s="22">
        <f ca="1">IFERROR(VLOOKUP(F681,RESULTADOS!$O$5:$P$543,2,FALSE),VLOOKUP(F681,$B$5:$C$724,2,FALSE))</f>
        <v>0</v>
      </c>
      <c r="H681" s="4">
        <f ca="1">IF(F681&lt;PREMISSAS!$D$7,0,IFERROR(VLOOKUP(IF(LEFT(F681,2)="13",DATE(YEAR(F680),12,31),F681),IPCA!$A$3:$D$284,4,FALSE),1)*G681)</f>
        <v>0</v>
      </c>
      <c r="J681" s="21" t="str">
        <f t="shared" ca="1" si="84"/>
        <v/>
      </c>
      <c r="K681" s="4">
        <f t="shared" ca="1" si="85"/>
        <v>0</v>
      </c>
      <c r="M681" s="21" t="str">
        <f t="shared" ca="1" si="82"/>
        <v/>
      </c>
      <c r="N681" s="37">
        <f t="shared" ca="1" si="86"/>
        <v>0</v>
      </c>
      <c r="O681" s="4">
        <f ca="1">IFERROR(AVERAGEIF(N$5:$N681,"&gt;="&amp;_xlfn.PERCENTILE.EXC(N$5:$N681,0.2)),0)</f>
        <v>0</v>
      </c>
      <c r="Q681" s="21" t="str">
        <f t="shared" ca="1" si="87"/>
        <v/>
      </c>
      <c r="R681" s="4">
        <f ca="1">MIN(O681,PREMISSAS!$C$13)</f>
        <v>0</v>
      </c>
      <c r="S681" s="240"/>
      <c r="T681" s="240"/>
    </row>
    <row r="682" spans="2:20" x14ac:dyDescent="0.25">
      <c r="B682" s="21" t="str">
        <f t="shared" ca="1" si="80"/>
        <v/>
      </c>
      <c r="C682" s="22" t="str">
        <f ca="1">IF(B682="","",IF(LEFT(B682,2)="13",C681,IF(MONTH(B682)=1,C681*(1+PREMISSAS!$C$57),C681)))</f>
        <v/>
      </c>
      <c r="E682" s="18">
        <v>678</v>
      </c>
      <c r="F682" s="21" t="str">
        <f t="shared" ca="1" si="81"/>
        <v/>
      </c>
      <c r="G682" s="22">
        <f ca="1">IFERROR(VLOOKUP(F682,RESULTADOS!$O$5:$P$543,2,FALSE),VLOOKUP(F682,$B$5:$C$724,2,FALSE))</f>
        <v>0</v>
      </c>
      <c r="H682" s="4">
        <f ca="1">IF(F682&lt;PREMISSAS!$D$7,0,IFERROR(VLOOKUP(IF(LEFT(F682,2)="13",DATE(YEAR(F681),12,31),F682),IPCA!$A$3:$D$284,4,FALSE),1)*G682)</f>
        <v>0</v>
      </c>
      <c r="J682" s="21" t="str">
        <f t="shared" ca="1" si="84"/>
        <v/>
      </c>
      <c r="K682" s="4">
        <f t="shared" ca="1" si="85"/>
        <v>0</v>
      </c>
      <c r="M682" s="21" t="str">
        <f t="shared" ca="1" si="82"/>
        <v/>
      </c>
      <c r="N682" s="37">
        <f t="shared" ca="1" si="86"/>
        <v>0</v>
      </c>
      <c r="O682" s="4">
        <f ca="1">IFERROR(AVERAGEIF(N$5:$N682,"&gt;="&amp;_xlfn.PERCENTILE.EXC(N$5:$N682,0.2)),0)</f>
        <v>0</v>
      </c>
      <c r="Q682" s="21" t="str">
        <f t="shared" ca="1" si="87"/>
        <v/>
      </c>
      <c r="R682" s="4">
        <f ca="1">MIN(O682,PREMISSAS!$C$13)</f>
        <v>0</v>
      </c>
      <c r="S682" s="240"/>
      <c r="T682" s="240"/>
    </row>
    <row r="683" spans="2:20" x14ac:dyDescent="0.25">
      <c r="B683" s="21" t="str">
        <f t="shared" ca="1" si="80"/>
        <v/>
      </c>
      <c r="C683" s="22" t="str">
        <f ca="1">IF(B683="","",IF(LEFT(B683,2)="13",C682,IF(MONTH(B683)=1,C682*(1+PREMISSAS!$C$57),C682)))</f>
        <v/>
      </c>
      <c r="E683" s="18">
        <v>679</v>
      </c>
      <c r="F683" s="21" t="str">
        <f t="shared" ca="1" si="81"/>
        <v/>
      </c>
      <c r="G683" s="22">
        <f ca="1">IFERROR(VLOOKUP(F683,RESULTADOS!$O$5:$P$543,2,FALSE),VLOOKUP(F683,$B$5:$C$724,2,FALSE))</f>
        <v>0</v>
      </c>
      <c r="H683" s="4">
        <f ca="1">IF(F683&lt;PREMISSAS!$D$7,0,IFERROR(VLOOKUP(IF(LEFT(F683,2)="13",DATE(YEAR(F682),12,31),F683),IPCA!$A$3:$D$284,4,FALSE),1)*G683)</f>
        <v>0</v>
      </c>
      <c r="J683" s="21" t="str">
        <f t="shared" ca="1" si="84"/>
        <v/>
      </c>
      <c r="K683" s="4">
        <f t="shared" ca="1" si="85"/>
        <v>0</v>
      </c>
      <c r="M683" s="21" t="str">
        <f t="shared" ca="1" si="82"/>
        <v/>
      </c>
      <c r="N683" s="37">
        <f t="shared" ca="1" si="86"/>
        <v>0</v>
      </c>
      <c r="O683" s="4">
        <f ca="1">IFERROR(AVERAGEIF(N$5:$N683,"&gt;="&amp;_xlfn.PERCENTILE.EXC(N$5:$N683,0.2)),0)</f>
        <v>0</v>
      </c>
      <c r="Q683" s="21" t="str">
        <f t="shared" ca="1" si="87"/>
        <v/>
      </c>
      <c r="R683" s="4">
        <f ca="1">MIN(O683,PREMISSAS!$C$13)</f>
        <v>0</v>
      </c>
      <c r="S683" s="240"/>
      <c r="T683" s="240"/>
    </row>
    <row r="684" spans="2:20" x14ac:dyDescent="0.25">
      <c r="B684" s="21" t="str">
        <f t="shared" ca="1" si="80"/>
        <v/>
      </c>
      <c r="C684" s="22" t="str">
        <f ca="1">IF(B684="","",IF(LEFT(B684,2)="13",C683,IF(MONTH(B684)=1,C683*(1+PREMISSAS!$C$57),C683)))</f>
        <v/>
      </c>
      <c r="E684" s="18">
        <v>680</v>
      </c>
      <c r="F684" s="21" t="str">
        <f t="shared" ca="1" si="81"/>
        <v/>
      </c>
      <c r="G684" s="22">
        <f ca="1">IFERROR(VLOOKUP(F684,RESULTADOS!$O$5:$P$543,2,FALSE),VLOOKUP(F684,$B$5:$C$724,2,FALSE))</f>
        <v>0</v>
      </c>
      <c r="H684" s="4">
        <f ca="1">IF(F684&lt;PREMISSAS!$D$7,0,IFERROR(VLOOKUP(IF(LEFT(F684,2)="13",DATE(YEAR(F683),12,31),F684),IPCA!$A$3:$D$284,4,FALSE),1)*G684)</f>
        <v>0</v>
      </c>
      <c r="J684" s="21" t="str">
        <f t="shared" ca="1" si="84"/>
        <v/>
      </c>
      <c r="K684" s="4">
        <f t="shared" ca="1" si="85"/>
        <v>0</v>
      </c>
      <c r="M684" s="21" t="str">
        <f t="shared" ca="1" si="82"/>
        <v/>
      </c>
      <c r="N684" s="37">
        <f t="shared" ca="1" si="86"/>
        <v>0</v>
      </c>
      <c r="O684" s="4">
        <f ca="1">IFERROR(AVERAGEIF(N$5:$N684,"&gt;="&amp;_xlfn.PERCENTILE.EXC(N$5:$N684,0.2)),0)</f>
        <v>0</v>
      </c>
      <c r="Q684" s="21" t="str">
        <f t="shared" ca="1" si="87"/>
        <v/>
      </c>
      <c r="R684" s="4">
        <f ca="1">MIN(O684,PREMISSAS!$C$13)</f>
        <v>0</v>
      </c>
      <c r="S684" s="240"/>
      <c r="T684" s="240"/>
    </row>
    <row r="685" spans="2:20" x14ac:dyDescent="0.25">
      <c r="B685" s="21" t="str">
        <f t="shared" ca="1" si="80"/>
        <v/>
      </c>
      <c r="C685" s="22" t="str">
        <f ca="1">IF(B685="","",IF(LEFT(B685,2)="13",C684,IF(MONTH(B685)=1,C684*(1+PREMISSAS!$C$57),C684)))</f>
        <v/>
      </c>
      <c r="E685" s="18">
        <v>681</v>
      </c>
      <c r="F685" s="21" t="str">
        <f t="shared" ca="1" si="81"/>
        <v/>
      </c>
      <c r="G685" s="22">
        <f ca="1">IFERROR(VLOOKUP(F685,RESULTADOS!$O$5:$P$543,2,FALSE),VLOOKUP(F685,$B$5:$C$724,2,FALSE))</f>
        <v>0</v>
      </c>
      <c r="H685" s="4">
        <f ca="1">IF(F685&lt;PREMISSAS!$D$7,0,IFERROR(VLOOKUP(IF(LEFT(F685,2)="13",DATE(YEAR(F684),12,31),F685),IPCA!$A$3:$D$284,4,FALSE),1)*G685)</f>
        <v>0</v>
      </c>
      <c r="J685" s="21" t="str">
        <f t="shared" ca="1" si="84"/>
        <v/>
      </c>
      <c r="K685" s="4">
        <f t="shared" ca="1" si="85"/>
        <v>0</v>
      </c>
      <c r="M685" s="21" t="str">
        <f t="shared" ca="1" si="82"/>
        <v/>
      </c>
      <c r="N685" s="37">
        <f t="shared" ca="1" si="86"/>
        <v>0</v>
      </c>
      <c r="O685" s="4">
        <f ca="1">IFERROR(AVERAGEIF(N$5:$N685,"&gt;="&amp;_xlfn.PERCENTILE.EXC(N$5:$N685,0.2)),0)</f>
        <v>0</v>
      </c>
      <c r="Q685" s="21" t="str">
        <f t="shared" ca="1" si="87"/>
        <v/>
      </c>
      <c r="R685" s="4">
        <f ca="1">MIN(O685,PREMISSAS!$C$13)</f>
        <v>0</v>
      </c>
      <c r="S685" s="240"/>
      <c r="T685" s="240"/>
    </row>
    <row r="686" spans="2:20" x14ac:dyDescent="0.25">
      <c r="B686" s="21" t="str">
        <f t="shared" ca="1" si="80"/>
        <v/>
      </c>
      <c r="C686" s="22" t="str">
        <f ca="1">IF(B686="","",IF(LEFT(B686,2)="13",C685,IF(MONTH(B686)=1,C685*(1+PREMISSAS!$C$57),C685)))</f>
        <v/>
      </c>
      <c r="E686" s="18">
        <v>682</v>
      </c>
      <c r="F686" s="21" t="str">
        <f t="shared" ca="1" si="81"/>
        <v/>
      </c>
      <c r="G686" s="22">
        <f ca="1">IFERROR(VLOOKUP(F686,RESULTADOS!$O$5:$P$543,2,FALSE),VLOOKUP(F686,$B$5:$C$724,2,FALSE))</f>
        <v>0</v>
      </c>
      <c r="H686" s="4">
        <f ca="1">IF(F686&lt;PREMISSAS!$D$7,0,IFERROR(VLOOKUP(IF(LEFT(F686,2)="13",DATE(YEAR(F685),12,31),F686),IPCA!$A$3:$D$284,4,FALSE),1)*G686)</f>
        <v>0</v>
      </c>
      <c r="J686" s="21" t="str">
        <f t="shared" ca="1" si="84"/>
        <v/>
      </c>
      <c r="K686" s="4">
        <f t="shared" ca="1" si="85"/>
        <v>0</v>
      </c>
      <c r="M686" s="21" t="str">
        <f t="shared" ca="1" si="82"/>
        <v/>
      </c>
      <c r="N686" s="37">
        <f t="shared" ca="1" si="86"/>
        <v>0</v>
      </c>
      <c r="O686" s="4">
        <f ca="1">IFERROR(AVERAGEIF(N$5:$N686,"&gt;="&amp;_xlfn.PERCENTILE.EXC(N$5:$N686,0.2)),0)</f>
        <v>0</v>
      </c>
      <c r="Q686" s="21" t="str">
        <f t="shared" ca="1" si="87"/>
        <v/>
      </c>
      <c r="R686" s="4">
        <f ca="1">MIN(O686,PREMISSAS!$C$13)</f>
        <v>0</v>
      </c>
      <c r="S686" s="240"/>
      <c r="T686" s="240"/>
    </row>
    <row r="687" spans="2:20" x14ac:dyDescent="0.25">
      <c r="B687" s="21" t="str">
        <f t="shared" ca="1" si="80"/>
        <v/>
      </c>
      <c r="C687" s="22" t="str">
        <f ca="1">IF(B687="","",IF(LEFT(B687,2)="13",C686,IF(MONTH(B687)=1,C686*(1+PREMISSAS!$C$57),C686)))</f>
        <v/>
      </c>
      <c r="E687" s="18">
        <v>683</v>
      </c>
      <c r="F687" s="21" t="str">
        <f t="shared" ca="1" si="81"/>
        <v/>
      </c>
      <c r="G687" s="22">
        <f ca="1">IFERROR(VLOOKUP(F687,RESULTADOS!$O$5:$P$543,2,FALSE),VLOOKUP(F687,$B$5:$C$724,2,FALSE))</f>
        <v>0</v>
      </c>
      <c r="H687" s="4">
        <f ca="1">IF(F687&lt;PREMISSAS!$D$7,0,IFERROR(VLOOKUP(IF(LEFT(F687,2)="13",DATE(YEAR(F686),12,31),F687),IPCA!$A$3:$D$284,4,FALSE),1)*G687)</f>
        <v>0</v>
      </c>
      <c r="J687" s="21" t="str">
        <f t="shared" ca="1" si="84"/>
        <v/>
      </c>
      <c r="K687" s="4">
        <f t="shared" ca="1" si="85"/>
        <v>0</v>
      </c>
      <c r="M687" s="21" t="str">
        <f t="shared" ca="1" si="82"/>
        <v/>
      </c>
      <c r="N687" s="37">
        <f t="shared" ca="1" si="86"/>
        <v>0</v>
      </c>
      <c r="O687" s="4">
        <f ca="1">IFERROR(AVERAGEIF(N$5:$N687,"&gt;="&amp;_xlfn.PERCENTILE.EXC(N$5:$N687,0.2)),0)</f>
        <v>0</v>
      </c>
      <c r="Q687" s="21" t="str">
        <f t="shared" ca="1" si="87"/>
        <v/>
      </c>
      <c r="R687" s="4">
        <f ca="1">MIN(O687,PREMISSAS!$C$13)</f>
        <v>0</v>
      </c>
      <c r="S687" s="240"/>
      <c r="T687" s="240"/>
    </row>
    <row r="688" spans="2:20" x14ac:dyDescent="0.25">
      <c r="B688" s="21" t="str">
        <f t="shared" ca="1" si="80"/>
        <v/>
      </c>
      <c r="C688" s="22" t="str">
        <f ca="1">IF(B688="","",IF(LEFT(B688,2)="13",C687,IF(MONTH(B688)=1,C687*(1+PREMISSAS!$C$57),C687)))</f>
        <v/>
      </c>
      <c r="E688" s="18">
        <v>684</v>
      </c>
      <c r="F688" s="21" t="str">
        <f t="shared" ca="1" si="81"/>
        <v/>
      </c>
      <c r="G688" s="22">
        <f ca="1">IFERROR(VLOOKUP(F688,RESULTADOS!$O$5:$P$543,2,FALSE),VLOOKUP(F688,$B$5:$C$724,2,FALSE))</f>
        <v>0</v>
      </c>
      <c r="H688" s="4">
        <f ca="1">IF(F688&lt;PREMISSAS!$D$7,0,IFERROR(VLOOKUP(IF(LEFT(F688,2)="13",DATE(YEAR(F687),12,31),F688),IPCA!$A$3:$D$284,4,FALSE),1)*G688)</f>
        <v>0</v>
      </c>
      <c r="J688" s="21" t="str">
        <f t="shared" ca="1" si="84"/>
        <v/>
      </c>
      <c r="K688" s="4">
        <f t="shared" ca="1" si="85"/>
        <v>0</v>
      </c>
      <c r="M688" s="21" t="str">
        <f t="shared" ca="1" si="82"/>
        <v/>
      </c>
      <c r="N688" s="37">
        <f t="shared" ca="1" si="86"/>
        <v>0</v>
      </c>
      <c r="O688" s="4">
        <f ca="1">IFERROR(AVERAGEIF(N$5:$N688,"&gt;="&amp;_xlfn.PERCENTILE.EXC(N$5:$N688,0.2)),0)</f>
        <v>0</v>
      </c>
      <c r="Q688" s="21" t="str">
        <f t="shared" ca="1" si="87"/>
        <v/>
      </c>
      <c r="R688" s="4">
        <f ca="1">MIN(O688,PREMISSAS!$C$13)</f>
        <v>0</v>
      </c>
      <c r="S688" s="240"/>
      <c r="T688" s="240"/>
    </row>
    <row r="689" spans="2:20" x14ac:dyDescent="0.25">
      <c r="B689" s="21" t="str">
        <f t="shared" ca="1" si="80"/>
        <v/>
      </c>
      <c r="C689" s="22" t="str">
        <f ca="1">IF(B689="","",IF(LEFT(B689,2)="13",C688,IF(MONTH(B689)=1,C688*(1+PREMISSAS!$C$57),C688)))</f>
        <v/>
      </c>
      <c r="E689" s="18">
        <v>685</v>
      </c>
      <c r="F689" s="21" t="str">
        <f t="shared" ca="1" si="81"/>
        <v/>
      </c>
      <c r="G689" s="22">
        <f ca="1">IFERROR(VLOOKUP(F689,RESULTADOS!$O$5:$P$543,2,FALSE),VLOOKUP(F689,$B$5:$C$724,2,FALSE))</f>
        <v>0</v>
      </c>
      <c r="H689" s="4">
        <f ca="1">IF(F689&lt;PREMISSAS!$D$7,0,IFERROR(VLOOKUP(IF(LEFT(F689,2)="13",DATE(YEAR(F688),12,31),F689),IPCA!$A$3:$D$284,4,FALSE),1)*G689)</f>
        <v>0</v>
      </c>
      <c r="J689" s="21" t="str">
        <f t="shared" ref="J689:J699" ca="1" si="88">F689</f>
        <v/>
      </c>
      <c r="K689" s="4">
        <f t="shared" ref="K689:K699" ca="1" si="89">G689</f>
        <v>0</v>
      </c>
      <c r="M689" s="21" t="str">
        <f t="shared" ca="1" si="82"/>
        <v/>
      </c>
      <c r="N689" s="37">
        <f t="shared" ref="N689:N699" ca="1" si="90">IFERROR(VLOOKUP(M689,$F$5:$H$628,3,FALSE),0)</f>
        <v>0</v>
      </c>
      <c r="O689" s="4">
        <f ca="1">IFERROR(AVERAGEIF(N$5:$N689,"&gt;="&amp;_xlfn.PERCENTILE.EXC(N$5:$N689,0.2)),0)</f>
        <v>0</v>
      </c>
      <c r="Q689" s="21" t="str">
        <f t="shared" ref="Q689:Q699" ca="1" si="91">M689</f>
        <v/>
      </c>
      <c r="R689" s="4">
        <f ca="1">MIN(O689,PREMISSAS!$C$13)</f>
        <v>0</v>
      </c>
      <c r="S689" s="240"/>
      <c r="T689" s="240"/>
    </row>
    <row r="690" spans="2:20" x14ac:dyDescent="0.25">
      <c r="B690" s="21" t="str">
        <f t="shared" ca="1" si="80"/>
        <v/>
      </c>
      <c r="C690" s="22" t="str">
        <f ca="1">IF(B690="","",IF(LEFT(B690,2)="13",C689,IF(MONTH(B690)=1,C689*(1+PREMISSAS!$C$57),C689)))</f>
        <v/>
      </c>
      <c r="E690" s="18">
        <v>686</v>
      </c>
      <c r="F690" s="21" t="str">
        <f t="shared" ca="1" si="81"/>
        <v/>
      </c>
      <c r="G690" s="22">
        <f ca="1">IFERROR(VLOOKUP(F690,RESULTADOS!$O$5:$P$543,2,FALSE),VLOOKUP(F690,$B$5:$C$724,2,FALSE))</f>
        <v>0</v>
      </c>
      <c r="H690" s="4">
        <f ca="1">IF(F690&lt;PREMISSAS!$D$7,0,IFERROR(VLOOKUP(IF(LEFT(F690,2)="13",DATE(YEAR(F689),12,31),F690),IPCA!$A$3:$D$284,4,FALSE),1)*G690)</f>
        <v>0</v>
      </c>
      <c r="J690" s="21" t="str">
        <f t="shared" ca="1" si="88"/>
        <v/>
      </c>
      <c r="K690" s="4">
        <f t="shared" ca="1" si="89"/>
        <v>0</v>
      </c>
      <c r="M690" s="21" t="str">
        <f t="shared" ca="1" si="82"/>
        <v/>
      </c>
      <c r="N690" s="37">
        <f t="shared" ca="1" si="90"/>
        <v>0</v>
      </c>
      <c r="O690" s="4">
        <f ca="1">IFERROR(AVERAGEIF(N$5:$N690,"&gt;="&amp;_xlfn.PERCENTILE.EXC(N$5:$N690,0.2)),0)</f>
        <v>0</v>
      </c>
      <c r="Q690" s="21" t="str">
        <f t="shared" ca="1" si="91"/>
        <v/>
      </c>
      <c r="R690" s="4">
        <f ca="1">MIN(O690,PREMISSAS!$C$13)</f>
        <v>0</v>
      </c>
      <c r="S690" s="240"/>
      <c r="T690" s="240"/>
    </row>
    <row r="691" spans="2:20" x14ac:dyDescent="0.25">
      <c r="B691" s="21" t="str">
        <f t="shared" ca="1" si="80"/>
        <v/>
      </c>
      <c r="C691" s="22" t="str">
        <f ca="1">IF(B691="","",IF(LEFT(B691,2)="13",C690,IF(MONTH(B691)=1,C690*(1+PREMISSAS!$C$57),C690)))</f>
        <v/>
      </c>
      <c r="E691" s="18">
        <v>687</v>
      </c>
      <c r="F691" s="21" t="str">
        <f t="shared" ca="1" si="81"/>
        <v/>
      </c>
      <c r="G691" s="22">
        <f ca="1">IFERROR(VLOOKUP(F691,RESULTADOS!$O$5:$P$543,2,FALSE),VLOOKUP(F691,$B$5:$C$724,2,FALSE))</f>
        <v>0</v>
      </c>
      <c r="H691" s="4">
        <f ca="1">IF(F691&lt;PREMISSAS!$D$7,0,IFERROR(VLOOKUP(IF(LEFT(F691,2)="13",DATE(YEAR(F690),12,31),F691),IPCA!$A$3:$D$284,4,FALSE),1)*G691)</f>
        <v>0</v>
      </c>
      <c r="J691" s="21" t="str">
        <f t="shared" ca="1" si="88"/>
        <v/>
      </c>
      <c r="K691" s="4">
        <f t="shared" ca="1" si="89"/>
        <v>0</v>
      </c>
      <c r="M691" s="21" t="str">
        <f t="shared" ca="1" si="82"/>
        <v/>
      </c>
      <c r="N691" s="37">
        <f t="shared" ca="1" si="90"/>
        <v>0</v>
      </c>
      <c r="O691" s="4">
        <f ca="1">IFERROR(AVERAGEIF(N$5:$N691,"&gt;="&amp;_xlfn.PERCENTILE.EXC(N$5:$N691,0.2)),0)</f>
        <v>0</v>
      </c>
      <c r="Q691" s="21" t="str">
        <f t="shared" ca="1" si="91"/>
        <v/>
      </c>
      <c r="R691" s="4">
        <f ca="1">MIN(O691,PREMISSAS!$C$13)</f>
        <v>0</v>
      </c>
      <c r="S691" s="240"/>
      <c r="T691" s="240"/>
    </row>
    <row r="692" spans="2:20" x14ac:dyDescent="0.25">
      <c r="B692" s="21" t="str">
        <f t="shared" ca="1" si="80"/>
        <v/>
      </c>
      <c r="C692" s="22" t="str">
        <f ca="1">IF(B692="","",IF(LEFT(B692,2)="13",C691,IF(MONTH(B692)=1,C691*(1+PREMISSAS!$C$57),C691)))</f>
        <v/>
      </c>
      <c r="E692" s="18">
        <v>688</v>
      </c>
      <c r="F692" s="21" t="str">
        <f t="shared" ca="1" si="81"/>
        <v/>
      </c>
      <c r="G692" s="22">
        <f ca="1">IFERROR(VLOOKUP(F692,RESULTADOS!$O$5:$P$543,2,FALSE),VLOOKUP(F692,$B$5:$C$724,2,FALSE))</f>
        <v>0</v>
      </c>
      <c r="H692" s="4">
        <f ca="1">IF(F692&lt;PREMISSAS!$D$7,0,IFERROR(VLOOKUP(IF(LEFT(F692,2)="13",DATE(YEAR(F691),12,31),F692),IPCA!$A$3:$D$284,4,FALSE),1)*G692)</f>
        <v>0</v>
      </c>
      <c r="J692" s="21" t="str">
        <f t="shared" ca="1" si="88"/>
        <v/>
      </c>
      <c r="K692" s="4">
        <f t="shared" ca="1" si="89"/>
        <v>0</v>
      </c>
      <c r="M692" s="21" t="str">
        <f t="shared" ca="1" si="82"/>
        <v/>
      </c>
      <c r="N692" s="37">
        <f t="shared" ca="1" si="90"/>
        <v>0</v>
      </c>
      <c r="O692" s="4">
        <f ca="1">IFERROR(AVERAGEIF(N$5:$N692,"&gt;="&amp;_xlfn.PERCENTILE.EXC(N$5:$N692,0.2)),0)</f>
        <v>0</v>
      </c>
      <c r="Q692" s="21" t="str">
        <f t="shared" ca="1" si="91"/>
        <v/>
      </c>
      <c r="R692" s="4">
        <f ca="1">MIN(O692,PREMISSAS!$C$13)</f>
        <v>0</v>
      </c>
      <c r="S692" s="240"/>
      <c r="T692" s="240"/>
    </row>
    <row r="693" spans="2:20" x14ac:dyDescent="0.25">
      <c r="B693" s="21" t="str">
        <f t="shared" ca="1" si="80"/>
        <v/>
      </c>
      <c r="C693" s="22" t="str">
        <f ca="1">IF(B693="","",IF(LEFT(B693,2)="13",C692,IF(MONTH(B693)=1,C692*(1+PREMISSAS!$C$57),C692)))</f>
        <v/>
      </c>
      <c r="E693" s="18">
        <v>689</v>
      </c>
      <c r="F693" s="21" t="str">
        <f t="shared" ca="1" si="81"/>
        <v/>
      </c>
      <c r="G693" s="22">
        <f ca="1">IFERROR(VLOOKUP(F693,RESULTADOS!$O$5:$P$543,2,FALSE),VLOOKUP(F693,$B$5:$C$724,2,FALSE))</f>
        <v>0</v>
      </c>
      <c r="H693" s="4">
        <f ca="1">IF(F693&lt;PREMISSAS!$D$7,0,IFERROR(VLOOKUP(IF(LEFT(F693,2)="13",DATE(YEAR(F692),12,31),F693),IPCA!$A$3:$D$284,4,FALSE),1)*G693)</f>
        <v>0</v>
      </c>
      <c r="J693" s="21" t="str">
        <f t="shared" ca="1" si="88"/>
        <v/>
      </c>
      <c r="K693" s="4">
        <f t="shared" ca="1" si="89"/>
        <v>0</v>
      </c>
      <c r="M693" s="21" t="str">
        <f t="shared" ca="1" si="82"/>
        <v/>
      </c>
      <c r="N693" s="37">
        <f t="shared" ca="1" si="90"/>
        <v>0</v>
      </c>
      <c r="O693" s="4">
        <f ca="1">IFERROR(AVERAGEIF(N$5:$N693,"&gt;="&amp;_xlfn.PERCENTILE.EXC(N$5:$N693,0.2)),0)</f>
        <v>0</v>
      </c>
      <c r="Q693" s="21" t="str">
        <f t="shared" ca="1" si="91"/>
        <v/>
      </c>
      <c r="R693" s="4">
        <f ca="1">MIN(O693,PREMISSAS!$C$13)</f>
        <v>0</v>
      </c>
      <c r="S693" s="240"/>
      <c r="T693" s="240"/>
    </row>
    <row r="694" spans="2:20" x14ac:dyDescent="0.25">
      <c r="B694" s="21" t="str">
        <f t="shared" ca="1" si="80"/>
        <v/>
      </c>
      <c r="C694" s="22" t="str">
        <f ca="1">IF(B694="","",IF(LEFT(B694,2)="13",C693,IF(MONTH(B694)=1,C693*(1+PREMISSAS!$C$57),C693)))</f>
        <v/>
      </c>
      <c r="E694" s="18">
        <v>690</v>
      </c>
      <c r="F694" s="21" t="str">
        <f t="shared" ca="1" si="81"/>
        <v/>
      </c>
      <c r="G694" s="22">
        <f ca="1">IFERROR(VLOOKUP(F694,RESULTADOS!$O$5:$P$543,2,FALSE),VLOOKUP(F694,$B$5:$C$724,2,FALSE))</f>
        <v>0</v>
      </c>
      <c r="H694" s="4">
        <f ca="1">IF(F694&lt;PREMISSAS!$D$7,0,IFERROR(VLOOKUP(IF(LEFT(F694,2)="13",DATE(YEAR(F693),12,31),F694),IPCA!$A$3:$D$284,4,FALSE),1)*G694)</f>
        <v>0</v>
      </c>
      <c r="J694" s="21" t="str">
        <f t="shared" ca="1" si="88"/>
        <v/>
      </c>
      <c r="K694" s="4">
        <f t="shared" ca="1" si="89"/>
        <v>0</v>
      </c>
      <c r="M694" s="21" t="str">
        <f t="shared" ca="1" si="82"/>
        <v/>
      </c>
      <c r="N694" s="37">
        <f t="shared" ca="1" si="90"/>
        <v>0</v>
      </c>
      <c r="O694" s="4">
        <f ca="1">IFERROR(AVERAGEIF(N$5:$N694,"&gt;="&amp;_xlfn.PERCENTILE.EXC(N$5:$N694,0.2)),0)</f>
        <v>0</v>
      </c>
      <c r="Q694" s="21" t="str">
        <f t="shared" ca="1" si="91"/>
        <v/>
      </c>
      <c r="R694" s="4">
        <f ca="1">MIN(O694,PREMISSAS!$C$13)</f>
        <v>0</v>
      </c>
      <c r="S694" s="240"/>
      <c r="T694" s="240"/>
    </row>
    <row r="695" spans="2:20" x14ac:dyDescent="0.25">
      <c r="B695" s="21" t="str">
        <f t="shared" ca="1" si="80"/>
        <v/>
      </c>
      <c r="C695" s="22" t="str">
        <f ca="1">IF(B695="","",IF(LEFT(B695,2)="13",C694,IF(MONTH(B695)=1,C694*(1+PREMISSAS!$C$57),C694)))</f>
        <v/>
      </c>
      <c r="E695" s="18">
        <v>691</v>
      </c>
      <c r="F695" s="21" t="str">
        <f t="shared" ca="1" si="81"/>
        <v/>
      </c>
      <c r="G695" s="22">
        <f ca="1">IFERROR(VLOOKUP(F695,RESULTADOS!$O$5:$P$543,2,FALSE),VLOOKUP(F695,$B$5:$C$724,2,FALSE))</f>
        <v>0</v>
      </c>
      <c r="H695" s="4">
        <f ca="1">IF(F695&lt;PREMISSAS!$D$7,0,IFERROR(VLOOKUP(IF(LEFT(F695,2)="13",DATE(YEAR(F694),12,31),F695),IPCA!$A$3:$D$284,4,FALSE),1)*G695)</f>
        <v>0</v>
      </c>
      <c r="J695" s="21" t="str">
        <f t="shared" ca="1" si="88"/>
        <v/>
      </c>
      <c r="K695" s="4">
        <f t="shared" ca="1" si="89"/>
        <v>0</v>
      </c>
      <c r="M695" s="21" t="str">
        <f t="shared" ca="1" si="82"/>
        <v/>
      </c>
      <c r="N695" s="37">
        <f t="shared" ca="1" si="90"/>
        <v>0</v>
      </c>
      <c r="O695" s="4">
        <f ca="1">IFERROR(AVERAGEIF(N$5:$N695,"&gt;="&amp;_xlfn.PERCENTILE.EXC(N$5:$N695,0.2)),0)</f>
        <v>0</v>
      </c>
      <c r="Q695" s="21" t="str">
        <f t="shared" ca="1" si="91"/>
        <v/>
      </c>
      <c r="R695" s="4">
        <f ca="1">MIN(O695,PREMISSAS!$C$13)</f>
        <v>0</v>
      </c>
      <c r="S695" s="240"/>
      <c r="T695" s="240"/>
    </row>
    <row r="696" spans="2:20" x14ac:dyDescent="0.25">
      <c r="B696" s="21" t="str">
        <f t="shared" ca="1" si="80"/>
        <v/>
      </c>
      <c r="C696" s="22" t="str">
        <f ca="1">IF(B696="","",IF(LEFT(B696,2)="13",C695,IF(MONTH(B696)=1,C695*(1+PREMISSAS!$C$57),C695)))</f>
        <v/>
      </c>
      <c r="E696" s="18">
        <v>692</v>
      </c>
      <c r="F696" s="21" t="str">
        <f t="shared" ca="1" si="81"/>
        <v/>
      </c>
      <c r="G696" s="22">
        <f ca="1">IFERROR(VLOOKUP(F696,RESULTADOS!$O$5:$P$543,2,FALSE),VLOOKUP(F696,$B$5:$C$724,2,FALSE))</f>
        <v>0</v>
      </c>
      <c r="H696" s="4">
        <f ca="1">IF(F696&lt;PREMISSAS!$D$7,0,IFERROR(VLOOKUP(IF(LEFT(F696,2)="13",DATE(YEAR(F695),12,31),F696),IPCA!$A$3:$D$284,4,FALSE),1)*G696)</f>
        <v>0</v>
      </c>
      <c r="J696" s="21" t="str">
        <f t="shared" ca="1" si="88"/>
        <v/>
      </c>
      <c r="K696" s="4">
        <f t="shared" ca="1" si="89"/>
        <v>0</v>
      </c>
      <c r="M696" s="21" t="str">
        <f t="shared" ca="1" si="82"/>
        <v/>
      </c>
      <c r="N696" s="37">
        <f t="shared" ca="1" si="90"/>
        <v>0</v>
      </c>
      <c r="O696" s="4">
        <f ca="1">IFERROR(AVERAGEIF(N$5:$N696,"&gt;="&amp;_xlfn.PERCENTILE.EXC(N$5:$N696,0.2)),0)</f>
        <v>0</v>
      </c>
      <c r="Q696" s="21" t="str">
        <f t="shared" ca="1" si="91"/>
        <v/>
      </c>
      <c r="R696" s="4">
        <f ca="1">MIN(O696,PREMISSAS!$C$13)</f>
        <v>0</v>
      </c>
      <c r="S696" s="240"/>
      <c r="T696" s="240"/>
    </row>
    <row r="697" spans="2:20" x14ac:dyDescent="0.25">
      <c r="B697" s="21" t="str">
        <f t="shared" ca="1" si="80"/>
        <v/>
      </c>
      <c r="C697" s="22" t="str">
        <f ca="1">IF(B697="","",IF(LEFT(B697,2)="13",C696,IF(MONTH(B697)=1,C696*(1+PREMISSAS!$C$57),C696)))</f>
        <v/>
      </c>
      <c r="E697" s="18">
        <v>693</v>
      </c>
      <c r="F697" s="21" t="str">
        <f t="shared" ca="1" si="81"/>
        <v/>
      </c>
      <c r="G697" s="22">
        <f ca="1">IFERROR(VLOOKUP(F697,RESULTADOS!$O$5:$P$543,2,FALSE),VLOOKUP(F697,$B$5:$C$724,2,FALSE))</f>
        <v>0</v>
      </c>
      <c r="H697" s="4">
        <f ca="1">IF(F697&lt;PREMISSAS!$D$7,0,IFERROR(VLOOKUP(IF(LEFT(F697,2)="13",DATE(YEAR(F696),12,31),F697),IPCA!$A$3:$D$284,4,FALSE),1)*G697)</f>
        <v>0</v>
      </c>
      <c r="J697" s="21" t="str">
        <f t="shared" ca="1" si="88"/>
        <v/>
      </c>
      <c r="K697" s="4">
        <f t="shared" ca="1" si="89"/>
        <v>0</v>
      </c>
      <c r="M697" s="21" t="str">
        <f t="shared" ca="1" si="82"/>
        <v/>
      </c>
      <c r="N697" s="37">
        <f t="shared" ca="1" si="90"/>
        <v>0</v>
      </c>
      <c r="O697" s="4">
        <f ca="1">IFERROR(AVERAGEIF(N$5:$N697,"&gt;="&amp;_xlfn.PERCENTILE.EXC(N$5:$N697,0.2)),0)</f>
        <v>0</v>
      </c>
      <c r="Q697" s="21" t="str">
        <f t="shared" ca="1" si="91"/>
        <v/>
      </c>
      <c r="R697" s="4">
        <f ca="1">MIN(O697,PREMISSAS!$C$13)</f>
        <v>0</v>
      </c>
      <c r="S697" s="240"/>
      <c r="T697" s="240"/>
    </row>
    <row r="698" spans="2:20" x14ac:dyDescent="0.25">
      <c r="B698" s="21" t="str">
        <f t="shared" ca="1" si="80"/>
        <v/>
      </c>
      <c r="C698" s="22" t="str">
        <f ca="1">IF(B698="","",IF(LEFT(B698,2)="13",C697,IF(MONTH(B698)=1,C697*(1+PREMISSAS!$C$57),C697)))</f>
        <v/>
      </c>
      <c r="E698" s="18">
        <v>694</v>
      </c>
      <c r="F698" s="21" t="str">
        <f t="shared" ca="1" si="81"/>
        <v/>
      </c>
      <c r="G698" s="22">
        <f ca="1">IFERROR(VLOOKUP(F698,RESULTADOS!$O$5:$P$543,2,FALSE),VLOOKUP(F698,$B$5:$C$724,2,FALSE))</f>
        <v>0</v>
      </c>
      <c r="H698" s="4">
        <f ca="1">IF(F698&lt;PREMISSAS!$D$7,0,IFERROR(VLOOKUP(IF(LEFT(F698,2)="13",DATE(YEAR(F697),12,31),F698),IPCA!$A$3:$D$284,4,FALSE),1)*G698)</f>
        <v>0</v>
      </c>
      <c r="J698" s="21" t="str">
        <f t="shared" ca="1" si="88"/>
        <v/>
      </c>
      <c r="K698" s="4">
        <f t="shared" ca="1" si="89"/>
        <v>0</v>
      </c>
      <c r="M698" s="21" t="str">
        <f t="shared" ca="1" si="82"/>
        <v/>
      </c>
      <c r="N698" s="37">
        <f t="shared" ca="1" si="90"/>
        <v>0</v>
      </c>
      <c r="O698" s="4">
        <f ca="1">IFERROR(AVERAGEIF(N$5:$N698,"&gt;="&amp;_xlfn.PERCENTILE.EXC(N$5:$N698,0.2)),0)</f>
        <v>0</v>
      </c>
      <c r="Q698" s="21" t="str">
        <f t="shared" ca="1" si="91"/>
        <v/>
      </c>
      <c r="R698" s="4">
        <f ca="1">MIN(O698,PREMISSAS!$C$13)</f>
        <v>0</v>
      </c>
      <c r="S698" s="240"/>
      <c r="T698" s="240"/>
    </row>
    <row r="699" spans="2:20" x14ac:dyDescent="0.25">
      <c r="B699" s="21" t="str">
        <f t="shared" ca="1" si="80"/>
        <v/>
      </c>
      <c r="C699" s="22" t="str">
        <f ca="1">IF(B699="","",IF(LEFT(B699,2)="13",C698,IF(MONTH(B699)=1,C698*(1+PREMISSAS!$C$57),C698)))</f>
        <v/>
      </c>
      <c r="E699" s="18">
        <v>695</v>
      </c>
      <c r="F699" s="21" t="str">
        <f t="shared" ca="1" si="81"/>
        <v/>
      </c>
      <c r="G699" s="22">
        <f ca="1">IFERROR(VLOOKUP(F699,RESULTADOS!$O$5:$P$543,2,FALSE),VLOOKUP(F699,$B$5:$C$724,2,FALSE))</f>
        <v>0</v>
      </c>
      <c r="H699" s="4">
        <f ca="1">IF(F699&lt;PREMISSAS!$D$7,0,IFERROR(VLOOKUP(IF(LEFT(F699,2)="13",DATE(YEAR(F698),12,31),F699),IPCA!$A$3:$D$284,4,FALSE),1)*G699)</f>
        <v>0</v>
      </c>
      <c r="J699" s="21" t="str">
        <f t="shared" ca="1" si="88"/>
        <v/>
      </c>
      <c r="K699" s="4">
        <f t="shared" ca="1" si="89"/>
        <v>0</v>
      </c>
      <c r="M699" s="21" t="str">
        <f t="shared" ca="1" si="82"/>
        <v/>
      </c>
      <c r="N699" s="37">
        <f t="shared" ca="1" si="90"/>
        <v>0</v>
      </c>
      <c r="O699" s="4">
        <f ca="1">IFERROR(AVERAGEIF(N$5:$N699,"&gt;="&amp;_xlfn.PERCENTILE.EXC(N$5:$N699,0.2)),0)</f>
        <v>0</v>
      </c>
      <c r="Q699" s="21" t="str">
        <f t="shared" ca="1" si="91"/>
        <v/>
      </c>
      <c r="R699" s="4">
        <f ca="1">MIN(O699,PREMISSAS!$C$13)</f>
        <v>0</v>
      </c>
      <c r="S699" s="240"/>
      <c r="T699" s="240"/>
    </row>
    <row r="700" spans="2:20" x14ac:dyDescent="0.25">
      <c r="B700" s="21" t="str">
        <f t="shared" ca="1" si="80"/>
        <v/>
      </c>
      <c r="C700" s="22" t="str">
        <f ca="1">IF(B700="","",IF(LEFT(B700,2)="13",C699,IF(MONTH(B700)=1,C699*(1+PREMISSAS!$C$57),C699)))</f>
        <v/>
      </c>
      <c r="E700" s="18">
        <v>696</v>
      </c>
      <c r="F700" s="21" t="str">
        <f t="shared" ca="1" si="81"/>
        <v/>
      </c>
      <c r="G700" s="22">
        <f ca="1">IFERROR(VLOOKUP(F700,RESULTADOS!$O$5:$P$543,2,FALSE),VLOOKUP(F700,$B$5:$C$724,2,FALSE))</f>
        <v>0</v>
      </c>
      <c r="H700" s="4">
        <f ca="1">IF(F700&lt;PREMISSAS!$D$7,0,IFERROR(VLOOKUP(IF(LEFT(F700,2)="13",DATE(YEAR(F699),12,31),F700),IPCA!$A$3:$D$284,4,FALSE),1)*G700)</f>
        <v>0</v>
      </c>
      <c r="J700" s="21" t="str">
        <f t="shared" ref="J700:J724" ca="1" si="92">F700</f>
        <v/>
      </c>
      <c r="K700" s="4">
        <f t="shared" ref="K700:K724" ca="1" si="93">G700</f>
        <v>0</v>
      </c>
      <c r="M700" s="21" t="str">
        <f t="shared" ca="1" si="82"/>
        <v/>
      </c>
      <c r="N700" s="37">
        <f t="shared" ref="N700:N724" ca="1" si="94">IFERROR(VLOOKUP(M700,$F$5:$H$628,3,FALSE),0)</f>
        <v>0</v>
      </c>
      <c r="O700" s="4">
        <f ca="1">IFERROR(AVERAGEIF(N$5:$N700,"&gt;="&amp;_xlfn.PERCENTILE.EXC(N$5:$N700,0.2)),0)</f>
        <v>0</v>
      </c>
      <c r="Q700" s="21" t="str">
        <f t="shared" ref="Q700:Q724" ca="1" si="95">M700</f>
        <v/>
      </c>
      <c r="R700" s="4">
        <f ca="1">MIN(O700,PREMISSAS!$C$13)</f>
        <v>0</v>
      </c>
      <c r="S700" s="240"/>
      <c r="T700" s="240"/>
    </row>
    <row r="701" spans="2:20" x14ac:dyDescent="0.25">
      <c r="B701" s="21" t="str">
        <f t="shared" ca="1" si="80"/>
        <v/>
      </c>
      <c r="C701" s="22" t="str">
        <f ca="1">IF(B701="","",IF(LEFT(B701,2)="13",C700,IF(MONTH(B701)=1,C700*(1+PREMISSAS!$C$57),C700)))</f>
        <v/>
      </c>
      <c r="E701" s="18">
        <v>697</v>
      </c>
      <c r="F701" s="21" t="str">
        <f t="shared" ca="1" si="81"/>
        <v/>
      </c>
      <c r="G701" s="22">
        <f ca="1">IFERROR(VLOOKUP(F701,RESULTADOS!$O$5:$P$543,2,FALSE),VLOOKUP(F701,$B$5:$C$724,2,FALSE))</f>
        <v>0</v>
      </c>
      <c r="H701" s="4">
        <f ca="1">IF(F701&lt;PREMISSAS!$D$7,0,IFERROR(VLOOKUP(IF(LEFT(F701,2)="13",DATE(YEAR(F700),12,31),F701),IPCA!$A$3:$D$284,4,FALSE),1)*G701)</f>
        <v>0</v>
      </c>
      <c r="J701" s="21" t="str">
        <f t="shared" ca="1" si="92"/>
        <v/>
      </c>
      <c r="K701" s="4">
        <f t="shared" ca="1" si="93"/>
        <v>0</v>
      </c>
      <c r="M701" s="21" t="str">
        <f t="shared" ca="1" si="82"/>
        <v/>
      </c>
      <c r="N701" s="37">
        <f t="shared" ca="1" si="94"/>
        <v>0</v>
      </c>
      <c r="O701" s="4">
        <f ca="1">IFERROR(AVERAGEIF(N$5:$N701,"&gt;="&amp;_xlfn.PERCENTILE.EXC(N$5:$N701,0.2)),0)</f>
        <v>0</v>
      </c>
      <c r="Q701" s="21" t="str">
        <f t="shared" ca="1" si="95"/>
        <v/>
      </c>
      <c r="R701" s="4">
        <f ca="1">MIN(O701,PREMISSAS!$C$13)</f>
        <v>0</v>
      </c>
      <c r="S701" s="240"/>
      <c r="T701" s="240"/>
    </row>
    <row r="702" spans="2:20" x14ac:dyDescent="0.25">
      <c r="B702" s="21" t="str">
        <f t="shared" ca="1" si="80"/>
        <v/>
      </c>
      <c r="C702" s="22" t="str">
        <f ca="1">IF(B702="","",IF(LEFT(B702,2)="13",C701,IF(MONTH(B702)=1,C701*(1+PREMISSAS!$C$57),C701)))</f>
        <v/>
      </c>
      <c r="E702" s="18">
        <v>698</v>
      </c>
      <c r="F702" s="21" t="str">
        <f t="shared" ca="1" si="81"/>
        <v/>
      </c>
      <c r="G702" s="22">
        <f ca="1">IFERROR(VLOOKUP(F702,RESULTADOS!$O$5:$P$543,2,FALSE),VLOOKUP(F702,$B$5:$C$724,2,FALSE))</f>
        <v>0</v>
      </c>
      <c r="H702" s="4">
        <f ca="1">IF(F702&lt;PREMISSAS!$D$7,0,IFERROR(VLOOKUP(IF(LEFT(F702,2)="13",DATE(YEAR(F701),12,31),F702),IPCA!$A$3:$D$284,4,FALSE),1)*G702)</f>
        <v>0</v>
      </c>
      <c r="J702" s="21" t="str">
        <f t="shared" ca="1" si="92"/>
        <v/>
      </c>
      <c r="K702" s="4">
        <f t="shared" ca="1" si="93"/>
        <v>0</v>
      </c>
      <c r="M702" s="21" t="str">
        <f t="shared" ca="1" si="82"/>
        <v/>
      </c>
      <c r="N702" s="37">
        <f t="shared" ca="1" si="94"/>
        <v>0</v>
      </c>
      <c r="O702" s="4">
        <f ca="1">IFERROR(AVERAGEIF(N$5:$N702,"&gt;="&amp;_xlfn.PERCENTILE.EXC(N$5:$N702,0.2)),0)</f>
        <v>0</v>
      </c>
      <c r="Q702" s="21" t="str">
        <f t="shared" ca="1" si="95"/>
        <v/>
      </c>
      <c r="R702" s="4">
        <f ca="1">MIN(O702,PREMISSAS!$C$13)</f>
        <v>0</v>
      </c>
      <c r="S702" s="240"/>
      <c r="T702" s="240"/>
    </row>
    <row r="703" spans="2:20" x14ac:dyDescent="0.25">
      <c r="B703" s="21" t="str">
        <f t="shared" ca="1" si="80"/>
        <v/>
      </c>
      <c r="C703" s="22" t="str">
        <f ca="1">IF(B703="","",IF(LEFT(B703,2)="13",C702,IF(MONTH(B703)=1,C702*(1+PREMISSAS!$C$57),C702)))</f>
        <v/>
      </c>
      <c r="E703" s="18">
        <v>699</v>
      </c>
      <c r="F703" s="21" t="str">
        <f t="shared" ca="1" si="81"/>
        <v/>
      </c>
      <c r="G703" s="22">
        <f ca="1">IFERROR(VLOOKUP(F703,RESULTADOS!$O$5:$P$543,2,FALSE),VLOOKUP(F703,$B$5:$C$724,2,FALSE))</f>
        <v>0</v>
      </c>
      <c r="H703" s="4">
        <f ca="1">IF(F703&lt;PREMISSAS!$D$7,0,IFERROR(VLOOKUP(IF(LEFT(F703,2)="13",DATE(YEAR(F702),12,31),F703),IPCA!$A$3:$D$284,4,FALSE),1)*G703)</f>
        <v>0</v>
      </c>
      <c r="J703" s="21" t="str">
        <f t="shared" ca="1" si="92"/>
        <v/>
      </c>
      <c r="K703" s="4">
        <f t="shared" ca="1" si="93"/>
        <v>0</v>
      </c>
      <c r="M703" s="21" t="str">
        <f t="shared" ca="1" si="82"/>
        <v/>
      </c>
      <c r="N703" s="37">
        <f t="shared" ca="1" si="94"/>
        <v>0</v>
      </c>
      <c r="O703" s="4">
        <f ca="1">IFERROR(AVERAGEIF(N$5:$N703,"&gt;="&amp;_xlfn.PERCENTILE.EXC(N$5:$N703,0.2)),0)</f>
        <v>0</v>
      </c>
      <c r="Q703" s="21" t="str">
        <f t="shared" ca="1" si="95"/>
        <v/>
      </c>
      <c r="R703" s="4">
        <f ca="1">MIN(O703,PREMISSAS!$C$13)</f>
        <v>0</v>
      </c>
      <c r="S703" s="240"/>
      <c r="T703" s="240"/>
    </row>
    <row r="704" spans="2:20" x14ac:dyDescent="0.25">
      <c r="B704" s="21" t="str">
        <f t="shared" ca="1" si="80"/>
        <v/>
      </c>
      <c r="C704" s="22" t="str">
        <f ca="1">IF(B704="","",IF(LEFT(B704,2)="13",C703,IF(MONTH(B704)=1,C703*(1+PREMISSAS!$C$57),C703)))</f>
        <v/>
      </c>
      <c r="E704" s="18">
        <v>700</v>
      </c>
      <c r="F704" s="21" t="str">
        <f t="shared" ca="1" si="81"/>
        <v/>
      </c>
      <c r="G704" s="22">
        <f ca="1">IFERROR(VLOOKUP(F704,RESULTADOS!$O$5:$P$543,2,FALSE),VLOOKUP(F704,$B$5:$C$724,2,FALSE))</f>
        <v>0</v>
      </c>
      <c r="H704" s="4">
        <f ca="1">IF(F704&lt;PREMISSAS!$D$7,0,IFERROR(VLOOKUP(IF(LEFT(F704,2)="13",DATE(YEAR(F703),12,31),F704),IPCA!$A$3:$D$284,4,FALSE),1)*G704)</f>
        <v>0</v>
      </c>
      <c r="J704" s="21" t="str">
        <f t="shared" ca="1" si="92"/>
        <v/>
      </c>
      <c r="K704" s="4">
        <f t="shared" ca="1" si="93"/>
        <v>0</v>
      </c>
      <c r="M704" s="21" t="str">
        <f t="shared" ca="1" si="82"/>
        <v/>
      </c>
      <c r="N704" s="37">
        <f t="shared" ca="1" si="94"/>
        <v>0</v>
      </c>
      <c r="O704" s="4">
        <f ca="1">IFERROR(AVERAGEIF(N$5:$N704,"&gt;="&amp;_xlfn.PERCENTILE.EXC(N$5:$N704,0.2)),0)</f>
        <v>0</v>
      </c>
      <c r="Q704" s="21" t="str">
        <f t="shared" ca="1" si="95"/>
        <v/>
      </c>
      <c r="R704" s="4">
        <f ca="1">MIN(O704,PREMISSAS!$C$13)</f>
        <v>0</v>
      </c>
      <c r="S704" s="240"/>
      <c r="T704" s="240"/>
    </row>
    <row r="705" spans="2:20" x14ac:dyDescent="0.25">
      <c r="B705" s="21" t="str">
        <f t="shared" ca="1" si="80"/>
        <v/>
      </c>
      <c r="C705" s="22" t="str">
        <f ca="1">IF(B705="","",IF(LEFT(B705,2)="13",C704,IF(MONTH(B705)=1,C704*(1+PREMISSAS!$C$57),C704)))</f>
        <v/>
      </c>
      <c r="E705" s="18">
        <v>701</v>
      </c>
      <c r="F705" s="21" t="str">
        <f t="shared" ca="1" si="81"/>
        <v/>
      </c>
      <c r="G705" s="22">
        <f ca="1">IFERROR(VLOOKUP(F705,RESULTADOS!$O$5:$P$543,2,FALSE),VLOOKUP(F705,$B$5:$C$724,2,FALSE))</f>
        <v>0</v>
      </c>
      <c r="H705" s="4">
        <f ca="1">IF(F705&lt;PREMISSAS!$D$7,0,IFERROR(VLOOKUP(IF(LEFT(F705,2)="13",DATE(YEAR(F704),12,31),F705),IPCA!$A$3:$D$284,4,FALSE),1)*G705)</f>
        <v>0</v>
      </c>
      <c r="J705" s="21" t="str">
        <f t="shared" ca="1" si="92"/>
        <v/>
      </c>
      <c r="K705" s="4">
        <f t="shared" ca="1" si="93"/>
        <v>0</v>
      </c>
      <c r="M705" s="21" t="str">
        <f t="shared" ca="1" si="82"/>
        <v/>
      </c>
      <c r="N705" s="37">
        <f t="shared" ca="1" si="94"/>
        <v>0</v>
      </c>
      <c r="O705" s="4">
        <f ca="1">IFERROR(AVERAGEIF(N$5:$N705,"&gt;="&amp;_xlfn.PERCENTILE.EXC(N$5:$N705,0.2)),0)</f>
        <v>0</v>
      </c>
      <c r="Q705" s="21" t="str">
        <f t="shared" ca="1" si="95"/>
        <v/>
      </c>
      <c r="R705" s="4">
        <f ca="1">MIN(O705,PREMISSAS!$C$13)</f>
        <v>0</v>
      </c>
      <c r="S705" s="240"/>
      <c r="T705" s="240"/>
    </row>
    <row r="706" spans="2:20" x14ac:dyDescent="0.25">
      <c r="B706" s="21" t="str">
        <f t="shared" ca="1" si="80"/>
        <v/>
      </c>
      <c r="C706" s="22" t="str">
        <f ca="1">IF(B706="","",IF(LEFT(B706,2)="13",C705,IF(MONTH(B706)=1,C705*(1+PREMISSAS!$C$57),C705)))</f>
        <v/>
      </c>
      <c r="E706" s="18">
        <v>702</v>
      </c>
      <c r="F706" s="21" t="str">
        <f t="shared" ca="1" si="81"/>
        <v/>
      </c>
      <c r="G706" s="22">
        <f ca="1">IFERROR(VLOOKUP(F706,RESULTADOS!$O$5:$P$543,2,FALSE),VLOOKUP(F706,$B$5:$C$724,2,FALSE))</f>
        <v>0</v>
      </c>
      <c r="H706" s="4">
        <f ca="1">IF(F706&lt;PREMISSAS!$D$7,0,IFERROR(VLOOKUP(IF(LEFT(F706,2)="13",DATE(YEAR(F705),12,31),F706),IPCA!$A$3:$D$284,4,FALSE),1)*G706)</f>
        <v>0</v>
      </c>
      <c r="J706" s="21" t="str">
        <f t="shared" ca="1" si="92"/>
        <v/>
      </c>
      <c r="K706" s="4">
        <f t="shared" ca="1" si="93"/>
        <v>0</v>
      </c>
      <c r="M706" s="21" t="str">
        <f t="shared" ca="1" si="82"/>
        <v/>
      </c>
      <c r="N706" s="37">
        <f t="shared" ca="1" si="94"/>
        <v>0</v>
      </c>
      <c r="O706" s="4">
        <f ca="1">IFERROR(AVERAGEIF(N$5:$N706,"&gt;="&amp;_xlfn.PERCENTILE.EXC(N$5:$N706,0.2)),0)</f>
        <v>0</v>
      </c>
      <c r="Q706" s="21" t="str">
        <f t="shared" ca="1" si="95"/>
        <v/>
      </c>
      <c r="R706" s="4">
        <f ca="1">MIN(O706,PREMISSAS!$C$13)</f>
        <v>0</v>
      </c>
      <c r="S706" s="240"/>
      <c r="T706" s="240"/>
    </row>
    <row r="707" spans="2:20" x14ac:dyDescent="0.25">
      <c r="B707" s="21" t="str">
        <f t="shared" ca="1" si="80"/>
        <v/>
      </c>
      <c r="C707" s="22" t="str">
        <f ca="1">IF(B707="","",IF(LEFT(B707,2)="13",C706,IF(MONTH(B707)=1,C706*(1+PREMISSAS!$C$57),C706)))</f>
        <v/>
      </c>
      <c r="E707" s="18">
        <v>703</v>
      </c>
      <c r="F707" s="21" t="str">
        <f t="shared" ca="1" si="81"/>
        <v/>
      </c>
      <c r="G707" s="22">
        <f ca="1">IFERROR(VLOOKUP(F707,RESULTADOS!$O$5:$P$543,2,FALSE),VLOOKUP(F707,$B$5:$C$724,2,FALSE))</f>
        <v>0</v>
      </c>
      <c r="H707" s="4">
        <f ca="1">IF(F707&lt;PREMISSAS!$D$7,0,IFERROR(VLOOKUP(IF(LEFT(F707,2)="13",DATE(YEAR(F706),12,31),F707),IPCA!$A$3:$D$284,4,FALSE),1)*G707)</f>
        <v>0</v>
      </c>
      <c r="J707" s="21" t="str">
        <f t="shared" ca="1" si="92"/>
        <v/>
      </c>
      <c r="K707" s="4">
        <f t="shared" ca="1" si="93"/>
        <v>0</v>
      </c>
      <c r="M707" s="21" t="str">
        <f t="shared" ca="1" si="82"/>
        <v/>
      </c>
      <c r="N707" s="37">
        <f t="shared" ca="1" si="94"/>
        <v>0</v>
      </c>
      <c r="O707" s="4">
        <f ca="1">IFERROR(AVERAGEIF(N$5:$N707,"&gt;="&amp;_xlfn.PERCENTILE.EXC(N$5:$N707,0.2)),0)</f>
        <v>0</v>
      </c>
      <c r="Q707" s="21" t="str">
        <f t="shared" ca="1" si="95"/>
        <v/>
      </c>
      <c r="R707" s="4">
        <f ca="1">MIN(O707,PREMISSAS!$C$13)</f>
        <v>0</v>
      </c>
      <c r="S707" s="240"/>
      <c r="T707" s="240"/>
    </row>
    <row r="708" spans="2:20" x14ac:dyDescent="0.25">
      <c r="B708" s="21" t="str">
        <f t="shared" ca="1" si="80"/>
        <v/>
      </c>
      <c r="C708" s="22" t="str">
        <f ca="1">IF(B708="","",IF(LEFT(B708,2)="13",C707,IF(MONTH(B708)=1,C707*(1+PREMISSAS!$C$57),C707)))</f>
        <v/>
      </c>
      <c r="E708" s="18">
        <v>704</v>
      </c>
      <c r="F708" s="21" t="str">
        <f t="shared" ca="1" si="81"/>
        <v/>
      </c>
      <c r="G708" s="22">
        <f ca="1">IFERROR(VLOOKUP(F708,RESULTADOS!$O$5:$P$543,2,FALSE),VLOOKUP(F708,$B$5:$C$724,2,FALSE))</f>
        <v>0</v>
      </c>
      <c r="H708" s="4">
        <f ca="1">IF(F708&lt;PREMISSAS!$D$7,0,IFERROR(VLOOKUP(IF(LEFT(F708,2)="13",DATE(YEAR(F707),12,31),F708),IPCA!$A$3:$D$284,4,FALSE),1)*G708)</f>
        <v>0</v>
      </c>
      <c r="J708" s="21" t="str">
        <f t="shared" ca="1" si="92"/>
        <v/>
      </c>
      <c r="K708" s="4">
        <f t="shared" ca="1" si="93"/>
        <v>0</v>
      </c>
      <c r="M708" s="21" t="str">
        <f t="shared" ca="1" si="82"/>
        <v/>
      </c>
      <c r="N708" s="37">
        <f t="shared" ca="1" si="94"/>
        <v>0</v>
      </c>
      <c r="O708" s="4">
        <f ca="1">IFERROR(AVERAGEIF(N$5:$N708,"&gt;="&amp;_xlfn.PERCENTILE.EXC(N$5:$N708,0.2)),0)</f>
        <v>0</v>
      </c>
      <c r="Q708" s="21" t="str">
        <f t="shared" ca="1" si="95"/>
        <v/>
      </c>
      <c r="R708" s="4">
        <f ca="1">MIN(O708,PREMISSAS!$C$13)</f>
        <v>0</v>
      </c>
      <c r="S708" s="240"/>
      <c r="T708" s="240"/>
    </row>
    <row r="709" spans="2:20" x14ac:dyDescent="0.25">
      <c r="B709" s="21" t="str">
        <f t="shared" ca="1" si="80"/>
        <v/>
      </c>
      <c r="C709" s="22" t="str">
        <f ca="1">IF(B709="","",IF(LEFT(B709,2)="13",C708,IF(MONTH(B709)=1,C708*(1+PREMISSAS!$C$57),C708)))</f>
        <v/>
      </c>
      <c r="E709" s="18">
        <v>705</v>
      </c>
      <c r="F709" s="21" t="str">
        <f t="shared" ca="1" si="81"/>
        <v/>
      </c>
      <c r="G709" s="22">
        <f ca="1">IFERROR(VLOOKUP(F709,RESULTADOS!$O$5:$P$543,2,FALSE),VLOOKUP(F709,$B$5:$C$724,2,FALSE))</f>
        <v>0</v>
      </c>
      <c r="H709" s="4">
        <f ca="1">IF(F709&lt;PREMISSAS!$D$7,0,IFERROR(VLOOKUP(IF(LEFT(F709,2)="13",DATE(YEAR(F708),12,31),F709),IPCA!$A$3:$D$284,4,FALSE),1)*G709)</f>
        <v>0</v>
      </c>
      <c r="J709" s="21" t="str">
        <f t="shared" ca="1" si="92"/>
        <v/>
      </c>
      <c r="K709" s="4">
        <f t="shared" ca="1" si="93"/>
        <v>0</v>
      </c>
      <c r="M709" s="21" t="str">
        <f t="shared" ca="1" si="82"/>
        <v/>
      </c>
      <c r="N709" s="37">
        <f t="shared" ca="1" si="94"/>
        <v>0</v>
      </c>
      <c r="O709" s="4">
        <f ca="1">IFERROR(AVERAGEIF(N$5:$N709,"&gt;="&amp;_xlfn.PERCENTILE.EXC(N$5:$N709,0.2)),0)</f>
        <v>0</v>
      </c>
      <c r="Q709" s="21" t="str">
        <f t="shared" ca="1" si="95"/>
        <v/>
      </c>
      <c r="R709" s="4">
        <f ca="1">MIN(O709,PREMISSAS!$C$13)</f>
        <v>0</v>
      </c>
      <c r="S709" s="240"/>
      <c r="T709" s="240"/>
    </row>
    <row r="710" spans="2:20" x14ac:dyDescent="0.25">
      <c r="B710" s="21" t="str">
        <f t="shared" ca="1" si="80"/>
        <v/>
      </c>
      <c r="C710" s="22" t="str">
        <f ca="1">IF(B710="","",IF(LEFT(B710,2)="13",C709,IF(MONTH(B710)=1,C709*(1+PREMISSAS!$C$57),C709)))</f>
        <v/>
      </c>
      <c r="E710" s="18">
        <v>706</v>
      </c>
      <c r="F710" s="21" t="str">
        <f t="shared" ca="1" si="81"/>
        <v/>
      </c>
      <c r="G710" s="22">
        <f ca="1">IFERROR(VLOOKUP(F710,RESULTADOS!$O$5:$P$543,2,FALSE),VLOOKUP(F710,$B$5:$C$724,2,FALSE))</f>
        <v>0</v>
      </c>
      <c r="H710" s="4">
        <f ca="1">IF(F710&lt;PREMISSAS!$D$7,0,IFERROR(VLOOKUP(IF(LEFT(F710,2)="13",DATE(YEAR(F709),12,31),F710),IPCA!$A$3:$D$284,4,FALSE),1)*G710)</f>
        <v>0</v>
      </c>
      <c r="J710" s="21" t="str">
        <f t="shared" ca="1" si="92"/>
        <v/>
      </c>
      <c r="K710" s="4">
        <f t="shared" ca="1" si="93"/>
        <v>0</v>
      </c>
      <c r="M710" s="21" t="str">
        <f t="shared" ca="1" si="82"/>
        <v/>
      </c>
      <c r="N710" s="37">
        <f t="shared" ca="1" si="94"/>
        <v>0</v>
      </c>
      <c r="O710" s="4">
        <f ca="1">IFERROR(AVERAGEIF(N$5:$N710,"&gt;="&amp;_xlfn.PERCENTILE.EXC(N$5:$N710,0.2)),0)</f>
        <v>0</v>
      </c>
      <c r="Q710" s="21" t="str">
        <f t="shared" ca="1" si="95"/>
        <v/>
      </c>
      <c r="R710" s="4">
        <f ca="1">MIN(O710,PREMISSAS!$C$13)</f>
        <v>0</v>
      </c>
      <c r="S710" s="240"/>
      <c r="T710" s="240"/>
    </row>
    <row r="711" spans="2:20" x14ac:dyDescent="0.25">
      <c r="B711" s="21" t="str">
        <f t="shared" ref="B711:B724" ca="1" si="96">IFERROR(IF(LEFT(B710,2)="13",DATE(RIGHT(B710,4),12,31),IF(EOMONTH(B710,0)&gt;$F$1,"",IF(MONTH(B710)=11,"13º "&amp;YEAR(B710),EOMONTH(B710,1)))),"")</f>
        <v/>
      </c>
      <c r="C711" s="22" t="str">
        <f ca="1">IF(B711="","",IF(LEFT(B711,2)="13",C710,IF(MONTH(B711)=1,C710*(1+PREMISSAS!$C$57),C710)))</f>
        <v/>
      </c>
      <c r="E711" s="18">
        <v>707</v>
      </c>
      <c r="F711" s="21" t="str">
        <f t="shared" ref="F711:F724" ca="1" si="97">IFERROR(IF(LEFT(F710,2)="13",DATE(RIGHT(F710,4),12,31),IF(EOMONTH(F710,0)&gt;$F$1,"",IF(MONTH(F710)=11,"13º "&amp;YEAR(F710),EOMONTH(F710,1)))),"")</f>
        <v/>
      </c>
      <c r="G711" s="22">
        <f ca="1">IFERROR(VLOOKUP(F711,RESULTADOS!$O$5:$P$543,2,FALSE),VLOOKUP(F711,$B$5:$C$724,2,FALSE))</f>
        <v>0</v>
      </c>
      <c r="H711" s="4">
        <f ca="1">IF(F711&lt;PREMISSAS!$D$7,0,IFERROR(VLOOKUP(IF(LEFT(F711,2)="13",DATE(YEAR(F710),12,31),F711),IPCA!$A$3:$D$284,4,FALSE),1)*G711)</f>
        <v>0</v>
      </c>
      <c r="J711" s="21" t="str">
        <f t="shared" ca="1" si="92"/>
        <v/>
      </c>
      <c r="K711" s="4">
        <f t="shared" ca="1" si="93"/>
        <v>0</v>
      </c>
      <c r="M711" s="21" t="str">
        <f t="shared" ref="M711:M724" ca="1" si="98">IFERROR(IF(LEFT(M710,2)="13",DATE(RIGHT(M710,4),12,31),IF(EOMONTH(M710,0)&gt;$F$1,"",IF(MONTH(M710)=11,"13º "&amp;YEAR(M710),EOMONTH(M710,1)))),"")</f>
        <v/>
      </c>
      <c r="N711" s="37">
        <f t="shared" ca="1" si="94"/>
        <v>0</v>
      </c>
      <c r="O711" s="4">
        <f ca="1">IFERROR(AVERAGEIF(N$5:$N711,"&gt;="&amp;_xlfn.PERCENTILE.EXC(N$5:$N711,0.2)),0)</f>
        <v>0</v>
      </c>
      <c r="Q711" s="21" t="str">
        <f t="shared" ca="1" si="95"/>
        <v/>
      </c>
      <c r="R711" s="4">
        <f ca="1">MIN(O711,PREMISSAS!$C$13)</f>
        <v>0</v>
      </c>
      <c r="S711" s="240"/>
      <c r="T711" s="240"/>
    </row>
    <row r="712" spans="2:20" x14ac:dyDescent="0.25">
      <c r="B712" s="21" t="str">
        <f t="shared" ca="1" si="96"/>
        <v/>
      </c>
      <c r="C712" s="22" t="str">
        <f ca="1">IF(B712="","",IF(LEFT(B712,2)="13",C711,IF(MONTH(B712)=1,C711*(1+PREMISSAS!$C$57),C711)))</f>
        <v/>
      </c>
      <c r="E712" s="18">
        <v>708</v>
      </c>
      <c r="F712" s="21" t="str">
        <f t="shared" ca="1" si="97"/>
        <v/>
      </c>
      <c r="G712" s="22">
        <f ca="1">IFERROR(VLOOKUP(F712,RESULTADOS!$O$5:$P$543,2,FALSE),VLOOKUP(F712,$B$5:$C$724,2,FALSE))</f>
        <v>0</v>
      </c>
      <c r="H712" s="4">
        <f ca="1">IF(F712&lt;PREMISSAS!$D$7,0,IFERROR(VLOOKUP(IF(LEFT(F712,2)="13",DATE(YEAR(F711),12,31),F712),IPCA!$A$3:$D$284,4,FALSE),1)*G712)</f>
        <v>0</v>
      </c>
      <c r="J712" s="21" t="str">
        <f t="shared" ca="1" si="92"/>
        <v/>
      </c>
      <c r="K712" s="4">
        <f t="shared" ca="1" si="93"/>
        <v>0</v>
      </c>
      <c r="M712" s="21" t="str">
        <f t="shared" ca="1" si="98"/>
        <v/>
      </c>
      <c r="N712" s="37">
        <f t="shared" ca="1" si="94"/>
        <v>0</v>
      </c>
      <c r="O712" s="4">
        <f ca="1">IFERROR(AVERAGEIF(N$5:$N712,"&gt;="&amp;_xlfn.PERCENTILE.EXC(N$5:$N712,0.2)),0)</f>
        <v>0</v>
      </c>
      <c r="Q712" s="21" t="str">
        <f t="shared" ca="1" si="95"/>
        <v/>
      </c>
      <c r="R712" s="4">
        <f ca="1">MIN(O712,PREMISSAS!$C$13)</f>
        <v>0</v>
      </c>
      <c r="S712" s="240"/>
      <c r="T712" s="240"/>
    </row>
    <row r="713" spans="2:20" x14ac:dyDescent="0.25">
      <c r="B713" s="21" t="str">
        <f t="shared" ca="1" si="96"/>
        <v/>
      </c>
      <c r="C713" s="22" t="str">
        <f ca="1">IF(B713="","",IF(LEFT(B713,2)="13",C712,IF(MONTH(B713)=1,C712*(1+PREMISSAS!$C$57),C712)))</f>
        <v/>
      </c>
      <c r="E713" s="18">
        <v>709</v>
      </c>
      <c r="F713" s="21" t="str">
        <f t="shared" ca="1" si="97"/>
        <v/>
      </c>
      <c r="G713" s="22">
        <f ca="1">IFERROR(VLOOKUP(F713,RESULTADOS!$O$5:$P$543,2,FALSE),VLOOKUP(F713,$B$5:$C$724,2,FALSE))</f>
        <v>0</v>
      </c>
      <c r="H713" s="4">
        <f ca="1">IF(F713&lt;PREMISSAS!$D$7,0,IFERROR(VLOOKUP(IF(LEFT(F713,2)="13",DATE(YEAR(F712),12,31),F713),IPCA!$A$3:$D$284,4,FALSE),1)*G713)</f>
        <v>0</v>
      </c>
      <c r="J713" s="21" t="str">
        <f t="shared" ca="1" si="92"/>
        <v/>
      </c>
      <c r="K713" s="4">
        <f t="shared" ca="1" si="93"/>
        <v>0</v>
      </c>
      <c r="M713" s="21" t="str">
        <f t="shared" ca="1" si="98"/>
        <v/>
      </c>
      <c r="N713" s="37">
        <f t="shared" ca="1" si="94"/>
        <v>0</v>
      </c>
      <c r="O713" s="4">
        <f ca="1">IFERROR(AVERAGEIF(N$5:$N713,"&gt;="&amp;_xlfn.PERCENTILE.EXC(N$5:$N713,0.2)),0)</f>
        <v>0</v>
      </c>
      <c r="Q713" s="21" t="str">
        <f t="shared" ca="1" si="95"/>
        <v/>
      </c>
      <c r="R713" s="4">
        <f ca="1">MIN(O713,PREMISSAS!$C$13)</f>
        <v>0</v>
      </c>
      <c r="S713" s="240"/>
      <c r="T713" s="240"/>
    </row>
    <row r="714" spans="2:20" x14ac:dyDescent="0.25">
      <c r="B714" s="21" t="str">
        <f t="shared" ca="1" si="96"/>
        <v/>
      </c>
      <c r="C714" s="22" t="str">
        <f ca="1">IF(B714="","",IF(LEFT(B714,2)="13",C713,IF(MONTH(B714)=1,C713*(1+PREMISSAS!$C$57),C713)))</f>
        <v/>
      </c>
      <c r="E714" s="18">
        <v>710</v>
      </c>
      <c r="F714" s="21" t="str">
        <f t="shared" ca="1" si="97"/>
        <v/>
      </c>
      <c r="G714" s="22">
        <f ca="1">IFERROR(VLOOKUP(F714,RESULTADOS!$O$5:$P$543,2,FALSE),VLOOKUP(F714,$B$5:$C$724,2,FALSE))</f>
        <v>0</v>
      </c>
      <c r="H714" s="4">
        <f ca="1">IF(F714&lt;PREMISSAS!$D$7,0,IFERROR(VLOOKUP(IF(LEFT(F714,2)="13",DATE(YEAR(F713),12,31),F714),IPCA!$A$3:$D$284,4,FALSE),1)*G714)</f>
        <v>0</v>
      </c>
      <c r="J714" s="21" t="str">
        <f t="shared" ca="1" si="92"/>
        <v/>
      </c>
      <c r="K714" s="4">
        <f t="shared" ca="1" si="93"/>
        <v>0</v>
      </c>
      <c r="M714" s="21" t="str">
        <f t="shared" ca="1" si="98"/>
        <v/>
      </c>
      <c r="N714" s="37">
        <f t="shared" ca="1" si="94"/>
        <v>0</v>
      </c>
      <c r="O714" s="4">
        <f ca="1">IFERROR(AVERAGEIF(N$5:$N714,"&gt;="&amp;_xlfn.PERCENTILE.EXC(N$5:$N714,0.2)),0)</f>
        <v>0</v>
      </c>
      <c r="Q714" s="21" t="str">
        <f t="shared" ca="1" si="95"/>
        <v/>
      </c>
      <c r="R714" s="4">
        <f ca="1">MIN(O714,PREMISSAS!$C$13)</f>
        <v>0</v>
      </c>
      <c r="S714" s="240"/>
      <c r="T714" s="240"/>
    </row>
    <row r="715" spans="2:20" x14ac:dyDescent="0.25">
      <c r="B715" s="21" t="str">
        <f t="shared" ca="1" si="96"/>
        <v/>
      </c>
      <c r="C715" s="22" t="str">
        <f ca="1">IF(B715="","",IF(LEFT(B715,2)="13",C714,IF(MONTH(B715)=1,C714*(1+PREMISSAS!$C$57),C714)))</f>
        <v/>
      </c>
      <c r="E715" s="18">
        <v>711</v>
      </c>
      <c r="F715" s="21" t="str">
        <f t="shared" ca="1" si="97"/>
        <v/>
      </c>
      <c r="G715" s="22">
        <f ca="1">IFERROR(VLOOKUP(F715,RESULTADOS!$O$5:$P$543,2,FALSE),VLOOKUP(F715,$B$5:$C$724,2,FALSE))</f>
        <v>0</v>
      </c>
      <c r="H715" s="4">
        <f ca="1">IF(F715&lt;PREMISSAS!$D$7,0,IFERROR(VLOOKUP(IF(LEFT(F715,2)="13",DATE(YEAR(F714),12,31),F715),IPCA!$A$3:$D$284,4,FALSE),1)*G715)</f>
        <v>0</v>
      </c>
      <c r="J715" s="21" t="str">
        <f t="shared" ca="1" si="92"/>
        <v/>
      </c>
      <c r="K715" s="4">
        <f t="shared" ca="1" si="93"/>
        <v>0</v>
      </c>
      <c r="M715" s="21" t="str">
        <f t="shared" ca="1" si="98"/>
        <v/>
      </c>
      <c r="N715" s="37">
        <f t="shared" ca="1" si="94"/>
        <v>0</v>
      </c>
      <c r="O715" s="4">
        <f ca="1">IFERROR(AVERAGEIF(N$5:$N715,"&gt;="&amp;_xlfn.PERCENTILE.EXC(N$5:$N715,0.2)),0)</f>
        <v>0</v>
      </c>
      <c r="Q715" s="21" t="str">
        <f t="shared" ca="1" si="95"/>
        <v/>
      </c>
      <c r="R715" s="4">
        <f ca="1">MIN(O715,PREMISSAS!$C$13)</f>
        <v>0</v>
      </c>
      <c r="S715" s="240"/>
      <c r="T715" s="240"/>
    </row>
    <row r="716" spans="2:20" x14ac:dyDescent="0.25">
      <c r="B716" s="21" t="str">
        <f t="shared" ca="1" si="96"/>
        <v/>
      </c>
      <c r="C716" s="22" t="str">
        <f ca="1">IF(B716="","",IF(LEFT(B716,2)="13",C715,IF(MONTH(B716)=1,C715*(1+PREMISSAS!$C$57),C715)))</f>
        <v/>
      </c>
      <c r="E716" s="18">
        <v>712</v>
      </c>
      <c r="F716" s="21" t="str">
        <f t="shared" ca="1" si="97"/>
        <v/>
      </c>
      <c r="G716" s="22">
        <f ca="1">IFERROR(VLOOKUP(F716,RESULTADOS!$O$5:$P$543,2,FALSE),VLOOKUP(F716,$B$5:$C$724,2,FALSE))</f>
        <v>0</v>
      </c>
      <c r="H716" s="4">
        <f ca="1">IF(F716&lt;PREMISSAS!$D$7,0,IFERROR(VLOOKUP(IF(LEFT(F716,2)="13",DATE(YEAR(F715),12,31),F716),IPCA!$A$3:$D$284,4,FALSE),1)*G716)</f>
        <v>0</v>
      </c>
      <c r="J716" s="21" t="str">
        <f t="shared" ca="1" si="92"/>
        <v/>
      </c>
      <c r="K716" s="4">
        <f t="shared" ca="1" si="93"/>
        <v>0</v>
      </c>
      <c r="M716" s="21" t="str">
        <f t="shared" ca="1" si="98"/>
        <v/>
      </c>
      <c r="N716" s="37">
        <f t="shared" ca="1" si="94"/>
        <v>0</v>
      </c>
      <c r="O716" s="4">
        <f ca="1">IFERROR(AVERAGEIF(N$5:$N716,"&gt;="&amp;_xlfn.PERCENTILE.EXC(N$5:$N716,0.2)),0)</f>
        <v>0</v>
      </c>
      <c r="Q716" s="21" t="str">
        <f t="shared" ca="1" si="95"/>
        <v/>
      </c>
      <c r="R716" s="4">
        <f ca="1">MIN(O716,PREMISSAS!$C$13)</f>
        <v>0</v>
      </c>
      <c r="S716" s="240"/>
      <c r="T716" s="240"/>
    </row>
    <row r="717" spans="2:20" x14ac:dyDescent="0.25">
      <c r="B717" s="21" t="str">
        <f t="shared" ca="1" si="96"/>
        <v/>
      </c>
      <c r="C717" s="22" t="str">
        <f ca="1">IF(B717="","",IF(LEFT(B717,2)="13",C716,IF(MONTH(B717)=1,C716*(1+PREMISSAS!$C$57),C716)))</f>
        <v/>
      </c>
      <c r="E717" s="18">
        <v>713</v>
      </c>
      <c r="F717" s="21" t="str">
        <f t="shared" ca="1" si="97"/>
        <v/>
      </c>
      <c r="G717" s="22">
        <f ca="1">IFERROR(VLOOKUP(F717,RESULTADOS!$O$5:$P$543,2,FALSE),VLOOKUP(F717,$B$5:$C$724,2,FALSE))</f>
        <v>0</v>
      </c>
      <c r="H717" s="4">
        <f ca="1">IF(F717&lt;PREMISSAS!$D$7,0,IFERROR(VLOOKUP(IF(LEFT(F717,2)="13",DATE(YEAR(F716),12,31),F717),IPCA!$A$3:$D$284,4,FALSE),1)*G717)</f>
        <v>0</v>
      </c>
      <c r="J717" s="21" t="str">
        <f t="shared" ca="1" si="92"/>
        <v/>
      </c>
      <c r="K717" s="4">
        <f t="shared" ca="1" si="93"/>
        <v>0</v>
      </c>
      <c r="M717" s="21" t="str">
        <f t="shared" ca="1" si="98"/>
        <v/>
      </c>
      <c r="N717" s="37">
        <f t="shared" ca="1" si="94"/>
        <v>0</v>
      </c>
      <c r="O717" s="4">
        <f ca="1">IFERROR(AVERAGEIF(N$5:$N717,"&gt;="&amp;_xlfn.PERCENTILE.EXC(N$5:$N717,0.2)),0)</f>
        <v>0</v>
      </c>
      <c r="Q717" s="21" t="str">
        <f t="shared" ca="1" si="95"/>
        <v/>
      </c>
      <c r="R717" s="4">
        <f ca="1">MIN(O717,PREMISSAS!$C$13)</f>
        <v>0</v>
      </c>
      <c r="S717" s="240"/>
      <c r="T717" s="240"/>
    </row>
    <row r="718" spans="2:20" x14ac:dyDescent="0.25">
      <c r="B718" s="21" t="str">
        <f t="shared" ca="1" si="96"/>
        <v/>
      </c>
      <c r="C718" s="22" t="str">
        <f ca="1">IF(B718="","",IF(LEFT(B718,2)="13",C717,IF(MONTH(B718)=1,C717*(1+PREMISSAS!$C$57),C717)))</f>
        <v/>
      </c>
      <c r="E718" s="18">
        <v>714</v>
      </c>
      <c r="F718" s="21" t="str">
        <f t="shared" ca="1" si="97"/>
        <v/>
      </c>
      <c r="G718" s="22">
        <f ca="1">IFERROR(VLOOKUP(F718,RESULTADOS!$O$5:$P$543,2,FALSE),VLOOKUP(F718,$B$5:$C$724,2,FALSE))</f>
        <v>0</v>
      </c>
      <c r="H718" s="4">
        <f ca="1">IF(F718&lt;PREMISSAS!$D$7,0,IFERROR(VLOOKUP(IF(LEFT(F718,2)="13",DATE(YEAR(F717),12,31),F718),IPCA!$A$3:$D$284,4,FALSE),1)*G718)</f>
        <v>0</v>
      </c>
      <c r="J718" s="21" t="str">
        <f t="shared" ca="1" si="92"/>
        <v/>
      </c>
      <c r="K718" s="4">
        <f t="shared" ca="1" si="93"/>
        <v>0</v>
      </c>
      <c r="M718" s="21" t="str">
        <f t="shared" ca="1" si="98"/>
        <v/>
      </c>
      <c r="N718" s="37">
        <f t="shared" ca="1" si="94"/>
        <v>0</v>
      </c>
      <c r="O718" s="4">
        <f ca="1">IFERROR(AVERAGEIF(N$5:$N718,"&gt;="&amp;_xlfn.PERCENTILE.EXC(N$5:$N718,0.2)),0)</f>
        <v>0</v>
      </c>
      <c r="Q718" s="21" t="str">
        <f t="shared" ca="1" si="95"/>
        <v/>
      </c>
      <c r="R718" s="4">
        <f ca="1">MIN(O718,PREMISSAS!$C$13)</f>
        <v>0</v>
      </c>
      <c r="S718" s="240"/>
      <c r="T718" s="240"/>
    </row>
    <row r="719" spans="2:20" x14ac:dyDescent="0.25">
      <c r="B719" s="21" t="str">
        <f t="shared" ca="1" si="96"/>
        <v/>
      </c>
      <c r="C719" s="22" t="str">
        <f ca="1">IF(B719="","",IF(LEFT(B719,2)="13",C718,IF(MONTH(B719)=1,C718*(1+PREMISSAS!$C$57),C718)))</f>
        <v/>
      </c>
      <c r="E719" s="18">
        <v>715</v>
      </c>
      <c r="F719" s="21" t="str">
        <f t="shared" ca="1" si="97"/>
        <v/>
      </c>
      <c r="G719" s="22">
        <f ca="1">IFERROR(VLOOKUP(F719,RESULTADOS!$O$5:$P$543,2,FALSE),VLOOKUP(F719,$B$5:$C$724,2,FALSE))</f>
        <v>0</v>
      </c>
      <c r="H719" s="4">
        <f ca="1">IF(F719&lt;PREMISSAS!$D$7,0,IFERROR(VLOOKUP(IF(LEFT(F719,2)="13",DATE(YEAR(F718),12,31),F719),IPCA!$A$3:$D$284,4,FALSE),1)*G719)</f>
        <v>0</v>
      </c>
      <c r="J719" s="21" t="str">
        <f t="shared" ca="1" si="92"/>
        <v/>
      </c>
      <c r="K719" s="4">
        <f t="shared" ca="1" si="93"/>
        <v>0</v>
      </c>
      <c r="M719" s="21" t="str">
        <f t="shared" ca="1" si="98"/>
        <v/>
      </c>
      <c r="N719" s="37">
        <f t="shared" ca="1" si="94"/>
        <v>0</v>
      </c>
      <c r="O719" s="4">
        <f ca="1">IFERROR(AVERAGEIF(N$5:$N719,"&gt;="&amp;_xlfn.PERCENTILE.EXC(N$5:$N719,0.2)),0)</f>
        <v>0</v>
      </c>
      <c r="Q719" s="21" t="str">
        <f t="shared" ca="1" si="95"/>
        <v/>
      </c>
      <c r="R719" s="4">
        <f ca="1">MIN(O719,PREMISSAS!$C$13)</f>
        <v>0</v>
      </c>
      <c r="S719" s="240"/>
      <c r="T719" s="240"/>
    </row>
    <row r="720" spans="2:20" x14ac:dyDescent="0.25">
      <c r="B720" s="21" t="str">
        <f t="shared" ca="1" si="96"/>
        <v/>
      </c>
      <c r="C720" s="22" t="str">
        <f ca="1">IF(B720="","",IF(LEFT(B720,2)="13",C719,IF(MONTH(B720)=1,C719*(1+PREMISSAS!$C$57),C719)))</f>
        <v/>
      </c>
      <c r="E720" s="18">
        <v>716</v>
      </c>
      <c r="F720" s="21" t="str">
        <f t="shared" ca="1" si="97"/>
        <v/>
      </c>
      <c r="G720" s="22">
        <f ca="1">IFERROR(VLOOKUP(F720,RESULTADOS!$O$5:$P$543,2,FALSE),VLOOKUP(F720,$B$5:$C$724,2,FALSE))</f>
        <v>0</v>
      </c>
      <c r="H720" s="4">
        <f ca="1">IF(F720&lt;PREMISSAS!$D$7,0,IFERROR(VLOOKUP(IF(LEFT(F720,2)="13",DATE(YEAR(F719),12,31),F720),IPCA!$A$3:$D$284,4,FALSE),1)*G720)</f>
        <v>0</v>
      </c>
      <c r="J720" s="21" t="str">
        <f t="shared" ca="1" si="92"/>
        <v/>
      </c>
      <c r="K720" s="4">
        <f t="shared" ca="1" si="93"/>
        <v>0</v>
      </c>
      <c r="M720" s="21" t="str">
        <f t="shared" ca="1" si="98"/>
        <v/>
      </c>
      <c r="N720" s="37">
        <f t="shared" ca="1" si="94"/>
        <v>0</v>
      </c>
      <c r="O720" s="4">
        <f ca="1">IFERROR(AVERAGEIF(N$5:$N720,"&gt;="&amp;_xlfn.PERCENTILE.EXC(N$5:$N720,0.2)),0)</f>
        <v>0</v>
      </c>
      <c r="Q720" s="21" t="str">
        <f t="shared" ca="1" si="95"/>
        <v/>
      </c>
      <c r="R720" s="4">
        <f ca="1">MIN(O720,PREMISSAS!$C$13)</f>
        <v>0</v>
      </c>
      <c r="S720" s="240"/>
      <c r="T720" s="240"/>
    </row>
    <row r="721" spans="2:20" x14ac:dyDescent="0.25">
      <c r="B721" s="21" t="str">
        <f t="shared" ca="1" si="96"/>
        <v/>
      </c>
      <c r="C721" s="22" t="str">
        <f ca="1">IF(B721="","",IF(LEFT(B721,2)="13",C720,IF(MONTH(B721)=1,C720*(1+PREMISSAS!$C$57),C720)))</f>
        <v/>
      </c>
      <c r="E721" s="18">
        <v>717</v>
      </c>
      <c r="F721" s="21" t="str">
        <f t="shared" ca="1" si="97"/>
        <v/>
      </c>
      <c r="G721" s="22">
        <f ca="1">IFERROR(VLOOKUP(F721,RESULTADOS!$O$5:$P$543,2,FALSE),VLOOKUP(F721,$B$5:$C$724,2,FALSE))</f>
        <v>0</v>
      </c>
      <c r="H721" s="4">
        <f ca="1">IF(F721&lt;PREMISSAS!$D$7,0,IFERROR(VLOOKUP(IF(LEFT(F721,2)="13",DATE(YEAR(F720),12,31),F721),IPCA!$A$3:$D$284,4,FALSE),1)*G721)</f>
        <v>0</v>
      </c>
      <c r="J721" s="21" t="str">
        <f t="shared" ca="1" si="92"/>
        <v/>
      </c>
      <c r="K721" s="4">
        <f t="shared" ca="1" si="93"/>
        <v>0</v>
      </c>
      <c r="M721" s="21" t="str">
        <f t="shared" ca="1" si="98"/>
        <v/>
      </c>
      <c r="N721" s="37">
        <f t="shared" ca="1" si="94"/>
        <v>0</v>
      </c>
      <c r="O721" s="4">
        <f ca="1">IFERROR(AVERAGEIF(N$5:$N721,"&gt;="&amp;_xlfn.PERCENTILE.EXC(N$5:$N721,0.2)),0)</f>
        <v>0</v>
      </c>
      <c r="Q721" s="21" t="str">
        <f t="shared" ca="1" si="95"/>
        <v/>
      </c>
      <c r="R721" s="4">
        <f ca="1">MIN(O721,PREMISSAS!$C$13)</f>
        <v>0</v>
      </c>
      <c r="S721" s="240"/>
      <c r="T721" s="240"/>
    </row>
    <row r="722" spans="2:20" x14ac:dyDescent="0.25">
      <c r="B722" s="21" t="str">
        <f t="shared" ca="1" si="96"/>
        <v/>
      </c>
      <c r="C722" s="22" t="str">
        <f ca="1">IF(B722="","",IF(LEFT(B722,2)="13",C721,IF(MONTH(B722)=1,C721*(1+PREMISSAS!$C$57),C721)))</f>
        <v/>
      </c>
      <c r="E722" s="18">
        <v>718</v>
      </c>
      <c r="F722" s="21" t="str">
        <f t="shared" ca="1" si="97"/>
        <v/>
      </c>
      <c r="G722" s="22">
        <f ca="1">IFERROR(VLOOKUP(F722,RESULTADOS!$O$5:$P$543,2,FALSE),VLOOKUP(F722,$B$5:$C$724,2,FALSE))</f>
        <v>0</v>
      </c>
      <c r="H722" s="4">
        <f ca="1">IF(F722&lt;PREMISSAS!$D$7,0,IFERROR(VLOOKUP(IF(LEFT(F722,2)="13",DATE(YEAR(F721),12,31),F722),IPCA!$A$3:$D$284,4,FALSE),1)*G722)</f>
        <v>0</v>
      </c>
      <c r="J722" s="21" t="str">
        <f t="shared" ca="1" si="92"/>
        <v/>
      </c>
      <c r="K722" s="4">
        <f t="shared" ca="1" si="93"/>
        <v>0</v>
      </c>
      <c r="M722" s="21" t="str">
        <f t="shared" ca="1" si="98"/>
        <v/>
      </c>
      <c r="N722" s="37">
        <f t="shared" ca="1" si="94"/>
        <v>0</v>
      </c>
      <c r="O722" s="4">
        <f ca="1">IFERROR(AVERAGEIF(N$5:$N722,"&gt;="&amp;_xlfn.PERCENTILE.EXC(N$5:$N722,0.2)),0)</f>
        <v>0</v>
      </c>
      <c r="Q722" s="21" t="str">
        <f t="shared" ca="1" si="95"/>
        <v/>
      </c>
      <c r="R722" s="4">
        <f ca="1">MIN(O722,PREMISSAS!$C$13)</f>
        <v>0</v>
      </c>
      <c r="S722" s="240"/>
      <c r="T722" s="240"/>
    </row>
    <row r="723" spans="2:20" x14ac:dyDescent="0.25">
      <c r="B723" s="21" t="str">
        <f t="shared" ca="1" si="96"/>
        <v/>
      </c>
      <c r="C723" s="22" t="str">
        <f ca="1">IF(B723="","",IF(LEFT(B723,2)="13",C722,IF(MONTH(B723)=1,C722*(1+PREMISSAS!$C$57),C722)))</f>
        <v/>
      </c>
      <c r="E723" s="18">
        <v>719</v>
      </c>
      <c r="F723" s="21" t="str">
        <f t="shared" ca="1" si="97"/>
        <v/>
      </c>
      <c r="G723" s="22">
        <f ca="1">IFERROR(VLOOKUP(F723,RESULTADOS!$O$5:$P$543,2,FALSE),VLOOKUP(F723,$B$5:$C$724,2,FALSE))</f>
        <v>0</v>
      </c>
      <c r="H723" s="4">
        <f ca="1">IF(F723&lt;PREMISSAS!$D$7,0,IFERROR(VLOOKUP(IF(LEFT(F723,2)="13",DATE(YEAR(F722),12,31),F723),IPCA!$A$3:$D$284,4,FALSE),1)*G723)</f>
        <v>0</v>
      </c>
      <c r="J723" s="21" t="str">
        <f t="shared" ca="1" si="92"/>
        <v/>
      </c>
      <c r="K723" s="4">
        <f t="shared" ca="1" si="93"/>
        <v>0</v>
      </c>
      <c r="M723" s="21" t="str">
        <f t="shared" ca="1" si="98"/>
        <v/>
      </c>
      <c r="N723" s="37">
        <f t="shared" ca="1" si="94"/>
        <v>0</v>
      </c>
      <c r="O723" s="4">
        <f ca="1">IFERROR(AVERAGEIF(N$5:$N723,"&gt;="&amp;_xlfn.PERCENTILE.EXC(N$5:$N723,0.2)),0)</f>
        <v>0</v>
      </c>
      <c r="Q723" s="21" t="str">
        <f t="shared" ca="1" si="95"/>
        <v/>
      </c>
      <c r="R723" s="4">
        <f ca="1">MIN(O723,PREMISSAS!$C$13)</f>
        <v>0</v>
      </c>
      <c r="S723" s="240"/>
      <c r="T723" s="240"/>
    </row>
    <row r="724" spans="2:20" x14ac:dyDescent="0.25">
      <c r="B724" s="21" t="str">
        <f t="shared" ca="1" si="96"/>
        <v/>
      </c>
      <c r="C724" s="22" t="str">
        <f ca="1">IF(B724="","",IF(LEFT(B724,2)="13",C723,IF(MONTH(B724)=1,C723*(1+PREMISSAS!$C$57),C723)))</f>
        <v/>
      </c>
      <c r="E724" s="18">
        <v>720</v>
      </c>
      <c r="F724" s="21" t="str">
        <f t="shared" ca="1" si="97"/>
        <v/>
      </c>
      <c r="G724" s="22">
        <f ca="1">IFERROR(VLOOKUP(F724,RESULTADOS!$O$5:$P$543,2,FALSE),VLOOKUP(F724,$B$5:$C$724,2,FALSE))</f>
        <v>0</v>
      </c>
      <c r="H724" s="4">
        <f ca="1">IF(F724&lt;PREMISSAS!$D$7,0,IFERROR(VLOOKUP(IF(LEFT(F724,2)="13",DATE(YEAR(F723),12,31),F724),IPCA!$A$3:$D$284,4,FALSE),1)*G724)</f>
        <v>0</v>
      </c>
      <c r="J724" s="21" t="str">
        <f t="shared" ca="1" si="92"/>
        <v/>
      </c>
      <c r="K724" s="4">
        <f t="shared" ca="1" si="93"/>
        <v>0</v>
      </c>
      <c r="M724" s="21" t="str">
        <f t="shared" ca="1" si="98"/>
        <v/>
      </c>
      <c r="N724" s="37">
        <f t="shared" ca="1" si="94"/>
        <v>0</v>
      </c>
      <c r="O724" s="4">
        <f ca="1">IFERROR(AVERAGEIF(N$5:$N724,"&gt;="&amp;_xlfn.PERCENTILE.EXC(N$5:$N724,0.2)),0)</f>
        <v>0</v>
      </c>
      <c r="Q724" s="21" t="str">
        <f t="shared" ca="1" si="95"/>
        <v/>
      </c>
      <c r="R724" s="4">
        <f ca="1">MIN(O724,PREMISSAS!$C$13)</f>
        <v>0</v>
      </c>
      <c r="S724" s="240"/>
      <c r="T724" s="240"/>
    </row>
  </sheetData>
  <mergeCells count="4">
    <mergeCell ref="B3:C3"/>
    <mergeCell ref="E3:H3"/>
    <mergeCell ref="N3:O3"/>
    <mergeCell ref="J2:R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B1:H654"/>
  <sheetViews>
    <sheetView topLeftCell="A34" workbookViewId="0">
      <selection activeCell="F12" sqref="F12"/>
    </sheetView>
  </sheetViews>
  <sheetFormatPr defaultRowHeight="15" x14ac:dyDescent="0.25"/>
  <cols>
    <col min="1" max="1" width="5" customWidth="1"/>
    <col min="2" max="2" width="9.28515625" customWidth="1"/>
    <col min="3" max="3" width="12.140625" customWidth="1"/>
    <col min="4" max="4" width="21.140625" customWidth="1"/>
    <col min="5" max="5" width="27.42578125" bestFit="1" customWidth="1"/>
    <col min="6" max="6" width="20" customWidth="1"/>
    <col min="7" max="7" width="2" customWidth="1"/>
    <col min="8" max="8" width="9.5703125" bestFit="1" customWidth="1"/>
  </cols>
  <sheetData>
    <row r="1" spans="2:6" x14ac:dyDescent="0.25">
      <c r="C1" s="141">
        <f ca="1">HLOOKUP("cai nesta",ELEGIBILIDADE!$C$15:$D$20,6,FALSE)</f>
        <v>50241</v>
      </c>
    </row>
    <row r="3" spans="2:6" x14ac:dyDescent="0.25">
      <c r="B3" s="272" t="s">
        <v>230</v>
      </c>
      <c r="C3" s="272"/>
      <c r="D3" s="272"/>
      <c r="E3" s="272"/>
      <c r="F3" s="272"/>
    </row>
    <row r="4" spans="2:6" x14ac:dyDescent="0.25">
      <c r="B4" s="35" t="s">
        <v>87</v>
      </c>
      <c r="C4" s="35" t="s">
        <v>24</v>
      </c>
      <c r="D4" s="35" t="s">
        <v>3</v>
      </c>
      <c r="E4" s="35" t="s">
        <v>42</v>
      </c>
      <c r="F4" s="27" t="s">
        <v>46</v>
      </c>
    </row>
    <row r="5" spans="2:6" x14ac:dyDescent="0.25">
      <c r="B5" s="18">
        <v>1</v>
      </c>
      <c r="C5" s="21">
        <f>RESULTADOS!C9</f>
        <v>37468</v>
      </c>
      <c r="D5" s="22">
        <f>VLOOKUP(C5,'Histórico de Remunerações'!$D$7:$E$656,2,FALSE)</f>
        <v>0</v>
      </c>
      <c r="E5" s="4" t="str">
        <f>IF(D5=0,"",IF(IF(ISTEXT(C5),DATE(RIGHT(C5,4),12,31),C5)&lt;PREMISSAS!$D$7,0,IFERROR(VLOOKUP(IF(LEFT(C5,2)="13",DATE(RIGHT(C5,4),12,31),C5),IPCA!$A$3:$D$284,4,FALSE),1)*D5))</f>
        <v/>
      </c>
      <c r="F5" s="4">
        <f>IF(C5="","",IFERROR(AVERAGEIF(E$5:$E5,"&gt;"&amp;_xlfn.PERCENTILE.EXC(E$5:$E5,0.2)),0))</f>
        <v>0</v>
      </c>
    </row>
    <row r="6" spans="2:6" x14ac:dyDescent="0.25">
      <c r="B6" s="18">
        <v>2</v>
      </c>
      <c r="C6" s="21">
        <f ca="1">IFERROR(IF(LEFT(C5,2)="13",DATE(RIGHT(C5,4),12,31),IF(EOMONTH(C5,1)&gt;PREMISSAS!$C$3,"",IF(MONTH(C5)=11,"13º "&amp;YEAR(C5),EOMONTH(C5,1)))),"")</f>
        <v>37499</v>
      </c>
      <c r="D6" s="22">
        <f ca="1">VLOOKUP(C6,'Histórico de Remunerações'!$D$7:$E$656,2,FALSE)</f>
        <v>0</v>
      </c>
      <c r="E6" s="4" t="str">
        <f ca="1">IF(D6=0,"",IF(IF(ISTEXT(C6),DATE(RIGHT(C6,4),12,31),C6)&lt;PREMISSAS!$D$7,0,IFERROR(VLOOKUP(IF(LEFT(C6,2)="13",DATE(RIGHT(C6,4),12,31),C6),IPCA!$A$3:$D$284,4,FALSE),1)*D6))</f>
        <v/>
      </c>
      <c r="F6" s="4">
        <f ca="1">IF(C6="","",IFERROR(AVERAGEIF(E$5:$E6,"&gt;"&amp;_xlfn.PERCENTILE.EXC(E$5:$E6,0.2)),0))</f>
        <v>0</v>
      </c>
    </row>
    <row r="7" spans="2:6" x14ac:dyDescent="0.25">
      <c r="B7" s="18">
        <v>3</v>
      </c>
      <c r="C7" s="21">
        <f ca="1">IFERROR(IF(LEFT(C6,2)="13",DATE(RIGHT(C6,4),12,31),IF(EOMONTH(C6,1)&gt;PREMISSAS!$C$3,"",IF(MONTH(C6)=11,"13º "&amp;YEAR(C6),EOMONTH(C6,1)))),"")</f>
        <v>37529</v>
      </c>
      <c r="D7" s="22">
        <f ca="1">VLOOKUP(C7,'Histórico de Remunerações'!$D$7:$E$656,2,FALSE)</f>
        <v>0</v>
      </c>
      <c r="E7" s="4" t="str">
        <f ca="1">IF(D7=0,"",IF(IF(ISTEXT(C7),DATE(RIGHT(C7,4),12,31),C7)&lt;PREMISSAS!$D$7,0,IFERROR(VLOOKUP(IF(LEFT(C7,2)="13",DATE(RIGHT(C7,4),12,31),C7),IPCA!$A$3:$D$284,4,FALSE),1)*D7))</f>
        <v/>
      </c>
      <c r="F7" s="4">
        <f ca="1">IF(C7="","",IFERROR(AVERAGEIF(E$5:$E7,"&gt;"&amp;_xlfn.PERCENTILE.EXC(E$5:$E7,0.2)),0))</f>
        <v>0</v>
      </c>
    </row>
    <row r="8" spans="2:6" x14ac:dyDescent="0.25">
      <c r="B8" s="18">
        <v>4</v>
      </c>
      <c r="C8" s="21">
        <f ca="1">IFERROR(IF(LEFT(C7,2)="13",DATE(RIGHT(C7,4),12,31),IF(EOMONTH(C7,1)&gt;PREMISSAS!$C$3,"",IF(MONTH(C7)=11,"13º "&amp;YEAR(C7),EOMONTH(C7,1)))),"")</f>
        <v>37560</v>
      </c>
      <c r="D8" s="22">
        <f ca="1">VLOOKUP(C8,'Histórico de Remunerações'!$D$7:$E$656,2,FALSE)</f>
        <v>0</v>
      </c>
      <c r="E8" s="4" t="str">
        <f ca="1">IF(D8=0,"",IF(IF(ISTEXT(C8),DATE(RIGHT(C8,4),12,31),C8)&lt;PREMISSAS!$D$7,0,IFERROR(VLOOKUP(IF(LEFT(C8,2)="13",DATE(RIGHT(C8,4),12,31),C8),IPCA!$A$3:$D$284,4,FALSE),1)*D8))</f>
        <v/>
      </c>
      <c r="F8" s="4">
        <f ca="1">IF(C8="","",IFERROR(AVERAGEIF(E$5:$E8,"&gt;"&amp;_xlfn.PERCENTILE.EXC(E$5:$E8,0.2)),0))</f>
        <v>0</v>
      </c>
    </row>
    <row r="9" spans="2:6" x14ac:dyDescent="0.25">
      <c r="B9" s="18">
        <v>5</v>
      </c>
      <c r="C9" s="21">
        <f ca="1">IFERROR(IF(LEFT(C8,2)="13",DATE(RIGHT(C8,4),12,31),IF(EOMONTH(C8,1)&gt;PREMISSAS!$C$3,"",IF(MONTH(C8)=11,"13º "&amp;YEAR(C8),EOMONTH(C8,1)))),"")</f>
        <v>37590</v>
      </c>
      <c r="D9" s="22">
        <f ca="1">VLOOKUP(C9,'Histórico de Remunerações'!$D$7:$E$656,2,FALSE)</f>
        <v>0</v>
      </c>
      <c r="E9" s="4" t="str">
        <f ca="1">IF(D9=0,"",IF(IF(ISTEXT(C9),DATE(RIGHT(C9,4),12,31),C9)&lt;PREMISSAS!$D$7,0,IFERROR(VLOOKUP(IF(LEFT(C9,2)="13",DATE(RIGHT(C9,4),12,31),C9),IPCA!$A$3:$D$284,4,FALSE),1)*D9))</f>
        <v/>
      </c>
      <c r="F9" s="4">
        <f ca="1">IF(C9="","",IFERROR(AVERAGEIF(E$5:$E9,"&gt;"&amp;_xlfn.PERCENTILE.EXC(E$5:$E9,0.2)),0))</f>
        <v>0</v>
      </c>
    </row>
    <row r="10" spans="2:6" x14ac:dyDescent="0.25">
      <c r="B10" s="18">
        <v>6</v>
      </c>
      <c r="C10" s="21" t="str">
        <f ca="1">IFERROR(IF(LEFT(C9,2)="13",DATE(RIGHT(C9,4),12,31),IF(EOMONTH(C9,1)&gt;PREMISSAS!$C$3,"",IF(MONTH(C9)=11,"13º "&amp;YEAR(C9),EOMONTH(C9,1)))),"")</f>
        <v>13º 2002</v>
      </c>
      <c r="D10" s="22">
        <f ca="1">VLOOKUP(C10,'Histórico de Remunerações'!$D$7:$E$656,2,FALSE)</f>
        <v>0</v>
      </c>
      <c r="E10" s="4" t="str">
        <f ca="1">IF(D10=0,"",IF(IF(ISTEXT(C10),DATE(RIGHT(C10,4),12,31),C10)&lt;PREMISSAS!$D$7,0,IFERROR(VLOOKUP(IF(LEFT(C10,2)="13",DATE(RIGHT(C10,4),12,31),C10),IPCA!$A$3:$D$284,4,FALSE),1)*D10))</f>
        <v/>
      </c>
      <c r="F10" s="4">
        <f ca="1">IF(C10="","",IFERROR(AVERAGEIF(E$5:$E10,"&gt;"&amp;_xlfn.PERCENTILE.EXC(E$5:$E10,0.2)),0))</f>
        <v>0</v>
      </c>
    </row>
    <row r="11" spans="2:6" x14ac:dyDescent="0.25">
      <c r="B11" s="18">
        <v>7</v>
      </c>
      <c r="C11" s="21">
        <f ca="1">IFERROR(IF(LEFT(C10,2)="13",DATE(RIGHT(C10,4),12,31),IF(EOMONTH(C10,1)&gt;PREMISSAS!$C$3,"",IF(MONTH(C10)=11,"13º "&amp;YEAR(C10),EOMONTH(C10,1)))),"")</f>
        <v>37621</v>
      </c>
      <c r="D11" s="22">
        <f ca="1">VLOOKUP(C11,'Histórico de Remunerações'!$D$7:$E$656,2,FALSE)</f>
        <v>0</v>
      </c>
      <c r="E11" s="4" t="str">
        <f ca="1">IF(D11=0,"",IF(IF(ISTEXT(C11),DATE(RIGHT(C11,4),12,31),C11)&lt;PREMISSAS!$D$7,0,IFERROR(VLOOKUP(IF(LEFT(C11,2)="13",DATE(RIGHT(C11,4),12,31),C11),IPCA!$A$3:$D$284,4,FALSE),1)*D11))</f>
        <v/>
      </c>
      <c r="F11" s="4">
        <f ca="1">IF(C11="","",IFERROR(AVERAGEIF(E$5:$E11,"&gt;"&amp;_xlfn.PERCENTILE.EXC(E$5:$E11,0.2)),0))</f>
        <v>0</v>
      </c>
    </row>
    <row r="12" spans="2:6" x14ac:dyDescent="0.25">
      <c r="B12" s="18">
        <v>8</v>
      </c>
      <c r="C12" s="21">
        <f ca="1">IFERROR(IF(LEFT(C11,2)="13",DATE(RIGHT(C11,4),12,31),IF(EOMONTH(C11,1)&gt;PREMISSAS!$C$3,"",IF(MONTH(C11)=11,"13º "&amp;YEAR(C11),EOMONTH(C11,1)))),"")</f>
        <v>37652</v>
      </c>
      <c r="D12" s="22">
        <f ca="1">VLOOKUP(C12,'Histórico de Remunerações'!$D$7:$E$656,2,FALSE)</f>
        <v>0</v>
      </c>
      <c r="E12" s="4" t="str">
        <f ca="1">IF(D12=0,"",IF(IF(ISTEXT(C12),DATE(RIGHT(C12,4),12,31),C12)&lt;PREMISSAS!$D$7,0,IFERROR(VLOOKUP(IF(LEFT(C12,2)="13",DATE(RIGHT(C12,4),12,31),C12),IPCA!$A$3:$D$284,4,FALSE),1)*D12))</f>
        <v/>
      </c>
      <c r="F12" s="4">
        <f ca="1">IF(C12="","",IFERROR(AVERAGEIF(E$5:$E12,"&gt;"&amp;_xlfn.PERCENTILE.EXC(E$5:$E12,0.2)),0))</f>
        <v>0</v>
      </c>
    </row>
    <row r="13" spans="2:6" x14ac:dyDescent="0.25">
      <c r="B13" s="18">
        <v>9</v>
      </c>
      <c r="C13" s="21">
        <f ca="1">IFERROR(IF(LEFT(C12,2)="13",DATE(RIGHT(C12,4),12,31),IF(EOMONTH(C12,1)&gt;PREMISSAS!$C$3,"",IF(MONTH(C12)=11,"13º "&amp;YEAR(C12),EOMONTH(C12,1)))),"")</f>
        <v>37680</v>
      </c>
      <c r="D13" s="22">
        <f ca="1">VLOOKUP(C13,'Histórico de Remunerações'!$D$7:$E$656,2,FALSE)</f>
        <v>0</v>
      </c>
      <c r="E13" s="4" t="str">
        <f ca="1">IF(D13=0,"",IF(IF(ISTEXT(C13),DATE(RIGHT(C13,4),12,31),C13)&lt;PREMISSAS!$D$7,0,IFERROR(VLOOKUP(IF(LEFT(C13,2)="13",DATE(RIGHT(C13,4),12,31),C13),IPCA!$A$3:$D$284,4,FALSE),1)*D13))</f>
        <v/>
      </c>
      <c r="F13" s="4">
        <f ca="1">IF(C13="","",IFERROR(AVERAGEIF(E$5:$E13,"&gt;"&amp;_xlfn.PERCENTILE.EXC(E$5:$E13,0.2)),0))</f>
        <v>0</v>
      </c>
    </row>
    <row r="14" spans="2:6" x14ac:dyDescent="0.25">
      <c r="B14" s="18">
        <v>10</v>
      </c>
      <c r="C14" s="21">
        <f ca="1">IFERROR(IF(LEFT(C13,2)="13",DATE(RIGHT(C13,4),12,31),IF(EOMONTH(C13,1)&gt;PREMISSAS!$C$3,"",IF(MONTH(C13)=11,"13º "&amp;YEAR(C13),EOMONTH(C13,1)))),"")</f>
        <v>37711</v>
      </c>
      <c r="D14" s="22">
        <f ca="1">VLOOKUP(C14,'Histórico de Remunerações'!$D$7:$E$656,2,FALSE)</f>
        <v>0</v>
      </c>
      <c r="E14" s="4" t="str">
        <f ca="1">IF(D14=0,"",IF(IF(ISTEXT(C14),DATE(RIGHT(C14,4),12,31),C14)&lt;PREMISSAS!$D$7,0,IFERROR(VLOOKUP(IF(LEFT(C14,2)="13",DATE(RIGHT(C14,4),12,31),C14),IPCA!$A$3:$D$284,4,FALSE),1)*D14))</f>
        <v/>
      </c>
      <c r="F14" s="4">
        <f ca="1">IF(C14="","",IFERROR(AVERAGEIF(E$5:$E14,"&gt;"&amp;_xlfn.PERCENTILE.EXC(E$5:$E14,0.2)),0))</f>
        <v>0</v>
      </c>
    </row>
    <row r="15" spans="2:6" x14ac:dyDescent="0.25">
      <c r="B15" s="18">
        <v>11</v>
      </c>
      <c r="C15" s="21">
        <f ca="1">IFERROR(IF(LEFT(C14,2)="13",DATE(RIGHT(C14,4),12,31),IF(EOMONTH(C14,1)&gt;PREMISSAS!$C$3,"",IF(MONTH(C14)=11,"13º "&amp;YEAR(C14),EOMONTH(C14,1)))),"")</f>
        <v>37741</v>
      </c>
      <c r="D15" s="22">
        <f ca="1">VLOOKUP(C15,'Histórico de Remunerações'!$D$7:$E$656,2,FALSE)</f>
        <v>0</v>
      </c>
      <c r="E15" s="4" t="str">
        <f ca="1">IF(D15=0,"",IF(IF(ISTEXT(C15),DATE(RIGHT(C15,4),12,31),C15)&lt;PREMISSAS!$D$7,0,IFERROR(VLOOKUP(IF(LEFT(C15,2)="13",DATE(RIGHT(C15,4),12,31),C15),IPCA!$A$3:$D$284,4,FALSE),1)*D15))</f>
        <v/>
      </c>
      <c r="F15" s="4">
        <f ca="1">IF(C15="","",IFERROR(AVERAGEIF(E$5:$E15,"&gt;"&amp;_xlfn.PERCENTILE.EXC(E$5:$E15,0.2)),0))</f>
        <v>0</v>
      </c>
    </row>
    <row r="16" spans="2:6" x14ac:dyDescent="0.25">
      <c r="B16" s="18">
        <v>12</v>
      </c>
      <c r="C16" s="21">
        <f ca="1">IFERROR(IF(LEFT(C15,2)="13",DATE(RIGHT(C15,4),12,31),IF(EOMONTH(C15,1)&gt;PREMISSAS!$C$3,"",IF(MONTH(C15)=11,"13º "&amp;YEAR(C15),EOMONTH(C15,1)))),"")</f>
        <v>37772</v>
      </c>
      <c r="D16" s="22">
        <f ca="1">VLOOKUP(C16,'Histórico de Remunerações'!$D$7:$E$656,2,FALSE)</f>
        <v>0</v>
      </c>
      <c r="E16" s="4" t="str">
        <f ca="1">IF(D16=0,"",IF(IF(ISTEXT(C16),DATE(RIGHT(C16,4),12,31),C16)&lt;PREMISSAS!$D$7,0,IFERROR(VLOOKUP(IF(LEFT(C16,2)="13",DATE(RIGHT(C16,4),12,31),C16),IPCA!$A$3:$D$284,4,FALSE),1)*D16))</f>
        <v/>
      </c>
      <c r="F16" s="4">
        <f ca="1">IF(C16="","",IFERROR(AVERAGEIF(E$5:$E16,"&gt;"&amp;_xlfn.PERCENTILE.EXC(E$5:$E16,0.2)),0))</f>
        <v>0</v>
      </c>
    </row>
    <row r="17" spans="2:6" x14ac:dyDescent="0.25">
      <c r="B17" s="18">
        <v>13</v>
      </c>
      <c r="C17" s="21">
        <f ca="1">IFERROR(IF(LEFT(C16,2)="13",DATE(RIGHT(C16,4),12,31),IF(EOMONTH(C16,1)&gt;PREMISSAS!$C$3,"",IF(MONTH(C16)=11,"13º "&amp;YEAR(C16),EOMONTH(C16,1)))),"")</f>
        <v>37802</v>
      </c>
      <c r="D17" s="22">
        <f ca="1">VLOOKUP(C17,'Histórico de Remunerações'!$D$7:$E$656,2,FALSE)</f>
        <v>0</v>
      </c>
      <c r="E17" s="4" t="str">
        <f ca="1">IF(D17=0,"",IF(IF(ISTEXT(C17),DATE(RIGHT(C17,4),12,31),C17)&lt;PREMISSAS!$D$7,0,IFERROR(VLOOKUP(IF(LEFT(C17,2)="13",DATE(RIGHT(C17,4),12,31),C17),IPCA!$A$3:$D$284,4,FALSE),1)*D17))</f>
        <v/>
      </c>
      <c r="F17" s="4">
        <f ca="1">IF(C17="","",IFERROR(AVERAGEIF(E$5:$E17,"&gt;"&amp;_xlfn.PERCENTILE.EXC(E$5:$E17,0.2)),0))</f>
        <v>0</v>
      </c>
    </row>
    <row r="18" spans="2:6" x14ac:dyDescent="0.25">
      <c r="B18" s="18">
        <v>14</v>
      </c>
      <c r="C18" s="21">
        <f ca="1">IFERROR(IF(LEFT(C17,2)="13",DATE(RIGHT(C17,4),12,31),IF(EOMONTH(C17,1)&gt;PREMISSAS!$C$3,"",IF(MONTH(C17)=11,"13º "&amp;YEAR(C17),EOMONTH(C17,1)))),"")</f>
        <v>37833</v>
      </c>
      <c r="D18" s="22">
        <f ca="1">VLOOKUP(C18,'Histórico de Remunerações'!$D$7:$E$656,2,FALSE)</f>
        <v>0</v>
      </c>
      <c r="E18" s="4" t="str">
        <f ca="1">IF(D18=0,"",IF(IF(ISTEXT(C18),DATE(RIGHT(C18,4),12,31),C18)&lt;PREMISSAS!$D$7,0,IFERROR(VLOOKUP(IF(LEFT(C18,2)="13",DATE(RIGHT(C18,4),12,31),C18),IPCA!$A$3:$D$284,4,FALSE),1)*D18))</f>
        <v/>
      </c>
      <c r="F18" s="4">
        <f ca="1">IF(C18="","",IFERROR(AVERAGEIF(E$5:$E18,"&gt;"&amp;_xlfn.PERCENTILE.EXC(E$5:$E18,0.2)),0))</f>
        <v>0</v>
      </c>
    </row>
    <row r="19" spans="2:6" x14ac:dyDescent="0.25">
      <c r="B19" s="18">
        <v>15</v>
      </c>
      <c r="C19" s="21">
        <f ca="1">IFERROR(IF(LEFT(C18,2)="13",DATE(RIGHT(C18,4),12,31),IF(EOMONTH(C18,1)&gt;PREMISSAS!$C$3,"",IF(MONTH(C18)=11,"13º "&amp;YEAR(C18),EOMONTH(C18,1)))),"")</f>
        <v>37864</v>
      </c>
      <c r="D19" s="22">
        <f ca="1">VLOOKUP(C19,'Histórico de Remunerações'!$D$7:$E$656,2,FALSE)</f>
        <v>0</v>
      </c>
      <c r="E19" s="4" t="str">
        <f ca="1">IF(D19=0,"",IF(IF(ISTEXT(C19),DATE(RIGHT(C19,4),12,31),C19)&lt;PREMISSAS!$D$7,0,IFERROR(VLOOKUP(IF(LEFT(C19,2)="13",DATE(RIGHT(C19,4),12,31),C19),IPCA!$A$3:$D$284,4,FALSE),1)*D19))</f>
        <v/>
      </c>
      <c r="F19" s="4">
        <f ca="1">IF(C19="","",IFERROR(AVERAGEIF(E$5:$E19,"&gt;"&amp;_xlfn.PERCENTILE.EXC(E$5:$E19,0.2)),0))</f>
        <v>0</v>
      </c>
    </row>
    <row r="20" spans="2:6" x14ac:dyDescent="0.25">
      <c r="B20" s="18">
        <v>16</v>
      </c>
      <c r="C20" s="21">
        <f ca="1">IFERROR(IF(LEFT(C19,2)="13",DATE(RIGHT(C19,4),12,31),IF(EOMONTH(C19,1)&gt;PREMISSAS!$C$3,"",IF(MONTH(C19)=11,"13º "&amp;YEAR(C19),EOMONTH(C19,1)))),"")</f>
        <v>37894</v>
      </c>
      <c r="D20" s="22">
        <f ca="1">VLOOKUP(C20,'Histórico de Remunerações'!$D$7:$E$656,2,FALSE)</f>
        <v>0</v>
      </c>
      <c r="E20" s="4" t="str">
        <f ca="1">IF(D20=0,"",IF(IF(ISTEXT(C20),DATE(RIGHT(C20,4),12,31),C20)&lt;PREMISSAS!$D$7,0,IFERROR(VLOOKUP(IF(LEFT(C20,2)="13",DATE(RIGHT(C20,4),12,31),C20),IPCA!$A$3:$D$284,4,FALSE),1)*D20))</f>
        <v/>
      </c>
      <c r="F20" s="4">
        <f ca="1">IF(C20="","",IFERROR(AVERAGEIF(E$5:$E20,"&gt;"&amp;_xlfn.PERCENTILE.EXC(E$5:$E20,0.2)),0))</f>
        <v>0</v>
      </c>
    </row>
    <row r="21" spans="2:6" x14ac:dyDescent="0.25">
      <c r="B21" s="18">
        <v>17</v>
      </c>
      <c r="C21" s="21">
        <f ca="1">IFERROR(IF(LEFT(C20,2)="13",DATE(RIGHT(C20,4),12,31),IF(EOMONTH(C20,1)&gt;PREMISSAS!$C$3,"",IF(MONTH(C20)=11,"13º "&amp;YEAR(C20),EOMONTH(C20,1)))),"")</f>
        <v>37925</v>
      </c>
      <c r="D21" s="22">
        <f ca="1">VLOOKUP(C21,'Histórico de Remunerações'!$D$7:$E$656,2,FALSE)</f>
        <v>0</v>
      </c>
      <c r="E21" s="4" t="str">
        <f ca="1">IF(D21=0,"",IF(IF(ISTEXT(C21),DATE(RIGHT(C21,4),12,31),C21)&lt;PREMISSAS!$D$7,0,IFERROR(VLOOKUP(IF(LEFT(C21,2)="13",DATE(RIGHT(C21,4),12,31),C21),IPCA!$A$3:$D$284,4,FALSE),1)*D21))</f>
        <v/>
      </c>
      <c r="F21" s="4">
        <f ca="1">IF(C21="","",IFERROR(AVERAGEIF(E$5:$E21,"&gt;"&amp;_xlfn.PERCENTILE.EXC(E$5:$E21,0.2)),0))</f>
        <v>0</v>
      </c>
    </row>
    <row r="22" spans="2:6" x14ac:dyDescent="0.25">
      <c r="B22" s="18">
        <v>18</v>
      </c>
      <c r="C22" s="21">
        <f ca="1">IFERROR(IF(LEFT(C21,2)="13",DATE(RIGHT(C21,4),12,31),IF(EOMONTH(C21,1)&gt;PREMISSAS!$C$3,"",IF(MONTH(C21)=11,"13º "&amp;YEAR(C21),EOMONTH(C21,1)))),"")</f>
        <v>37955</v>
      </c>
      <c r="D22" s="22">
        <f ca="1">VLOOKUP(C22,'Histórico de Remunerações'!$D$7:$E$656,2,FALSE)</f>
        <v>0</v>
      </c>
      <c r="E22" s="4" t="str">
        <f ca="1">IF(D22=0,"",IF(IF(ISTEXT(C22),DATE(RIGHT(C22,4),12,31),C22)&lt;PREMISSAS!$D$7,0,IFERROR(VLOOKUP(IF(LEFT(C22,2)="13",DATE(RIGHT(C22,4),12,31),C22),IPCA!$A$3:$D$284,4,FALSE),1)*D22))</f>
        <v/>
      </c>
      <c r="F22" s="4">
        <f ca="1">IF(C22="","",IFERROR(AVERAGEIF(E$5:$E22,"&gt;"&amp;_xlfn.PERCENTILE.EXC(E$5:$E22,0.2)),0))</f>
        <v>0</v>
      </c>
    </row>
    <row r="23" spans="2:6" x14ac:dyDescent="0.25">
      <c r="B23" s="18">
        <v>19</v>
      </c>
      <c r="C23" s="21" t="str">
        <f ca="1">IFERROR(IF(LEFT(C22,2)="13",DATE(RIGHT(C22,4),12,31),IF(EOMONTH(C22,1)&gt;PREMISSAS!$C$3,"",IF(MONTH(C22)=11,"13º "&amp;YEAR(C22),EOMONTH(C22,1)))),"")</f>
        <v>13º 2003</v>
      </c>
      <c r="D23" s="22">
        <f ca="1">VLOOKUP(C23,'Histórico de Remunerações'!$D$7:$E$656,2,FALSE)</f>
        <v>0</v>
      </c>
      <c r="E23" s="4" t="str">
        <f ca="1">IF(D23=0,"",IF(IF(ISTEXT(C23),DATE(RIGHT(C23,4),12,31),C23)&lt;PREMISSAS!$D$7,0,IFERROR(VLOOKUP(IF(LEFT(C23,2)="13",DATE(RIGHT(C23,4),12,31),C23),IPCA!$A$3:$D$284,4,FALSE),1)*D23))</f>
        <v/>
      </c>
      <c r="F23" s="4">
        <f ca="1">IF(C23="","",IFERROR(AVERAGEIF(E$5:$E23,"&gt;"&amp;_xlfn.PERCENTILE.EXC(E$5:$E23,0.2)),0))</f>
        <v>0</v>
      </c>
    </row>
    <row r="24" spans="2:6" x14ac:dyDescent="0.25">
      <c r="B24" s="18">
        <v>20</v>
      </c>
      <c r="C24" s="21">
        <f ca="1">IFERROR(IF(LEFT(C23,2)="13",DATE(RIGHT(C23,4),12,31),IF(EOMONTH(C23,1)&gt;PREMISSAS!$C$3,"",IF(MONTH(C23)=11,"13º "&amp;YEAR(C23),EOMONTH(C23,1)))),"")</f>
        <v>37986</v>
      </c>
      <c r="D24" s="22">
        <f ca="1">VLOOKUP(C24,'Histórico de Remunerações'!$D$7:$E$656,2,FALSE)</f>
        <v>0</v>
      </c>
      <c r="E24" s="4" t="str">
        <f ca="1">IF(D24=0,"",IF(IF(ISTEXT(C24),DATE(RIGHT(C24,4),12,31),C24)&lt;PREMISSAS!$D$7,0,IFERROR(VLOOKUP(IF(LEFT(C24,2)="13",DATE(RIGHT(C24,4),12,31),C24),IPCA!$A$3:$D$284,4,FALSE),1)*D24))</f>
        <v/>
      </c>
      <c r="F24" s="4">
        <f ca="1">IF(C24="","",IFERROR(AVERAGEIF(E$5:$E24,"&gt;"&amp;_xlfn.PERCENTILE.EXC(E$5:$E24,0.2)),0))</f>
        <v>0</v>
      </c>
    </row>
    <row r="25" spans="2:6" x14ac:dyDescent="0.25">
      <c r="B25" s="18">
        <v>21</v>
      </c>
      <c r="C25" s="21">
        <f ca="1">IFERROR(IF(LEFT(C24,2)="13",DATE(RIGHT(C24,4),12,31),IF(EOMONTH(C24,1)&gt;PREMISSAS!$C$3,"",IF(MONTH(C24)=11,"13º "&amp;YEAR(C24),EOMONTH(C24,1)))),"")</f>
        <v>38017</v>
      </c>
      <c r="D25" s="22">
        <f ca="1">VLOOKUP(C25,'Histórico de Remunerações'!$D$7:$E$656,2,FALSE)</f>
        <v>0</v>
      </c>
      <c r="E25" s="4" t="str">
        <f ca="1">IF(D25=0,"",IF(IF(ISTEXT(C25),DATE(RIGHT(C25,4),12,31),C25)&lt;PREMISSAS!$D$7,0,IFERROR(VLOOKUP(IF(LEFT(C25,2)="13",DATE(RIGHT(C25,4),12,31),C25),IPCA!$A$3:$D$284,4,FALSE),1)*D25))</f>
        <v/>
      </c>
      <c r="F25" s="4">
        <f ca="1">IF(C25="","",IFERROR(AVERAGEIF(E$5:$E25,"&gt;"&amp;_xlfn.PERCENTILE.EXC(E$5:$E25,0.2)),0))</f>
        <v>0</v>
      </c>
    </row>
    <row r="26" spans="2:6" x14ac:dyDescent="0.25">
      <c r="B26" s="18">
        <v>22</v>
      </c>
      <c r="C26" s="21">
        <f ca="1">IFERROR(IF(LEFT(C25,2)="13",DATE(RIGHT(C25,4),12,31),IF(EOMONTH(C25,1)&gt;PREMISSAS!$C$3,"",IF(MONTH(C25)=11,"13º "&amp;YEAR(C25),EOMONTH(C25,1)))),"")</f>
        <v>38046</v>
      </c>
      <c r="D26" s="22">
        <f ca="1">VLOOKUP(C26,'Histórico de Remunerações'!$D$7:$E$656,2,FALSE)</f>
        <v>0</v>
      </c>
      <c r="E26" s="4" t="str">
        <f ca="1">IF(D26=0,"",IF(IF(ISTEXT(C26),DATE(RIGHT(C26,4),12,31),C26)&lt;PREMISSAS!$D$7,0,IFERROR(VLOOKUP(IF(LEFT(C26,2)="13",DATE(RIGHT(C26,4),12,31),C26),IPCA!$A$3:$D$284,4,FALSE),1)*D26))</f>
        <v/>
      </c>
      <c r="F26" s="4">
        <f ca="1">IF(C26="","",IFERROR(AVERAGEIF(E$5:$E26,"&gt;"&amp;_xlfn.PERCENTILE.EXC(E$5:$E26,0.2)),0))</f>
        <v>0</v>
      </c>
    </row>
    <row r="27" spans="2:6" x14ac:dyDescent="0.25">
      <c r="B27" s="18">
        <v>23</v>
      </c>
      <c r="C27" s="21">
        <f ca="1">IFERROR(IF(LEFT(C26,2)="13",DATE(RIGHT(C26,4),12,31),IF(EOMONTH(C26,1)&gt;PREMISSAS!$C$3,"",IF(MONTH(C26)=11,"13º "&amp;YEAR(C26),EOMONTH(C26,1)))),"")</f>
        <v>38077</v>
      </c>
      <c r="D27" s="22">
        <f ca="1">VLOOKUP(C27,'Histórico de Remunerações'!$D$7:$E$656,2,FALSE)</f>
        <v>0</v>
      </c>
      <c r="E27" s="4" t="str">
        <f ca="1">IF(D27=0,"",IF(IF(ISTEXT(C27),DATE(RIGHT(C27,4),12,31),C27)&lt;PREMISSAS!$D$7,0,IFERROR(VLOOKUP(IF(LEFT(C27,2)="13",DATE(RIGHT(C27,4),12,31),C27),IPCA!$A$3:$D$284,4,FALSE),1)*D27))</f>
        <v/>
      </c>
      <c r="F27" s="4">
        <f ca="1">IF(C27="","",IFERROR(AVERAGEIF(E$5:$E27,"&gt;"&amp;_xlfn.PERCENTILE.EXC(E$5:$E27,0.2)),0))</f>
        <v>0</v>
      </c>
    </row>
    <row r="28" spans="2:6" x14ac:dyDescent="0.25">
      <c r="B28" s="18">
        <v>24</v>
      </c>
      <c r="C28" s="21">
        <f ca="1">IFERROR(IF(LEFT(C27,2)="13",DATE(RIGHT(C27,4),12,31),IF(EOMONTH(C27,1)&gt;PREMISSAS!$C$3,"",IF(MONTH(C27)=11,"13º "&amp;YEAR(C27),EOMONTH(C27,1)))),"")</f>
        <v>38107</v>
      </c>
      <c r="D28" s="22">
        <f ca="1">VLOOKUP(C28,'Histórico de Remunerações'!$D$7:$E$656,2,FALSE)</f>
        <v>0</v>
      </c>
      <c r="E28" s="4" t="str">
        <f ca="1">IF(D28=0,"",IF(IF(ISTEXT(C28),DATE(RIGHT(C28,4),12,31),C28)&lt;PREMISSAS!$D$7,0,IFERROR(VLOOKUP(IF(LEFT(C28,2)="13",DATE(RIGHT(C28,4),12,31),C28),IPCA!$A$3:$D$284,4,FALSE),1)*D28))</f>
        <v/>
      </c>
      <c r="F28" s="4">
        <f ca="1">IF(C28="","",IFERROR(AVERAGEIF(E$5:$E28,"&gt;"&amp;_xlfn.PERCENTILE.EXC(E$5:$E28,0.2)),0))</f>
        <v>0</v>
      </c>
    </row>
    <row r="29" spans="2:6" x14ac:dyDescent="0.25">
      <c r="B29" s="18">
        <v>25</v>
      </c>
      <c r="C29" s="21">
        <f ca="1">IFERROR(IF(LEFT(C28,2)="13",DATE(RIGHT(C28,4),12,31),IF(EOMONTH(C28,1)&gt;PREMISSAS!$C$3,"",IF(MONTH(C28)=11,"13º "&amp;YEAR(C28),EOMONTH(C28,1)))),"")</f>
        <v>38138</v>
      </c>
      <c r="D29" s="22">
        <f ca="1">VLOOKUP(C29,'Histórico de Remunerações'!$D$7:$E$656,2,FALSE)</f>
        <v>0</v>
      </c>
      <c r="E29" s="4" t="str">
        <f ca="1">IF(D29=0,"",IF(IF(ISTEXT(C29),DATE(RIGHT(C29,4),12,31),C29)&lt;PREMISSAS!$D$7,0,IFERROR(VLOOKUP(IF(LEFT(C29,2)="13",DATE(RIGHT(C29,4),12,31),C29),IPCA!$A$3:$D$284,4,FALSE),1)*D29))</f>
        <v/>
      </c>
      <c r="F29" s="4">
        <f ca="1">IF(C29="","",IFERROR(AVERAGEIF(E$5:$E29,"&gt;"&amp;_xlfn.PERCENTILE.EXC(E$5:$E29,0.2)),0))</f>
        <v>0</v>
      </c>
    </row>
    <row r="30" spans="2:6" x14ac:dyDescent="0.25">
      <c r="B30" s="18">
        <v>26</v>
      </c>
      <c r="C30" s="21">
        <f ca="1">IFERROR(IF(LEFT(C29,2)="13",DATE(RIGHT(C29,4),12,31),IF(EOMONTH(C29,1)&gt;PREMISSAS!$C$3,"",IF(MONTH(C29)=11,"13º "&amp;YEAR(C29),EOMONTH(C29,1)))),"")</f>
        <v>38168</v>
      </c>
      <c r="D30" s="22">
        <f ca="1">VLOOKUP(C30,'Histórico de Remunerações'!$D$7:$E$656,2,FALSE)</f>
        <v>0</v>
      </c>
      <c r="E30" s="4" t="str">
        <f ca="1">IF(D30=0,"",IF(IF(ISTEXT(C30),DATE(RIGHT(C30,4),12,31),C30)&lt;PREMISSAS!$D$7,0,IFERROR(VLOOKUP(IF(LEFT(C30,2)="13",DATE(RIGHT(C30,4),12,31),C30),IPCA!$A$3:$D$284,4,FALSE),1)*D30))</f>
        <v/>
      </c>
      <c r="F30" s="4">
        <f ca="1">IF(C30="","",IFERROR(AVERAGEIF(E$5:$E30,"&gt;"&amp;_xlfn.PERCENTILE.EXC(E$5:$E30,0.2)),0))</f>
        <v>0</v>
      </c>
    </row>
    <row r="31" spans="2:6" x14ac:dyDescent="0.25">
      <c r="B31" s="18">
        <v>27</v>
      </c>
      <c r="C31" s="21">
        <f ca="1">IFERROR(IF(LEFT(C30,2)="13",DATE(RIGHT(C30,4),12,31),IF(EOMONTH(C30,1)&gt;PREMISSAS!$C$3,"",IF(MONTH(C30)=11,"13º "&amp;YEAR(C30),EOMONTH(C30,1)))),"")</f>
        <v>38199</v>
      </c>
      <c r="D31" s="22">
        <f ca="1">VLOOKUP(C31,'Histórico de Remunerações'!$D$7:$E$656,2,FALSE)</f>
        <v>0</v>
      </c>
      <c r="E31" s="4" t="str">
        <f ca="1">IF(D31=0,"",IF(IF(ISTEXT(C31),DATE(RIGHT(C31,4),12,31),C31)&lt;PREMISSAS!$D$7,0,IFERROR(VLOOKUP(IF(LEFT(C31,2)="13",DATE(RIGHT(C31,4),12,31),C31),IPCA!$A$3:$D$284,4,FALSE),1)*D31))</f>
        <v/>
      </c>
      <c r="F31" s="4">
        <f ca="1">IF(C31="","",IFERROR(AVERAGEIF(E$5:$E31,"&gt;"&amp;_xlfn.PERCENTILE.EXC(E$5:$E31,0.2)),0))</f>
        <v>0</v>
      </c>
    </row>
    <row r="32" spans="2:6" x14ac:dyDescent="0.25">
      <c r="B32" s="18">
        <v>28</v>
      </c>
      <c r="C32" s="21">
        <f ca="1">IFERROR(IF(LEFT(C31,2)="13",DATE(RIGHT(C31,4),12,31),IF(EOMONTH(C31,1)&gt;PREMISSAS!$C$3,"",IF(MONTH(C31)=11,"13º "&amp;YEAR(C31),EOMONTH(C31,1)))),"")</f>
        <v>38230</v>
      </c>
      <c r="D32" s="22">
        <f ca="1">VLOOKUP(C32,'Histórico de Remunerações'!$D$7:$E$656,2,FALSE)</f>
        <v>0</v>
      </c>
      <c r="E32" s="4" t="str">
        <f ca="1">IF(D32=0,"",IF(IF(ISTEXT(C32),DATE(RIGHT(C32,4),12,31),C32)&lt;PREMISSAS!$D$7,0,IFERROR(VLOOKUP(IF(LEFT(C32,2)="13",DATE(RIGHT(C32,4),12,31),C32),IPCA!$A$3:$D$284,4,FALSE),1)*D32))</f>
        <v/>
      </c>
      <c r="F32" s="4">
        <f ca="1">IF(C32="","",IFERROR(AVERAGEIF(E$5:$E32,"&gt;"&amp;_xlfn.PERCENTILE.EXC(E$5:$E32,0.2)),0))</f>
        <v>0</v>
      </c>
    </row>
    <row r="33" spans="2:6" x14ac:dyDescent="0.25">
      <c r="B33" s="18">
        <v>29</v>
      </c>
      <c r="C33" s="21">
        <f ca="1">IFERROR(IF(LEFT(C32,2)="13",DATE(RIGHT(C32,4),12,31),IF(EOMONTH(C32,1)&gt;PREMISSAS!$C$3,"",IF(MONTH(C32)=11,"13º "&amp;YEAR(C32),EOMONTH(C32,1)))),"")</f>
        <v>38260</v>
      </c>
      <c r="D33" s="22">
        <f ca="1">VLOOKUP(C33,'Histórico de Remunerações'!$D$7:$E$656,2,FALSE)</f>
        <v>0</v>
      </c>
      <c r="E33" s="4" t="str">
        <f ca="1">IF(D33=0,"",IF(IF(ISTEXT(C33),DATE(RIGHT(C33,4),12,31),C33)&lt;PREMISSAS!$D$7,0,IFERROR(VLOOKUP(IF(LEFT(C33,2)="13",DATE(RIGHT(C33,4),12,31),C33),IPCA!$A$3:$D$284,4,FALSE),1)*D33))</f>
        <v/>
      </c>
      <c r="F33" s="4">
        <f ca="1">IF(C33="","",IFERROR(AVERAGEIF(E$5:$E33,"&gt;"&amp;_xlfn.PERCENTILE.EXC(E$5:$E33,0.2)),0))</f>
        <v>0</v>
      </c>
    </row>
    <row r="34" spans="2:6" x14ac:dyDescent="0.25">
      <c r="B34" s="18">
        <v>30</v>
      </c>
      <c r="C34" s="21">
        <f ca="1">IFERROR(IF(LEFT(C33,2)="13",DATE(RIGHT(C33,4),12,31),IF(EOMONTH(C33,1)&gt;PREMISSAS!$C$3,"",IF(MONTH(C33)=11,"13º "&amp;YEAR(C33),EOMONTH(C33,1)))),"")</f>
        <v>38291</v>
      </c>
      <c r="D34" s="22">
        <f ca="1">VLOOKUP(C34,'Histórico de Remunerações'!$D$7:$E$656,2,FALSE)</f>
        <v>0</v>
      </c>
      <c r="E34" s="4" t="str">
        <f ca="1">IF(D34=0,"",IF(IF(ISTEXT(C34),DATE(RIGHT(C34,4),12,31),C34)&lt;PREMISSAS!$D$7,0,IFERROR(VLOOKUP(IF(LEFT(C34,2)="13",DATE(RIGHT(C34,4),12,31),C34),IPCA!$A$3:$D$284,4,FALSE),1)*D34))</f>
        <v/>
      </c>
      <c r="F34" s="4">
        <f ca="1">IF(C34="","",IFERROR(AVERAGEIF(E$5:$E34,"&gt;"&amp;_xlfn.PERCENTILE.EXC(E$5:$E34,0.2)),0))</f>
        <v>0</v>
      </c>
    </row>
    <row r="35" spans="2:6" x14ac:dyDescent="0.25">
      <c r="B35" s="18">
        <v>31</v>
      </c>
      <c r="C35" s="21">
        <f ca="1">IFERROR(IF(LEFT(C34,2)="13",DATE(RIGHT(C34,4),12,31),IF(EOMONTH(C34,1)&gt;PREMISSAS!$C$3,"",IF(MONTH(C34)=11,"13º "&amp;YEAR(C34),EOMONTH(C34,1)))),"")</f>
        <v>38321</v>
      </c>
      <c r="D35" s="22">
        <f ca="1">VLOOKUP(C35,'Histórico de Remunerações'!$D$7:$E$656,2,FALSE)</f>
        <v>0</v>
      </c>
      <c r="E35" s="4" t="str">
        <f ca="1">IF(D35=0,"",IF(IF(ISTEXT(C35),DATE(RIGHT(C35,4),12,31),C35)&lt;PREMISSAS!$D$7,0,IFERROR(VLOOKUP(IF(LEFT(C35,2)="13",DATE(RIGHT(C35,4),12,31),C35),IPCA!$A$3:$D$284,4,FALSE),1)*D35))</f>
        <v/>
      </c>
      <c r="F35" s="4">
        <f ca="1">IF(C35="","",IFERROR(AVERAGEIF(E$5:$E35,"&gt;"&amp;_xlfn.PERCENTILE.EXC(E$5:$E35,0.2)),0))</f>
        <v>0</v>
      </c>
    </row>
    <row r="36" spans="2:6" x14ac:dyDescent="0.25">
      <c r="B36" s="18">
        <v>32</v>
      </c>
      <c r="C36" s="21" t="str">
        <f ca="1">IFERROR(IF(LEFT(C35,2)="13",DATE(RIGHT(C35,4),12,31),IF(EOMONTH(C35,1)&gt;PREMISSAS!$C$3,"",IF(MONTH(C35)=11,"13º "&amp;YEAR(C35),EOMONTH(C35,1)))),"")</f>
        <v>13º 2004</v>
      </c>
      <c r="D36" s="22">
        <f ca="1">VLOOKUP(C36,'Histórico de Remunerações'!$D$7:$E$656,2,FALSE)</f>
        <v>0</v>
      </c>
      <c r="E36" s="4" t="str">
        <f ca="1">IF(D36=0,"",IF(IF(ISTEXT(C36),DATE(RIGHT(C36,4),12,31),C36)&lt;PREMISSAS!$D$7,0,IFERROR(VLOOKUP(IF(LEFT(C36,2)="13",DATE(RIGHT(C36,4),12,31),C36),IPCA!$A$3:$D$284,4,FALSE),1)*D36))</f>
        <v/>
      </c>
      <c r="F36" s="4">
        <f ca="1">IF(C36="","",IFERROR(AVERAGEIF(E$5:$E36,"&gt;"&amp;_xlfn.PERCENTILE.EXC(E$5:$E36,0.2)),0))</f>
        <v>0</v>
      </c>
    </row>
    <row r="37" spans="2:6" x14ac:dyDescent="0.25">
      <c r="B37" s="18">
        <v>33</v>
      </c>
      <c r="C37" s="21">
        <f ca="1">IFERROR(IF(LEFT(C36,2)="13",DATE(RIGHT(C36,4),12,31),IF(EOMONTH(C36,1)&gt;PREMISSAS!$C$3,"",IF(MONTH(C36)=11,"13º "&amp;YEAR(C36),EOMONTH(C36,1)))),"")</f>
        <v>38352</v>
      </c>
      <c r="D37" s="22">
        <f ca="1">VLOOKUP(C37,'Histórico de Remunerações'!$D$7:$E$656,2,FALSE)</f>
        <v>0</v>
      </c>
      <c r="E37" s="4" t="str">
        <f ca="1">IF(D37=0,"",IF(IF(ISTEXT(C37),DATE(RIGHT(C37,4),12,31),C37)&lt;PREMISSAS!$D$7,0,IFERROR(VLOOKUP(IF(LEFT(C37,2)="13",DATE(RIGHT(C37,4),12,31),C37),IPCA!$A$3:$D$284,4,FALSE),1)*D37))</f>
        <v/>
      </c>
      <c r="F37" s="4">
        <f ca="1">IF(C37="","",IFERROR(AVERAGEIF(E$5:$E37,"&gt;"&amp;_xlfn.PERCENTILE.EXC(E$5:$E37,0.2)),0))</f>
        <v>0</v>
      </c>
    </row>
    <row r="38" spans="2:6" x14ac:dyDescent="0.25">
      <c r="B38" s="18">
        <v>34</v>
      </c>
      <c r="C38" s="21">
        <f ca="1">IFERROR(IF(LEFT(C37,2)="13",DATE(RIGHT(C37,4),12,31),IF(EOMONTH(C37,1)&gt;PREMISSAS!$C$3,"",IF(MONTH(C37)=11,"13º "&amp;YEAR(C37),EOMONTH(C37,1)))),"")</f>
        <v>38383</v>
      </c>
      <c r="D38" s="22">
        <f ca="1">VLOOKUP(C38,'Histórico de Remunerações'!$D$7:$E$656,2,FALSE)</f>
        <v>0</v>
      </c>
      <c r="E38" s="4" t="str">
        <f ca="1">IF(D38=0,"",IF(IF(ISTEXT(C38),DATE(RIGHT(C38,4),12,31),C38)&lt;PREMISSAS!$D$7,0,IFERROR(VLOOKUP(IF(LEFT(C38,2)="13",DATE(RIGHT(C38,4),12,31),C38),IPCA!$A$3:$D$284,4,FALSE),1)*D38))</f>
        <v/>
      </c>
      <c r="F38" s="4">
        <f ca="1">IF(C38="","",IFERROR(AVERAGEIF(E$5:$E38,"&gt;"&amp;_xlfn.PERCENTILE.EXC(E$5:$E38,0.2)),0))</f>
        <v>0</v>
      </c>
    </row>
    <row r="39" spans="2:6" x14ac:dyDescent="0.25">
      <c r="B39" s="18">
        <v>35</v>
      </c>
      <c r="C39" s="21">
        <f ca="1">IFERROR(IF(LEFT(C38,2)="13",DATE(RIGHT(C38,4),12,31),IF(EOMONTH(C38,1)&gt;PREMISSAS!$C$3,"",IF(MONTH(C38)=11,"13º "&amp;YEAR(C38),EOMONTH(C38,1)))),"")</f>
        <v>38411</v>
      </c>
      <c r="D39" s="22">
        <f ca="1">VLOOKUP(C39,'Histórico de Remunerações'!$D$7:$E$656,2,FALSE)</f>
        <v>0</v>
      </c>
      <c r="E39" s="4" t="str">
        <f ca="1">IF(D39=0,"",IF(IF(ISTEXT(C39),DATE(RIGHT(C39,4),12,31),C39)&lt;PREMISSAS!$D$7,0,IFERROR(VLOOKUP(IF(LEFT(C39,2)="13",DATE(RIGHT(C39,4),12,31),C39),IPCA!$A$3:$D$284,4,FALSE),1)*D39))</f>
        <v/>
      </c>
      <c r="F39" s="4">
        <f ca="1">IF(C39="","",IFERROR(AVERAGEIF(E$5:$E39,"&gt;"&amp;_xlfn.PERCENTILE.EXC(E$5:$E39,0.2)),0))</f>
        <v>0</v>
      </c>
    </row>
    <row r="40" spans="2:6" x14ac:dyDescent="0.25">
      <c r="B40" s="18">
        <v>36</v>
      </c>
      <c r="C40" s="21">
        <f ca="1">IFERROR(IF(LEFT(C39,2)="13",DATE(RIGHT(C39,4),12,31),IF(EOMONTH(C39,1)&gt;PREMISSAS!$C$3,"",IF(MONTH(C39)=11,"13º "&amp;YEAR(C39),EOMONTH(C39,1)))),"")</f>
        <v>38442</v>
      </c>
      <c r="D40" s="22">
        <f ca="1">VLOOKUP(C40,'Histórico de Remunerações'!$D$7:$E$656,2,FALSE)</f>
        <v>0</v>
      </c>
      <c r="E40" s="4" t="str">
        <f ca="1">IF(D40=0,"",IF(IF(ISTEXT(C40),DATE(RIGHT(C40,4),12,31),C40)&lt;PREMISSAS!$D$7,0,IFERROR(VLOOKUP(IF(LEFT(C40,2)="13",DATE(RIGHT(C40,4),12,31),C40),IPCA!$A$3:$D$284,4,FALSE),1)*D40))</f>
        <v/>
      </c>
      <c r="F40" s="4">
        <f ca="1">IF(C40="","",IFERROR(AVERAGEIF(E$5:$E40,"&gt;"&amp;_xlfn.PERCENTILE.EXC(E$5:$E40,0.2)),0))</f>
        <v>0</v>
      </c>
    </row>
    <row r="41" spans="2:6" x14ac:dyDescent="0.25">
      <c r="B41" s="18">
        <v>37</v>
      </c>
      <c r="C41" s="21">
        <f ca="1">IFERROR(IF(LEFT(C40,2)="13",DATE(RIGHT(C40,4),12,31),IF(EOMONTH(C40,1)&gt;PREMISSAS!$C$3,"",IF(MONTH(C40)=11,"13º "&amp;YEAR(C40),EOMONTH(C40,1)))),"")</f>
        <v>38472</v>
      </c>
      <c r="D41" s="22">
        <f ca="1">VLOOKUP(C41,'Histórico de Remunerações'!$D$7:$E$656,2,FALSE)</f>
        <v>0</v>
      </c>
      <c r="E41" s="4" t="str">
        <f ca="1">IF(D41=0,"",IF(IF(ISTEXT(C41),DATE(RIGHT(C41,4),12,31),C41)&lt;PREMISSAS!$D$7,0,IFERROR(VLOOKUP(IF(LEFT(C41,2)="13",DATE(RIGHT(C41,4),12,31),C41),IPCA!$A$3:$D$284,4,FALSE),1)*D41))</f>
        <v/>
      </c>
      <c r="F41" s="4">
        <f ca="1">IF(C41="","",IFERROR(AVERAGEIF(E$5:$E41,"&gt;"&amp;_xlfn.PERCENTILE.EXC(E$5:$E41,0.2)),0))</f>
        <v>0</v>
      </c>
    </row>
    <row r="42" spans="2:6" x14ac:dyDescent="0.25">
      <c r="B42" s="18">
        <v>38</v>
      </c>
      <c r="C42" s="21">
        <f ca="1">IFERROR(IF(LEFT(C41,2)="13",DATE(RIGHT(C41,4),12,31),IF(EOMONTH(C41,1)&gt;PREMISSAS!$C$3,"",IF(MONTH(C41)=11,"13º "&amp;YEAR(C41),EOMONTH(C41,1)))),"")</f>
        <v>38503</v>
      </c>
      <c r="D42" s="22">
        <f ca="1">VLOOKUP(C42,'Histórico de Remunerações'!$D$7:$E$656,2,FALSE)</f>
        <v>0</v>
      </c>
      <c r="E42" s="4" t="str">
        <f ca="1">IF(D42=0,"",IF(IF(ISTEXT(C42),DATE(RIGHT(C42,4),12,31),C42)&lt;PREMISSAS!$D$7,0,IFERROR(VLOOKUP(IF(LEFT(C42,2)="13",DATE(RIGHT(C42,4),12,31),C42),IPCA!$A$3:$D$284,4,FALSE),1)*D42))</f>
        <v/>
      </c>
      <c r="F42" s="4">
        <f ca="1">IF(C42="","",IFERROR(AVERAGEIF(E$5:$E42,"&gt;"&amp;_xlfn.PERCENTILE.EXC(E$5:$E42,0.2)),0))</f>
        <v>0</v>
      </c>
    </row>
    <row r="43" spans="2:6" x14ac:dyDescent="0.25">
      <c r="B43" s="18">
        <v>39</v>
      </c>
      <c r="C43" s="21">
        <f ca="1">IFERROR(IF(LEFT(C42,2)="13",DATE(RIGHT(C42,4),12,31),IF(EOMONTH(C42,1)&gt;PREMISSAS!$C$3,"",IF(MONTH(C42)=11,"13º "&amp;YEAR(C42),EOMONTH(C42,1)))),"")</f>
        <v>38533</v>
      </c>
      <c r="D43" s="22">
        <f ca="1">VLOOKUP(C43,'Histórico de Remunerações'!$D$7:$E$656,2,FALSE)</f>
        <v>0</v>
      </c>
      <c r="E43" s="4" t="str">
        <f ca="1">IF(D43=0,"",IF(IF(ISTEXT(C43),DATE(RIGHT(C43,4),12,31),C43)&lt;PREMISSAS!$D$7,0,IFERROR(VLOOKUP(IF(LEFT(C43,2)="13",DATE(RIGHT(C43,4),12,31),C43),IPCA!$A$3:$D$284,4,FALSE),1)*D43))</f>
        <v/>
      </c>
      <c r="F43" s="4">
        <f ca="1">IF(C43="","",IFERROR(AVERAGEIF(E$5:$E43,"&gt;"&amp;_xlfn.PERCENTILE.EXC(E$5:$E43,0.2)),0))</f>
        <v>0</v>
      </c>
    </row>
    <row r="44" spans="2:6" x14ac:dyDescent="0.25">
      <c r="B44" s="18">
        <v>40</v>
      </c>
      <c r="C44" s="21">
        <f ca="1">IFERROR(IF(LEFT(C43,2)="13",DATE(RIGHT(C43,4),12,31),IF(EOMONTH(C43,1)&gt;PREMISSAS!$C$3,"",IF(MONTH(C43)=11,"13º "&amp;YEAR(C43),EOMONTH(C43,1)))),"")</f>
        <v>38564</v>
      </c>
      <c r="D44" s="22">
        <f ca="1">VLOOKUP(C44,'Histórico de Remunerações'!$D$7:$E$656,2,FALSE)</f>
        <v>0</v>
      </c>
      <c r="E44" s="4" t="str">
        <f ca="1">IF(D44=0,"",IF(IF(ISTEXT(C44),DATE(RIGHT(C44,4),12,31),C44)&lt;PREMISSAS!$D$7,0,IFERROR(VLOOKUP(IF(LEFT(C44,2)="13",DATE(RIGHT(C44,4),12,31),C44),IPCA!$A$3:$D$284,4,FALSE),1)*D44))</f>
        <v/>
      </c>
      <c r="F44" s="4">
        <f ca="1">IF(C44="","",IFERROR(AVERAGEIF(E$5:$E44,"&gt;"&amp;_xlfn.PERCENTILE.EXC(E$5:$E44,0.2)),0))</f>
        <v>0</v>
      </c>
    </row>
    <row r="45" spans="2:6" x14ac:dyDescent="0.25">
      <c r="B45" s="18">
        <v>41</v>
      </c>
      <c r="C45" s="21">
        <f ca="1">IFERROR(IF(LEFT(C44,2)="13",DATE(RIGHT(C44,4),12,31),IF(EOMONTH(C44,1)&gt;PREMISSAS!$C$3,"",IF(MONTH(C44)=11,"13º "&amp;YEAR(C44),EOMONTH(C44,1)))),"")</f>
        <v>38595</v>
      </c>
      <c r="D45" s="22">
        <f ca="1">VLOOKUP(C45,'Histórico de Remunerações'!$D$7:$E$656,2,FALSE)</f>
        <v>0</v>
      </c>
      <c r="E45" s="4" t="str">
        <f ca="1">IF(D45=0,"",IF(IF(ISTEXT(C45),DATE(RIGHT(C45,4),12,31),C45)&lt;PREMISSAS!$D$7,0,IFERROR(VLOOKUP(IF(LEFT(C45,2)="13",DATE(RIGHT(C45,4),12,31),C45),IPCA!$A$3:$D$284,4,FALSE),1)*D45))</f>
        <v/>
      </c>
      <c r="F45" s="4">
        <f ca="1">IF(C45="","",IFERROR(AVERAGEIF(E$5:$E45,"&gt;"&amp;_xlfn.PERCENTILE.EXC(E$5:$E45,0.2)),0))</f>
        <v>0</v>
      </c>
    </row>
    <row r="46" spans="2:6" x14ac:dyDescent="0.25">
      <c r="B46" s="18">
        <v>42</v>
      </c>
      <c r="C46" s="21">
        <f ca="1">IFERROR(IF(LEFT(C45,2)="13",DATE(RIGHT(C45,4),12,31),IF(EOMONTH(C45,1)&gt;PREMISSAS!$C$3,"",IF(MONTH(C45)=11,"13º "&amp;YEAR(C45),EOMONTH(C45,1)))),"")</f>
        <v>38625</v>
      </c>
      <c r="D46" s="22">
        <f ca="1">VLOOKUP(C46,'Histórico de Remunerações'!$D$7:$E$656,2,FALSE)</f>
        <v>0</v>
      </c>
      <c r="E46" s="4" t="str">
        <f ca="1">IF(D46=0,"",IF(IF(ISTEXT(C46),DATE(RIGHT(C46,4),12,31),C46)&lt;PREMISSAS!$D$7,0,IFERROR(VLOOKUP(IF(LEFT(C46,2)="13",DATE(RIGHT(C46,4),12,31),C46),IPCA!$A$3:$D$284,4,FALSE),1)*D46))</f>
        <v/>
      </c>
      <c r="F46" s="4">
        <f ca="1">IF(C46="","",IFERROR(AVERAGEIF(E$5:$E46,"&gt;"&amp;_xlfn.PERCENTILE.EXC(E$5:$E46,0.2)),0))</f>
        <v>0</v>
      </c>
    </row>
    <row r="47" spans="2:6" x14ac:dyDescent="0.25">
      <c r="B47" s="18">
        <v>43</v>
      </c>
      <c r="C47" s="21">
        <f ca="1">IFERROR(IF(LEFT(C46,2)="13",DATE(RIGHT(C46,4),12,31),IF(EOMONTH(C46,1)&gt;PREMISSAS!$C$3,"",IF(MONTH(C46)=11,"13º "&amp;YEAR(C46),EOMONTH(C46,1)))),"")</f>
        <v>38656</v>
      </c>
      <c r="D47" s="22">
        <f ca="1">VLOOKUP(C47,'Histórico de Remunerações'!$D$7:$E$656,2,FALSE)</f>
        <v>0</v>
      </c>
      <c r="E47" s="4" t="str">
        <f ca="1">IF(D47=0,"",IF(IF(ISTEXT(C47),DATE(RIGHT(C47,4),12,31),C47)&lt;PREMISSAS!$D$7,0,IFERROR(VLOOKUP(IF(LEFT(C47,2)="13",DATE(RIGHT(C47,4),12,31),C47),IPCA!$A$3:$D$284,4,FALSE),1)*D47))</f>
        <v/>
      </c>
      <c r="F47" s="4">
        <f ca="1">IF(C47="","",IFERROR(AVERAGEIF(E$5:$E47,"&gt;"&amp;_xlfn.PERCENTILE.EXC(E$5:$E47,0.2)),0))</f>
        <v>0</v>
      </c>
    </row>
    <row r="48" spans="2:6" x14ac:dyDescent="0.25">
      <c r="B48" s="18">
        <v>44</v>
      </c>
      <c r="C48" s="21">
        <f ca="1">IFERROR(IF(LEFT(C47,2)="13",DATE(RIGHT(C47,4),12,31),IF(EOMONTH(C47,1)&gt;PREMISSAS!$C$3,"",IF(MONTH(C47)=11,"13º "&amp;YEAR(C47),EOMONTH(C47,1)))),"")</f>
        <v>38686</v>
      </c>
      <c r="D48" s="22">
        <f ca="1">VLOOKUP(C48,'Histórico de Remunerações'!$D$7:$E$656,2,FALSE)</f>
        <v>0</v>
      </c>
      <c r="E48" s="4" t="str">
        <f ca="1">IF(D48=0,"",IF(IF(ISTEXT(C48),DATE(RIGHT(C48,4),12,31),C48)&lt;PREMISSAS!$D$7,0,IFERROR(VLOOKUP(IF(LEFT(C48,2)="13",DATE(RIGHT(C48,4),12,31),C48),IPCA!$A$3:$D$284,4,FALSE),1)*D48))</f>
        <v/>
      </c>
      <c r="F48" s="4">
        <f ca="1">IF(C48="","",IFERROR(AVERAGEIF(E$5:$E48,"&gt;"&amp;_xlfn.PERCENTILE.EXC(E$5:$E48,0.2)),0))</f>
        <v>0</v>
      </c>
    </row>
    <row r="49" spans="2:8" x14ac:dyDescent="0.25">
      <c r="B49" s="18">
        <v>45</v>
      </c>
      <c r="C49" s="21" t="str">
        <f ca="1">IFERROR(IF(LEFT(C48,2)="13",DATE(RIGHT(C48,4),12,31),IF(EOMONTH(C48,1)&gt;PREMISSAS!$C$3,"",IF(MONTH(C48)=11,"13º "&amp;YEAR(C48),EOMONTH(C48,1)))),"")</f>
        <v>13º 2005</v>
      </c>
      <c r="D49" s="22">
        <f ca="1">VLOOKUP(C49,'Histórico de Remunerações'!$D$7:$E$656,2,FALSE)</f>
        <v>0</v>
      </c>
      <c r="E49" s="4" t="str">
        <f ca="1">IF(D49=0,"",IF(IF(ISTEXT(C49),DATE(RIGHT(C49,4),12,31),C49)&lt;PREMISSAS!$D$7,0,IFERROR(VLOOKUP(IF(LEFT(C49,2)="13",DATE(RIGHT(C49,4),12,31),C49),IPCA!$A$3:$D$284,4,FALSE),1)*D49))</f>
        <v/>
      </c>
      <c r="F49" s="4">
        <f ca="1">IF(C49="","",IFERROR(AVERAGEIF(E$5:$E49,"&gt;"&amp;_xlfn.PERCENTILE.EXC(E$5:$E49,0.2)),0))</f>
        <v>0</v>
      </c>
    </row>
    <row r="50" spans="2:8" x14ac:dyDescent="0.25">
      <c r="B50" s="18">
        <v>46</v>
      </c>
      <c r="C50" s="21">
        <f ca="1">IFERROR(IF(LEFT(C49,2)="13",DATE(RIGHT(C49,4),12,31),IF(EOMONTH(C49,1)&gt;PREMISSAS!$C$3,"",IF(MONTH(C49)=11,"13º "&amp;YEAR(C49),EOMONTH(C49,1)))),"")</f>
        <v>38717</v>
      </c>
      <c r="D50" s="22">
        <f ca="1">VLOOKUP(C50,'Histórico de Remunerações'!$D$7:$E$656,2,FALSE)</f>
        <v>0</v>
      </c>
      <c r="E50" s="4" t="str">
        <f ca="1">IF(D50=0,"",IF(IF(ISTEXT(C50),DATE(RIGHT(C50,4),12,31),C50)&lt;PREMISSAS!$D$7,0,IFERROR(VLOOKUP(IF(LEFT(C50,2)="13",DATE(RIGHT(C50,4),12,31),C50),IPCA!$A$3:$D$284,4,FALSE),1)*D50))</f>
        <v/>
      </c>
      <c r="F50" s="4">
        <f ca="1">IF(C50="","",IFERROR(AVERAGEIF(E$5:$E50,"&gt;"&amp;_xlfn.PERCENTILE.EXC(E$5:$E50,0.2)),0))</f>
        <v>0</v>
      </c>
    </row>
    <row r="51" spans="2:8" x14ac:dyDescent="0.25">
      <c r="B51" s="18">
        <v>47</v>
      </c>
      <c r="C51" s="21">
        <f ca="1">IFERROR(IF(LEFT(C50,2)="13",DATE(RIGHT(C50,4),12,31),IF(EOMONTH(C50,1)&gt;PREMISSAS!$C$3,"",IF(MONTH(C50)=11,"13º "&amp;YEAR(C50),EOMONTH(C50,1)))),"")</f>
        <v>38748</v>
      </c>
      <c r="D51" s="22">
        <f ca="1">VLOOKUP(C51,'Histórico de Remunerações'!$D$7:$E$656,2,FALSE)</f>
        <v>0</v>
      </c>
      <c r="E51" s="4" t="str">
        <f ca="1">IF(D51=0,"",IF(IF(ISTEXT(C51),DATE(RIGHT(C51,4),12,31),C51)&lt;PREMISSAS!$D$7,0,IFERROR(VLOOKUP(IF(LEFT(C51,2)="13",DATE(RIGHT(C51,4),12,31),C51),IPCA!$A$3:$D$284,4,FALSE),1)*D51))</f>
        <v/>
      </c>
      <c r="F51" s="4">
        <f ca="1">IF(C51="","",IFERROR(AVERAGEIF(E$5:$E51,"&gt;"&amp;_xlfn.PERCENTILE.EXC(E$5:$E51,0.2)),0))</f>
        <v>0</v>
      </c>
    </row>
    <row r="52" spans="2:8" x14ac:dyDescent="0.25">
      <c r="B52" s="18">
        <v>48</v>
      </c>
      <c r="C52" s="21">
        <f ca="1">IFERROR(IF(LEFT(C51,2)="13",DATE(RIGHT(C51,4),12,31),IF(EOMONTH(C51,1)&gt;PREMISSAS!$C$3,"",IF(MONTH(C51)=11,"13º "&amp;YEAR(C51),EOMONTH(C51,1)))),"")</f>
        <v>38776</v>
      </c>
      <c r="D52" s="22">
        <f ca="1">VLOOKUP(C52,'Histórico de Remunerações'!$D$7:$E$656,2,FALSE)</f>
        <v>0</v>
      </c>
      <c r="E52" s="4" t="str">
        <f ca="1">IF(D52=0,"",IF(IF(ISTEXT(C52),DATE(RIGHT(C52,4),12,31),C52)&lt;PREMISSAS!$D$7,0,IFERROR(VLOOKUP(IF(LEFT(C52,2)="13",DATE(RIGHT(C52,4),12,31),C52),IPCA!$A$3:$D$284,4,FALSE),1)*D52))</f>
        <v/>
      </c>
      <c r="F52" s="4">
        <f ca="1">IF(C52="","",IFERROR(AVERAGEIF(E$5:$E52,"&gt;"&amp;_xlfn.PERCENTILE.EXC(E$5:$E52,0.2)),0))</f>
        <v>0</v>
      </c>
    </row>
    <row r="53" spans="2:8" x14ac:dyDescent="0.25">
      <c r="B53" s="18">
        <v>49</v>
      </c>
      <c r="C53" s="21">
        <f ca="1">IFERROR(IF(LEFT(C52,2)="13",DATE(RIGHT(C52,4),12,31),IF(EOMONTH(C52,1)&gt;PREMISSAS!$C$3,"",IF(MONTH(C52)=11,"13º "&amp;YEAR(C52),EOMONTH(C52,1)))),"")</f>
        <v>38807</v>
      </c>
      <c r="D53" s="22">
        <f ca="1">VLOOKUP(C53,'Histórico de Remunerações'!$D$7:$E$656,2,FALSE)</f>
        <v>0</v>
      </c>
      <c r="E53" s="4" t="str">
        <f ca="1">IF(D53=0,"",IF(IF(ISTEXT(C53),DATE(RIGHT(C53,4),12,31),C53)&lt;PREMISSAS!$D$7,0,IFERROR(VLOOKUP(IF(LEFT(C53,2)="13",DATE(RIGHT(C53,4),12,31),C53),IPCA!$A$3:$D$284,4,FALSE),1)*D53))</f>
        <v/>
      </c>
      <c r="F53" s="4">
        <f ca="1">IF(C53="","",IFERROR(AVERAGEIF(E$5:$E53,"&gt;"&amp;_xlfn.PERCENTILE.EXC(E$5:$E53,0.2)),0))</f>
        <v>0</v>
      </c>
    </row>
    <row r="54" spans="2:8" x14ac:dyDescent="0.25">
      <c r="B54" s="18">
        <v>50</v>
      </c>
      <c r="C54" s="21">
        <f ca="1">IFERROR(IF(LEFT(C53,2)="13",DATE(RIGHT(C53,4),12,31),IF(EOMONTH(C53,1)&gt;PREMISSAS!$C$3,"",IF(MONTH(C53)=11,"13º "&amp;YEAR(C53),EOMONTH(C53,1)))),"")</f>
        <v>38837</v>
      </c>
      <c r="D54" s="22">
        <f ca="1">VLOOKUP(C54,'Histórico de Remunerações'!$D$7:$E$656,2,FALSE)</f>
        <v>0</v>
      </c>
      <c r="E54" s="4" t="str">
        <f ca="1">IF(D54=0,"",IF(IF(ISTEXT(C54),DATE(RIGHT(C54,4),12,31),C54)&lt;PREMISSAS!$D$7,0,IFERROR(VLOOKUP(IF(LEFT(C54,2)="13",DATE(RIGHT(C54,4),12,31),C54),IPCA!$A$3:$D$284,4,FALSE),1)*D54))</f>
        <v/>
      </c>
      <c r="F54" s="4">
        <f ca="1">IF(C54="","",IFERROR(AVERAGEIF(E$5:$E54,"&gt;"&amp;_xlfn.PERCENTILE.EXC(E$5:$E54,0.2)),0))</f>
        <v>0</v>
      </c>
    </row>
    <row r="55" spans="2:8" x14ac:dyDescent="0.25">
      <c r="B55" s="18">
        <v>51</v>
      </c>
      <c r="C55" s="21">
        <f ca="1">IFERROR(IF(LEFT(C54,2)="13",DATE(RIGHT(C54,4),12,31),IF(EOMONTH(C54,1)&gt;PREMISSAS!$C$3,"",IF(MONTH(C54)=11,"13º "&amp;YEAR(C54),EOMONTH(C54,1)))),"")</f>
        <v>38868</v>
      </c>
      <c r="D55" s="22">
        <f ca="1">VLOOKUP(C55,'Histórico de Remunerações'!$D$7:$E$656,2,FALSE)</f>
        <v>0</v>
      </c>
      <c r="E55" s="4" t="str">
        <f ca="1">IF(D55=0,"",IF(IF(ISTEXT(C55),DATE(RIGHT(C55,4),12,31),C55)&lt;PREMISSAS!$D$7,0,IFERROR(VLOOKUP(IF(LEFT(C55,2)="13",DATE(RIGHT(C55,4),12,31),C55),IPCA!$A$3:$D$284,4,FALSE),1)*D55))</f>
        <v/>
      </c>
      <c r="F55" s="4">
        <f ca="1">IF(C55="","",IFERROR(AVERAGEIF(E$5:$E55,"&gt;"&amp;_xlfn.PERCENTILE.EXC(E$5:$E55,0.2)),0))</f>
        <v>0</v>
      </c>
      <c r="H55" s="138"/>
    </row>
    <row r="56" spans="2:8" x14ac:dyDescent="0.25">
      <c r="B56" s="18">
        <v>52</v>
      </c>
      <c r="C56" s="21">
        <f ca="1">IFERROR(IF(LEFT(C55,2)="13",DATE(RIGHT(C55,4),12,31),IF(EOMONTH(C55,1)&gt;PREMISSAS!$C$3,"",IF(MONTH(C55)=11,"13º "&amp;YEAR(C55),EOMONTH(C55,1)))),"")</f>
        <v>38898</v>
      </c>
      <c r="D56" s="22">
        <f ca="1">VLOOKUP(C56,'Histórico de Remunerações'!$D$7:$E$656,2,FALSE)</f>
        <v>0</v>
      </c>
      <c r="E56" s="4" t="str">
        <f ca="1">IF(D56=0,"",IF(IF(ISTEXT(C56),DATE(RIGHT(C56,4),12,31),C56)&lt;PREMISSAS!$D$7,0,IFERROR(VLOOKUP(IF(LEFT(C56,2)="13",DATE(RIGHT(C56,4),12,31),C56),IPCA!$A$3:$D$284,4,FALSE),1)*D56))</f>
        <v/>
      </c>
      <c r="F56" s="4">
        <f ca="1">IF(C56="","",IFERROR(AVERAGEIF(E$5:$E56,"&gt;"&amp;_xlfn.PERCENTILE.EXC(E$5:$E56,0.2)),0))</f>
        <v>0</v>
      </c>
    </row>
    <row r="57" spans="2:8" x14ac:dyDescent="0.25">
      <c r="B57" s="18">
        <v>53</v>
      </c>
      <c r="C57" s="21">
        <f ca="1">IFERROR(IF(LEFT(C56,2)="13",DATE(RIGHT(C56,4),12,31),IF(EOMONTH(C56,1)&gt;PREMISSAS!$C$3,"",IF(MONTH(C56)=11,"13º "&amp;YEAR(C56),EOMONTH(C56,1)))),"")</f>
        <v>38929</v>
      </c>
      <c r="D57" s="22">
        <f ca="1">VLOOKUP(C57,'Histórico de Remunerações'!$D$7:$E$656,2,FALSE)</f>
        <v>0</v>
      </c>
      <c r="E57" s="4" t="str">
        <f ca="1">IF(D57=0,"",IF(IF(ISTEXT(C57),DATE(RIGHT(C57,4),12,31),C57)&lt;PREMISSAS!$D$7,0,IFERROR(VLOOKUP(IF(LEFT(C57,2)="13",DATE(RIGHT(C57,4),12,31),C57),IPCA!$A$3:$D$284,4,FALSE),1)*D57))</f>
        <v/>
      </c>
      <c r="F57" s="4">
        <f ca="1">IF(C57="","",IFERROR(AVERAGEIF(E$5:$E57,"&gt;"&amp;_xlfn.PERCENTILE.EXC(E$5:$E57,0.2)),0))</f>
        <v>0</v>
      </c>
    </row>
    <row r="58" spans="2:8" x14ac:dyDescent="0.25">
      <c r="B58" s="18">
        <v>54</v>
      </c>
      <c r="C58" s="21">
        <f ca="1">IFERROR(IF(LEFT(C57,2)="13",DATE(RIGHT(C57,4),12,31),IF(EOMONTH(C57,1)&gt;PREMISSAS!$C$3,"",IF(MONTH(C57)=11,"13º "&amp;YEAR(C57),EOMONTH(C57,1)))),"")</f>
        <v>38960</v>
      </c>
      <c r="D58" s="22">
        <f ca="1">VLOOKUP(C58,'Histórico de Remunerações'!$D$7:$E$656,2,FALSE)</f>
        <v>0</v>
      </c>
      <c r="E58" s="4" t="str">
        <f ca="1">IF(D58=0,"",IF(IF(ISTEXT(C58),DATE(RIGHT(C58,4),12,31),C58)&lt;PREMISSAS!$D$7,0,IFERROR(VLOOKUP(IF(LEFT(C58,2)="13",DATE(RIGHT(C58,4),12,31),C58),IPCA!$A$3:$D$284,4,FALSE),1)*D58))</f>
        <v/>
      </c>
      <c r="F58" s="4">
        <f ca="1">IF(C58="","",IFERROR(AVERAGEIF(E$5:$E58,"&gt;"&amp;_xlfn.PERCENTILE.EXC(E$5:$E58,0.2)),0))</f>
        <v>0</v>
      </c>
    </row>
    <row r="59" spans="2:8" x14ac:dyDescent="0.25">
      <c r="B59" s="18">
        <v>55</v>
      </c>
      <c r="C59" s="21">
        <f ca="1">IFERROR(IF(LEFT(C58,2)="13",DATE(RIGHT(C58,4),12,31),IF(EOMONTH(C58,1)&gt;PREMISSAS!$C$3,"",IF(MONTH(C58)=11,"13º "&amp;YEAR(C58),EOMONTH(C58,1)))),"")</f>
        <v>38990</v>
      </c>
      <c r="D59" s="22">
        <f ca="1">VLOOKUP(C59,'Histórico de Remunerações'!$D$7:$E$656,2,FALSE)</f>
        <v>0</v>
      </c>
      <c r="E59" s="4" t="str">
        <f ca="1">IF(D59=0,"",IF(IF(ISTEXT(C59),DATE(RIGHT(C59,4),12,31),C59)&lt;PREMISSAS!$D$7,0,IFERROR(VLOOKUP(IF(LEFT(C59,2)="13",DATE(RIGHT(C59,4),12,31),C59),IPCA!$A$3:$D$284,4,FALSE),1)*D59))</f>
        <v/>
      </c>
      <c r="F59" s="4">
        <f ca="1">IF(C59="","",IFERROR(AVERAGEIF(E$5:$E59,"&gt;"&amp;_xlfn.PERCENTILE.EXC(E$5:$E59,0.2)),0))</f>
        <v>0</v>
      </c>
    </row>
    <row r="60" spans="2:8" x14ac:dyDescent="0.25">
      <c r="B60" s="18">
        <v>56</v>
      </c>
      <c r="C60" s="21">
        <f ca="1">IFERROR(IF(LEFT(C59,2)="13",DATE(RIGHT(C59,4),12,31),IF(EOMONTH(C59,1)&gt;PREMISSAS!$C$3,"",IF(MONTH(C59)=11,"13º "&amp;YEAR(C59),EOMONTH(C59,1)))),"")</f>
        <v>39021</v>
      </c>
      <c r="D60" s="22">
        <f ca="1">VLOOKUP(C60,'Histórico de Remunerações'!$D$7:$E$656,2,FALSE)</f>
        <v>0</v>
      </c>
      <c r="E60" s="4" t="str">
        <f ca="1">IF(D60=0,"",IF(IF(ISTEXT(C60),DATE(RIGHT(C60,4),12,31),C60)&lt;PREMISSAS!$D$7,0,IFERROR(VLOOKUP(IF(LEFT(C60,2)="13",DATE(RIGHT(C60,4),12,31),C60),IPCA!$A$3:$D$284,4,FALSE),1)*D60))</f>
        <v/>
      </c>
      <c r="F60" s="4">
        <f ca="1">IF(C60="","",IFERROR(AVERAGEIF(E$5:$E60,"&gt;"&amp;_xlfn.PERCENTILE.EXC(E$5:$E60,0.2)),0))</f>
        <v>0</v>
      </c>
    </row>
    <row r="61" spans="2:8" x14ac:dyDescent="0.25">
      <c r="B61" s="18">
        <v>57</v>
      </c>
      <c r="C61" s="21">
        <f ca="1">IFERROR(IF(LEFT(C60,2)="13",DATE(RIGHT(C60,4),12,31),IF(EOMONTH(C60,1)&gt;PREMISSAS!$C$3,"",IF(MONTH(C60)=11,"13º "&amp;YEAR(C60),EOMONTH(C60,1)))),"")</f>
        <v>39051</v>
      </c>
      <c r="D61" s="22">
        <f ca="1">VLOOKUP(C61,'Histórico de Remunerações'!$D$7:$E$656,2,FALSE)</f>
        <v>0</v>
      </c>
      <c r="E61" s="4" t="str">
        <f ca="1">IF(D61=0,"",IF(IF(ISTEXT(C61),DATE(RIGHT(C61,4),12,31),C61)&lt;PREMISSAS!$D$7,0,IFERROR(VLOOKUP(IF(LEFT(C61,2)="13",DATE(RIGHT(C61,4),12,31),C61),IPCA!$A$3:$D$284,4,FALSE),1)*D61))</f>
        <v/>
      </c>
      <c r="F61" s="4">
        <f ca="1">IF(C61="","",IFERROR(AVERAGEIF(E$5:$E61,"&gt;"&amp;_xlfn.PERCENTILE.EXC(E$5:$E61,0.2)),0))</f>
        <v>0</v>
      </c>
    </row>
    <row r="62" spans="2:8" x14ac:dyDescent="0.25">
      <c r="B62" s="18">
        <v>58</v>
      </c>
      <c r="C62" s="21" t="str">
        <f ca="1">IFERROR(IF(LEFT(C61,2)="13",DATE(RIGHT(C61,4),12,31),IF(EOMONTH(C61,1)&gt;PREMISSAS!$C$3,"",IF(MONTH(C61)=11,"13º "&amp;YEAR(C61),EOMONTH(C61,1)))),"")</f>
        <v>13º 2006</v>
      </c>
      <c r="D62" s="22">
        <f ca="1">VLOOKUP(C62,'Histórico de Remunerações'!$D$7:$E$656,2,FALSE)</f>
        <v>0</v>
      </c>
      <c r="E62" s="4" t="str">
        <f ca="1">IF(D62=0,"",IF(IF(ISTEXT(C62),DATE(RIGHT(C62,4),12,31),C62)&lt;PREMISSAS!$D$7,0,IFERROR(VLOOKUP(IF(LEFT(C62,2)="13",DATE(RIGHT(C62,4),12,31),C62),IPCA!$A$3:$D$284,4,FALSE),1)*D62))</f>
        <v/>
      </c>
      <c r="F62" s="4">
        <f ca="1">IF(C62="","",IFERROR(AVERAGEIF(E$5:$E62,"&gt;"&amp;_xlfn.PERCENTILE.EXC(E$5:$E62,0.2)),0))</f>
        <v>0</v>
      </c>
    </row>
    <row r="63" spans="2:8" x14ac:dyDescent="0.25">
      <c r="B63" s="18">
        <v>59</v>
      </c>
      <c r="C63" s="21">
        <f ca="1">IFERROR(IF(LEFT(C62,2)="13",DATE(RIGHT(C62,4),12,31),IF(EOMONTH(C62,1)&gt;PREMISSAS!$C$3,"",IF(MONTH(C62)=11,"13º "&amp;YEAR(C62),EOMONTH(C62,1)))),"")</f>
        <v>39082</v>
      </c>
      <c r="D63" s="22">
        <f ca="1">VLOOKUP(C63,'Histórico de Remunerações'!$D$7:$E$656,2,FALSE)</f>
        <v>0</v>
      </c>
      <c r="E63" s="4" t="str">
        <f ca="1">IF(D63=0,"",IF(IF(ISTEXT(C63),DATE(RIGHT(C63,4),12,31),C63)&lt;PREMISSAS!$D$7,0,IFERROR(VLOOKUP(IF(LEFT(C63,2)="13",DATE(RIGHT(C63,4),12,31),C63),IPCA!$A$3:$D$284,4,FALSE),1)*D63))</f>
        <v/>
      </c>
      <c r="F63" s="4">
        <f ca="1">IF(C63="","",IFERROR(AVERAGEIF(E$5:$E63,"&gt;"&amp;_xlfn.PERCENTILE.EXC(E$5:$E63,0.2)),0))</f>
        <v>0</v>
      </c>
    </row>
    <row r="64" spans="2:8" x14ac:dyDescent="0.25">
      <c r="B64" s="18">
        <v>60</v>
      </c>
      <c r="C64" s="21">
        <f ca="1">IFERROR(IF(LEFT(C63,2)="13",DATE(RIGHT(C63,4),12,31),IF(EOMONTH(C63,1)&gt;PREMISSAS!$C$3,"",IF(MONTH(C63)=11,"13º "&amp;YEAR(C63),EOMONTH(C63,1)))),"")</f>
        <v>39113</v>
      </c>
      <c r="D64" s="22">
        <f ca="1">VLOOKUP(C64,'Histórico de Remunerações'!$D$7:$E$656,2,FALSE)</f>
        <v>0</v>
      </c>
      <c r="E64" s="4" t="str">
        <f ca="1">IF(D64=0,"",IF(IF(ISTEXT(C64),DATE(RIGHT(C64,4),12,31),C64)&lt;PREMISSAS!$D$7,0,IFERROR(VLOOKUP(IF(LEFT(C64,2)="13",DATE(RIGHT(C64,4),12,31),C64),IPCA!$A$3:$D$284,4,FALSE),1)*D64))</f>
        <v/>
      </c>
      <c r="F64" s="4">
        <f ca="1">IF(C64="","",IFERROR(AVERAGEIF(E$5:$E64,"&gt;"&amp;_xlfn.PERCENTILE.EXC(E$5:$E64,0.2)),0))</f>
        <v>0</v>
      </c>
    </row>
    <row r="65" spans="2:6" x14ac:dyDescent="0.25">
      <c r="B65" s="18">
        <v>61</v>
      </c>
      <c r="C65" s="21">
        <f ca="1">IFERROR(IF(LEFT(C64,2)="13",DATE(RIGHT(C64,4),12,31),IF(EOMONTH(C64,1)&gt;PREMISSAS!$C$3,"",IF(MONTH(C64)=11,"13º "&amp;YEAR(C64),EOMONTH(C64,1)))),"")</f>
        <v>39141</v>
      </c>
      <c r="D65" s="22">
        <f ca="1">VLOOKUP(C65,'Histórico de Remunerações'!$D$7:$E$656,2,FALSE)</f>
        <v>0</v>
      </c>
      <c r="E65" s="4" t="str">
        <f ca="1">IF(D65=0,"",IF(IF(ISTEXT(C65),DATE(RIGHT(C65,4),12,31),C65)&lt;PREMISSAS!$D$7,0,IFERROR(VLOOKUP(IF(LEFT(C65,2)="13",DATE(RIGHT(C65,4),12,31),C65),IPCA!$A$3:$D$284,4,FALSE),1)*D65))</f>
        <v/>
      </c>
      <c r="F65" s="4">
        <f ca="1">IF(C65="","",IFERROR(AVERAGEIF(E$5:$E65,"&gt;"&amp;_xlfn.PERCENTILE.EXC(E$5:$E65,0.2)),0))</f>
        <v>0</v>
      </c>
    </row>
    <row r="66" spans="2:6" x14ac:dyDescent="0.25">
      <c r="B66" s="18">
        <v>62</v>
      </c>
      <c r="C66" s="21">
        <f ca="1">IFERROR(IF(LEFT(C65,2)="13",DATE(RIGHT(C65,4),12,31),IF(EOMONTH(C65,1)&gt;PREMISSAS!$C$3,"",IF(MONTH(C65)=11,"13º "&amp;YEAR(C65),EOMONTH(C65,1)))),"")</f>
        <v>39172</v>
      </c>
      <c r="D66" s="22">
        <f ca="1">VLOOKUP(C66,'Histórico de Remunerações'!$D$7:$E$656,2,FALSE)</f>
        <v>0</v>
      </c>
      <c r="E66" s="4" t="str">
        <f ca="1">IF(D66=0,"",IF(IF(ISTEXT(C66),DATE(RIGHT(C66,4),12,31),C66)&lt;PREMISSAS!$D$7,0,IFERROR(VLOOKUP(IF(LEFT(C66,2)="13",DATE(RIGHT(C66,4),12,31),C66),IPCA!$A$3:$D$284,4,FALSE),1)*D66))</f>
        <v/>
      </c>
      <c r="F66" s="4">
        <f ca="1">IF(C66="","",IFERROR(AVERAGEIF(E$5:$E66,"&gt;"&amp;_xlfn.PERCENTILE.EXC(E$5:$E66,0.2)),0))</f>
        <v>0</v>
      </c>
    </row>
    <row r="67" spans="2:6" x14ac:dyDescent="0.25">
      <c r="B67" s="18">
        <v>63</v>
      </c>
      <c r="C67" s="21">
        <f ca="1">IFERROR(IF(LEFT(C66,2)="13",DATE(RIGHT(C66,4),12,31),IF(EOMONTH(C66,1)&gt;PREMISSAS!$C$3,"",IF(MONTH(C66)=11,"13º "&amp;YEAR(C66),EOMONTH(C66,1)))),"")</f>
        <v>39202</v>
      </c>
      <c r="D67" s="22">
        <f ca="1">VLOOKUP(C67,'Histórico de Remunerações'!$D$7:$E$656,2,FALSE)</f>
        <v>0</v>
      </c>
      <c r="E67" s="4" t="str">
        <f ca="1">IF(D67=0,"",IF(IF(ISTEXT(C67),DATE(RIGHT(C67,4),12,31),C67)&lt;PREMISSAS!$D$7,0,IFERROR(VLOOKUP(IF(LEFT(C67,2)="13",DATE(RIGHT(C67,4),12,31),C67),IPCA!$A$3:$D$284,4,FALSE),1)*D67))</f>
        <v/>
      </c>
      <c r="F67" s="4">
        <f ca="1">IF(C67="","",IFERROR(AVERAGEIF(E$5:$E67,"&gt;"&amp;_xlfn.PERCENTILE.EXC(E$5:$E67,0.2)),0))</f>
        <v>0</v>
      </c>
    </row>
    <row r="68" spans="2:6" x14ac:dyDescent="0.25">
      <c r="B68" s="18">
        <v>64</v>
      </c>
      <c r="C68" s="21">
        <f ca="1">IFERROR(IF(LEFT(C67,2)="13",DATE(RIGHT(C67,4),12,31),IF(EOMONTH(C67,1)&gt;PREMISSAS!$C$3,"",IF(MONTH(C67)=11,"13º "&amp;YEAR(C67),EOMONTH(C67,1)))),"")</f>
        <v>39233</v>
      </c>
      <c r="D68" s="22">
        <f ca="1">VLOOKUP(C68,'Histórico de Remunerações'!$D$7:$E$656,2,FALSE)</f>
        <v>0</v>
      </c>
      <c r="E68" s="4" t="str">
        <f ca="1">IF(D68=0,"",IF(IF(ISTEXT(C68),DATE(RIGHT(C68,4),12,31),C68)&lt;PREMISSAS!$D$7,0,IFERROR(VLOOKUP(IF(LEFT(C68,2)="13",DATE(RIGHT(C68,4),12,31),C68),IPCA!$A$3:$D$284,4,FALSE),1)*D68))</f>
        <v/>
      </c>
      <c r="F68" s="4">
        <f ca="1">IF(C68="","",IFERROR(AVERAGEIF(E$5:$E68,"&gt;"&amp;_xlfn.PERCENTILE.EXC(E$5:$E68,0.2)),0))</f>
        <v>0</v>
      </c>
    </row>
    <row r="69" spans="2:6" x14ac:dyDescent="0.25">
      <c r="B69" s="18">
        <v>65</v>
      </c>
      <c r="C69" s="21">
        <f ca="1">IFERROR(IF(LEFT(C68,2)="13",DATE(RIGHT(C68,4),12,31),IF(EOMONTH(C68,1)&gt;PREMISSAS!$C$3,"",IF(MONTH(C68)=11,"13º "&amp;YEAR(C68),EOMONTH(C68,1)))),"")</f>
        <v>39263</v>
      </c>
      <c r="D69" s="22">
        <f ca="1">VLOOKUP(C69,'Histórico de Remunerações'!$D$7:$E$656,2,FALSE)</f>
        <v>0</v>
      </c>
      <c r="E69" s="4" t="str">
        <f ca="1">IF(D69=0,"",IF(IF(ISTEXT(C69),DATE(RIGHT(C69,4),12,31),C69)&lt;PREMISSAS!$D$7,0,IFERROR(VLOOKUP(IF(LEFT(C69,2)="13",DATE(RIGHT(C69,4),12,31),C69),IPCA!$A$3:$D$284,4,FALSE),1)*D69))</f>
        <v/>
      </c>
      <c r="F69" s="4">
        <f ca="1">IF(C69="","",IFERROR(AVERAGEIF(E$5:$E69,"&gt;"&amp;_xlfn.PERCENTILE.EXC(E$5:$E69,0.2)),0))</f>
        <v>0</v>
      </c>
    </row>
    <row r="70" spans="2:6" x14ac:dyDescent="0.25">
      <c r="B70" s="18">
        <v>66</v>
      </c>
      <c r="C70" s="21">
        <f ca="1">IFERROR(IF(LEFT(C69,2)="13",DATE(RIGHT(C69,4),12,31),IF(EOMONTH(C69,1)&gt;PREMISSAS!$C$3,"",IF(MONTH(C69)=11,"13º "&amp;YEAR(C69),EOMONTH(C69,1)))),"")</f>
        <v>39294</v>
      </c>
      <c r="D70" s="22">
        <f ca="1">VLOOKUP(C70,'Histórico de Remunerações'!$D$7:$E$656,2,FALSE)</f>
        <v>0</v>
      </c>
      <c r="E70" s="4" t="str">
        <f ca="1">IF(D70=0,"",IF(IF(ISTEXT(C70),DATE(RIGHT(C70,4),12,31),C70)&lt;PREMISSAS!$D$7,0,IFERROR(VLOOKUP(IF(LEFT(C70,2)="13",DATE(RIGHT(C70,4),12,31),C70),IPCA!$A$3:$D$284,4,FALSE),1)*D70))</f>
        <v/>
      </c>
      <c r="F70" s="4">
        <f ca="1">IF(C70="","",IFERROR(AVERAGEIF(E$5:$E70,"&gt;"&amp;_xlfn.PERCENTILE.EXC(E$5:$E70,0.2)),0))</f>
        <v>0</v>
      </c>
    </row>
    <row r="71" spans="2:6" x14ac:dyDescent="0.25">
      <c r="B71" s="18">
        <v>67</v>
      </c>
      <c r="C71" s="21">
        <f ca="1">IFERROR(IF(LEFT(C70,2)="13",DATE(RIGHT(C70,4),12,31),IF(EOMONTH(C70,1)&gt;PREMISSAS!$C$3,"",IF(MONTH(C70)=11,"13º "&amp;YEAR(C70),EOMONTH(C70,1)))),"")</f>
        <v>39325</v>
      </c>
      <c r="D71" s="22">
        <f ca="1">VLOOKUP(C71,'Histórico de Remunerações'!$D$7:$E$656,2,FALSE)</f>
        <v>0</v>
      </c>
      <c r="E71" s="4" t="str">
        <f ca="1">IF(D71=0,"",IF(IF(ISTEXT(C71),DATE(RIGHT(C71,4),12,31),C71)&lt;PREMISSAS!$D$7,0,IFERROR(VLOOKUP(IF(LEFT(C71,2)="13",DATE(RIGHT(C71,4),12,31),C71),IPCA!$A$3:$D$284,4,FALSE),1)*D71))</f>
        <v/>
      </c>
      <c r="F71" s="4">
        <f ca="1">IF(C71="","",IFERROR(AVERAGEIF(E$5:$E71,"&gt;"&amp;_xlfn.PERCENTILE.EXC(E$5:$E71,0.2)),0))</f>
        <v>0</v>
      </c>
    </row>
    <row r="72" spans="2:6" x14ac:dyDescent="0.25">
      <c r="B72" s="18">
        <v>68</v>
      </c>
      <c r="C72" s="21">
        <f ca="1">IFERROR(IF(LEFT(C71,2)="13",DATE(RIGHT(C71,4),12,31),IF(EOMONTH(C71,1)&gt;PREMISSAS!$C$3,"",IF(MONTH(C71)=11,"13º "&amp;YEAR(C71),EOMONTH(C71,1)))),"")</f>
        <v>39355</v>
      </c>
      <c r="D72" s="22">
        <f ca="1">VLOOKUP(C72,'Histórico de Remunerações'!$D$7:$E$656,2,FALSE)</f>
        <v>0</v>
      </c>
      <c r="E72" s="4" t="str">
        <f ca="1">IF(D72=0,"",IF(IF(ISTEXT(C72),DATE(RIGHT(C72,4),12,31),C72)&lt;PREMISSAS!$D$7,0,IFERROR(VLOOKUP(IF(LEFT(C72,2)="13",DATE(RIGHT(C72,4),12,31),C72),IPCA!$A$3:$D$284,4,FALSE),1)*D72))</f>
        <v/>
      </c>
      <c r="F72" s="4">
        <f ca="1">IF(C72="","",IFERROR(AVERAGEIF(E$5:$E72,"&gt;"&amp;_xlfn.PERCENTILE.EXC(E$5:$E72,0.2)),0))</f>
        <v>0</v>
      </c>
    </row>
    <row r="73" spans="2:6" x14ac:dyDescent="0.25">
      <c r="B73" s="18">
        <v>69</v>
      </c>
      <c r="C73" s="21">
        <f ca="1">IFERROR(IF(LEFT(C72,2)="13",DATE(RIGHT(C72,4),12,31),IF(EOMONTH(C72,1)&gt;PREMISSAS!$C$3,"",IF(MONTH(C72)=11,"13º "&amp;YEAR(C72),EOMONTH(C72,1)))),"")</f>
        <v>39386</v>
      </c>
      <c r="D73" s="22">
        <f ca="1">VLOOKUP(C73,'Histórico de Remunerações'!$D$7:$E$656,2,FALSE)</f>
        <v>0</v>
      </c>
      <c r="E73" s="4" t="str">
        <f ca="1">IF(D73=0,"",IF(IF(ISTEXT(C73),DATE(RIGHT(C73,4),12,31),C73)&lt;PREMISSAS!$D$7,0,IFERROR(VLOOKUP(IF(LEFT(C73,2)="13",DATE(RIGHT(C73,4),12,31),C73),IPCA!$A$3:$D$284,4,FALSE),1)*D73))</f>
        <v/>
      </c>
      <c r="F73" s="4">
        <f ca="1">IF(C73="","",IFERROR(AVERAGEIF(E$5:$E73,"&gt;"&amp;_xlfn.PERCENTILE.EXC(E$5:$E73,0.2)),0))</f>
        <v>0</v>
      </c>
    </row>
    <row r="74" spans="2:6" x14ac:dyDescent="0.25">
      <c r="B74" s="18">
        <v>70</v>
      </c>
      <c r="C74" s="21">
        <f ca="1">IFERROR(IF(LEFT(C73,2)="13",DATE(RIGHT(C73,4),12,31),IF(EOMONTH(C73,1)&gt;PREMISSAS!$C$3,"",IF(MONTH(C73)=11,"13º "&amp;YEAR(C73),EOMONTH(C73,1)))),"")</f>
        <v>39416</v>
      </c>
      <c r="D74" s="22">
        <f ca="1">VLOOKUP(C74,'Histórico de Remunerações'!$D$7:$E$656,2,FALSE)</f>
        <v>0</v>
      </c>
      <c r="E74" s="4" t="str">
        <f ca="1">IF(D74=0,"",IF(IF(ISTEXT(C74),DATE(RIGHT(C74,4),12,31),C74)&lt;PREMISSAS!$D$7,0,IFERROR(VLOOKUP(IF(LEFT(C74,2)="13",DATE(RIGHT(C74,4),12,31),C74),IPCA!$A$3:$D$284,4,FALSE),1)*D74))</f>
        <v/>
      </c>
      <c r="F74" s="4">
        <f ca="1">IF(C74="","",IFERROR(AVERAGEIF(E$5:$E74,"&gt;"&amp;_xlfn.PERCENTILE.EXC(E$5:$E74,0.2)),0))</f>
        <v>0</v>
      </c>
    </row>
    <row r="75" spans="2:6" x14ac:dyDescent="0.25">
      <c r="B75" s="18">
        <v>71</v>
      </c>
      <c r="C75" s="21" t="str">
        <f ca="1">IFERROR(IF(LEFT(C74,2)="13",DATE(RIGHT(C74,4),12,31),IF(EOMONTH(C74,1)&gt;PREMISSAS!$C$3,"",IF(MONTH(C74)=11,"13º "&amp;YEAR(C74),EOMONTH(C74,1)))),"")</f>
        <v>13º 2007</v>
      </c>
      <c r="D75" s="22">
        <f ca="1">VLOOKUP(C75,'Histórico de Remunerações'!$D$7:$E$656,2,FALSE)</f>
        <v>0</v>
      </c>
      <c r="E75" s="4" t="str">
        <f ca="1">IF(D75=0,"",IF(IF(ISTEXT(C75),DATE(RIGHT(C75,4),12,31),C75)&lt;PREMISSAS!$D$7,0,IFERROR(VLOOKUP(IF(LEFT(C75,2)="13",DATE(RIGHT(C75,4),12,31),C75),IPCA!$A$3:$D$284,4,FALSE),1)*D75))</f>
        <v/>
      </c>
      <c r="F75" s="4">
        <f ca="1">IF(C75="","",IFERROR(AVERAGEIF(E$5:$E75,"&gt;"&amp;_xlfn.PERCENTILE.EXC(E$5:$E75,0.2)),0))</f>
        <v>0</v>
      </c>
    </row>
    <row r="76" spans="2:6" x14ac:dyDescent="0.25">
      <c r="B76" s="18">
        <v>72</v>
      </c>
      <c r="C76" s="21">
        <f ca="1">IFERROR(IF(LEFT(C75,2)="13",DATE(RIGHT(C75,4),12,31),IF(EOMONTH(C75,1)&gt;PREMISSAS!$C$3,"",IF(MONTH(C75)=11,"13º "&amp;YEAR(C75),EOMONTH(C75,1)))),"")</f>
        <v>39447</v>
      </c>
      <c r="D76" s="22">
        <f ca="1">VLOOKUP(C76,'Histórico de Remunerações'!$D$7:$E$656,2,FALSE)</f>
        <v>0</v>
      </c>
      <c r="E76" s="4" t="str">
        <f ca="1">IF(D76=0,"",IF(IF(ISTEXT(C76),DATE(RIGHT(C76,4),12,31),C76)&lt;PREMISSAS!$D$7,0,IFERROR(VLOOKUP(IF(LEFT(C76,2)="13",DATE(RIGHT(C76,4),12,31),C76),IPCA!$A$3:$D$284,4,FALSE),1)*D76))</f>
        <v/>
      </c>
      <c r="F76" s="4">
        <f ca="1">IF(C76="","",IFERROR(AVERAGEIF(E$5:$E76,"&gt;"&amp;_xlfn.PERCENTILE.EXC(E$5:$E76,0.2)),0))</f>
        <v>0</v>
      </c>
    </row>
    <row r="77" spans="2:6" x14ac:dyDescent="0.25">
      <c r="B77" s="18">
        <v>73</v>
      </c>
      <c r="C77" s="21">
        <f ca="1">IFERROR(IF(LEFT(C76,2)="13",DATE(RIGHT(C76,4),12,31),IF(EOMONTH(C76,1)&gt;PREMISSAS!$C$3,"",IF(MONTH(C76)=11,"13º "&amp;YEAR(C76),EOMONTH(C76,1)))),"")</f>
        <v>39478</v>
      </c>
      <c r="D77" s="22">
        <f ca="1">VLOOKUP(C77,'Histórico de Remunerações'!$D$7:$E$656,2,FALSE)</f>
        <v>0</v>
      </c>
      <c r="E77" s="4" t="str">
        <f ca="1">IF(D77=0,"",IF(IF(ISTEXT(C77),DATE(RIGHT(C77,4),12,31),C77)&lt;PREMISSAS!$D$7,0,IFERROR(VLOOKUP(IF(LEFT(C77,2)="13",DATE(RIGHT(C77,4),12,31),C77),IPCA!$A$3:$D$284,4,FALSE),1)*D77))</f>
        <v/>
      </c>
      <c r="F77" s="4">
        <f ca="1">IF(C77="","",IFERROR(AVERAGEIF(E$5:$E77,"&gt;"&amp;_xlfn.PERCENTILE.EXC(E$5:$E77,0.2)),0))</f>
        <v>0</v>
      </c>
    </row>
    <row r="78" spans="2:6" x14ac:dyDescent="0.25">
      <c r="B78" s="18">
        <v>74</v>
      </c>
      <c r="C78" s="21">
        <f ca="1">IFERROR(IF(LEFT(C77,2)="13",DATE(RIGHT(C77,4),12,31),IF(EOMONTH(C77,1)&gt;PREMISSAS!$C$3,"",IF(MONTH(C77)=11,"13º "&amp;YEAR(C77),EOMONTH(C77,1)))),"")</f>
        <v>39507</v>
      </c>
      <c r="D78" s="22">
        <f ca="1">VLOOKUP(C78,'Histórico de Remunerações'!$D$7:$E$656,2,FALSE)</f>
        <v>0</v>
      </c>
      <c r="E78" s="4" t="str">
        <f ca="1">IF(D78=0,"",IF(IF(ISTEXT(C78),DATE(RIGHT(C78,4),12,31),C78)&lt;PREMISSAS!$D$7,0,IFERROR(VLOOKUP(IF(LEFT(C78,2)="13",DATE(RIGHT(C78,4),12,31),C78),IPCA!$A$3:$D$284,4,FALSE),1)*D78))</f>
        <v/>
      </c>
      <c r="F78" s="4">
        <f ca="1">IF(C78="","",IFERROR(AVERAGEIF(E$5:$E78,"&gt;"&amp;_xlfn.PERCENTILE.EXC(E$5:$E78,0.2)),0))</f>
        <v>0</v>
      </c>
    </row>
    <row r="79" spans="2:6" x14ac:dyDescent="0.25">
      <c r="B79" s="18">
        <v>75</v>
      </c>
      <c r="C79" s="21">
        <f ca="1">IFERROR(IF(LEFT(C78,2)="13",DATE(RIGHT(C78,4),12,31),IF(EOMONTH(C78,1)&gt;PREMISSAS!$C$3,"",IF(MONTH(C78)=11,"13º "&amp;YEAR(C78),EOMONTH(C78,1)))),"")</f>
        <v>39538</v>
      </c>
      <c r="D79" s="22">
        <f ca="1">VLOOKUP(C79,'Histórico de Remunerações'!$D$7:$E$656,2,FALSE)</f>
        <v>0</v>
      </c>
      <c r="E79" s="4" t="str">
        <f ca="1">IF(D79=0,"",IF(IF(ISTEXT(C79),DATE(RIGHT(C79,4),12,31),C79)&lt;PREMISSAS!$D$7,0,IFERROR(VLOOKUP(IF(LEFT(C79,2)="13",DATE(RIGHT(C79,4),12,31),C79),IPCA!$A$3:$D$284,4,FALSE),1)*D79))</f>
        <v/>
      </c>
      <c r="F79" s="4">
        <f ca="1">IF(C79="","",IFERROR(AVERAGEIF(E$5:$E79,"&gt;"&amp;_xlfn.PERCENTILE.EXC(E$5:$E79,0.2)),0))</f>
        <v>0</v>
      </c>
    </row>
    <row r="80" spans="2:6" x14ac:dyDescent="0.25">
      <c r="B80" s="18">
        <v>76</v>
      </c>
      <c r="C80" s="21">
        <f ca="1">IFERROR(IF(LEFT(C79,2)="13",DATE(RIGHT(C79,4),12,31),IF(EOMONTH(C79,1)&gt;PREMISSAS!$C$3,"",IF(MONTH(C79)=11,"13º "&amp;YEAR(C79),EOMONTH(C79,1)))),"")</f>
        <v>39568</v>
      </c>
      <c r="D80" s="22">
        <f ca="1">VLOOKUP(C80,'Histórico de Remunerações'!$D$7:$E$656,2,FALSE)</f>
        <v>0</v>
      </c>
      <c r="E80" s="4" t="str">
        <f ca="1">IF(D80=0,"",IF(IF(ISTEXT(C80),DATE(RIGHT(C80,4),12,31),C80)&lt;PREMISSAS!$D$7,0,IFERROR(VLOOKUP(IF(LEFT(C80,2)="13",DATE(RIGHT(C80,4),12,31),C80),IPCA!$A$3:$D$284,4,FALSE),1)*D80))</f>
        <v/>
      </c>
      <c r="F80" s="4">
        <f ca="1">IF(C80="","",IFERROR(AVERAGEIF(E$5:$E80,"&gt;"&amp;_xlfn.PERCENTILE.EXC(E$5:$E80,0.2)),0))</f>
        <v>0</v>
      </c>
    </row>
    <row r="81" spans="2:6" x14ac:dyDescent="0.25">
      <c r="B81" s="18">
        <v>77</v>
      </c>
      <c r="C81" s="21">
        <f ca="1">IFERROR(IF(LEFT(C80,2)="13",DATE(RIGHT(C80,4),12,31),IF(EOMONTH(C80,1)&gt;PREMISSAS!$C$3,"",IF(MONTH(C80)=11,"13º "&amp;YEAR(C80),EOMONTH(C80,1)))),"")</f>
        <v>39599</v>
      </c>
      <c r="D81" s="22">
        <f ca="1">VLOOKUP(C81,'Histórico de Remunerações'!$D$7:$E$656,2,FALSE)</f>
        <v>0</v>
      </c>
      <c r="E81" s="4" t="str">
        <f ca="1">IF(D81=0,"",IF(IF(ISTEXT(C81),DATE(RIGHT(C81,4),12,31),C81)&lt;PREMISSAS!$D$7,0,IFERROR(VLOOKUP(IF(LEFT(C81,2)="13",DATE(RIGHT(C81,4),12,31),C81),IPCA!$A$3:$D$284,4,FALSE),1)*D81))</f>
        <v/>
      </c>
      <c r="F81" s="4">
        <f ca="1">IF(C81="","",IFERROR(AVERAGEIF(E$5:$E81,"&gt;"&amp;_xlfn.PERCENTILE.EXC(E$5:$E81,0.2)),0))</f>
        <v>0</v>
      </c>
    </row>
    <row r="82" spans="2:6" x14ac:dyDescent="0.25">
      <c r="B82" s="18">
        <v>78</v>
      </c>
      <c r="C82" s="21">
        <f ca="1">IFERROR(IF(LEFT(C81,2)="13",DATE(RIGHT(C81,4),12,31),IF(EOMONTH(C81,1)&gt;PREMISSAS!$C$3,"",IF(MONTH(C81)=11,"13º "&amp;YEAR(C81),EOMONTH(C81,1)))),"")</f>
        <v>39629</v>
      </c>
      <c r="D82" s="22">
        <f ca="1">VLOOKUP(C82,'Histórico de Remunerações'!$D$7:$E$656,2,FALSE)</f>
        <v>0</v>
      </c>
      <c r="E82" s="4" t="str">
        <f ca="1">IF(D82=0,"",IF(IF(ISTEXT(C82),DATE(RIGHT(C82,4),12,31),C82)&lt;PREMISSAS!$D$7,0,IFERROR(VLOOKUP(IF(LEFT(C82,2)="13",DATE(RIGHT(C82,4),12,31),C82),IPCA!$A$3:$D$284,4,FALSE),1)*D82))</f>
        <v/>
      </c>
      <c r="F82" s="4">
        <f ca="1">IF(C82="","",IFERROR(AVERAGEIF(E$5:$E82,"&gt;"&amp;_xlfn.PERCENTILE.EXC(E$5:$E82,0.2)),0))</f>
        <v>0</v>
      </c>
    </row>
    <row r="83" spans="2:6" x14ac:dyDescent="0.25">
      <c r="B83" s="18">
        <v>79</v>
      </c>
      <c r="C83" s="21">
        <f ca="1">IFERROR(IF(LEFT(C82,2)="13",DATE(RIGHT(C82,4),12,31),IF(EOMONTH(C82,1)&gt;PREMISSAS!$C$3,"",IF(MONTH(C82)=11,"13º "&amp;YEAR(C82),EOMONTH(C82,1)))),"")</f>
        <v>39660</v>
      </c>
      <c r="D83" s="22">
        <f ca="1">VLOOKUP(C83,'Histórico de Remunerações'!$D$7:$E$656,2,FALSE)</f>
        <v>0</v>
      </c>
      <c r="E83" s="4" t="str">
        <f ca="1">IF(D83=0,"",IF(IF(ISTEXT(C83),DATE(RIGHT(C83,4),12,31),C83)&lt;PREMISSAS!$D$7,0,IFERROR(VLOOKUP(IF(LEFT(C83,2)="13",DATE(RIGHT(C83,4),12,31),C83),IPCA!$A$3:$D$284,4,FALSE),1)*D83))</f>
        <v/>
      </c>
      <c r="F83" s="4">
        <f ca="1">IF(C83="","",IFERROR(AVERAGEIF(E$5:$E83,"&gt;"&amp;_xlfn.PERCENTILE.EXC(E$5:$E83,0.2)),0))</f>
        <v>0</v>
      </c>
    </row>
    <row r="84" spans="2:6" x14ac:dyDescent="0.25">
      <c r="B84" s="18">
        <v>80</v>
      </c>
      <c r="C84" s="21">
        <f ca="1">IFERROR(IF(LEFT(C83,2)="13",DATE(RIGHT(C83,4),12,31),IF(EOMONTH(C83,1)&gt;PREMISSAS!$C$3,"",IF(MONTH(C83)=11,"13º "&amp;YEAR(C83),EOMONTH(C83,1)))),"")</f>
        <v>39691</v>
      </c>
      <c r="D84" s="22">
        <f ca="1">VLOOKUP(C84,'Histórico de Remunerações'!$D$7:$E$656,2,FALSE)</f>
        <v>0</v>
      </c>
      <c r="E84" s="4" t="str">
        <f ca="1">IF(D84=0,"",IF(IF(ISTEXT(C84),DATE(RIGHT(C84,4),12,31),C84)&lt;PREMISSAS!$D$7,0,IFERROR(VLOOKUP(IF(LEFT(C84,2)="13",DATE(RIGHT(C84,4),12,31),C84),IPCA!$A$3:$D$284,4,FALSE),1)*D84))</f>
        <v/>
      </c>
      <c r="F84" s="4">
        <f ca="1">IF(C84="","",IFERROR(AVERAGEIF(E$5:$E84,"&gt;"&amp;_xlfn.PERCENTILE.EXC(E$5:$E84,0.2)),0))</f>
        <v>0</v>
      </c>
    </row>
    <row r="85" spans="2:6" x14ac:dyDescent="0.25">
      <c r="B85" s="18">
        <v>81</v>
      </c>
      <c r="C85" s="21">
        <f ca="1">IFERROR(IF(LEFT(C84,2)="13",DATE(RIGHT(C84,4),12,31),IF(EOMONTH(C84,1)&gt;PREMISSAS!$C$3,"",IF(MONTH(C84)=11,"13º "&amp;YEAR(C84),EOMONTH(C84,1)))),"")</f>
        <v>39721</v>
      </c>
      <c r="D85" s="22">
        <f ca="1">VLOOKUP(C85,'Histórico de Remunerações'!$D$7:$E$656,2,FALSE)</f>
        <v>0</v>
      </c>
      <c r="E85" s="4" t="str">
        <f ca="1">IF(D85=0,"",IF(IF(ISTEXT(C85),DATE(RIGHT(C85,4),12,31),C85)&lt;PREMISSAS!$D$7,0,IFERROR(VLOOKUP(IF(LEFT(C85,2)="13",DATE(RIGHT(C85,4),12,31),C85),IPCA!$A$3:$D$284,4,FALSE),1)*D85))</f>
        <v/>
      </c>
      <c r="F85" s="4">
        <f ca="1">IF(C85="","",IFERROR(AVERAGEIF(E$5:$E85,"&gt;"&amp;_xlfn.PERCENTILE.EXC(E$5:$E85,0.2)),0))</f>
        <v>0</v>
      </c>
    </row>
    <row r="86" spans="2:6" x14ac:dyDescent="0.25">
      <c r="B86" s="18">
        <v>82</v>
      </c>
      <c r="C86" s="21">
        <f ca="1">IFERROR(IF(LEFT(C85,2)="13",DATE(RIGHT(C85,4),12,31),IF(EOMONTH(C85,1)&gt;PREMISSAS!$C$3,"",IF(MONTH(C85)=11,"13º "&amp;YEAR(C85),EOMONTH(C85,1)))),"")</f>
        <v>39752</v>
      </c>
      <c r="D86" s="22">
        <f ca="1">VLOOKUP(C86,'Histórico de Remunerações'!$D$7:$E$656,2,FALSE)</f>
        <v>0</v>
      </c>
      <c r="E86" s="4" t="str">
        <f ca="1">IF(D86=0,"",IF(IF(ISTEXT(C86),DATE(RIGHT(C86,4),12,31),C86)&lt;PREMISSAS!$D$7,0,IFERROR(VLOOKUP(IF(LEFT(C86,2)="13",DATE(RIGHT(C86,4),12,31),C86),IPCA!$A$3:$D$284,4,FALSE),1)*D86))</f>
        <v/>
      </c>
      <c r="F86" s="4">
        <f ca="1">IF(C86="","",IFERROR(AVERAGEIF(E$5:$E86,"&gt;"&amp;_xlfn.PERCENTILE.EXC(E$5:$E86,0.2)),0))</f>
        <v>0</v>
      </c>
    </row>
    <row r="87" spans="2:6" x14ac:dyDescent="0.25">
      <c r="B87" s="18">
        <v>83</v>
      </c>
      <c r="C87" s="21">
        <f ca="1">IFERROR(IF(LEFT(C86,2)="13",DATE(RIGHT(C86,4),12,31),IF(EOMONTH(C86,1)&gt;PREMISSAS!$C$3,"",IF(MONTH(C86)=11,"13º "&amp;YEAR(C86),EOMONTH(C86,1)))),"")</f>
        <v>39782</v>
      </c>
      <c r="D87" s="22">
        <f ca="1">VLOOKUP(C87,'Histórico de Remunerações'!$D$7:$E$656,2,FALSE)</f>
        <v>0</v>
      </c>
      <c r="E87" s="4" t="str">
        <f ca="1">IF(D87=0,"",IF(IF(ISTEXT(C87),DATE(RIGHT(C87,4),12,31),C87)&lt;PREMISSAS!$D$7,0,IFERROR(VLOOKUP(IF(LEFT(C87,2)="13",DATE(RIGHT(C87,4),12,31),C87),IPCA!$A$3:$D$284,4,FALSE),1)*D87))</f>
        <v/>
      </c>
      <c r="F87" s="4">
        <f ca="1">IF(C87="","",IFERROR(AVERAGEIF(E$5:$E87,"&gt;"&amp;_xlfn.PERCENTILE.EXC(E$5:$E87,0.2)),0))</f>
        <v>0</v>
      </c>
    </row>
    <row r="88" spans="2:6" x14ac:dyDescent="0.25">
      <c r="B88" s="18">
        <v>84</v>
      </c>
      <c r="C88" s="21" t="str">
        <f ca="1">IFERROR(IF(LEFT(C87,2)="13",DATE(RIGHT(C87,4),12,31),IF(EOMONTH(C87,1)&gt;PREMISSAS!$C$3,"",IF(MONTH(C87)=11,"13º "&amp;YEAR(C87),EOMONTH(C87,1)))),"")</f>
        <v>13º 2008</v>
      </c>
      <c r="D88" s="22">
        <f ca="1">VLOOKUP(C88,'Histórico de Remunerações'!$D$7:$E$656,2,FALSE)</f>
        <v>0</v>
      </c>
      <c r="E88" s="4" t="str">
        <f ca="1">IF(D88=0,"",IF(IF(ISTEXT(C88),DATE(RIGHT(C88,4),12,31),C88)&lt;PREMISSAS!$D$7,0,IFERROR(VLOOKUP(IF(LEFT(C88,2)="13",DATE(RIGHT(C88,4),12,31),C88),IPCA!$A$3:$D$284,4,FALSE),1)*D88))</f>
        <v/>
      </c>
      <c r="F88" s="4">
        <f ca="1">IF(C88="","",IFERROR(AVERAGEIF(E$5:$E88,"&gt;"&amp;_xlfn.PERCENTILE.EXC(E$5:$E88,0.2)),0))</f>
        <v>0</v>
      </c>
    </row>
    <row r="89" spans="2:6" x14ac:dyDescent="0.25">
      <c r="B89" s="18">
        <v>85</v>
      </c>
      <c r="C89" s="21">
        <f ca="1">IFERROR(IF(LEFT(C88,2)="13",DATE(RIGHT(C88,4),12,31),IF(EOMONTH(C88,1)&gt;PREMISSAS!$C$3,"",IF(MONTH(C88)=11,"13º "&amp;YEAR(C88),EOMONTH(C88,1)))),"")</f>
        <v>39813</v>
      </c>
      <c r="D89" s="22">
        <f ca="1">VLOOKUP(C89,'Histórico de Remunerações'!$D$7:$E$656,2,FALSE)</f>
        <v>0</v>
      </c>
      <c r="E89" s="4" t="str">
        <f ca="1">IF(D89=0,"",IF(IF(ISTEXT(C89),DATE(RIGHT(C89,4),12,31),C89)&lt;PREMISSAS!$D$7,0,IFERROR(VLOOKUP(IF(LEFT(C89,2)="13",DATE(RIGHT(C89,4),12,31),C89),IPCA!$A$3:$D$284,4,FALSE),1)*D89))</f>
        <v/>
      </c>
      <c r="F89" s="4">
        <f ca="1">IF(C89="","",IFERROR(AVERAGEIF(E$5:$E89,"&gt;"&amp;_xlfn.PERCENTILE.EXC(E$5:$E89,0.2)),0))</f>
        <v>0</v>
      </c>
    </row>
    <row r="90" spans="2:6" x14ac:dyDescent="0.25">
      <c r="B90" s="18">
        <v>86</v>
      </c>
      <c r="C90" s="21">
        <f ca="1">IFERROR(IF(LEFT(C89,2)="13",DATE(RIGHT(C89,4),12,31),IF(EOMONTH(C89,1)&gt;PREMISSAS!$C$3,"",IF(MONTH(C89)=11,"13º "&amp;YEAR(C89),EOMONTH(C89,1)))),"")</f>
        <v>39844</v>
      </c>
      <c r="D90" s="22">
        <f ca="1">VLOOKUP(C90,'Histórico de Remunerações'!$D$7:$E$656,2,FALSE)</f>
        <v>0</v>
      </c>
      <c r="E90" s="4" t="str">
        <f ca="1">IF(D90=0,"",IF(IF(ISTEXT(C90),DATE(RIGHT(C90,4),12,31),C90)&lt;PREMISSAS!$D$7,0,IFERROR(VLOOKUP(IF(LEFT(C90,2)="13",DATE(RIGHT(C90,4),12,31),C90),IPCA!$A$3:$D$284,4,FALSE),1)*D90))</f>
        <v/>
      </c>
      <c r="F90" s="4">
        <f ca="1">IF(C90="","",IFERROR(AVERAGEIF(E$5:$E90,"&gt;"&amp;_xlfn.PERCENTILE.EXC(E$5:$E90,0.2)),0))</f>
        <v>0</v>
      </c>
    </row>
    <row r="91" spans="2:6" x14ac:dyDescent="0.25">
      <c r="B91" s="18">
        <v>87</v>
      </c>
      <c r="C91" s="21">
        <f ca="1">IFERROR(IF(LEFT(C90,2)="13",DATE(RIGHT(C90,4),12,31),IF(EOMONTH(C90,1)&gt;PREMISSAS!$C$3,"",IF(MONTH(C90)=11,"13º "&amp;YEAR(C90),EOMONTH(C90,1)))),"")</f>
        <v>39872</v>
      </c>
      <c r="D91" s="22">
        <f ca="1">VLOOKUP(C91,'Histórico de Remunerações'!$D$7:$E$656,2,FALSE)</f>
        <v>0</v>
      </c>
      <c r="E91" s="4" t="str">
        <f ca="1">IF(D91=0,"",IF(IF(ISTEXT(C91),DATE(RIGHT(C91,4),12,31),C91)&lt;PREMISSAS!$D$7,0,IFERROR(VLOOKUP(IF(LEFT(C91,2)="13",DATE(RIGHT(C91,4),12,31),C91),IPCA!$A$3:$D$284,4,FALSE),1)*D91))</f>
        <v/>
      </c>
      <c r="F91" s="4">
        <f ca="1">IF(C91="","",IFERROR(AVERAGEIF(E$5:$E91,"&gt;"&amp;_xlfn.PERCENTILE.EXC(E$5:$E91,0.2)),0))</f>
        <v>0</v>
      </c>
    </row>
    <row r="92" spans="2:6" x14ac:dyDescent="0.25">
      <c r="B92" s="18">
        <v>88</v>
      </c>
      <c r="C92" s="21">
        <f ca="1">IFERROR(IF(LEFT(C91,2)="13",DATE(RIGHT(C91,4),12,31),IF(EOMONTH(C91,1)&gt;PREMISSAS!$C$3,"",IF(MONTH(C91)=11,"13º "&amp;YEAR(C91),EOMONTH(C91,1)))),"")</f>
        <v>39903</v>
      </c>
      <c r="D92" s="22">
        <f ca="1">VLOOKUP(C92,'Histórico de Remunerações'!$D$7:$E$656,2,FALSE)</f>
        <v>0</v>
      </c>
      <c r="E92" s="4" t="str">
        <f ca="1">IF(D92=0,"",IF(IF(ISTEXT(C92),DATE(RIGHT(C92,4),12,31),C92)&lt;PREMISSAS!$D$7,0,IFERROR(VLOOKUP(IF(LEFT(C92,2)="13",DATE(RIGHT(C92,4),12,31),C92),IPCA!$A$3:$D$284,4,FALSE),1)*D92))</f>
        <v/>
      </c>
      <c r="F92" s="4">
        <f ca="1">IF(C92="","",IFERROR(AVERAGEIF(E$5:$E92,"&gt;"&amp;_xlfn.PERCENTILE.EXC(E$5:$E92,0.2)),0))</f>
        <v>0</v>
      </c>
    </row>
    <row r="93" spans="2:6" x14ac:dyDescent="0.25">
      <c r="B93" s="18">
        <v>89</v>
      </c>
      <c r="C93" s="21">
        <f ca="1">IFERROR(IF(LEFT(C92,2)="13",DATE(RIGHT(C92,4),12,31),IF(EOMONTH(C92,1)&gt;PREMISSAS!$C$3,"",IF(MONTH(C92)=11,"13º "&amp;YEAR(C92),EOMONTH(C92,1)))),"")</f>
        <v>39933</v>
      </c>
      <c r="D93" s="22">
        <f ca="1">VLOOKUP(C93,'Histórico de Remunerações'!$D$7:$E$656,2,FALSE)</f>
        <v>0</v>
      </c>
      <c r="E93" s="4" t="str">
        <f ca="1">IF(D93=0,"",IF(IF(ISTEXT(C93),DATE(RIGHT(C93,4),12,31),C93)&lt;PREMISSAS!$D$7,0,IFERROR(VLOOKUP(IF(LEFT(C93,2)="13",DATE(RIGHT(C93,4),12,31),C93),IPCA!$A$3:$D$284,4,FALSE),1)*D93))</f>
        <v/>
      </c>
      <c r="F93" s="4">
        <f ca="1">IF(C93="","",IFERROR(AVERAGEIF(E$5:$E93,"&gt;"&amp;_xlfn.PERCENTILE.EXC(E$5:$E93,0.2)),0))</f>
        <v>0</v>
      </c>
    </row>
    <row r="94" spans="2:6" x14ac:dyDescent="0.25">
      <c r="B94" s="18">
        <v>90</v>
      </c>
      <c r="C94" s="21">
        <f ca="1">IFERROR(IF(LEFT(C93,2)="13",DATE(RIGHT(C93,4),12,31),IF(EOMONTH(C93,1)&gt;PREMISSAS!$C$3,"",IF(MONTH(C93)=11,"13º "&amp;YEAR(C93),EOMONTH(C93,1)))),"")</f>
        <v>39964</v>
      </c>
      <c r="D94" s="22">
        <f ca="1">VLOOKUP(C94,'Histórico de Remunerações'!$D$7:$E$656,2,FALSE)</f>
        <v>0</v>
      </c>
      <c r="E94" s="4" t="str">
        <f ca="1">IF(D94=0,"",IF(IF(ISTEXT(C94),DATE(RIGHT(C94,4),12,31),C94)&lt;PREMISSAS!$D$7,0,IFERROR(VLOOKUP(IF(LEFT(C94,2)="13",DATE(RIGHT(C94,4),12,31),C94),IPCA!$A$3:$D$284,4,FALSE),1)*D94))</f>
        <v/>
      </c>
      <c r="F94" s="4">
        <f ca="1">IF(C94="","",IFERROR(AVERAGEIF(E$5:$E94,"&gt;"&amp;_xlfn.PERCENTILE.EXC(E$5:$E94,0.2)),0))</f>
        <v>0</v>
      </c>
    </row>
    <row r="95" spans="2:6" x14ac:dyDescent="0.25">
      <c r="B95" s="18">
        <v>91</v>
      </c>
      <c r="C95" s="21">
        <f ca="1">IFERROR(IF(LEFT(C94,2)="13",DATE(RIGHT(C94,4),12,31),IF(EOMONTH(C94,1)&gt;PREMISSAS!$C$3,"",IF(MONTH(C94)=11,"13º "&amp;YEAR(C94),EOMONTH(C94,1)))),"")</f>
        <v>39994</v>
      </c>
      <c r="D95" s="22">
        <f ca="1">VLOOKUP(C95,'Histórico de Remunerações'!$D$7:$E$656,2,FALSE)</f>
        <v>0</v>
      </c>
      <c r="E95" s="4" t="str">
        <f ca="1">IF(D95=0,"",IF(IF(ISTEXT(C95),DATE(RIGHT(C95,4),12,31),C95)&lt;PREMISSAS!$D$7,0,IFERROR(VLOOKUP(IF(LEFT(C95,2)="13",DATE(RIGHT(C95,4),12,31),C95),IPCA!$A$3:$D$284,4,FALSE),1)*D95))</f>
        <v/>
      </c>
      <c r="F95" s="4">
        <f ca="1">IF(C95="","",IFERROR(AVERAGEIF(E$5:$E95,"&gt;"&amp;_xlfn.PERCENTILE.EXC(E$5:$E95,0.2)),0))</f>
        <v>0</v>
      </c>
    </row>
    <row r="96" spans="2:6" x14ac:dyDescent="0.25">
      <c r="B96" s="18">
        <v>92</v>
      </c>
      <c r="C96" s="21">
        <f ca="1">IFERROR(IF(LEFT(C95,2)="13",DATE(RIGHT(C95,4),12,31),IF(EOMONTH(C95,1)&gt;PREMISSAS!$C$3,"",IF(MONTH(C95)=11,"13º "&amp;YEAR(C95),EOMONTH(C95,1)))),"")</f>
        <v>40025</v>
      </c>
      <c r="D96" s="22">
        <f ca="1">VLOOKUP(C96,'Histórico de Remunerações'!$D$7:$E$656,2,FALSE)</f>
        <v>0</v>
      </c>
      <c r="E96" s="4" t="str">
        <f ca="1">IF(D96=0,"",IF(IF(ISTEXT(C96),DATE(RIGHT(C96,4),12,31),C96)&lt;PREMISSAS!$D$7,0,IFERROR(VLOOKUP(IF(LEFT(C96,2)="13",DATE(RIGHT(C96,4),12,31),C96),IPCA!$A$3:$D$284,4,FALSE),1)*D96))</f>
        <v/>
      </c>
      <c r="F96" s="4">
        <f ca="1">IF(C96="","",IFERROR(AVERAGEIF(E$5:$E96,"&gt;"&amp;_xlfn.PERCENTILE.EXC(E$5:$E96,0.2)),0))</f>
        <v>0</v>
      </c>
    </row>
    <row r="97" spans="2:6" x14ac:dyDescent="0.25">
      <c r="B97" s="18">
        <v>93</v>
      </c>
      <c r="C97" s="21">
        <f ca="1">IFERROR(IF(LEFT(C96,2)="13",DATE(RIGHT(C96,4),12,31),IF(EOMONTH(C96,1)&gt;PREMISSAS!$C$3,"",IF(MONTH(C96)=11,"13º "&amp;YEAR(C96),EOMONTH(C96,1)))),"")</f>
        <v>40056</v>
      </c>
      <c r="D97" s="22">
        <f ca="1">VLOOKUP(C97,'Histórico de Remunerações'!$D$7:$E$656,2,FALSE)</f>
        <v>0</v>
      </c>
      <c r="E97" s="4" t="str">
        <f ca="1">IF(D97=0,"",IF(IF(ISTEXT(C97),DATE(RIGHT(C97,4),12,31),C97)&lt;PREMISSAS!$D$7,0,IFERROR(VLOOKUP(IF(LEFT(C97,2)="13",DATE(RIGHT(C97,4),12,31),C97),IPCA!$A$3:$D$284,4,FALSE),1)*D97))</f>
        <v/>
      </c>
      <c r="F97" s="4">
        <f ca="1">IF(C97="","",IFERROR(AVERAGEIF(E$5:$E97,"&gt;"&amp;_xlfn.PERCENTILE.EXC(E$5:$E97,0.2)),0))</f>
        <v>0</v>
      </c>
    </row>
    <row r="98" spans="2:6" x14ac:dyDescent="0.25">
      <c r="B98" s="18">
        <v>94</v>
      </c>
      <c r="C98" s="21">
        <f ca="1">IFERROR(IF(LEFT(C97,2)="13",DATE(RIGHT(C97,4),12,31),IF(EOMONTH(C97,1)&gt;PREMISSAS!$C$3,"",IF(MONTH(C97)=11,"13º "&amp;YEAR(C97),EOMONTH(C97,1)))),"")</f>
        <v>40086</v>
      </c>
      <c r="D98" s="22">
        <f ca="1">VLOOKUP(C98,'Histórico de Remunerações'!$D$7:$E$656,2,FALSE)</f>
        <v>0</v>
      </c>
      <c r="E98" s="4" t="str">
        <f ca="1">IF(D98=0,"",IF(IF(ISTEXT(C98),DATE(RIGHT(C98,4),12,31),C98)&lt;PREMISSAS!$D$7,0,IFERROR(VLOOKUP(IF(LEFT(C98,2)="13",DATE(RIGHT(C98,4),12,31),C98),IPCA!$A$3:$D$284,4,FALSE),1)*D98))</f>
        <v/>
      </c>
      <c r="F98" s="4">
        <f ca="1">IF(C98="","",IFERROR(AVERAGEIF(E$5:$E98,"&gt;"&amp;_xlfn.PERCENTILE.EXC(E$5:$E98,0.2)),0))</f>
        <v>0</v>
      </c>
    </row>
    <row r="99" spans="2:6" x14ac:dyDescent="0.25">
      <c r="B99" s="18">
        <v>95</v>
      </c>
      <c r="C99" s="21">
        <f ca="1">IFERROR(IF(LEFT(C98,2)="13",DATE(RIGHT(C98,4),12,31),IF(EOMONTH(C98,1)&gt;PREMISSAS!$C$3,"",IF(MONTH(C98)=11,"13º "&amp;YEAR(C98),EOMONTH(C98,1)))),"")</f>
        <v>40117</v>
      </c>
      <c r="D99" s="22">
        <f ca="1">VLOOKUP(C99,'Histórico de Remunerações'!$D$7:$E$656,2,FALSE)</f>
        <v>0</v>
      </c>
      <c r="E99" s="4" t="str">
        <f ca="1">IF(D99=0,"",IF(IF(ISTEXT(C99),DATE(RIGHT(C99,4),12,31),C99)&lt;PREMISSAS!$D$7,0,IFERROR(VLOOKUP(IF(LEFT(C99,2)="13",DATE(RIGHT(C99,4),12,31),C99),IPCA!$A$3:$D$284,4,FALSE),1)*D99))</f>
        <v/>
      </c>
      <c r="F99" s="4">
        <f ca="1">IF(C99="","",IFERROR(AVERAGEIF(E$5:$E99,"&gt;"&amp;_xlfn.PERCENTILE.EXC(E$5:$E99,0.2)),0))</f>
        <v>0</v>
      </c>
    </row>
    <row r="100" spans="2:6" x14ac:dyDescent="0.25">
      <c r="B100" s="18">
        <v>96</v>
      </c>
      <c r="C100" s="21">
        <f ca="1">IFERROR(IF(LEFT(C99,2)="13",DATE(RIGHT(C99,4),12,31),IF(EOMONTH(C99,1)&gt;PREMISSAS!$C$3,"",IF(MONTH(C99)=11,"13º "&amp;YEAR(C99),EOMONTH(C99,1)))),"")</f>
        <v>40147</v>
      </c>
      <c r="D100" s="22">
        <f ca="1">VLOOKUP(C100,'Histórico de Remunerações'!$D$7:$E$656,2,FALSE)</f>
        <v>0</v>
      </c>
      <c r="E100" s="4" t="str">
        <f ca="1">IF(D100=0,"",IF(IF(ISTEXT(C100),DATE(RIGHT(C100,4),12,31),C100)&lt;PREMISSAS!$D$7,0,IFERROR(VLOOKUP(IF(LEFT(C100,2)="13",DATE(RIGHT(C100,4),12,31),C100),IPCA!$A$3:$D$284,4,FALSE),1)*D100))</f>
        <v/>
      </c>
      <c r="F100" s="4">
        <f ca="1">IF(C100="","",IFERROR(AVERAGEIF(E$5:$E100,"&gt;"&amp;_xlfn.PERCENTILE.EXC(E$5:$E100,0.2)),0))</f>
        <v>0</v>
      </c>
    </row>
    <row r="101" spans="2:6" x14ac:dyDescent="0.25">
      <c r="B101" s="18">
        <v>97</v>
      </c>
      <c r="C101" s="21" t="str">
        <f ca="1">IFERROR(IF(LEFT(C100,2)="13",DATE(RIGHT(C100,4),12,31),IF(EOMONTH(C100,1)&gt;PREMISSAS!$C$3,"",IF(MONTH(C100)=11,"13º "&amp;YEAR(C100),EOMONTH(C100,1)))),"")</f>
        <v>13º 2009</v>
      </c>
      <c r="D101" s="22">
        <f ca="1">VLOOKUP(C101,'Histórico de Remunerações'!$D$7:$E$656,2,FALSE)</f>
        <v>0</v>
      </c>
      <c r="E101" s="4" t="str">
        <f ca="1">IF(D101=0,"",IF(IF(ISTEXT(C101),DATE(RIGHT(C101,4),12,31),C101)&lt;PREMISSAS!$D$7,0,IFERROR(VLOOKUP(IF(LEFT(C101,2)="13",DATE(RIGHT(C101,4),12,31),C101),IPCA!$A$3:$D$284,4,FALSE),1)*D101))</f>
        <v/>
      </c>
      <c r="F101" s="4">
        <f ca="1">IF(C101="","",IFERROR(AVERAGEIF(E$5:$E101,"&gt;"&amp;_xlfn.PERCENTILE.EXC(E$5:$E101,0.2)),0))</f>
        <v>0</v>
      </c>
    </row>
    <row r="102" spans="2:6" x14ac:dyDescent="0.25">
      <c r="B102" s="18">
        <v>98</v>
      </c>
      <c r="C102" s="21">
        <f ca="1">IFERROR(IF(LEFT(C101,2)="13",DATE(RIGHT(C101,4),12,31),IF(EOMONTH(C101,1)&gt;PREMISSAS!$C$3,"",IF(MONTH(C101)=11,"13º "&amp;YEAR(C101),EOMONTH(C101,1)))),"")</f>
        <v>40178</v>
      </c>
      <c r="D102" s="22">
        <f ca="1">VLOOKUP(C102,'Histórico de Remunerações'!$D$7:$E$656,2,FALSE)</f>
        <v>0</v>
      </c>
      <c r="E102" s="4" t="str">
        <f ca="1">IF(D102=0,"",IF(IF(ISTEXT(C102),DATE(RIGHT(C102,4),12,31),C102)&lt;PREMISSAS!$D$7,0,IFERROR(VLOOKUP(IF(LEFT(C102,2)="13",DATE(RIGHT(C102,4),12,31),C102),IPCA!$A$3:$D$284,4,FALSE),1)*D102))</f>
        <v/>
      </c>
      <c r="F102" s="4">
        <f ca="1">IF(C102="","",IFERROR(AVERAGEIF(E$5:$E102,"&gt;"&amp;_xlfn.PERCENTILE.EXC(E$5:$E102,0.2)),0))</f>
        <v>0</v>
      </c>
    </row>
    <row r="103" spans="2:6" x14ac:dyDescent="0.25">
      <c r="B103" s="18">
        <v>99</v>
      </c>
      <c r="C103" s="21">
        <f ca="1">IFERROR(IF(LEFT(C102,2)="13",DATE(RIGHT(C102,4),12,31),IF(EOMONTH(C102,1)&gt;PREMISSAS!$C$3,"",IF(MONTH(C102)=11,"13º "&amp;YEAR(C102),EOMONTH(C102,1)))),"")</f>
        <v>40209</v>
      </c>
      <c r="D103" s="22">
        <f ca="1">VLOOKUP(C103,'Histórico de Remunerações'!$D$7:$E$656,2,FALSE)</f>
        <v>0</v>
      </c>
      <c r="E103" s="4" t="str">
        <f ca="1">IF(D103=0,"",IF(IF(ISTEXT(C103),DATE(RIGHT(C103,4),12,31),C103)&lt;PREMISSAS!$D$7,0,IFERROR(VLOOKUP(IF(LEFT(C103,2)="13",DATE(RIGHT(C103,4),12,31),C103),IPCA!$A$3:$D$284,4,FALSE),1)*D103))</f>
        <v/>
      </c>
      <c r="F103" s="4">
        <f ca="1">IF(C103="","",IFERROR(AVERAGEIF(E$5:$E103,"&gt;"&amp;_xlfn.PERCENTILE.EXC(E$5:$E103,0.2)),0))</f>
        <v>0</v>
      </c>
    </row>
    <row r="104" spans="2:6" x14ac:dyDescent="0.25">
      <c r="B104" s="18">
        <v>100</v>
      </c>
      <c r="C104" s="21">
        <f ca="1">IFERROR(IF(LEFT(C103,2)="13",DATE(RIGHT(C103,4),12,31),IF(EOMONTH(C103,1)&gt;PREMISSAS!$C$3,"",IF(MONTH(C103)=11,"13º "&amp;YEAR(C103),EOMONTH(C103,1)))),"")</f>
        <v>40237</v>
      </c>
      <c r="D104" s="22">
        <f ca="1">VLOOKUP(C104,'Histórico de Remunerações'!$D$7:$E$656,2,FALSE)</f>
        <v>0</v>
      </c>
      <c r="E104" s="4" t="str">
        <f ca="1">IF(D104=0,"",IF(IF(ISTEXT(C104),DATE(RIGHT(C104,4),12,31),C104)&lt;PREMISSAS!$D$7,0,IFERROR(VLOOKUP(IF(LEFT(C104,2)="13",DATE(RIGHT(C104,4),12,31),C104),IPCA!$A$3:$D$284,4,FALSE),1)*D104))</f>
        <v/>
      </c>
      <c r="F104" s="4">
        <f ca="1">IF(C104="","",IFERROR(AVERAGEIF(E$5:$E104,"&gt;"&amp;_xlfn.PERCENTILE.EXC(E$5:$E104,0.2)),0))</f>
        <v>0</v>
      </c>
    </row>
    <row r="105" spans="2:6" x14ac:dyDescent="0.25">
      <c r="B105" s="18">
        <v>101</v>
      </c>
      <c r="C105" s="21">
        <f ca="1">IFERROR(IF(LEFT(C104,2)="13",DATE(RIGHT(C104,4),12,31),IF(EOMONTH(C104,1)&gt;PREMISSAS!$C$3,"",IF(MONTH(C104)=11,"13º "&amp;YEAR(C104),EOMONTH(C104,1)))),"")</f>
        <v>40268</v>
      </c>
      <c r="D105" s="22">
        <f ca="1">VLOOKUP(C105,'Histórico de Remunerações'!$D$7:$E$656,2,FALSE)</f>
        <v>0</v>
      </c>
      <c r="E105" s="4" t="str">
        <f ca="1">IF(D105=0,"",IF(IF(ISTEXT(C105),DATE(RIGHT(C105,4),12,31),C105)&lt;PREMISSAS!$D$7,0,IFERROR(VLOOKUP(IF(LEFT(C105,2)="13",DATE(RIGHT(C105,4),12,31),C105),IPCA!$A$3:$D$284,4,FALSE),1)*D105))</f>
        <v/>
      </c>
      <c r="F105" s="4">
        <f ca="1">IF(C105="","",IFERROR(AVERAGEIF(E$5:$E105,"&gt;"&amp;_xlfn.PERCENTILE.EXC(E$5:$E105,0.2)),0))</f>
        <v>0</v>
      </c>
    </row>
    <row r="106" spans="2:6" x14ac:dyDescent="0.25">
      <c r="B106" s="18">
        <v>102</v>
      </c>
      <c r="C106" s="21">
        <f ca="1">IFERROR(IF(LEFT(C105,2)="13",DATE(RIGHT(C105,4),12,31),IF(EOMONTH(C105,1)&gt;PREMISSAS!$C$3,"",IF(MONTH(C105)=11,"13º "&amp;YEAR(C105),EOMONTH(C105,1)))),"")</f>
        <v>40298</v>
      </c>
      <c r="D106" s="22">
        <f ca="1">VLOOKUP(C106,'Histórico de Remunerações'!$D$7:$E$656,2,FALSE)</f>
        <v>0</v>
      </c>
      <c r="E106" s="4" t="str">
        <f ca="1">IF(D106=0,"",IF(IF(ISTEXT(C106),DATE(RIGHT(C106,4),12,31),C106)&lt;PREMISSAS!$D$7,0,IFERROR(VLOOKUP(IF(LEFT(C106,2)="13",DATE(RIGHT(C106,4),12,31),C106),IPCA!$A$3:$D$284,4,FALSE),1)*D106))</f>
        <v/>
      </c>
      <c r="F106" s="4">
        <f ca="1">IF(C106="","",IFERROR(AVERAGEIF(E$5:$E106,"&gt;"&amp;_xlfn.PERCENTILE.EXC(E$5:$E106,0.2)),0))</f>
        <v>0</v>
      </c>
    </row>
    <row r="107" spans="2:6" x14ac:dyDescent="0.25">
      <c r="B107" s="18">
        <v>103</v>
      </c>
      <c r="C107" s="21">
        <f ca="1">IFERROR(IF(LEFT(C106,2)="13",DATE(RIGHT(C106,4),12,31),IF(EOMONTH(C106,1)&gt;PREMISSAS!$C$3,"",IF(MONTH(C106)=11,"13º "&amp;YEAR(C106),EOMONTH(C106,1)))),"")</f>
        <v>40329</v>
      </c>
      <c r="D107" s="22">
        <f ca="1">VLOOKUP(C107,'Histórico de Remunerações'!$D$7:$E$656,2,FALSE)</f>
        <v>0</v>
      </c>
      <c r="E107" s="4" t="str">
        <f ca="1">IF(D107=0,"",IF(IF(ISTEXT(C107),DATE(RIGHT(C107,4),12,31),C107)&lt;PREMISSAS!$D$7,0,IFERROR(VLOOKUP(IF(LEFT(C107,2)="13",DATE(RIGHT(C107,4),12,31),C107),IPCA!$A$3:$D$284,4,FALSE),1)*D107))</f>
        <v/>
      </c>
      <c r="F107" s="4">
        <f ca="1">IF(C107="","",IFERROR(AVERAGEIF(E$5:$E107,"&gt;"&amp;_xlfn.PERCENTILE.EXC(E$5:$E107,0.2)),0))</f>
        <v>0</v>
      </c>
    </row>
    <row r="108" spans="2:6" x14ac:dyDescent="0.25">
      <c r="B108" s="18">
        <v>104</v>
      </c>
      <c r="C108" s="21">
        <f ca="1">IFERROR(IF(LEFT(C107,2)="13",DATE(RIGHT(C107,4),12,31),IF(EOMONTH(C107,1)&gt;PREMISSAS!$C$3,"",IF(MONTH(C107)=11,"13º "&amp;YEAR(C107),EOMONTH(C107,1)))),"")</f>
        <v>40359</v>
      </c>
      <c r="D108" s="22">
        <f ca="1">VLOOKUP(C108,'Histórico de Remunerações'!$D$7:$E$656,2,FALSE)</f>
        <v>0</v>
      </c>
      <c r="E108" s="4" t="str">
        <f ca="1">IF(D108=0,"",IF(IF(ISTEXT(C108),DATE(RIGHT(C108,4),12,31),C108)&lt;PREMISSAS!$D$7,0,IFERROR(VLOOKUP(IF(LEFT(C108,2)="13",DATE(RIGHT(C108,4),12,31),C108),IPCA!$A$3:$D$284,4,FALSE),1)*D108))</f>
        <v/>
      </c>
      <c r="F108" s="4">
        <f ca="1">IF(C108="","",IFERROR(AVERAGEIF(E$5:$E108,"&gt;"&amp;_xlfn.PERCENTILE.EXC(E$5:$E108,0.2)),0))</f>
        <v>0</v>
      </c>
    </row>
    <row r="109" spans="2:6" x14ac:dyDescent="0.25">
      <c r="B109" s="18">
        <v>105</v>
      </c>
      <c r="C109" s="21">
        <f ca="1">IFERROR(IF(LEFT(C108,2)="13",DATE(RIGHT(C108,4),12,31),IF(EOMONTH(C108,1)&gt;PREMISSAS!$C$3,"",IF(MONTH(C108)=11,"13º "&amp;YEAR(C108),EOMONTH(C108,1)))),"")</f>
        <v>40390</v>
      </c>
      <c r="D109" s="22">
        <f ca="1">VLOOKUP(C109,'Histórico de Remunerações'!$D$7:$E$656,2,FALSE)</f>
        <v>0</v>
      </c>
      <c r="E109" s="4" t="str">
        <f ca="1">IF(D109=0,"",IF(IF(ISTEXT(C109),DATE(RIGHT(C109,4),12,31),C109)&lt;PREMISSAS!$D$7,0,IFERROR(VLOOKUP(IF(LEFT(C109,2)="13",DATE(RIGHT(C109,4),12,31),C109),IPCA!$A$3:$D$284,4,FALSE),1)*D109))</f>
        <v/>
      </c>
      <c r="F109" s="4">
        <f ca="1">IF(C109="","",IFERROR(AVERAGEIF(E$5:$E109,"&gt;"&amp;_xlfn.PERCENTILE.EXC(E$5:$E109,0.2)),0))</f>
        <v>0</v>
      </c>
    </row>
    <row r="110" spans="2:6" x14ac:dyDescent="0.25">
      <c r="B110" s="18">
        <v>106</v>
      </c>
      <c r="C110" s="21">
        <f ca="1">IFERROR(IF(LEFT(C109,2)="13",DATE(RIGHT(C109,4),12,31),IF(EOMONTH(C109,1)&gt;PREMISSAS!$C$3,"",IF(MONTH(C109)=11,"13º "&amp;YEAR(C109),EOMONTH(C109,1)))),"")</f>
        <v>40421</v>
      </c>
      <c r="D110" s="22">
        <f ca="1">VLOOKUP(C110,'Histórico de Remunerações'!$D$7:$E$656,2,FALSE)</f>
        <v>0</v>
      </c>
      <c r="E110" s="4" t="str">
        <f ca="1">IF(D110=0,"",IF(IF(ISTEXT(C110),DATE(RIGHT(C110,4),12,31),C110)&lt;PREMISSAS!$D$7,0,IFERROR(VLOOKUP(IF(LEFT(C110,2)="13",DATE(RIGHT(C110,4),12,31),C110),IPCA!$A$3:$D$284,4,FALSE),1)*D110))</f>
        <v/>
      </c>
      <c r="F110" s="4">
        <f ca="1">IF(C110="","",IFERROR(AVERAGEIF(E$5:$E110,"&gt;"&amp;_xlfn.PERCENTILE.EXC(E$5:$E110,0.2)),0))</f>
        <v>0</v>
      </c>
    </row>
    <row r="111" spans="2:6" x14ac:dyDescent="0.25">
      <c r="B111" s="18">
        <v>107</v>
      </c>
      <c r="C111" s="21">
        <f ca="1">IFERROR(IF(LEFT(C110,2)="13",DATE(RIGHT(C110,4),12,31),IF(EOMONTH(C110,1)&gt;PREMISSAS!$C$3,"",IF(MONTH(C110)=11,"13º "&amp;YEAR(C110),EOMONTH(C110,1)))),"")</f>
        <v>40451</v>
      </c>
      <c r="D111" s="22">
        <f ca="1">VLOOKUP(C111,'Histórico de Remunerações'!$D$7:$E$656,2,FALSE)</f>
        <v>0</v>
      </c>
      <c r="E111" s="4" t="str">
        <f ca="1">IF(D111=0,"",IF(IF(ISTEXT(C111),DATE(RIGHT(C111,4),12,31),C111)&lt;PREMISSAS!$D$7,0,IFERROR(VLOOKUP(IF(LEFT(C111,2)="13",DATE(RIGHT(C111,4),12,31),C111),IPCA!$A$3:$D$284,4,FALSE),1)*D111))</f>
        <v/>
      </c>
      <c r="F111" s="4">
        <f ca="1">IF(C111="","",IFERROR(AVERAGEIF(E$5:$E111,"&gt;"&amp;_xlfn.PERCENTILE.EXC(E$5:$E111,0.2)),0))</f>
        <v>0</v>
      </c>
    </row>
    <row r="112" spans="2:6" x14ac:dyDescent="0.25">
      <c r="B112" s="18">
        <v>108</v>
      </c>
      <c r="C112" s="21">
        <f ca="1">IFERROR(IF(LEFT(C111,2)="13",DATE(RIGHT(C111,4),12,31),IF(EOMONTH(C111,1)&gt;PREMISSAS!$C$3,"",IF(MONTH(C111)=11,"13º "&amp;YEAR(C111),EOMONTH(C111,1)))),"")</f>
        <v>40482</v>
      </c>
      <c r="D112" s="22">
        <f ca="1">VLOOKUP(C112,'Histórico de Remunerações'!$D$7:$E$656,2,FALSE)</f>
        <v>0</v>
      </c>
      <c r="E112" s="4" t="str">
        <f ca="1">IF(D112=0,"",IF(IF(ISTEXT(C112),DATE(RIGHT(C112,4),12,31),C112)&lt;PREMISSAS!$D$7,0,IFERROR(VLOOKUP(IF(LEFT(C112,2)="13",DATE(RIGHT(C112,4),12,31),C112),IPCA!$A$3:$D$284,4,FALSE),1)*D112))</f>
        <v/>
      </c>
      <c r="F112" s="4">
        <f ca="1">IF(C112="","",IFERROR(AVERAGEIF(E$5:$E112,"&gt;"&amp;_xlfn.PERCENTILE.EXC(E$5:$E112,0.2)),0))</f>
        <v>0</v>
      </c>
    </row>
    <row r="113" spans="2:6" x14ac:dyDescent="0.25">
      <c r="B113" s="18">
        <v>109</v>
      </c>
      <c r="C113" s="21">
        <f ca="1">IFERROR(IF(LEFT(C112,2)="13",DATE(RIGHT(C112,4),12,31),IF(EOMONTH(C112,1)&gt;PREMISSAS!$C$3,"",IF(MONTH(C112)=11,"13º "&amp;YEAR(C112),EOMONTH(C112,1)))),"")</f>
        <v>40512</v>
      </c>
      <c r="D113" s="22">
        <f ca="1">VLOOKUP(C113,'Histórico de Remunerações'!$D$7:$E$656,2,FALSE)</f>
        <v>0</v>
      </c>
      <c r="E113" s="4" t="str">
        <f ca="1">IF(D113=0,"",IF(IF(ISTEXT(C113),DATE(RIGHT(C113,4),12,31),C113)&lt;PREMISSAS!$D$7,0,IFERROR(VLOOKUP(IF(LEFT(C113,2)="13",DATE(RIGHT(C113,4),12,31),C113),IPCA!$A$3:$D$284,4,FALSE),1)*D113))</f>
        <v/>
      </c>
      <c r="F113" s="4">
        <f ca="1">IF(C113="","",IFERROR(AVERAGEIF(E$5:$E113,"&gt;"&amp;_xlfn.PERCENTILE.EXC(E$5:$E113,0.2)),0))</f>
        <v>0</v>
      </c>
    </row>
    <row r="114" spans="2:6" x14ac:dyDescent="0.25">
      <c r="B114" s="18">
        <v>110</v>
      </c>
      <c r="C114" s="21" t="str">
        <f ca="1">IFERROR(IF(LEFT(C113,2)="13",DATE(RIGHT(C113,4),12,31),IF(EOMONTH(C113,1)&gt;PREMISSAS!$C$3,"",IF(MONTH(C113)=11,"13º "&amp;YEAR(C113),EOMONTH(C113,1)))),"")</f>
        <v>13º 2010</v>
      </c>
      <c r="D114" s="22">
        <f ca="1">VLOOKUP(C114,'Histórico de Remunerações'!$D$7:$E$656,2,FALSE)</f>
        <v>0</v>
      </c>
      <c r="E114" s="4" t="str">
        <f ca="1">IF(D114=0,"",IF(IF(ISTEXT(C114),DATE(RIGHT(C114,4),12,31),C114)&lt;PREMISSAS!$D$7,0,IFERROR(VLOOKUP(IF(LEFT(C114,2)="13",DATE(RIGHT(C114,4),12,31),C114),IPCA!$A$3:$D$284,4,FALSE),1)*D114))</f>
        <v/>
      </c>
      <c r="F114" s="4">
        <f ca="1">IF(C114="","",IFERROR(AVERAGEIF(E$5:$E114,"&gt;"&amp;_xlfn.PERCENTILE.EXC(E$5:$E114,0.2)),0))</f>
        <v>0</v>
      </c>
    </row>
    <row r="115" spans="2:6" x14ac:dyDescent="0.25">
      <c r="B115" s="18">
        <v>111</v>
      </c>
      <c r="C115" s="21">
        <f ca="1">IFERROR(IF(LEFT(C114,2)="13",DATE(RIGHT(C114,4),12,31),IF(EOMONTH(C114,1)&gt;PREMISSAS!$C$3,"",IF(MONTH(C114)=11,"13º "&amp;YEAR(C114),EOMONTH(C114,1)))),"")</f>
        <v>40543</v>
      </c>
      <c r="D115" s="22">
        <f ca="1">VLOOKUP(C115,'Histórico de Remunerações'!$D$7:$E$656,2,FALSE)</f>
        <v>0</v>
      </c>
      <c r="E115" s="4" t="str">
        <f ca="1">IF(D115=0,"",IF(IF(ISTEXT(C115),DATE(RIGHT(C115,4),12,31),C115)&lt;PREMISSAS!$D$7,0,IFERROR(VLOOKUP(IF(LEFT(C115,2)="13",DATE(RIGHT(C115,4),12,31),C115),IPCA!$A$3:$D$284,4,FALSE),1)*D115))</f>
        <v/>
      </c>
      <c r="F115" s="4">
        <f ca="1">IF(C115="","",IFERROR(AVERAGEIF(E$5:$E115,"&gt;"&amp;_xlfn.PERCENTILE.EXC(E$5:$E115,0.2)),0))</f>
        <v>0</v>
      </c>
    </row>
    <row r="116" spans="2:6" x14ac:dyDescent="0.25">
      <c r="B116" s="18">
        <v>112</v>
      </c>
      <c r="C116" s="21">
        <f ca="1">IFERROR(IF(LEFT(C115,2)="13",DATE(RIGHT(C115,4),12,31),IF(EOMONTH(C115,1)&gt;PREMISSAS!$C$3,"",IF(MONTH(C115)=11,"13º "&amp;YEAR(C115),EOMONTH(C115,1)))),"")</f>
        <v>40574</v>
      </c>
      <c r="D116" s="22">
        <f ca="1">VLOOKUP(C116,'Histórico de Remunerações'!$D$7:$E$656,2,FALSE)</f>
        <v>0</v>
      </c>
      <c r="E116" s="4" t="str">
        <f ca="1">IF(D116=0,"",IF(IF(ISTEXT(C116),DATE(RIGHT(C116,4),12,31),C116)&lt;PREMISSAS!$D$7,0,IFERROR(VLOOKUP(IF(LEFT(C116,2)="13",DATE(RIGHT(C116,4),12,31),C116),IPCA!$A$3:$D$284,4,FALSE),1)*D116))</f>
        <v/>
      </c>
      <c r="F116" s="4">
        <f ca="1">IF(C116="","",IFERROR(AVERAGEIF(E$5:$E116,"&gt;"&amp;_xlfn.PERCENTILE.EXC(E$5:$E116,0.2)),0))</f>
        <v>0</v>
      </c>
    </row>
    <row r="117" spans="2:6" x14ac:dyDescent="0.25">
      <c r="B117" s="18">
        <v>113</v>
      </c>
      <c r="C117" s="21">
        <f ca="1">IFERROR(IF(LEFT(C116,2)="13",DATE(RIGHT(C116,4),12,31),IF(EOMONTH(C116,1)&gt;PREMISSAS!$C$3,"",IF(MONTH(C116)=11,"13º "&amp;YEAR(C116),EOMONTH(C116,1)))),"")</f>
        <v>40602</v>
      </c>
      <c r="D117" s="22">
        <f ca="1">VLOOKUP(C117,'Histórico de Remunerações'!$D$7:$E$656,2,FALSE)</f>
        <v>0</v>
      </c>
      <c r="E117" s="4" t="str">
        <f ca="1">IF(D117=0,"",IF(IF(ISTEXT(C117),DATE(RIGHT(C117,4),12,31),C117)&lt;PREMISSAS!$D$7,0,IFERROR(VLOOKUP(IF(LEFT(C117,2)="13",DATE(RIGHT(C117,4),12,31),C117),IPCA!$A$3:$D$284,4,FALSE),1)*D117))</f>
        <v/>
      </c>
      <c r="F117" s="4">
        <f ca="1">IF(C117="","",IFERROR(AVERAGEIF(E$5:$E117,"&gt;"&amp;_xlfn.PERCENTILE.EXC(E$5:$E117,0.2)),0))</f>
        <v>0</v>
      </c>
    </row>
    <row r="118" spans="2:6" x14ac:dyDescent="0.25">
      <c r="B118" s="18">
        <v>114</v>
      </c>
      <c r="C118" s="21">
        <f ca="1">IFERROR(IF(LEFT(C117,2)="13",DATE(RIGHT(C117,4),12,31),IF(EOMONTH(C117,1)&gt;PREMISSAS!$C$3,"",IF(MONTH(C117)=11,"13º "&amp;YEAR(C117),EOMONTH(C117,1)))),"")</f>
        <v>40633</v>
      </c>
      <c r="D118" s="22">
        <f ca="1">VLOOKUP(C118,'Histórico de Remunerações'!$D$7:$E$656,2,FALSE)</f>
        <v>0</v>
      </c>
      <c r="E118" s="4" t="str">
        <f ca="1">IF(D118=0,"",IF(IF(ISTEXT(C118),DATE(RIGHT(C118,4),12,31),C118)&lt;PREMISSAS!$D$7,0,IFERROR(VLOOKUP(IF(LEFT(C118,2)="13",DATE(RIGHT(C118,4),12,31),C118),IPCA!$A$3:$D$284,4,FALSE),1)*D118))</f>
        <v/>
      </c>
      <c r="F118" s="4">
        <f ca="1">IF(C118="","",IFERROR(AVERAGEIF(E$5:$E118,"&gt;"&amp;_xlfn.PERCENTILE.EXC(E$5:$E118,0.2)),0))</f>
        <v>0</v>
      </c>
    </row>
    <row r="119" spans="2:6" x14ac:dyDescent="0.25">
      <c r="B119" s="18">
        <v>115</v>
      </c>
      <c r="C119" s="21">
        <f ca="1">IFERROR(IF(LEFT(C118,2)="13",DATE(RIGHT(C118,4),12,31),IF(EOMONTH(C118,1)&gt;PREMISSAS!$C$3,"",IF(MONTH(C118)=11,"13º "&amp;YEAR(C118),EOMONTH(C118,1)))),"")</f>
        <v>40663</v>
      </c>
      <c r="D119" s="22">
        <f ca="1">VLOOKUP(C119,'Histórico de Remunerações'!$D$7:$E$656,2,FALSE)</f>
        <v>0</v>
      </c>
      <c r="E119" s="4" t="str">
        <f ca="1">IF(D119=0,"",IF(IF(ISTEXT(C119),DATE(RIGHT(C119,4),12,31),C119)&lt;PREMISSAS!$D$7,0,IFERROR(VLOOKUP(IF(LEFT(C119,2)="13",DATE(RIGHT(C119,4),12,31),C119),IPCA!$A$3:$D$284,4,FALSE),1)*D119))</f>
        <v/>
      </c>
      <c r="F119" s="4">
        <f ca="1">IF(C119="","",IFERROR(AVERAGEIF(E$5:$E119,"&gt;"&amp;_xlfn.PERCENTILE.EXC(E$5:$E119,0.2)),0))</f>
        <v>0</v>
      </c>
    </row>
    <row r="120" spans="2:6" x14ac:dyDescent="0.25">
      <c r="B120" s="18">
        <v>116</v>
      </c>
      <c r="C120" s="21">
        <f ca="1">IFERROR(IF(LEFT(C119,2)="13",DATE(RIGHT(C119,4),12,31),IF(EOMONTH(C119,1)&gt;PREMISSAS!$C$3,"",IF(MONTH(C119)=11,"13º "&amp;YEAR(C119),EOMONTH(C119,1)))),"")</f>
        <v>40694</v>
      </c>
      <c r="D120" s="22">
        <f ca="1">VLOOKUP(C120,'Histórico de Remunerações'!$D$7:$E$656,2,FALSE)</f>
        <v>0</v>
      </c>
      <c r="E120" s="4" t="str">
        <f ca="1">IF(D120=0,"",IF(IF(ISTEXT(C120),DATE(RIGHT(C120,4),12,31),C120)&lt;PREMISSAS!$D$7,0,IFERROR(VLOOKUP(IF(LEFT(C120,2)="13",DATE(RIGHT(C120,4),12,31),C120),IPCA!$A$3:$D$284,4,FALSE),1)*D120))</f>
        <v/>
      </c>
      <c r="F120" s="4">
        <f ca="1">IF(C120="","",IFERROR(AVERAGEIF(E$5:$E120,"&gt;"&amp;_xlfn.PERCENTILE.EXC(E$5:$E120,0.2)),0))</f>
        <v>0</v>
      </c>
    </row>
    <row r="121" spans="2:6" x14ac:dyDescent="0.25">
      <c r="B121" s="18">
        <v>117</v>
      </c>
      <c r="C121" s="21">
        <f ca="1">IFERROR(IF(LEFT(C120,2)="13",DATE(RIGHT(C120,4),12,31),IF(EOMONTH(C120,1)&gt;PREMISSAS!$C$3,"",IF(MONTH(C120)=11,"13º "&amp;YEAR(C120),EOMONTH(C120,1)))),"")</f>
        <v>40724</v>
      </c>
      <c r="D121" s="22">
        <f ca="1">VLOOKUP(C121,'Histórico de Remunerações'!$D$7:$E$656,2,FALSE)</f>
        <v>0</v>
      </c>
      <c r="E121" s="4" t="str">
        <f ca="1">IF(D121=0,"",IF(IF(ISTEXT(C121),DATE(RIGHT(C121,4),12,31),C121)&lt;PREMISSAS!$D$7,0,IFERROR(VLOOKUP(IF(LEFT(C121,2)="13",DATE(RIGHT(C121,4),12,31),C121),IPCA!$A$3:$D$284,4,FALSE),1)*D121))</f>
        <v/>
      </c>
      <c r="F121" s="4">
        <f ca="1">IF(C121="","",IFERROR(AVERAGEIF(E$5:$E121,"&gt;"&amp;_xlfn.PERCENTILE.EXC(E$5:$E121,0.2)),0))</f>
        <v>0</v>
      </c>
    </row>
    <row r="122" spans="2:6" x14ac:dyDescent="0.25">
      <c r="B122" s="18">
        <v>118</v>
      </c>
      <c r="C122" s="21">
        <f ca="1">IFERROR(IF(LEFT(C121,2)="13",DATE(RIGHT(C121,4),12,31),IF(EOMONTH(C121,1)&gt;PREMISSAS!$C$3,"",IF(MONTH(C121)=11,"13º "&amp;YEAR(C121),EOMONTH(C121,1)))),"")</f>
        <v>40755</v>
      </c>
      <c r="D122" s="22">
        <f ca="1">VLOOKUP(C122,'Histórico de Remunerações'!$D$7:$E$656,2,FALSE)</f>
        <v>0</v>
      </c>
      <c r="E122" s="4" t="str">
        <f ca="1">IF(D122=0,"",IF(IF(ISTEXT(C122),DATE(RIGHT(C122,4),12,31),C122)&lt;PREMISSAS!$D$7,0,IFERROR(VLOOKUP(IF(LEFT(C122,2)="13",DATE(RIGHT(C122,4),12,31),C122),IPCA!$A$3:$D$284,4,FALSE),1)*D122))</f>
        <v/>
      </c>
      <c r="F122" s="4">
        <f ca="1">IF(C122="","",IFERROR(AVERAGEIF(E$5:$E122,"&gt;"&amp;_xlfn.PERCENTILE.EXC(E$5:$E122,0.2)),0))</f>
        <v>0</v>
      </c>
    </row>
    <row r="123" spans="2:6" x14ac:dyDescent="0.25">
      <c r="B123" s="18">
        <v>119</v>
      </c>
      <c r="C123" s="21">
        <f ca="1">IFERROR(IF(LEFT(C122,2)="13",DATE(RIGHT(C122,4),12,31),IF(EOMONTH(C122,1)&gt;PREMISSAS!$C$3,"",IF(MONTH(C122)=11,"13º "&amp;YEAR(C122),EOMONTH(C122,1)))),"")</f>
        <v>40786</v>
      </c>
      <c r="D123" s="22">
        <f ca="1">VLOOKUP(C123,'Histórico de Remunerações'!$D$7:$E$656,2,FALSE)</f>
        <v>0</v>
      </c>
      <c r="E123" s="4" t="str">
        <f ca="1">IF(D123=0,"",IF(IF(ISTEXT(C123),DATE(RIGHT(C123,4),12,31),C123)&lt;PREMISSAS!$D$7,0,IFERROR(VLOOKUP(IF(LEFT(C123,2)="13",DATE(RIGHT(C123,4),12,31),C123),IPCA!$A$3:$D$284,4,FALSE),1)*D123))</f>
        <v/>
      </c>
      <c r="F123" s="4">
        <f ca="1">IF(C123="","",IFERROR(AVERAGEIF(E$5:$E123,"&gt;"&amp;_xlfn.PERCENTILE.EXC(E$5:$E123,0.2)),0))</f>
        <v>0</v>
      </c>
    </row>
    <row r="124" spans="2:6" x14ac:dyDescent="0.25">
      <c r="B124" s="18">
        <v>120</v>
      </c>
      <c r="C124" s="21">
        <f ca="1">IFERROR(IF(LEFT(C123,2)="13",DATE(RIGHT(C123,4),12,31),IF(EOMONTH(C123,1)&gt;PREMISSAS!$C$3,"",IF(MONTH(C123)=11,"13º "&amp;YEAR(C123),EOMONTH(C123,1)))),"")</f>
        <v>40816</v>
      </c>
      <c r="D124" s="22">
        <f ca="1">VLOOKUP(C124,'Histórico de Remunerações'!$D$7:$E$656,2,FALSE)</f>
        <v>0</v>
      </c>
      <c r="E124" s="4" t="str">
        <f ca="1">IF(D124=0,"",IF(IF(ISTEXT(C124),DATE(RIGHT(C124,4),12,31),C124)&lt;PREMISSAS!$D$7,0,IFERROR(VLOOKUP(IF(LEFT(C124,2)="13",DATE(RIGHT(C124,4),12,31),C124),IPCA!$A$3:$D$284,4,FALSE),1)*D124))</f>
        <v/>
      </c>
      <c r="F124" s="4">
        <f ca="1">IF(C124="","",IFERROR(AVERAGEIF(E$5:$E124,"&gt;"&amp;_xlfn.PERCENTILE.EXC(E$5:$E124,0.2)),0))</f>
        <v>0</v>
      </c>
    </row>
    <row r="125" spans="2:6" x14ac:dyDescent="0.25">
      <c r="B125" s="18">
        <v>121</v>
      </c>
      <c r="C125" s="21">
        <f ca="1">IFERROR(IF(LEFT(C124,2)="13",DATE(RIGHT(C124,4),12,31),IF(EOMONTH(C124,1)&gt;PREMISSAS!$C$3,"",IF(MONTH(C124)=11,"13º "&amp;YEAR(C124),EOMONTH(C124,1)))),"")</f>
        <v>40847</v>
      </c>
      <c r="D125" s="22">
        <f ca="1">VLOOKUP(C125,'Histórico de Remunerações'!$D$7:$E$656,2,FALSE)</f>
        <v>0</v>
      </c>
      <c r="E125" s="4" t="str">
        <f ca="1">IF(D125=0,"",IF(IF(ISTEXT(C125),DATE(RIGHT(C125,4),12,31),C125)&lt;PREMISSAS!$D$7,0,IFERROR(VLOOKUP(IF(LEFT(C125,2)="13",DATE(RIGHT(C125,4),12,31),C125),IPCA!$A$3:$D$284,4,FALSE),1)*D125))</f>
        <v/>
      </c>
      <c r="F125" s="4">
        <f ca="1">IF(C125="","",IFERROR(AVERAGEIF(E$5:$E125,"&gt;"&amp;_xlfn.PERCENTILE.EXC(E$5:$E125,0.2)),0))</f>
        <v>0</v>
      </c>
    </row>
    <row r="126" spans="2:6" x14ac:dyDescent="0.25">
      <c r="B126" s="18">
        <v>122</v>
      </c>
      <c r="C126" s="21">
        <f ca="1">IFERROR(IF(LEFT(C125,2)="13",DATE(RIGHT(C125,4),12,31),IF(EOMONTH(C125,1)&gt;PREMISSAS!$C$3,"",IF(MONTH(C125)=11,"13º "&amp;YEAR(C125),EOMONTH(C125,1)))),"")</f>
        <v>40877</v>
      </c>
      <c r="D126" s="22">
        <f ca="1">VLOOKUP(C126,'Histórico de Remunerações'!$D$7:$E$656,2,FALSE)</f>
        <v>0</v>
      </c>
      <c r="E126" s="4" t="str">
        <f ca="1">IF(D126=0,"",IF(IF(ISTEXT(C126),DATE(RIGHT(C126,4),12,31),C126)&lt;PREMISSAS!$D$7,0,IFERROR(VLOOKUP(IF(LEFT(C126,2)="13",DATE(RIGHT(C126,4),12,31),C126),IPCA!$A$3:$D$284,4,FALSE),1)*D126))</f>
        <v/>
      </c>
      <c r="F126" s="4">
        <f ca="1">IF(C126="","",IFERROR(AVERAGEIF(E$5:$E126,"&gt;"&amp;_xlfn.PERCENTILE.EXC(E$5:$E126,0.2)),0))</f>
        <v>0</v>
      </c>
    </row>
    <row r="127" spans="2:6" x14ac:dyDescent="0.25">
      <c r="B127" s="18">
        <v>123</v>
      </c>
      <c r="C127" s="21" t="str">
        <f ca="1">IFERROR(IF(LEFT(C126,2)="13",DATE(RIGHT(C126,4),12,31),IF(EOMONTH(C126,1)&gt;PREMISSAS!$C$3,"",IF(MONTH(C126)=11,"13º "&amp;YEAR(C126),EOMONTH(C126,1)))),"")</f>
        <v>13º 2011</v>
      </c>
      <c r="D127" s="22">
        <f ca="1">VLOOKUP(C127,'Histórico de Remunerações'!$D$7:$E$656,2,FALSE)</f>
        <v>0</v>
      </c>
      <c r="E127" s="4" t="str">
        <f ca="1">IF(D127=0,"",IF(IF(ISTEXT(C127),DATE(RIGHT(C127,4),12,31),C127)&lt;PREMISSAS!$D$7,0,IFERROR(VLOOKUP(IF(LEFT(C127,2)="13",DATE(RIGHT(C127,4),12,31),C127),IPCA!$A$3:$D$284,4,FALSE),1)*D127))</f>
        <v/>
      </c>
      <c r="F127" s="4">
        <f ca="1">IF(C127="","",IFERROR(AVERAGEIF(E$5:$E127,"&gt;"&amp;_xlfn.PERCENTILE.EXC(E$5:$E127,0.2)),0))</f>
        <v>0</v>
      </c>
    </row>
    <row r="128" spans="2:6" x14ac:dyDescent="0.25">
      <c r="B128" s="18">
        <v>124</v>
      </c>
      <c r="C128" s="21">
        <f ca="1">IFERROR(IF(LEFT(C127,2)="13",DATE(RIGHT(C127,4),12,31),IF(EOMONTH(C127,1)&gt;PREMISSAS!$C$3,"",IF(MONTH(C127)=11,"13º "&amp;YEAR(C127),EOMONTH(C127,1)))),"")</f>
        <v>40908</v>
      </c>
      <c r="D128" s="22">
        <f ca="1">VLOOKUP(C128,'Histórico de Remunerações'!$D$7:$E$656,2,FALSE)</f>
        <v>0</v>
      </c>
      <c r="E128" s="4" t="str">
        <f ca="1">IF(D128=0,"",IF(IF(ISTEXT(C128),DATE(RIGHT(C128,4),12,31),C128)&lt;PREMISSAS!$D$7,0,IFERROR(VLOOKUP(IF(LEFT(C128,2)="13",DATE(RIGHT(C128,4),12,31),C128),IPCA!$A$3:$D$284,4,FALSE),1)*D128))</f>
        <v/>
      </c>
      <c r="F128" s="4">
        <f ca="1">IF(C128="","",IFERROR(AVERAGEIF(E$5:$E128,"&gt;"&amp;_xlfn.PERCENTILE.EXC(E$5:$E128,0.2)),0))</f>
        <v>0</v>
      </c>
    </row>
    <row r="129" spans="2:6" x14ac:dyDescent="0.25">
      <c r="B129" s="18">
        <v>125</v>
      </c>
      <c r="C129" s="21">
        <f ca="1">IFERROR(IF(LEFT(C128,2)="13",DATE(RIGHT(C128,4),12,31),IF(EOMONTH(C128,1)&gt;PREMISSAS!$C$3,"",IF(MONTH(C128)=11,"13º "&amp;YEAR(C128),EOMONTH(C128,1)))),"")</f>
        <v>40939</v>
      </c>
      <c r="D129" s="22">
        <f ca="1">VLOOKUP(C129,'Histórico de Remunerações'!$D$7:$E$656,2,FALSE)</f>
        <v>0</v>
      </c>
      <c r="E129" s="4" t="str">
        <f ca="1">IF(D129=0,"",IF(IF(ISTEXT(C129),DATE(RIGHT(C129,4),12,31),C129)&lt;PREMISSAS!$D$7,0,IFERROR(VLOOKUP(IF(LEFT(C129,2)="13",DATE(RIGHT(C129,4),12,31),C129),IPCA!$A$3:$D$284,4,FALSE),1)*D129))</f>
        <v/>
      </c>
      <c r="F129" s="4">
        <f ca="1">IF(C129="","",IFERROR(AVERAGEIF(E$5:$E129,"&gt;"&amp;_xlfn.PERCENTILE.EXC(E$5:$E129,0.2)),0))</f>
        <v>0</v>
      </c>
    </row>
    <row r="130" spans="2:6" x14ac:dyDescent="0.25">
      <c r="B130" s="18">
        <v>126</v>
      </c>
      <c r="C130" s="21">
        <f ca="1">IFERROR(IF(LEFT(C129,2)="13",DATE(RIGHT(C129,4),12,31),IF(EOMONTH(C129,1)&gt;PREMISSAS!$C$3,"",IF(MONTH(C129)=11,"13º "&amp;YEAR(C129),EOMONTH(C129,1)))),"")</f>
        <v>40968</v>
      </c>
      <c r="D130" s="22">
        <f ca="1">VLOOKUP(C130,'Histórico de Remunerações'!$D$7:$E$656,2,FALSE)</f>
        <v>0</v>
      </c>
      <c r="E130" s="4" t="str">
        <f ca="1">IF(D130=0,"",IF(IF(ISTEXT(C130),DATE(RIGHT(C130,4),12,31),C130)&lt;PREMISSAS!$D$7,0,IFERROR(VLOOKUP(IF(LEFT(C130,2)="13",DATE(RIGHT(C130,4),12,31),C130),IPCA!$A$3:$D$284,4,FALSE),1)*D130))</f>
        <v/>
      </c>
      <c r="F130" s="4">
        <f ca="1">IF(C130="","",IFERROR(AVERAGEIF(E$5:$E130,"&gt;"&amp;_xlfn.PERCENTILE.EXC(E$5:$E130,0.2)),0))</f>
        <v>0</v>
      </c>
    </row>
    <row r="131" spans="2:6" x14ac:dyDescent="0.25">
      <c r="B131" s="18">
        <v>127</v>
      </c>
      <c r="C131" s="21">
        <f ca="1">IFERROR(IF(LEFT(C130,2)="13",DATE(RIGHT(C130,4),12,31),IF(EOMONTH(C130,1)&gt;PREMISSAS!$C$3,"",IF(MONTH(C130)=11,"13º "&amp;YEAR(C130),EOMONTH(C130,1)))),"")</f>
        <v>40999</v>
      </c>
      <c r="D131" s="22">
        <f ca="1">VLOOKUP(C131,'Histórico de Remunerações'!$D$7:$E$656,2,FALSE)</f>
        <v>0</v>
      </c>
      <c r="E131" s="4" t="str">
        <f ca="1">IF(D131=0,"",IF(IF(ISTEXT(C131),DATE(RIGHT(C131,4),12,31),C131)&lt;PREMISSAS!$D$7,0,IFERROR(VLOOKUP(IF(LEFT(C131,2)="13",DATE(RIGHT(C131,4),12,31),C131),IPCA!$A$3:$D$284,4,FALSE),1)*D131))</f>
        <v/>
      </c>
      <c r="F131" s="4">
        <f ca="1">IF(C131="","",IFERROR(AVERAGEIF(E$5:$E131,"&gt;"&amp;_xlfn.PERCENTILE.EXC(E$5:$E131,0.2)),0))</f>
        <v>0</v>
      </c>
    </row>
    <row r="132" spans="2:6" x14ac:dyDescent="0.25">
      <c r="B132" s="18">
        <v>128</v>
      </c>
      <c r="C132" s="21">
        <f ca="1">IFERROR(IF(LEFT(C131,2)="13",DATE(RIGHT(C131,4),12,31),IF(EOMONTH(C131,1)&gt;PREMISSAS!$C$3,"",IF(MONTH(C131)=11,"13º "&amp;YEAR(C131),EOMONTH(C131,1)))),"")</f>
        <v>41029</v>
      </c>
      <c r="D132" s="22">
        <f ca="1">VLOOKUP(C132,'Histórico de Remunerações'!$D$7:$E$656,2,FALSE)</f>
        <v>0</v>
      </c>
      <c r="E132" s="4" t="str">
        <f ca="1">IF(D132=0,"",IF(IF(ISTEXT(C132),DATE(RIGHT(C132,4),12,31),C132)&lt;PREMISSAS!$D$7,0,IFERROR(VLOOKUP(IF(LEFT(C132,2)="13",DATE(RIGHT(C132,4),12,31),C132),IPCA!$A$3:$D$284,4,FALSE),1)*D132))</f>
        <v/>
      </c>
      <c r="F132" s="4">
        <f ca="1">IF(C132="","",IFERROR(AVERAGEIF(E$5:$E132,"&gt;"&amp;_xlfn.PERCENTILE.EXC(E$5:$E132,0.2)),0))</f>
        <v>0</v>
      </c>
    </row>
    <row r="133" spans="2:6" x14ac:dyDescent="0.25">
      <c r="B133" s="18">
        <v>129</v>
      </c>
      <c r="C133" s="21">
        <f ca="1">IFERROR(IF(LEFT(C132,2)="13",DATE(RIGHT(C132,4),12,31),IF(EOMONTH(C132,1)&gt;PREMISSAS!$C$3,"",IF(MONTH(C132)=11,"13º "&amp;YEAR(C132),EOMONTH(C132,1)))),"")</f>
        <v>41060</v>
      </c>
      <c r="D133" s="22">
        <f ca="1">VLOOKUP(C133,'Histórico de Remunerações'!$D$7:$E$656,2,FALSE)</f>
        <v>0</v>
      </c>
      <c r="E133" s="4" t="str">
        <f ca="1">IF(D133=0,"",IF(IF(ISTEXT(C133),DATE(RIGHT(C133,4),12,31),C133)&lt;PREMISSAS!$D$7,0,IFERROR(VLOOKUP(IF(LEFT(C133,2)="13",DATE(RIGHT(C133,4),12,31),C133),IPCA!$A$3:$D$284,4,FALSE),1)*D133))</f>
        <v/>
      </c>
      <c r="F133" s="4">
        <f ca="1">IF(C133="","",IFERROR(AVERAGEIF(E$5:$E133,"&gt;"&amp;_xlfn.PERCENTILE.EXC(E$5:$E133,0.2)),0))</f>
        <v>0</v>
      </c>
    </row>
    <row r="134" spans="2:6" x14ac:dyDescent="0.25">
      <c r="B134" s="18">
        <v>130</v>
      </c>
      <c r="C134" s="21">
        <f ca="1">IFERROR(IF(LEFT(C133,2)="13",DATE(RIGHT(C133,4),12,31),IF(EOMONTH(C133,1)&gt;PREMISSAS!$C$3,"",IF(MONTH(C133)=11,"13º "&amp;YEAR(C133),EOMONTH(C133,1)))),"")</f>
        <v>41090</v>
      </c>
      <c r="D134" s="22">
        <f ca="1">VLOOKUP(C134,'Histórico de Remunerações'!$D$7:$E$656,2,FALSE)</f>
        <v>0</v>
      </c>
      <c r="E134" s="4" t="str">
        <f ca="1">IF(D134=0,"",IF(IF(ISTEXT(C134),DATE(RIGHT(C134,4),12,31),C134)&lt;PREMISSAS!$D$7,0,IFERROR(VLOOKUP(IF(LEFT(C134,2)="13",DATE(RIGHT(C134,4),12,31),C134),IPCA!$A$3:$D$284,4,FALSE),1)*D134))</f>
        <v/>
      </c>
      <c r="F134" s="4">
        <f ca="1">IF(C134="","",IFERROR(AVERAGEIF(E$5:$E134,"&gt;"&amp;_xlfn.PERCENTILE.EXC(E$5:$E134,0.2)),0))</f>
        <v>0</v>
      </c>
    </row>
    <row r="135" spans="2:6" x14ac:dyDescent="0.25">
      <c r="B135" s="18">
        <v>131</v>
      </c>
      <c r="C135" s="21">
        <f ca="1">IFERROR(IF(LEFT(C134,2)="13",DATE(RIGHT(C134,4),12,31),IF(EOMONTH(C134,1)&gt;PREMISSAS!$C$3,"",IF(MONTH(C134)=11,"13º "&amp;YEAR(C134),EOMONTH(C134,1)))),"")</f>
        <v>41121</v>
      </c>
      <c r="D135" s="22">
        <f ca="1">VLOOKUP(C135,'Histórico de Remunerações'!$D$7:$E$656,2,FALSE)</f>
        <v>0</v>
      </c>
      <c r="E135" s="4" t="str">
        <f ca="1">IF(D135=0,"",IF(IF(ISTEXT(C135),DATE(RIGHT(C135,4),12,31),C135)&lt;PREMISSAS!$D$7,0,IFERROR(VLOOKUP(IF(LEFT(C135,2)="13",DATE(RIGHT(C135,4),12,31),C135),IPCA!$A$3:$D$284,4,FALSE),1)*D135))</f>
        <v/>
      </c>
      <c r="F135" s="4">
        <f ca="1">IF(C135="","",IFERROR(AVERAGEIF(E$5:$E135,"&gt;"&amp;_xlfn.PERCENTILE.EXC(E$5:$E135,0.2)),0))</f>
        <v>0</v>
      </c>
    </row>
    <row r="136" spans="2:6" x14ac:dyDescent="0.25">
      <c r="B136" s="18">
        <v>132</v>
      </c>
      <c r="C136" s="21">
        <f ca="1">IFERROR(IF(LEFT(C135,2)="13",DATE(RIGHT(C135,4),12,31),IF(EOMONTH(C135,1)&gt;PREMISSAS!$C$3,"",IF(MONTH(C135)=11,"13º "&amp;YEAR(C135),EOMONTH(C135,1)))),"")</f>
        <v>41152</v>
      </c>
      <c r="D136" s="22">
        <f ca="1">VLOOKUP(C136,'Histórico de Remunerações'!$D$7:$E$656,2,FALSE)</f>
        <v>0</v>
      </c>
      <c r="E136" s="4" t="str">
        <f ca="1">IF(D136=0,"",IF(IF(ISTEXT(C136),DATE(RIGHT(C136,4),12,31),C136)&lt;PREMISSAS!$D$7,0,IFERROR(VLOOKUP(IF(LEFT(C136,2)="13",DATE(RIGHT(C136,4),12,31),C136),IPCA!$A$3:$D$284,4,FALSE),1)*D136))</f>
        <v/>
      </c>
      <c r="F136" s="4">
        <f ca="1">IF(C136="","",IFERROR(AVERAGEIF(E$5:$E136,"&gt;"&amp;_xlfn.PERCENTILE.EXC(E$5:$E136,0.2)),0))</f>
        <v>0</v>
      </c>
    </row>
    <row r="137" spans="2:6" x14ac:dyDescent="0.25">
      <c r="B137" s="18">
        <v>133</v>
      </c>
      <c r="C137" s="21">
        <f ca="1">IFERROR(IF(LEFT(C136,2)="13",DATE(RIGHT(C136,4),12,31),IF(EOMONTH(C136,1)&gt;PREMISSAS!$C$3,"",IF(MONTH(C136)=11,"13º "&amp;YEAR(C136),EOMONTH(C136,1)))),"")</f>
        <v>41182</v>
      </c>
      <c r="D137" s="22">
        <f ca="1">VLOOKUP(C137,'Histórico de Remunerações'!$D$7:$E$656,2,FALSE)</f>
        <v>0</v>
      </c>
      <c r="E137" s="4" t="str">
        <f ca="1">IF(D137=0,"",IF(IF(ISTEXT(C137),DATE(RIGHT(C137,4),12,31),C137)&lt;PREMISSAS!$D$7,0,IFERROR(VLOOKUP(IF(LEFT(C137,2)="13",DATE(RIGHT(C137,4),12,31),C137),IPCA!$A$3:$D$284,4,FALSE),1)*D137))</f>
        <v/>
      </c>
      <c r="F137" s="4">
        <f ca="1">IF(C137="","",IFERROR(AVERAGEIF(E$5:$E137,"&gt;"&amp;_xlfn.PERCENTILE.EXC(E$5:$E137,0.2)),0))</f>
        <v>0</v>
      </c>
    </row>
    <row r="138" spans="2:6" x14ac:dyDescent="0.25">
      <c r="B138" s="18">
        <v>134</v>
      </c>
      <c r="C138" s="21">
        <f ca="1">IFERROR(IF(LEFT(C137,2)="13",DATE(RIGHT(C137,4),12,31),IF(EOMONTH(C137,1)&gt;PREMISSAS!$C$3,"",IF(MONTH(C137)=11,"13º "&amp;YEAR(C137),EOMONTH(C137,1)))),"")</f>
        <v>41213</v>
      </c>
      <c r="D138" s="22">
        <f ca="1">VLOOKUP(C138,'Histórico de Remunerações'!$D$7:$E$656,2,FALSE)</f>
        <v>0</v>
      </c>
      <c r="E138" s="4" t="str">
        <f ca="1">IF(D138=0,"",IF(IF(ISTEXT(C138),DATE(RIGHT(C138,4),12,31),C138)&lt;PREMISSAS!$D$7,0,IFERROR(VLOOKUP(IF(LEFT(C138,2)="13",DATE(RIGHT(C138,4),12,31),C138),IPCA!$A$3:$D$284,4,FALSE),1)*D138))</f>
        <v/>
      </c>
      <c r="F138" s="4">
        <f ca="1">IF(C138="","",IFERROR(AVERAGEIF(E$5:$E138,"&gt;"&amp;_xlfn.PERCENTILE.EXC(E$5:$E138,0.2)),0))</f>
        <v>0</v>
      </c>
    </row>
    <row r="139" spans="2:6" x14ac:dyDescent="0.25">
      <c r="B139" s="18">
        <v>135</v>
      </c>
      <c r="C139" s="21">
        <f ca="1">IFERROR(IF(LEFT(C138,2)="13",DATE(RIGHT(C138,4),12,31),IF(EOMONTH(C138,1)&gt;PREMISSAS!$C$3,"",IF(MONTH(C138)=11,"13º "&amp;YEAR(C138),EOMONTH(C138,1)))),"")</f>
        <v>41243</v>
      </c>
      <c r="D139" s="22">
        <f ca="1">VLOOKUP(C139,'Histórico de Remunerações'!$D$7:$E$656,2,FALSE)</f>
        <v>0</v>
      </c>
      <c r="E139" s="4" t="str">
        <f ca="1">IF(D139=0,"",IF(IF(ISTEXT(C139),DATE(RIGHT(C139,4),12,31),C139)&lt;PREMISSAS!$D$7,0,IFERROR(VLOOKUP(IF(LEFT(C139,2)="13",DATE(RIGHT(C139,4),12,31),C139),IPCA!$A$3:$D$284,4,FALSE),1)*D139))</f>
        <v/>
      </c>
      <c r="F139" s="4">
        <f ca="1">IF(C139="","",IFERROR(AVERAGEIF(E$5:$E139,"&gt;"&amp;_xlfn.PERCENTILE.EXC(E$5:$E139,0.2)),0))</f>
        <v>0</v>
      </c>
    </row>
    <row r="140" spans="2:6" x14ac:dyDescent="0.25">
      <c r="B140" s="18">
        <v>136</v>
      </c>
      <c r="C140" s="21" t="str">
        <f ca="1">IFERROR(IF(LEFT(C139,2)="13",DATE(RIGHT(C139,4),12,31),IF(EOMONTH(C139,1)&gt;PREMISSAS!$C$3,"",IF(MONTH(C139)=11,"13º "&amp;YEAR(C139),EOMONTH(C139,1)))),"")</f>
        <v>13º 2012</v>
      </c>
      <c r="D140" s="22">
        <f ca="1">VLOOKUP(C140,'Histórico de Remunerações'!$D$7:$E$656,2,FALSE)</f>
        <v>0</v>
      </c>
      <c r="E140" s="4" t="str">
        <f ca="1">IF(D140=0,"",IF(IF(ISTEXT(C140),DATE(RIGHT(C140,4),12,31),C140)&lt;PREMISSAS!$D$7,0,IFERROR(VLOOKUP(IF(LEFT(C140,2)="13",DATE(RIGHT(C140,4),12,31),C140),IPCA!$A$3:$D$284,4,FALSE),1)*D140))</f>
        <v/>
      </c>
      <c r="F140" s="4">
        <f ca="1">IF(C140="","",IFERROR(AVERAGEIF(E$5:$E140,"&gt;"&amp;_xlfn.PERCENTILE.EXC(E$5:$E140,0.2)),0))</f>
        <v>0</v>
      </c>
    </row>
    <row r="141" spans="2:6" x14ac:dyDescent="0.25">
      <c r="B141" s="18">
        <v>137</v>
      </c>
      <c r="C141" s="21">
        <f ca="1">IFERROR(IF(LEFT(C140,2)="13",DATE(RIGHT(C140,4),12,31),IF(EOMONTH(C140,1)&gt;PREMISSAS!$C$3,"",IF(MONTH(C140)=11,"13º "&amp;YEAR(C140),EOMONTH(C140,1)))),"")</f>
        <v>41274</v>
      </c>
      <c r="D141" s="22">
        <f ca="1">VLOOKUP(C141,'Histórico de Remunerações'!$D$7:$E$656,2,FALSE)</f>
        <v>0</v>
      </c>
      <c r="E141" s="4" t="str">
        <f ca="1">IF(D141=0,"",IF(IF(ISTEXT(C141),DATE(RIGHT(C141,4),12,31),C141)&lt;PREMISSAS!$D$7,0,IFERROR(VLOOKUP(IF(LEFT(C141,2)="13",DATE(RIGHT(C141,4),12,31),C141),IPCA!$A$3:$D$284,4,FALSE),1)*D141))</f>
        <v/>
      </c>
      <c r="F141" s="4">
        <f ca="1">IF(C141="","",IFERROR(AVERAGEIF(E$5:$E141,"&gt;"&amp;_xlfn.PERCENTILE.EXC(E$5:$E141,0.2)),0))</f>
        <v>0</v>
      </c>
    </row>
    <row r="142" spans="2:6" x14ac:dyDescent="0.25">
      <c r="B142" s="18">
        <v>138</v>
      </c>
      <c r="C142" s="21">
        <f ca="1">IFERROR(IF(LEFT(C141,2)="13",DATE(RIGHT(C141,4),12,31),IF(EOMONTH(C141,1)&gt;PREMISSAS!$C$3,"",IF(MONTH(C141)=11,"13º "&amp;YEAR(C141),EOMONTH(C141,1)))),"")</f>
        <v>41305</v>
      </c>
      <c r="D142" s="22">
        <f ca="1">VLOOKUP(C142,'Histórico de Remunerações'!$D$7:$E$656,2,FALSE)</f>
        <v>0</v>
      </c>
      <c r="E142" s="4" t="str">
        <f ca="1">IF(D142=0,"",IF(IF(ISTEXT(C142),DATE(RIGHT(C142,4),12,31),C142)&lt;PREMISSAS!$D$7,0,IFERROR(VLOOKUP(IF(LEFT(C142,2)="13",DATE(RIGHT(C142,4),12,31),C142),IPCA!$A$3:$D$284,4,FALSE),1)*D142))</f>
        <v/>
      </c>
      <c r="F142" s="4">
        <f ca="1">IF(C142="","",IFERROR(AVERAGEIF(E$5:$E142,"&gt;"&amp;_xlfn.PERCENTILE.EXC(E$5:$E142,0.2)),0))</f>
        <v>0</v>
      </c>
    </row>
    <row r="143" spans="2:6" x14ac:dyDescent="0.25">
      <c r="B143" s="18">
        <v>139</v>
      </c>
      <c r="C143" s="21">
        <f ca="1">IFERROR(IF(LEFT(C142,2)="13",DATE(RIGHT(C142,4),12,31),IF(EOMONTH(C142,1)&gt;PREMISSAS!$C$3,"",IF(MONTH(C142)=11,"13º "&amp;YEAR(C142),EOMONTH(C142,1)))),"")</f>
        <v>41333</v>
      </c>
      <c r="D143" s="22">
        <f ca="1">VLOOKUP(C143,'Histórico de Remunerações'!$D$7:$E$656,2,FALSE)</f>
        <v>0</v>
      </c>
      <c r="E143" s="4" t="str">
        <f ca="1">IF(D143=0,"",IF(IF(ISTEXT(C143),DATE(RIGHT(C143,4),12,31),C143)&lt;PREMISSAS!$D$7,0,IFERROR(VLOOKUP(IF(LEFT(C143,2)="13",DATE(RIGHT(C143,4),12,31),C143),IPCA!$A$3:$D$284,4,FALSE),1)*D143))</f>
        <v/>
      </c>
      <c r="F143" s="4">
        <f ca="1">IF(C143="","",IFERROR(AVERAGEIF(E$5:$E143,"&gt;"&amp;_xlfn.PERCENTILE.EXC(E$5:$E143,0.2)),0))</f>
        <v>0</v>
      </c>
    </row>
    <row r="144" spans="2:6" x14ac:dyDescent="0.25">
      <c r="B144" s="18">
        <v>140</v>
      </c>
      <c r="C144" s="21">
        <f ca="1">IFERROR(IF(LEFT(C143,2)="13",DATE(RIGHT(C143,4),12,31),IF(EOMONTH(C143,1)&gt;PREMISSAS!$C$3,"",IF(MONTH(C143)=11,"13º "&amp;YEAR(C143),EOMONTH(C143,1)))),"")</f>
        <v>41364</v>
      </c>
      <c r="D144" s="22">
        <f ca="1">VLOOKUP(C144,'Histórico de Remunerações'!$D$7:$E$656,2,FALSE)</f>
        <v>0</v>
      </c>
      <c r="E144" s="4" t="str">
        <f ca="1">IF(D144=0,"",IF(IF(ISTEXT(C144),DATE(RIGHT(C144,4),12,31),C144)&lt;PREMISSAS!$D$7,0,IFERROR(VLOOKUP(IF(LEFT(C144,2)="13",DATE(RIGHT(C144,4),12,31),C144),IPCA!$A$3:$D$284,4,FALSE),1)*D144))</f>
        <v/>
      </c>
      <c r="F144" s="4">
        <f ca="1">IF(C144="","",IFERROR(AVERAGEIF(E$5:$E144,"&gt;"&amp;_xlfn.PERCENTILE.EXC(E$5:$E144,0.2)),0))</f>
        <v>0</v>
      </c>
    </row>
    <row r="145" spans="2:6" x14ac:dyDescent="0.25">
      <c r="B145" s="18">
        <v>141</v>
      </c>
      <c r="C145" s="21">
        <f ca="1">IFERROR(IF(LEFT(C144,2)="13",DATE(RIGHT(C144,4),12,31),IF(EOMONTH(C144,1)&gt;PREMISSAS!$C$3,"",IF(MONTH(C144)=11,"13º "&amp;YEAR(C144),EOMONTH(C144,1)))),"")</f>
        <v>41394</v>
      </c>
      <c r="D145" s="22">
        <f ca="1">VLOOKUP(C145,'Histórico de Remunerações'!$D$7:$E$656,2,FALSE)</f>
        <v>0</v>
      </c>
      <c r="E145" s="4" t="str">
        <f ca="1">IF(D145=0,"",IF(IF(ISTEXT(C145),DATE(RIGHT(C145,4),12,31),C145)&lt;PREMISSAS!$D$7,0,IFERROR(VLOOKUP(IF(LEFT(C145,2)="13",DATE(RIGHT(C145,4),12,31),C145),IPCA!$A$3:$D$284,4,FALSE),1)*D145))</f>
        <v/>
      </c>
      <c r="F145" s="4">
        <f ca="1">IF(C145="","",IFERROR(AVERAGEIF(E$5:$E145,"&gt;"&amp;_xlfn.PERCENTILE.EXC(E$5:$E145,0.2)),0))</f>
        <v>0</v>
      </c>
    </row>
    <row r="146" spans="2:6" x14ac:dyDescent="0.25">
      <c r="B146" s="18">
        <v>142</v>
      </c>
      <c r="C146" s="21">
        <f ca="1">IFERROR(IF(LEFT(C145,2)="13",DATE(RIGHT(C145,4),12,31),IF(EOMONTH(C145,1)&gt;PREMISSAS!$C$3,"",IF(MONTH(C145)=11,"13º "&amp;YEAR(C145),EOMONTH(C145,1)))),"")</f>
        <v>41425</v>
      </c>
      <c r="D146" s="22">
        <f ca="1">VLOOKUP(C146,'Histórico de Remunerações'!$D$7:$E$656,2,FALSE)</f>
        <v>0</v>
      </c>
      <c r="E146" s="4" t="str">
        <f ca="1">IF(D146=0,"",IF(IF(ISTEXT(C146),DATE(RIGHT(C146,4),12,31),C146)&lt;PREMISSAS!$D$7,0,IFERROR(VLOOKUP(IF(LEFT(C146,2)="13",DATE(RIGHT(C146,4),12,31),C146),IPCA!$A$3:$D$284,4,FALSE),1)*D146))</f>
        <v/>
      </c>
      <c r="F146" s="4">
        <f ca="1">IF(C146="","",IFERROR(AVERAGEIF(E$5:$E146,"&gt;"&amp;_xlfn.PERCENTILE.EXC(E$5:$E146,0.2)),0))</f>
        <v>0</v>
      </c>
    </row>
    <row r="147" spans="2:6" x14ac:dyDescent="0.25">
      <c r="B147" s="18">
        <v>143</v>
      </c>
      <c r="C147" s="21">
        <f ca="1">IFERROR(IF(LEFT(C146,2)="13",DATE(RIGHT(C146,4),12,31),IF(EOMONTH(C146,1)&gt;PREMISSAS!$C$3,"",IF(MONTH(C146)=11,"13º "&amp;YEAR(C146),EOMONTH(C146,1)))),"")</f>
        <v>41455</v>
      </c>
      <c r="D147" s="22">
        <f ca="1">VLOOKUP(C147,'Histórico de Remunerações'!$D$7:$E$656,2,FALSE)</f>
        <v>0</v>
      </c>
      <c r="E147" s="4" t="str">
        <f ca="1">IF(D147=0,"",IF(IF(ISTEXT(C147),DATE(RIGHT(C147,4),12,31),C147)&lt;PREMISSAS!$D$7,0,IFERROR(VLOOKUP(IF(LEFT(C147,2)="13",DATE(RIGHT(C147,4),12,31),C147),IPCA!$A$3:$D$284,4,FALSE),1)*D147))</f>
        <v/>
      </c>
      <c r="F147" s="4">
        <f ca="1">IF(C147="","",IFERROR(AVERAGEIF(E$5:$E147,"&gt;"&amp;_xlfn.PERCENTILE.EXC(E$5:$E147,0.2)),0))</f>
        <v>0</v>
      </c>
    </row>
    <row r="148" spans="2:6" x14ac:dyDescent="0.25">
      <c r="B148" s="18">
        <v>144</v>
      </c>
      <c r="C148" s="21">
        <f ca="1">IFERROR(IF(LEFT(C147,2)="13",DATE(RIGHT(C147,4),12,31),IF(EOMONTH(C147,1)&gt;PREMISSAS!$C$3,"",IF(MONTH(C147)=11,"13º "&amp;YEAR(C147),EOMONTH(C147,1)))),"")</f>
        <v>41486</v>
      </c>
      <c r="D148" s="22">
        <f ca="1">VLOOKUP(C148,'Histórico de Remunerações'!$D$7:$E$656,2,FALSE)</f>
        <v>0</v>
      </c>
      <c r="E148" s="4" t="str">
        <f ca="1">IF(D148=0,"",IF(IF(ISTEXT(C148),DATE(RIGHT(C148,4),12,31),C148)&lt;PREMISSAS!$D$7,0,IFERROR(VLOOKUP(IF(LEFT(C148,2)="13",DATE(RIGHT(C148,4),12,31),C148),IPCA!$A$3:$D$284,4,FALSE),1)*D148))</f>
        <v/>
      </c>
      <c r="F148" s="4">
        <f ca="1">IF(C148="","",IFERROR(AVERAGEIF(E$5:$E148,"&gt;"&amp;_xlfn.PERCENTILE.EXC(E$5:$E148,0.2)),0))</f>
        <v>0</v>
      </c>
    </row>
    <row r="149" spans="2:6" x14ac:dyDescent="0.25">
      <c r="B149" s="18">
        <v>145</v>
      </c>
      <c r="C149" s="21">
        <f ca="1">IFERROR(IF(LEFT(C148,2)="13",DATE(RIGHT(C148,4),12,31),IF(EOMONTH(C148,1)&gt;PREMISSAS!$C$3,"",IF(MONTH(C148)=11,"13º "&amp;YEAR(C148),EOMONTH(C148,1)))),"")</f>
        <v>41517</v>
      </c>
      <c r="D149" s="22">
        <f ca="1">VLOOKUP(C149,'Histórico de Remunerações'!$D$7:$E$656,2,FALSE)</f>
        <v>0</v>
      </c>
      <c r="E149" s="4" t="str">
        <f ca="1">IF(D149=0,"",IF(IF(ISTEXT(C149),DATE(RIGHT(C149,4),12,31),C149)&lt;PREMISSAS!$D$7,0,IFERROR(VLOOKUP(IF(LEFT(C149,2)="13",DATE(RIGHT(C149,4),12,31),C149),IPCA!$A$3:$D$284,4,FALSE),1)*D149))</f>
        <v/>
      </c>
      <c r="F149" s="4">
        <f ca="1">IF(C149="","",IFERROR(AVERAGEIF(E$5:$E149,"&gt;"&amp;_xlfn.PERCENTILE.EXC(E$5:$E149,0.2)),0))</f>
        <v>0</v>
      </c>
    </row>
    <row r="150" spans="2:6" x14ac:dyDescent="0.25">
      <c r="B150" s="18">
        <v>146</v>
      </c>
      <c r="C150" s="21">
        <f ca="1">IFERROR(IF(LEFT(C149,2)="13",DATE(RIGHT(C149,4),12,31),IF(EOMONTH(C149,1)&gt;PREMISSAS!$C$3,"",IF(MONTH(C149)=11,"13º "&amp;YEAR(C149),EOMONTH(C149,1)))),"")</f>
        <v>41547</v>
      </c>
      <c r="D150" s="22">
        <f ca="1">VLOOKUP(C150,'Histórico de Remunerações'!$D$7:$E$656,2,FALSE)</f>
        <v>0</v>
      </c>
      <c r="E150" s="4" t="str">
        <f ca="1">IF(D150=0,"",IF(IF(ISTEXT(C150),DATE(RIGHT(C150,4),12,31),C150)&lt;PREMISSAS!$D$7,0,IFERROR(VLOOKUP(IF(LEFT(C150,2)="13",DATE(RIGHT(C150,4),12,31),C150),IPCA!$A$3:$D$284,4,FALSE),1)*D150))</f>
        <v/>
      </c>
      <c r="F150" s="4">
        <f ca="1">IF(C150="","",IFERROR(AVERAGEIF(E$5:$E150,"&gt;"&amp;_xlfn.PERCENTILE.EXC(E$5:$E150,0.2)),0))</f>
        <v>0</v>
      </c>
    </row>
    <row r="151" spans="2:6" x14ac:dyDescent="0.25">
      <c r="B151" s="18">
        <v>147</v>
      </c>
      <c r="C151" s="21">
        <f ca="1">IFERROR(IF(LEFT(C150,2)="13",DATE(RIGHT(C150,4),12,31),IF(EOMONTH(C150,1)&gt;PREMISSAS!$C$3,"",IF(MONTH(C150)=11,"13º "&amp;YEAR(C150),EOMONTH(C150,1)))),"")</f>
        <v>41578</v>
      </c>
      <c r="D151" s="22">
        <f ca="1">VLOOKUP(C151,'Histórico de Remunerações'!$D$7:$E$656,2,FALSE)</f>
        <v>0</v>
      </c>
      <c r="E151" s="4" t="str">
        <f ca="1">IF(D151=0,"",IF(IF(ISTEXT(C151),DATE(RIGHT(C151,4),12,31),C151)&lt;PREMISSAS!$D$7,0,IFERROR(VLOOKUP(IF(LEFT(C151,2)="13",DATE(RIGHT(C151,4),12,31),C151),IPCA!$A$3:$D$284,4,FALSE),1)*D151))</f>
        <v/>
      </c>
      <c r="F151" s="4">
        <f ca="1">IF(C151="","",IFERROR(AVERAGEIF(E$5:$E151,"&gt;"&amp;_xlfn.PERCENTILE.EXC(E$5:$E151,0.2)),0))</f>
        <v>0</v>
      </c>
    </row>
    <row r="152" spans="2:6" x14ac:dyDescent="0.25">
      <c r="B152" s="18">
        <v>148</v>
      </c>
      <c r="C152" s="21">
        <f ca="1">IFERROR(IF(LEFT(C151,2)="13",DATE(RIGHT(C151,4),12,31),IF(EOMONTH(C151,1)&gt;PREMISSAS!$C$3,"",IF(MONTH(C151)=11,"13º "&amp;YEAR(C151),EOMONTH(C151,1)))),"")</f>
        <v>41608</v>
      </c>
      <c r="D152" s="22">
        <f ca="1">VLOOKUP(C152,'Histórico de Remunerações'!$D$7:$E$656,2,FALSE)</f>
        <v>0</v>
      </c>
      <c r="E152" s="4" t="str">
        <f ca="1">IF(D152=0,"",IF(IF(ISTEXT(C152),DATE(RIGHT(C152,4),12,31),C152)&lt;PREMISSAS!$D$7,0,IFERROR(VLOOKUP(IF(LEFT(C152,2)="13",DATE(RIGHT(C152,4),12,31),C152),IPCA!$A$3:$D$284,4,FALSE),1)*D152))</f>
        <v/>
      </c>
      <c r="F152" s="4">
        <f ca="1">IF(C152="","",IFERROR(AVERAGEIF(E$5:$E152,"&gt;"&amp;_xlfn.PERCENTILE.EXC(E$5:$E152,0.2)),0))</f>
        <v>0</v>
      </c>
    </row>
    <row r="153" spans="2:6" x14ac:dyDescent="0.25">
      <c r="B153" s="18">
        <v>149</v>
      </c>
      <c r="C153" s="21" t="str">
        <f ca="1">IFERROR(IF(LEFT(C152,2)="13",DATE(RIGHT(C152,4),12,31),IF(EOMONTH(C152,1)&gt;PREMISSAS!$C$3,"",IF(MONTH(C152)=11,"13º "&amp;YEAR(C152),EOMONTH(C152,1)))),"")</f>
        <v>13º 2013</v>
      </c>
      <c r="D153" s="22">
        <f ca="1">VLOOKUP(C153,'Histórico de Remunerações'!$D$7:$E$656,2,FALSE)</f>
        <v>0</v>
      </c>
      <c r="E153" s="4" t="str">
        <f ca="1">IF(D153=0,"",IF(IF(ISTEXT(C153),DATE(RIGHT(C153,4),12,31),C153)&lt;PREMISSAS!$D$7,0,IFERROR(VLOOKUP(IF(LEFT(C153,2)="13",DATE(RIGHT(C153,4),12,31),C153),IPCA!$A$3:$D$284,4,FALSE),1)*D153))</f>
        <v/>
      </c>
      <c r="F153" s="4">
        <f ca="1">IF(C153="","",IFERROR(AVERAGEIF(E$5:$E153,"&gt;"&amp;_xlfn.PERCENTILE.EXC(E$5:$E153,0.2)),0))</f>
        <v>0</v>
      </c>
    </row>
    <row r="154" spans="2:6" x14ac:dyDescent="0.25">
      <c r="B154" s="18">
        <v>150</v>
      </c>
      <c r="C154" s="21">
        <f ca="1">IFERROR(IF(LEFT(C153,2)="13",DATE(RIGHT(C153,4),12,31),IF(EOMONTH(C153,1)&gt;PREMISSAS!$C$3,"",IF(MONTH(C153)=11,"13º "&amp;YEAR(C153),EOMONTH(C153,1)))),"")</f>
        <v>41639</v>
      </c>
      <c r="D154" s="22">
        <f ca="1">VLOOKUP(C154,'Histórico de Remunerações'!$D$7:$E$656,2,FALSE)</f>
        <v>0</v>
      </c>
      <c r="E154" s="4" t="str">
        <f ca="1">IF(D154=0,"",IF(IF(ISTEXT(C154),DATE(RIGHT(C154,4),12,31),C154)&lt;PREMISSAS!$D$7,0,IFERROR(VLOOKUP(IF(LEFT(C154,2)="13",DATE(RIGHT(C154,4),12,31),C154),IPCA!$A$3:$D$284,4,FALSE),1)*D154))</f>
        <v/>
      </c>
      <c r="F154" s="4">
        <f ca="1">IF(C154="","",IFERROR(AVERAGEIF(E$5:$E154,"&gt;"&amp;_xlfn.PERCENTILE.EXC(E$5:$E154,0.2)),0))</f>
        <v>0</v>
      </c>
    </row>
    <row r="155" spans="2:6" x14ac:dyDescent="0.25">
      <c r="B155" s="18">
        <v>151</v>
      </c>
      <c r="C155" s="21">
        <f ca="1">IFERROR(IF(LEFT(C154,2)="13",DATE(RIGHT(C154,4),12,31),IF(EOMONTH(C154,1)&gt;PREMISSAS!$C$3,"",IF(MONTH(C154)=11,"13º "&amp;YEAR(C154),EOMONTH(C154,1)))),"")</f>
        <v>41670</v>
      </c>
      <c r="D155" s="22">
        <f ca="1">VLOOKUP(C155,'Histórico de Remunerações'!$D$7:$E$656,2,FALSE)</f>
        <v>0</v>
      </c>
      <c r="E155" s="4" t="str">
        <f ca="1">IF(D155=0,"",IF(IF(ISTEXT(C155),DATE(RIGHT(C155,4),12,31),C155)&lt;PREMISSAS!$D$7,0,IFERROR(VLOOKUP(IF(LEFT(C155,2)="13",DATE(RIGHT(C155,4),12,31),C155),IPCA!$A$3:$D$284,4,FALSE),1)*D155))</f>
        <v/>
      </c>
      <c r="F155" s="4">
        <f ca="1">IF(C155="","",IFERROR(AVERAGEIF(E$5:$E155,"&gt;"&amp;_xlfn.PERCENTILE.EXC(E$5:$E155,0.2)),0))</f>
        <v>0</v>
      </c>
    </row>
    <row r="156" spans="2:6" x14ac:dyDescent="0.25">
      <c r="B156" s="18">
        <v>152</v>
      </c>
      <c r="C156" s="21">
        <f ca="1">IFERROR(IF(LEFT(C155,2)="13",DATE(RIGHT(C155,4),12,31),IF(EOMONTH(C155,1)&gt;PREMISSAS!$C$3,"",IF(MONTH(C155)=11,"13º "&amp;YEAR(C155),EOMONTH(C155,1)))),"")</f>
        <v>41698</v>
      </c>
      <c r="D156" s="22">
        <f ca="1">VLOOKUP(C156,'Histórico de Remunerações'!$D$7:$E$656,2,FALSE)</f>
        <v>0</v>
      </c>
      <c r="E156" s="4" t="str">
        <f ca="1">IF(D156=0,"",IF(IF(ISTEXT(C156),DATE(RIGHT(C156,4),12,31),C156)&lt;PREMISSAS!$D$7,0,IFERROR(VLOOKUP(IF(LEFT(C156,2)="13",DATE(RIGHT(C156,4),12,31),C156),IPCA!$A$3:$D$284,4,FALSE),1)*D156))</f>
        <v/>
      </c>
      <c r="F156" s="4">
        <f ca="1">IF(C156="","",IFERROR(AVERAGEIF(E$5:$E156,"&gt;"&amp;_xlfn.PERCENTILE.EXC(E$5:$E156,0.2)),0))</f>
        <v>0</v>
      </c>
    </row>
    <row r="157" spans="2:6" x14ac:dyDescent="0.25">
      <c r="B157" s="18">
        <v>153</v>
      </c>
      <c r="C157" s="21">
        <f ca="1">IFERROR(IF(LEFT(C156,2)="13",DATE(RIGHT(C156,4),12,31),IF(EOMONTH(C156,1)&gt;PREMISSAS!$C$3,"",IF(MONTH(C156)=11,"13º "&amp;YEAR(C156),EOMONTH(C156,1)))),"")</f>
        <v>41729</v>
      </c>
      <c r="D157" s="22">
        <f ca="1">VLOOKUP(C157,'Histórico de Remunerações'!$D$7:$E$656,2,FALSE)</f>
        <v>0</v>
      </c>
      <c r="E157" s="4" t="str">
        <f ca="1">IF(D157=0,"",IF(IF(ISTEXT(C157),DATE(RIGHT(C157,4),12,31),C157)&lt;PREMISSAS!$D$7,0,IFERROR(VLOOKUP(IF(LEFT(C157,2)="13",DATE(RIGHT(C157,4),12,31),C157),IPCA!$A$3:$D$284,4,FALSE),1)*D157))</f>
        <v/>
      </c>
      <c r="F157" s="4">
        <f ca="1">IF(C157="","",IFERROR(AVERAGEIF(E$5:$E157,"&gt;"&amp;_xlfn.PERCENTILE.EXC(E$5:$E157,0.2)),0))</f>
        <v>0</v>
      </c>
    </row>
    <row r="158" spans="2:6" x14ac:dyDescent="0.25">
      <c r="B158" s="18">
        <v>154</v>
      </c>
      <c r="C158" s="21">
        <f ca="1">IFERROR(IF(LEFT(C157,2)="13",DATE(RIGHT(C157,4),12,31),IF(EOMONTH(C157,1)&gt;PREMISSAS!$C$3,"",IF(MONTH(C157)=11,"13º "&amp;YEAR(C157),EOMONTH(C157,1)))),"")</f>
        <v>41759</v>
      </c>
      <c r="D158" s="22">
        <f ca="1">VLOOKUP(C158,'Histórico de Remunerações'!$D$7:$E$656,2,FALSE)</f>
        <v>0</v>
      </c>
      <c r="E158" s="4" t="str">
        <f ca="1">IF(D158=0,"",IF(IF(ISTEXT(C158),DATE(RIGHT(C158,4),12,31),C158)&lt;PREMISSAS!$D$7,0,IFERROR(VLOOKUP(IF(LEFT(C158,2)="13",DATE(RIGHT(C158,4),12,31),C158),IPCA!$A$3:$D$284,4,FALSE),1)*D158))</f>
        <v/>
      </c>
      <c r="F158" s="4">
        <f ca="1">IF(C158="","",IFERROR(AVERAGEIF(E$5:$E158,"&gt;"&amp;_xlfn.PERCENTILE.EXC(E$5:$E158,0.2)),0))</f>
        <v>0</v>
      </c>
    </row>
    <row r="159" spans="2:6" x14ac:dyDescent="0.25">
      <c r="B159" s="18">
        <v>155</v>
      </c>
      <c r="C159" s="21">
        <f ca="1">IFERROR(IF(LEFT(C158,2)="13",DATE(RIGHT(C158,4),12,31),IF(EOMONTH(C158,1)&gt;PREMISSAS!$C$3,"",IF(MONTH(C158)=11,"13º "&amp;YEAR(C158),EOMONTH(C158,1)))),"")</f>
        <v>41790</v>
      </c>
      <c r="D159" s="22">
        <f ca="1">VLOOKUP(C159,'Histórico de Remunerações'!$D$7:$E$656,2,FALSE)</f>
        <v>0</v>
      </c>
      <c r="E159" s="4" t="str">
        <f ca="1">IF(D159=0,"",IF(IF(ISTEXT(C159),DATE(RIGHT(C159,4),12,31),C159)&lt;PREMISSAS!$D$7,0,IFERROR(VLOOKUP(IF(LEFT(C159,2)="13",DATE(RIGHT(C159,4),12,31),C159),IPCA!$A$3:$D$284,4,FALSE),1)*D159))</f>
        <v/>
      </c>
      <c r="F159" s="4">
        <f ca="1">IF(C159="","",IFERROR(AVERAGEIF(E$5:$E159,"&gt;"&amp;_xlfn.PERCENTILE.EXC(E$5:$E159,0.2)),0))</f>
        <v>0</v>
      </c>
    </row>
    <row r="160" spans="2:6" x14ac:dyDescent="0.25">
      <c r="B160" s="18">
        <v>156</v>
      </c>
      <c r="C160" s="21">
        <f ca="1">IFERROR(IF(LEFT(C159,2)="13",DATE(RIGHT(C159,4),12,31),IF(EOMONTH(C159,1)&gt;PREMISSAS!$C$3,"",IF(MONTH(C159)=11,"13º "&amp;YEAR(C159),EOMONTH(C159,1)))),"")</f>
        <v>41820</v>
      </c>
      <c r="D160" s="22">
        <f ca="1">VLOOKUP(C160,'Histórico de Remunerações'!$D$7:$E$656,2,FALSE)</f>
        <v>0</v>
      </c>
      <c r="E160" s="4" t="str">
        <f ca="1">IF(D160=0,"",IF(IF(ISTEXT(C160),DATE(RIGHT(C160,4),12,31),C160)&lt;PREMISSAS!$D$7,0,IFERROR(VLOOKUP(IF(LEFT(C160,2)="13",DATE(RIGHT(C160,4),12,31),C160),IPCA!$A$3:$D$284,4,FALSE),1)*D160))</f>
        <v/>
      </c>
      <c r="F160" s="4">
        <f ca="1">IF(C160="","",IFERROR(AVERAGEIF(E$5:$E160,"&gt;"&amp;_xlfn.PERCENTILE.EXC(E$5:$E160,0.2)),0))</f>
        <v>0</v>
      </c>
    </row>
    <row r="161" spans="2:6" x14ac:dyDescent="0.25">
      <c r="B161" s="18">
        <v>157</v>
      </c>
      <c r="C161" s="21">
        <f ca="1">IFERROR(IF(LEFT(C160,2)="13",DATE(RIGHT(C160,4),12,31),IF(EOMONTH(C160,1)&gt;PREMISSAS!$C$3,"",IF(MONTH(C160)=11,"13º "&amp;YEAR(C160),EOMONTH(C160,1)))),"")</f>
        <v>41851</v>
      </c>
      <c r="D161" s="22">
        <f ca="1">VLOOKUP(C161,'Histórico de Remunerações'!$D$7:$E$656,2,FALSE)</f>
        <v>0</v>
      </c>
      <c r="E161" s="4" t="str">
        <f ca="1">IF(D161=0,"",IF(IF(ISTEXT(C161),DATE(RIGHT(C161,4),12,31),C161)&lt;PREMISSAS!$D$7,0,IFERROR(VLOOKUP(IF(LEFT(C161,2)="13",DATE(RIGHT(C161,4),12,31),C161),IPCA!$A$3:$D$284,4,FALSE),1)*D161))</f>
        <v/>
      </c>
      <c r="F161" s="4">
        <f ca="1">IF(C161="","",IFERROR(AVERAGEIF(E$5:$E161,"&gt;"&amp;_xlfn.PERCENTILE.EXC(E$5:$E161,0.2)),0))</f>
        <v>0</v>
      </c>
    </row>
    <row r="162" spans="2:6" x14ac:dyDescent="0.25">
      <c r="B162" s="18">
        <v>158</v>
      </c>
      <c r="C162" s="21">
        <f ca="1">IFERROR(IF(LEFT(C161,2)="13",DATE(RIGHT(C161,4),12,31),IF(EOMONTH(C161,1)&gt;PREMISSAS!$C$3,"",IF(MONTH(C161)=11,"13º "&amp;YEAR(C161),EOMONTH(C161,1)))),"")</f>
        <v>41882</v>
      </c>
      <c r="D162" s="22">
        <f ca="1">VLOOKUP(C162,'Histórico de Remunerações'!$D$7:$E$656,2,FALSE)</f>
        <v>0</v>
      </c>
      <c r="E162" s="4" t="str">
        <f ca="1">IF(D162=0,"",IF(IF(ISTEXT(C162),DATE(RIGHT(C162,4),12,31),C162)&lt;PREMISSAS!$D$7,0,IFERROR(VLOOKUP(IF(LEFT(C162,2)="13",DATE(RIGHT(C162,4),12,31),C162),IPCA!$A$3:$D$284,4,FALSE),1)*D162))</f>
        <v/>
      </c>
      <c r="F162" s="4">
        <f ca="1">IF(C162="","",IFERROR(AVERAGEIF(E$5:$E162,"&gt;"&amp;_xlfn.PERCENTILE.EXC(E$5:$E162,0.2)),0))</f>
        <v>0</v>
      </c>
    </row>
    <row r="163" spans="2:6" x14ac:dyDescent="0.25">
      <c r="B163" s="18">
        <v>159</v>
      </c>
      <c r="C163" s="21">
        <f ca="1">IFERROR(IF(LEFT(C162,2)="13",DATE(RIGHT(C162,4),12,31),IF(EOMONTH(C162,1)&gt;PREMISSAS!$C$3,"",IF(MONTH(C162)=11,"13º "&amp;YEAR(C162),EOMONTH(C162,1)))),"")</f>
        <v>41912</v>
      </c>
      <c r="D163" s="22">
        <f ca="1">VLOOKUP(C163,'Histórico de Remunerações'!$D$7:$E$656,2,FALSE)</f>
        <v>0</v>
      </c>
      <c r="E163" s="4" t="str">
        <f ca="1">IF(D163=0,"",IF(IF(ISTEXT(C163),DATE(RIGHT(C163,4),12,31),C163)&lt;PREMISSAS!$D$7,0,IFERROR(VLOOKUP(IF(LEFT(C163,2)="13",DATE(RIGHT(C163,4),12,31),C163),IPCA!$A$3:$D$284,4,FALSE),1)*D163))</f>
        <v/>
      </c>
      <c r="F163" s="4">
        <f ca="1">IF(C163="","",IFERROR(AVERAGEIF(E$5:$E163,"&gt;"&amp;_xlfn.PERCENTILE.EXC(E$5:$E163,0.2)),0))</f>
        <v>0</v>
      </c>
    </row>
    <row r="164" spans="2:6" x14ac:dyDescent="0.25">
      <c r="B164" s="18">
        <v>160</v>
      </c>
      <c r="C164" s="21">
        <f ca="1">IFERROR(IF(LEFT(C163,2)="13",DATE(RIGHT(C163,4),12,31),IF(EOMONTH(C163,1)&gt;PREMISSAS!$C$3,"",IF(MONTH(C163)=11,"13º "&amp;YEAR(C163),EOMONTH(C163,1)))),"")</f>
        <v>41943</v>
      </c>
      <c r="D164" s="22">
        <f ca="1">VLOOKUP(C164,'Histórico de Remunerações'!$D$7:$E$656,2,FALSE)</f>
        <v>0</v>
      </c>
      <c r="E164" s="4" t="str">
        <f ca="1">IF(D164=0,"",IF(IF(ISTEXT(C164),DATE(RIGHT(C164,4),12,31),C164)&lt;PREMISSAS!$D$7,0,IFERROR(VLOOKUP(IF(LEFT(C164,2)="13",DATE(RIGHT(C164,4),12,31),C164),IPCA!$A$3:$D$284,4,FALSE),1)*D164))</f>
        <v/>
      </c>
      <c r="F164" s="4">
        <f ca="1">IF(C164="","",IFERROR(AVERAGEIF(E$5:$E164,"&gt;"&amp;_xlfn.PERCENTILE.EXC(E$5:$E164,0.2)),0))</f>
        <v>0</v>
      </c>
    </row>
    <row r="165" spans="2:6" x14ac:dyDescent="0.25">
      <c r="B165" s="18">
        <v>161</v>
      </c>
      <c r="C165" s="21">
        <f ca="1">IFERROR(IF(LEFT(C164,2)="13",DATE(RIGHT(C164,4),12,31),IF(EOMONTH(C164,1)&gt;PREMISSAS!$C$3,"",IF(MONTH(C164)=11,"13º "&amp;YEAR(C164),EOMONTH(C164,1)))),"")</f>
        <v>41973</v>
      </c>
      <c r="D165" s="22">
        <f ca="1">VLOOKUP(C165,'Histórico de Remunerações'!$D$7:$E$656,2,FALSE)</f>
        <v>0</v>
      </c>
      <c r="E165" s="4" t="str">
        <f ca="1">IF(D165=0,"",IF(IF(ISTEXT(C165),DATE(RIGHT(C165,4),12,31),C165)&lt;PREMISSAS!$D$7,0,IFERROR(VLOOKUP(IF(LEFT(C165,2)="13",DATE(RIGHT(C165,4),12,31),C165),IPCA!$A$3:$D$284,4,FALSE),1)*D165))</f>
        <v/>
      </c>
      <c r="F165" s="4">
        <f ca="1">IF(C165="","",IFERROR(AVERAGEIF(E$5:$E165,"&gt;"&amp;_xlfn.PERCENTILE.EXC(E$5:$E165,0.2)),0))</f>
        <v>0</v>
      </c>
    </row>
    <row r="166" spans="2:6" x14ac:dyDescent="0.25">
      <c r="B166" s="18">
        <v>162</v>
      </c>
      <c r="C166" s="21" t="str">
        <f ca="1">IFERROR(IF(LEFT(C165,2)="13",DATE(RIGHT(C165,4),12,31),IF(EOMONTH(C165,1)&gt;PREMISSAS!$C$3,"",IF(MONTH(C165)=11,"13º "&amp;YEAR(C165),EOMONTH(C165,1)))),"")</f>
        <v>13º 2014</v>
      </c>
      <c r="D166" s="22">
        <f ca="1">VLOOKUP(C166,'Histórico de Remunerações'!$D$7:$E$656,2,FALSE)</f>
        <v>0</v>
      </c>
      <c r="E166" s="4" t="str">
        <f ca="1">IF(D166=0,"",IF(IF(ISTEXT(C166),DATE(RIGHT(C166,4),12,31),C166)&lt;PREMISSAS!$D$7,0,IFERROR(VLOOKUP(IF(LEFT(C166,2)="13",DATE(RIGHT(C166,4),12,31),C166),IPCA!$A$3:$D$284,4,FALSE),1)*D166))</f>
        <v/>
      </c>
      <c r="F166" s="4">
        <f ca="1">IF(C166="","",IFERROR(AVERAGEIF(E$5:$E166,"&gt;"&amp;_xlfn.PERCENTILE.EXC(E$5:$E166,0.2)),0))</f>
        <v>0</v>
      </c>
    </row>
    <row r="167" spans="2:6" x14ac:dyDescent="0.25">
      <c r="B167" s="18">
        <v>163</v>
      </c>
      <c r="C167" s="21">
        <f ca="1">IFERROR(IF(LEFT(C166,2)="13",DATE(RIGHT(C166,4),12,31),IF(EOMONTH(C166,1)&gt;PREMISSAS!$C$3,"",IF(MONTH(C166)=11,"13º "&amp;YEAR(C166),EOMONTH(C166,1)))),"")</f>
        <v>42004</v>
      </c>
      <c r="D167" s="22">
        <f ca="1">VLOOKUP(C167,'Histórico de Remunerações'!$D$7:$E$656,2,FALSE)</f>
        <v>0</v>
      </c>
      <c r="E167" s="4" t="str">
        <f ca="1">IF(D167=0,"",IF(IF(ISTEXT(C167),DATE(RIGHT(C167,4),12,31),C167)&lt;PREMISSAS!$D$7,0,IFERROR(VLOOKUP(IF(LEFT(C167,2)="13",DATE(RIGHT(C167,4),12,31),C167),IPCA!$A$3:$D$284,4,FALSE),1)*D167))</f>
        <v/>
      </c>
      <c r="F167" s="4">
        <f ca="1">IF(C167="","",IFERROR(AVERAGEIF(E$5:$E167,"&gt;"&amp;_xlfn.PERCENTILE.EXC(E$5:$E167,0.2)),0))</f>
        <v>0</v>
      </c>
    </row>
    <row r="168" spans="2:6" x14ac:dyDescent="0.25">
      <c r="B168" s="18">
        <v>164</v>
      </c>
      <c r="C168" s="21">
        <f ca="1">IFERROR(IF(LEFT(C167,2)="13",DATE(RIGHT(C167,4),12,31),IF(EOMONTH(C167,1)&gt;PREMISSAS!$C$3,"",IF(MONTH(C167)=11,"13º "&amp;YEAR(C167),EOMONTH(C167,1)))),"")</f>
        <v>42035</v>
      </c>
      <c r="D168" s="22">
        <f ca="1">VLOOKUP(C168,'Histórico de Remunerações'!$D$7:$E$656,2,FALSE)</f>
        <v>0</v>
      </c>
      <c r="E168" s="4" t="str">
        <f ca="1">IF(D168=0,"",IF(IF(ISTEXT(C168),DATE(RIGHT(C168,4),12,31),C168)&lt;PREMISSAS!$D$7,0,IFERROR(VLOOKUP(IF(LEFT(C168,2)="13",DATE(RIGHT(C168,4),12,31),C168),IPCA!$A$3:$D$284,4,FALSE),1)*D168))</f>
        <v/>
      </c>
      <c r="F168" s="4">
        <f ca="1">IF(C168="","",IFERROR(AVERAGEIF(E$5:$E168,"&gt;"&amp;_xlfn.PERCENTILE.EXC(E$5:$E168,0.2)),0))</f>
        <v>0</v>
      </c>
    </row>
    <row r="169" spans="2:6" x14ac:dyDescent="0.25">
      <c r="B169" s="18">
        <v>165</v>
      </c>
      <c r="C169" s="21">
        <f ca="1">IFERROR(IF(LEFT(C168,2)="13",DATE(RIGHT(C168,4),12,31),IF(EOMONTH(C168,1)&gt;PREMISSAS!$C$3,"",IF(MONTH(C168)=11,"13º "&amp;YEAR(C168),EOMONTH(C168,1)))),"")</f>
        <v>42063</v>
      </c>
      <c r="D169" s="22">
        <f ca="1">VLOOKUP(C169,'Histórico de Remunerações'!$D$7:$E$656,2,FALSE)</f>
        <v>0</v>
      </c>
      <c r="E169" s="4" t="str">
        <f ca="1">IF(D169=0,"",IF(IF(ISTEXT(C169),DATE(RIGHT(C169,4),12,31),C169)&lt;PREMISSAS!$D$7,0,IFERROR(VLOOKUP(IF(LEFT(C169,2)="13",DATE(RIGHT(C169,4),12,31),C169),IPCA!$A$3:$D$284,4,FALSE),1)*D169))</f>
        <v/>
      </c>
      <c r="F169" s="4">
        <f ca="1">IF(C169="","",IFERROR(AVERAGEIF(E$5:$E169,"&gt;"&amp;_xlfn.PERCENTILE.EXC(E$5:$E169,0.2)),0))</f>
        <v>0</v>
      </c>
    </row>
    <row r="170" spans="2:6" x14ac:dyDescent="0.25">
      <c r="B170" s="18">
        <v>166</v>
      </c>
      <c r="C170" s="21">
        <f ca="1">IFERROR(IF(LEFT(C169,2)="13",DATE(RIGHT(C169,4),12,31),IF(EOMONTH(C169,1)&gt;PREMISSAS!$C$3,"",IF(MONTH(C169)=11,"13º "&amp;YEAR(C169),EOMONTH(C169,1)))),"")</f>
        <v>42094</v>
      </c>
      <c r="D170" s="22">
        <f ca="1">VLOOKUP(C170,'Histórico de Remunerações'!$D$7:$E$656,2,FALSE)</f>
        <v>0</v>
      </c>
      <c r="E170" s="4" t="str">
        <f ca="1">IF(D170=0,"",IF(IF(ISTEXT(C170),DATE(RIGHT(C170,4),12,31),C170)&lt;PREMISSAS!$D$7,0,IFERROR(VLOOKUP(IF(LEFT(C170,2)="13",DATE(RIGHT(C170,4),12,31),C170),IPCA!$A$3:$D$284,4,FALSE),1)*D170))</f>
        <v/>
      </c>
      <c r="F170" s="4">
        <f ca="1">IF(C170="","",IFERROR(AVERAGEIF(E$5:$E170,"&gt;"&amp;_xlfn.PERCENTILE.EXC(E$5:$E170,0.2)),0))</f>
        <v>0</v>
      </c>
    </row>
    <row r="171" spans="2:6" x14ac:dyDescent="0.25">
      <c r="B171" s="18">
        <v>167</v>
      </c>
      <c r="C171" s="21">
        <f ca="1">IFERROR(IF(LEFT(C170,2)="13",DATE(RIGHT(C170,4),12,31),IF(EOMONTH(C170,1)&gt;PREMISSAS!$C$3,"",IF(MONTH(C170)=11,"13º "&amp;YEAR(C170),EOMONTH(C170,1)))),"")</f>
        <v>42124</v>
      </c>
      <c r="D171" s="22">
        <f ca="1">VLOOKUP(C171,'Histórico de Remunerações'!$D$7:$E$656,2,FALSE)</f>
        <v>0</v>
      </c>
      <c r="E171" s="4" t="str">
        <f ca="1">IF(D171=0,"",IF(IF(ISTEXT(C171),DATE(RIGHT(C171,4),12,31),C171)&lt;PREMISSAS!$D$7,0,IFERROR(VLOOKUP(IF(LEFT(C171,2)="13",DATE(RIGHT(C171,4),12,31),C171),IPCA!$A$3:$D$284,4,FALSE),1)*D171))</f>
        <v/>
      </c>
      <c r="F171" s="4">
        <f ca="1">IF(C171="","",IFERROR(AVERAGEIF(E$5:$E171,"&gt;"&amp;_xlfn.PERCENTILE.EXC(E$5:$E171,0.2)),0))</f>
        <v>0</v>
      </c>
    </row>
    <row r="172" spans="2:6" x14ac:dyDescent="0.25">
      <c r="B172" s="18">
        <v>168</v>
      </c>
      <c r="C172" s="21">
        <f ca="1">IFERROR(IF(LEFT(C171,2)="13",DATE(RIGHT(C171,4),12,31),IF(EOMONTH(C171,1)&gt;PREMISSAS!$C$3,"",IF(MONTH(C171)=11,"13º "&amp;YEAR(C171),EOMONTH(C171,1)))),"")</f>
        <v>42155</v>
      </c>
      <c r="D172" s="22">
        <f ca="1">VLOOKUP(C172,'Histórico de Remunerações'!$D$7:$E$656,2,FALSE)</f>
        <v>0</v>
      </c>
      <c r="E172" s="4" t="str">
        <f ca="1">IF(D172=0,"",IF(IF(ISTEXT(C172),DATE(RIGHT(C172,4),12,31),C172)&lt;PREMISSAS!$D$7,0,IFERROR(VLOOKUP(IF(LEFT(C172,2)="13",DATE(RIGHT(C172,4),12,31),C172),IPCA!$A$3:$D$284,4,FALSE),1)*D172))</f>
        <v/>
      </c>
      <c r="F172" s="4">
        <f ca="1">IF(C172="","",IFERROR(AVERAGEIF(E$5:$E172,"&gt;"&amp;_xlfn.PERCENTILE.EXC(E$5:$E172,0.2)),0))</f>
        <v>0</v>
      </c>
    </row>
    <row r="173" spans="2:6" x14ac:dyDescent="0.25">
      <c r="B173" s="18">
        <v>169</v>
      </c>
      <c r="C173" s="21">
        <f ca="1">IFERROR(IF(LEFT(C172,2)="13",DATE(RIGHT(C172,4),12,31),IF(EOMONTH(C172,1)&gt;PREMISSAS!$C$3,"",IF(MONTH(C172)=11,"13º "&amp;YEAR(C172),EOMONTH(C172,1)))),"")</f>
        <v>42185</v>
      </c>
      <c r="D173" s="22">
        <f ca="1">VLOOKUP(C173,'Histórico de Remunerações'!$D$7:$E$656,2,FALSE)</f>
        <v>0</v>
      </c>
      <c r="E173" s="4" t="str">
        <f ca="1">IF(D173=0,"",IF(IF(ISTEXT(C173),DATE(RIGHT(C173,4),12,31),C173)&lt;PREMISSAS!$D$7,0,IFERROR(VLOOKUP(IF(LEFT(C173,2)="13",DATE(RIGHT(C173,4),12,31),C173),IPCA!$A$3:$D$284,4,FALSE),1)*D173))</f>
        <v/>
      </c>
      <c r="F173" s="4">
        <f ca="1">IF(C173="","",IFERROR(AVERAGEIF(E$5:$E173,"&gt;"&amp;_xlfn.PERCENTILE.EXC(E$5:$E173,0.2)),0))</f>
        <v>0</v>
      </c>
    </row>
    <row r="174" spans="2:6" x14ac:dyDescent="0.25">
      <c r="B174" s="18">
        <v>170</v>
      </c>
      <c r="C174" s="21">
        <f ca="1">IFERROR(IF(LEFT(C173,2)="13",DATE(RIGHT(C173,4),12,31),IF(EOMONTH(C173,1)&gt;PREMISSAS!$C$3,"",IF(MONTH(C173)=11,"13º "&amp;YEAR(C173),EOMONTH(C173,1)))),"")</f>
        <v>42216</v>
      </c>
      <c r="D174" s="22">
        <f ca="1">VLOOKUP(C174,'Histórico de Remunerações'!$D$7:$E$656,2,FALSE)</f>
        <v>0</v>
      </c>
      <c r="E174" s="4" t="str">
        <f ca="1">IF(D174=0,"",IF(IF(ISTEXT(C174),DATE(RIGHT(C174,4),12,31),C174)&lt;PREMISSAS!$D$7,0,IFERROR(VLOOKUP(IF(LEFT(C174,2)="13",DATE(RIGHT(C174,4),12,31),C174),IPCA!$A$3:$D$284,4,FALSE),1)*D174))</f>
        <v/>
      </c>
      <c r="F174" s="4">
        <f ca="1">IF(C174="","",IFERROR(AVERAGEIF(E$5:$E174,"&gt;"&amp;_xlfn.PERCENTILE.EXC(E$5:$E174,0.2)),0))</f>
        <v>0</v>
      </c>
    </row>
    <row r="175" spans="2:6" x14ac:dyDescent="0.25">
      <c r="B175" s="18">
        <v>171</v>
      </c>
      <c r="C175" s="21">
        <f ca="1">IFERROR(IF(LEFT(C174,2)="13",DATE(RIGHT(C174,4),12,31),IF(EOMONTH(C174,1)&gt;PREMISSAS!$C$3,"",IF(MONTH(C174)=11,"13º "&amp;YEAR(C174),EOMONTH(C174,1)))),"")</f>
        <v>42247</v>
      </c>
      <c r="D175" s="22">
        <f ca="1">VLOOKUP(C175,'Histórico de Remunerações'!$D$7:$E$656,2,FALSE)</f>
        <v>0</v>
      </c>
      <c r="E175" s="4" t="str">
        <f ca="1">IF(D175=0,"",IF(IF(ISTEXT(C175),DATE(RIGHT(C175,4),12,31),C175)&lt;PREMISSAS!$D$7,0,IFERROR(VLOOKUP(IF(LEFT(C175,2)="13",DATE(RIGHT(C175,4),12,31),C175),IPCA!$A$3:$D$284,4,FALSE),1)*D175))</f>
        <v/>
      </c>
      <c r="F175" s="4">
        <f ca="1">IF(C175="","",IFERROR(AVERAGEIF(E$5:$E175,"&gt;"&amp;_xlfn.PERCENTILE.EXC(E$5:$E175,0.2)),0))</f>
        <v>0</v>
      </c>
    </row>
    <row r="176" spans="2:6" x14ac:dyDescent="0.25">
      <c r="B176" s="18">
        <v>172</v>
      </c>
      <c r="C176" s="21">
        <f ca="1">IFERROR(IF(LEFT(C175,2)="13",DATE(RIGHT(C175,4),12,31),IF(EOMONTH(C175,1)&gt;PREMISSAS!$C$3,"",IF(MONTH(C175)=11,"13º "&amp;YEAR(C175),EOMONTH(C175,1)))),"")</f>
        <v>42277</v>
      </c>
      <c r="D176" s="22">
        <f ca="1">VLOOKUP(C176,'Histórico de Remunerações'!$D$7:$E$656,2,FALSE)</f>
        <v>0</v>
      </c>
      <c r="E176" s="4" t="str">
        <f ca="1">IF(D176=0,"",IF(IF(ISTEXT(C176),DATE(RIGHT(C176,4),12,31),C176)&lt;PREMISSAS!$D$7,0,IFERROR(VLOOKUP(IF(LEFT(C176,2)="13",DATE(RIGHT(C176,4),12,31),C176),IPCA!$A$3:$D$284,4,FALSE),1)*D176))</f>
        <v/>
      </c>
      <c r="F176" s="4">
        <f ca="1">IF(C176="","",IFERROR(AVERAGEIF(E$5:$E176,"&gt;"&amp;_xlfn.PERCENTILE.EXC(E$5:$E176,0.2)),0))</f>
        <v>0</v>
      </c>
    </row>
    <row r="177" spans="2:6" x14ac:dyDescent="0.25">
      <c r="B177" s="18">
        <v>173</v>
      </c>
      <c r="C177" s="21">
        <f ca="1">IFERROR(IF(LEFT(C176,2)="13",DATE(RIGHT(C176,4),12,31),IF(EOMONTH(C176,1)&gt;PREMISSAS!$C$3,"",IF(MONTH(C176)=11,"13º "&amp;YEAR(C176),EOMONTH(C176,1)))),"")</f>
        <v>42308</v>
      </c>
      <c r="D177" s="22">
        <f ca="1">VLOOKUP(C177,'Histórico de Remunerações'!$D$7:$E$656,2,FALSE)</f>
        <v>0</v>
      </c>
      <c r="E177" s="4" t="str">
        <f ca="1">IF(D177=0,"",IF(IF(ISTEXT(C177),DATE(RIGHT(C177,4),12,31),C177)&lt;PREMISSAS!$D$7,0,IFERROR(VLOOKUP(IF(LEFT(C177,2)="13",DATE(RIGHT(C177,4),12,31),C177),IPCA!$A$3:$D$284,4,FALSE),1)*D177))</f>
        <v/>
      </c>
      <c r="F177" s="4">
        <f ca="1">IF(C177="","",IFERROR(AVERAGEIF(E$5:$E177,"&gt;"&amp;_xlfn.PERCENTILE.EXC(E$5:$E177,0.2)),0))</f>
        <v>0</v>
      </c>
    </row>
    <row r="178" spans="2:6" x14ac:dyDescent="0.25">
      <c r="B178" s="18">
        <v>174</v>
      </c>
      <c r="C178" s="21">
        <f ca="1">IFERROR(IF(LEFT(C177,2)="13",DATE(RIGHT(C177,4),12,31),IF(EOMONTH(C177,1)&gt;PREMISSAS!$C$3,"",IF(MONTH(C177)=11,"13º "&amp;YEAR(C177),EOMONTH(C177,1)))),"")</f>
        <v>42338</v>
      </c>
      <c r="D178" s="22">
        <f ca="1">VLOOKUP(C178,'Histórico de Remunerações'!$D$7:$E$656,2,FALSE)</f>
        <v>0</v>
      </c>
      <c r="E178" s="4" t="str">
        <f ca="1">IF(D178=0,"",IF(IF(ISTEXT(C178),DATE(RIGHT(C178,4),12,31),C178)&lt;PREMISSAS!$D$7,0,IFERROR(VLOOKUP(IF(LEFT(C178,2)="13",DATE(RIGHT(C178,4),12,31),C178),IPCA!$A$3:$D$284,4,FALSE),1)*D178))</f>
        <v/>
      </c>
      <c r="F178" s="4">
        <f ca="1">IF(C178="","",IFERROR(AVERAGEIF(E$5:$E178,"&gt;"&amp;_xlfn.PERCENTILE.EXC(E$5:$E178,0.2)),0))</f>
        <v>0</v>
      </c>
    </row>
    <row r="179" spans="2:6" x14ac:dyDescent="0.25">
      <c r="B179" s="18">
        <v>175</v>
      </c>
      <c r="C179" s="21" t="str">
        <f ca="1">IFERROR(IF(LEFT(C178,2)="13",DATE(RIGHT(C178,4),12,31),IF(EOMONTH(C178,1)&gt;PREMISSAS!$C$3,"",IF(MONTH(C178)=11,"13º "&amp;YEAR(C178),EOMONTH(C178,1)))),"")</f>
        <v>13º 2015</v>
      </c>
      <c r="D179" s="22">
        <f ca="1">VLOOKUP(C179,'Histórico de Remunerações'!$D$7:$E$656,2,FALSE)</f>
        <v>0</v>
      </c>
      <c r="E179" s="4" t="str">
        <f ca="1">IF(D179=0,"",IF(IF(ISTEXT(C179),DATE(RIGHT(C179,4),12,31),C179)&lt;PREMISSAS!$D$7,0,IFERROR(VLOOKUP(IF(LEFT(C179,2)="13",DATE(RIGHT(C179,4),12,31),C179),IPCA!$A$3:$D$284,4,FALSE),1)*D179))</f>
        <v/>
      </c>
      <c r="F179" s="4">
        <f ca="1">IF(C179="","",IFERROR(AVERAGEIF(E$5:$E179,"&gt;"&amp;_xlfn.PERCENTILE.EXC(E$5:$E179,0.2)),0))</f>
        <v>0</v>
      </c>
    </row>
    <row r="180" spans="2:6" x14ac:dyDescent="0.25">
      <c r="B180" s="18">
        <v>176</v>
      </c>
      <c r="C180" s="21">
        <f ca="1">IFERROR(IF(LEFT(C179,2)="13",DATE(RIGHT(C179,4),12,31),IF(EOMONTH(C179,1)&gt;PREMISSAS!$C$3,"",IF(MONTH(C179)=11,"13º "&amp;YEAR(C179),EOMONTH(C179,1)))),"")</f>
        <v>42369</v>
      </c>
      <c r="D180" s="22">
        <f ca="1">VLOOKUP(C180,'Histórico de Remunerações'!$D$7:$E$656,2,FALSE)</f>
        <v>0</v>
      </c>
      <c r="E180" s="4" t="str">
        <f ca="1">IF(D180=0,"",IF(IF(ISTEXT(C180),DATE(RIGHT(C180,4),12,31),C180)&lt;PREMISSAS!$D$7,0,IFERROR(VLOOKUP(IF(LEFT(C180,2)="13",DATE(RIGHT(C180,4),12,31),C180),IPCA!$A$3:$D$284,4,FALSE),1)*D180))</f>
        <v/>
      </c>
      <c r="F180" s="4">
        <f ca="1">IF(C180="","",IFERROR(AVERAGEIF(E$5:$E180,"&gt;"&amp;_xlfn.PERCENTILE.EXC(E$5:$E180,0.2)),0))</f>
        <v>0</v>
      </c>
    </row>
    <row r="181" spans="2:6" x14ac:dyDescent="0.25">
      <c r="B181" s="18">
        <v>177</v>
      </c>
      <c r="C181" s="21">
        <f ca="1">IFERROR(IF(LEFT(C180,2)="13",DATE(RIGHT(C180,4),12,31),IF(EOMONTH(C180,1)&gt;PREMISSAS!$C$3,"",IF(MONTH(C180)=11,"13º "&amp;YEAR(C180),EOMONTH(C180,1)))),"")</f>
        <v>42400</v>
      </c>
      <c r="D181" s="22">
        <f ca="1">VLOOKUP(C181,'Histórico de Remunerações'!$D$7:$E$656,2,FALSE)</f>
        <v>0</v>
      </c>
      <c r="E181" s="4" t="str">
        <f ca="1">IF(D181=0,"",IF(IF(ISTEXT(C181),DATE(RIGHT(C181,4),12,31),C181)&lt;PREMISSAS!$D$7,0,IFERROR(VLOOKUP(IF(LEFT(C181,2)="13",DATE(RIGHT(C181,4),12,31),C181),IPCA!$A$3:$D$284,4,FALSE),1)*D181))</f>
        <v/>
      </c>
      <c r="F181" s="4">
        <f ca="1">IF(C181="","",IFERROR(AVERAGEIF(E$5:$E181,"&gt;"&amp;_xlfn.PERCENTILE.EXC(E$5:$E181,0.2)),0))</f>
        <v>0</v>
      </c>
    </row>
    <row r="182" spans="2:6" x14ac:dyDescent="0.25">
      <c r="B182" s="18">
        <v>178</v>
      </c>
      <c r="C182" s="21">
        <f ca="1">IFERROR(IF(LEFT(C181,2)="13",DATE(RIGHT(C181,4),12,31),IF(EOMONTH(C181,1)&gt;PREMISSAS!$C$3,"",IF(MONTH(C181)=11,"13º "&amp;YEAR(C181),EOMONTH(C181,1)))),"")</f>
        <v>42429</v>
      </c>
      <c r="D182" s="22">
        <f ca="1">VLOOKUP(C182,'Histórico de Remunerações'!$D$7:$E$656,2,FALSE)</f>
        <v>0</v>
      </c>
      <c r="E182" s="4" t="str">
        <f ca="1">IF(D182=0,"",IF(IF(ISTEXT(C182),DATE(RIGHT(C182,4),12,31),C182)&lt;PREMISSAS!$D$7,0,IFERROR(VLOOKUP(IF(LEFT(C182,2)="13",DATE(RIGHT(C182,4),12,31),C182),IPCA!$A$3:$D$284,4,FALSE),1)*D182))</f>
        <v/>
      </c>
      <c r="F182" s="4">
        <f ca="1">IF(C182="","",IFERROR(AVERAGEIF(E$5:$E182,"&gt;"&amp;_xlfn.PERCENTILE.EXC(E$5:$E182,0.2)),0))</f>
        <v>0</v>
      </c>
    </row>
    <row r="183" spans="2:6" x14ac:dyDescent="0.25">
      <c r="B183" s="18">
        <v>179</v>
      </c>
      <c r="C183" s="21">
        <f ca="1">IFERROR(IF(LEFT(C182,2)="13",DATE(RIGHT(C182,4),12,31),IF(EOMONTH(C182,1)&gt;PREMISSAS!$C$3,"",IF(MONTH(C182)=11,"13º "&amp;YEAR(C182),EOMONTH(C182,1)))),"")</f>
        <v>42460</v>
      </c>
      <c r="D183" s="22">
        <f ca="1">VLOOKUP(C183,'Histórico de Remunerações'!$D$7:$E$656,2,FALSE)</f>
        <v>0</v>
      </c>
      <c r="E183" s="4" t="str">
        <f ca="1">IF(D183=0,"",IF(IF(ISTEXT(C183),DATE(RIGHT(C183,4),12,31),C183)&lt;PREMISSAS!$D$7,0,IFERROR(VLOOKUP(IF(LEFT(C183,2)="13",DATE(RIGHT(C183,4),12,31),C183),IPCA!$A$3:$D$284,4,FALSE),1)*D183))</f>
        <v/>
      </c>
      <c r="F183" s="4">
        <f ca="1">IF(C183="","",IFERROR(AVERAGEIF(E$5:$E183,"&gt;"&amp;_xlfn.PERCENTILE.EXC(E$5:$E183,0.2)),0))</f>
        <v>0</v>
      </c>
    </row>
    <row r="184" spans="2:6" x14ac:dyDescent="0.25">
      <c r="B184" s="18">
        <v>180</v>
      </c>
      <c r="C184" s="21">
        <f ca="1">IFERROR(IF(LEFT(C183,2)="13",DATE(RIGHT(C183,4),12,31),IF(EOMONTH(C183,1)&gt;PREMISSAS!$C$3,"",IF(MONTH(C183)=11,"13º "&amp;YEAR(C183),EOMONTH(C183,1)))),"")</f>
        <v>42490</v>
      </c>
      <c r="D184" s="22">
        <f ca="1">VLOOKUP(C184,'Histórico de Remunerações'!$D$7:$E$656,2,FALSE)</f>
        <v>0</v>
      </c>
      <c r="E184" s="4" t="str">
        <f ca="1">IF(D184=0,"",IF(IF(ISTEXT(C184),DATE(RIGHT(C184,4),12,31),C184)&lt;PREMISSAS!$D$7,0,IFERROR(VLOOKUP(IF(LEFT(C184,2)="13",DATE(RIGHT(C184,4),12,31),C184),IPCA!$A$3:$D$284,4,FALSE),1)*D184))</f>
        <v/>
      </c>
      <c r="F184" s="4">
        <f ca="1">IF(C184="","",IFERROR(AVERAGEIF(E$5:$E184,"&gt;"&amp;_xlfn.PERCENTILE.EXC(E$5:$E184,0.2)),0))</f>
        <v>0</v>
      </c>
    </row>
    <row r="185" spans="2:6" x14ac:dyDescent="0.25">
      <c r="B185" s="18">
        <v>181</v>
      </c>
      <c r="C185" s="21">
        <f ca="1">IFERROR(IF(LEFT(C184,2)="13",DATE(RIGHT(C184,4),12,31),IF(EOMONTH(C184,1)&gt;PREMISSAS!$C$3,"",IF(MONTH(C184)=11,"13º "&amp;YEAR(C184),EOMONTH(C184,1)))),"")</f>
        <v>42521</v>
      </c>
      <c r="D185" s="22">
        <f ca="1">VLOOKUP(C185,'Histórico de Remunerações'!$D$7:$E$656,2,FALSE)</f>
        <v>0</v>
      </c>
      <c r="E185" s="4" t="str">
        <f ca="1">IF(D185=0,"",IF(IF(ISTEXT(C185),DATE(RIGHT(C185,4),12,31),C185)&lt;PREMISSAS!$D$7,0,IFERROR(VLOOKUP(IF(LEFT(C185,2)="13",DATE(RIGHT(C185,4),12,31),C185),IPCA!$A$3:$D$284,4,FALSE),1)*D185))</f>
        <v/>
      </c>
      <c r="F185" s="4">
        <f ca="1">IF(C185="","",IFERROR(AVERAGEIF(E$5:$E185,"&gt;"&amp;_xlfn.PERCENTILE.EXC(E$5:$E185,0.2)),0))</f>
        <v>0</v>
      </c>
    </row>
    <row r="186" spans="2:6" x14ac:dyDescent="0.25">
      <c r="B186" s="18">
        <v>182</v>
      </c>
      <c r="C186" s="21">
        <f ca="1">IFERROR(IF(LEFT(C185,2)="13",DATE(RIGHT(C185,4),12,31),IF(EOMONTH(C185,1)&gt;PREMISSAS!$C$3,"",IF(MONTH(C185)=11,"13º "&amp;YEAR(C185),EOMONTH(C185,1)))),"")</f>
        <v>42551</v>
      </c>
      <c r="D186" s="22">
        <f ca="1">VLOOKUP(C186,'Histórico de Remunerações'!$D$7:$E$656,2,FALSE)</f>
        <v>0</v>
      </c>
      <c r="E186" s="4" t="str">
        <f ca="1">IF(D186=0,"",IF(IF(ISTEXT(C186),DATE(RIGHT(C186,4),12,31),C186)&lt;PREMISSAS!$D$7,0,IFERROR(VLOOKUP(IF(LEFT(C186,2)="13",DATE(RIGHT(C186,4),12,31),C186),IPCA!$A$3:$D$284,4,FALSE),1)*D186))</f>
        <v/>
      </c>
      <c r="F186" s="4">
        <f ca="1">IF(C186="","",IFERROR(AVERAGEIF(E$5:$E186,"&gt;"&amp;_xlfn.PERCENTILE.EXC(E$5:$E186,0.2)),0))</f>
        <v>0</v>
      </c>
    </row>
    <row r="187" spans="2:6" x14ac:dyDescent="0.25">
      <c r="B187" s="18">
        <v>183</v>
      </c>
      <c r="C187" s="21">
        <f ca="1">IFERROR(IF(LEFT(C186,2)="13",DATE(RIGHT(C186,4),12,31),IF(EOMONTH(C186,1)&gt;PREMISSAS!$C$3,"",IF(MONTH(C186)=11,"13º "&amp;YEAR(C186),EOMONTH(C186,1)))),"")</f>
        <v>42582</v>
      </c>
      <c r="D187" s="22">
        <f ca="1">VLOOKUP(C187,'Histórico de Remunerações'!$D$7:$E$656,2,FALSE)</f>
        <v>0</v>
      </c>
      <c r="E187" s="4" t="str">
        <f ca="1">IF(D187=0,"",IF(IF(ISTEXT(C187),DATE(RIGHT(C187,4),12,31),C187)&lt;PREMISSAS!$D$7,0,IFERROR(VLOOKUP(IF(LEFT(C187,2)="13",DATE(RIGHT(C187,4),12,31),C187),IPCA!$A$3:$D$284,4,FALSE),1)*D187))</f>
        <v/>
      </c>
      <c r="F187" s="4">
        <f ca="1">IF(C187="","",IFERROR(AVERAGEIF(E$5:$E187,"&gt;"&amp;_xlfn.PERCENTILE.EXC(E$5:$E187,0.2)),0))</f>
        <v>0</v>
      </c>
    </row>
    <row r="188" spans="2:6" x14ac:dyDescent="0.25">
      <c r="B188" s="18">
        <v>184</v>
      </c>
      <c r="C188" s="21">
        <f ca="1">IFERROR(IF(LEFT(C187,2)="13",DATE(RIGHT(C187,4),12,31),IF(EOMONTH(C187,1)&gt;PREMISSAS!$C$3,"",IF(MONTH(C187)=11,"13º "&amp;YEAR(C187),EOMONTH(C187,1)))),"")</f>
        <v>42613</v>
      </c>
      <c r="D188" s="22">
        <f ca="1">VLOOKUP(C188,'Histórico de Remunerações'!$D$7:$E$656,2,FALSE)</f>
        <v>0</v>
      </c>
      <c r="E188" s="4" t="str">
        <f ca="1">IF(D188=0,"",IF(IF(ISTEXT(C188),DATE(RIGHT(C188,4),12,31),C188)&lt;PREMISSAS!$D$7,0,IFERROR(VLOOKUP(IF(LEFT(C188,2)="13",DATE(RIGHT(C188,4),12,31),C188),IPCA!$A$3:$D$284,4,FALSE),1)*D188))</f>
        <v/>
      </c>
      <c r="F188" s="4">
        <f ca="1">IF(C188="","",IFERROR(AVERAGEIF(E$5:$E188,"&gt;"&amp;_xlfn.PERCENTILE.EXC(E$5:$E188,0.2)),0))</f>
        <v>0</v>
      </c>
    </row>
    <row r="189" spans="2:6" x14ac:dyDescent="0.25">
      <c r="B189" s="18">
        <v>185</v>
      </c>
      <c r="C189" s="21">
        <f ca="1">IFERROR(IF(LEFT(C188,2)="13",DATE(RIGHT(C188,4),12,31),IF(EOMONTH(C188,1)&gt;PREMISSAS!$C$3,"",IF(MONTH(C188)=11,"13º "&amp;YEAR(C188),EOMONTH(C188,1)))),"")</f>
        <v>42643</v>
      </c>
      <c r="D189" s="22">
        <f ca="1">VLOOKUP(C189,'Histórico de Remunerações'!$D$7:$E$656,2,FALSE)</f>
        <v>0</v>
      </c>
      <c r="E189" s="4" t="str">
        <f ca="1">IF(D189=0,"",IF(IF(ISTEXT(C189),DATE(RIGHT(C189,4),12,31),C189)&lt;PREMISSAS!$D$7,0,IFERROR(VLOOKUP(IF(LEFT(C189,2)="13",DATE(RIGHT(C189,4),12,31),C189),IPCA!$A$3:$D$284,4,FALSE),1)*D189))</f>
        <v/>
      </c>
      <c r="F189" s="4">
        <f ca="1">IF(C189="","",IFERROR(AVERAGEIF(E$5:$E189,"&gt;"&amp;_xlfn.PERCENTILE.EXC(E$5:$E189,0.2)),0))</f>
        <v>0</v>
      </c>
    </row>
    <row r="190" spans="2:6" x14ac:dyDescent="0.25">
      <c r="B190" s="18">
        <v>186</v>
      </c>
      <c r="C190" s="21">
        <f ca="1">IFERROR(IF(LEFT(C189,2)="13",DATE(RIGHT(C189,4),12,31),IF(EOMONTH(C189,1)&gt;PREMISSAS!$C$3,"",IF(MONTH(C189)=11,"13º "&amp;YEAR(C189),EOMONTH(C189,1)))),"")</f>
        <v>42674</v>
      </c>
      <c r="D190" s="22">
        <f ca="1">VLOOKUP(C190,'Histórico de Remunerações'!$D$7:$E$656,2,FALSE)</f>
        <v>0</v>
      </c>
      <c r="E190" s="4" t="str">
        <f ca="1">IF(D190=0,"",IF(IF(ISTEXT(C190),DATE(RIGHT(C190,4),12,31),C190)&lt;PREMISSAS!$D$7,0,IFERROR(VLOOKUP(IF(LEFT(C190,2)="13",DATE(RIGHT(C190,4),12,31),C190),IPCA!$A$3:$D$284,4,FALSE),1)*D190))</f>
        <v/>
      </c>
      <c r="F190" s="4">
        <f ca="1">IF(C190="","",IFERROR(AVERAGEIF(E$5:$E190,"&gt;"&amp;_xlfn.PERCENTILE.EXC(E$5:$E190,0.2)),0))</f>
        <v>0</v>
      </c>
    </row>
    <row r="191" spans="2:6" x14ac:dyDescent="0.25">
      <c r="B191" s="18">
        <v>187</v>
      </c>
      <c r="C191" s="21">
        <f ca="1">IFERROR(IF(LEFT(C190,2)="13",DATE(RIGHT(C190,4),12,31),IF(EOMONTH(C190,1)&gt;PREMISSAS!$C$3,"",IF(MONTH(C190)=11,"13º "&amp;YEAR(C190),EOMONTH(C190,1)))),"")</f>
        <v>42704</v>
      </c>
      <c r="D191" s="22">
        <f ca="1">VLOOKUP(C191,'Histórico de Remunerações'!$D$7:$E$656,2,FALSE)</f>
        <v>0</v>
      </c>
      <c r="E191" s="4" t="str">
        <f ca="1">IF(D191=0,"",IF(IF(ISTEXT(C191),DATE(RIGHT(C191,4),12,31),C191)&lt;PREMISSAS!$D$7,0,IFERROR(VLOOKUP(IF(LEFT(C191,2)="13",DATE(RIGHT(C191,4),12,31),C191),IPCA!$A$3:$D$284,4,FALSE),1)*D191))</f>
        <v/>
      </c>
      <c r="F191" s="4">
        <f ca="1">IF(C191="","",IFERROR(AVERAGEIF(E$5:$E191,"&gt;"&amp;_xlfn.PERCENTILE.EXC(E$5:$E191,0.2)),0))</f>
        <v>0</v>
      </c>
    </row>
    <row r="192" spans="2:6" x14ac:dyDescent="0.25">
      <c r="B192" s="18">
        <v>188</v>
      </c>
      <c r="C192" s="21" t="str">
        <f ca="1">IFERROR(IF(LEFT(C191,2)="13",DATE(RIGHT(C191,4),12,31),IF(EOMONTH(C191,1)&gt;PREMISSAS!$C$3,"",IF(MONTH(C191)=11,"13º "&amp;YEAR(C191),EOMONTH(C191,1)))),"")</f>
        <v>13º 2016</v>
      </c>
      <c r="D192" s="22">
        <f ca="1">VLOOKUP(C192,'Histórico de Remunerações'!$D$7:$E$656,2,FALSE)</f>
        <v>0</v>
      </c>
      <c r="E192" s="4" t="str">
        <f ca="1">IF(D192=0,"",IF(IF(ISTEXT(C192),DATE(RIGHT(C192,4),12,31),C192)&lt;PREMISSAS!$D$7,0,IFERROR(VLOOKUP(IF(LEFT(C192,2)="13",DATE(RIGHT(C192,4),12,31),C192),IPCA!$A$3:$D$284,4,FALSE),1)*D192))</f>
        <v/>
      </c>
      <c r="F192" s="4">
        <f ca="1">IF(C192="","",IFERROR(AVERAGEIF(E$5:$E192,"&gt;"&amp;_xlfn.PERCENTILE.EXC(E$5:$E192,0.2)),0))</f>
        <v>0</v>
      </c>
    </row>
    <row r="193" spans="2:6" x14ac:dyDescent="0.25">
      <c r="B193" s="18">
        <v>189</v>
      </c>
      <c r="C193" s="21">
        <f ca="1">IFERROR(IF(LEFT(C192,2)="13",DATE(RIGHT(C192,4),12,31),IF(EOMONTH(C192,1)&gt;PREMISSAS!$C$3,"",IF(MONTH(C192)=11,"13º "&amp;YEAR(C192),EOMONTH(C192,1)))),"")</f>
        <v>42735</v>
      </c>
      <c r="D193" s="22">
        <f ca="1">VLOOKUP(C193,'Histórico de Remunerações'!$D$7:$E$656,2,FALSE)</f>
        <v>0</v>
      </c>
      <c r="E193" s="4" t="str">
        <f ca="1">IF(D193=0,"",IF(IF(ISTEXT(C193),DATE(RIGHT(C193,4),12,31),C193)&lt;PREMISSAS!$D$7,0,IFERROR(VLOOKUP(IF(LEFT(C193,2)="13",DATE(RIGHT(C193,4),12,31),C193),IPCA!$A$3:$D$284,4,FALSE),1)*D193))</f>
        <v/>
      </c>
      <c r="F193" s="4">
        <f ca="1">IF(C193="","",IFERROR(AVERAGEIF(E$5:$E193,"&gt;"&amp;_xlfn.PERCENTILE.EXC(E$5:$E193,0.2)),0))</f>
        <v>0</v>
      </c>
    </row>
    <row r="194" spans="2:6" x14ac:dyDescent="0.25">
      <c r="B194" s="18">
        <v>190</v>
      </c>
      <c r="C194" s="21">
        <f ca="1">IFERROR(IF(LEFT(C193,2)="13",DATE(RIGHT(C193,4),12,31),IF(EOMONTH(C193,1)&gt;PREMISSAS!$C$3,"",IF(MONTH(C193)=11,"13º "&amp;YEAR(C193),EOMONTH(C193,1)))),"")</f>
        <v>42766</v>
      </c>
      <c r="D194" s="22">
        <f ca="1">VLOOKUP(C194,'Histórico de Remunerações'!$D$7:$E$656,2,FALSE)</f>
        <v>0</v>
      </c>
      <c r="E194" s="4" t="str">
        <f ca="1">IF(D194=0,"",IF(IF(ISTEXT(C194),DATE(RIGHT(C194,4),12,31),C194)&lt;PREMISSAS!$D$7,0,IFERROR(VLOOKUP(IF(LEFT(C194,2)="13",DATE(RIGHT(C194,4),12,31),C194),IPCA!$A$3:$D$284,4,FALSE),1)*D194))</f>
        <v/>
      </c>
      <c r="F194" s="4">
        <f ca="1">IF(C194="","",IFERROR(AVERAGEIF(E$5:$E194,"&gt;"&amp;_xlfn.PERCENTILE.EXC(E$5:$E194,0.2)),0))</f>
        <v>0</v>
      </c>
    </row>
    <row r="195" spans="2:6" x14ac:dyDescent="0.25">
      <c r="B195" s="18">
        <v>191</v>
      </c>
      <c r="C195" s="21">
        <f ca="1">IFERROR(IF(LEFT(C194,2)="13",DATE(RIGHT(C194,4),12,31),IF(EOMONTH(C194,1)&gt;PREMISSAS!$C$3,"",IF(MONTH(C194)=11,"13º "&amp;YEAR(C194),EOMONTH(C194,1)))),"")</f>
        <v>42794</v>
      </c>
      <c r="D195" s="22">
        <f ca="1">VLOOKUP(C195,'Histórico de Remunerações'!$D$7:$E$656,2,FALSE)</f>
        <v>0</v>
      </c>
      <c r="E195" s="4" t="str">
        <f ca="1">IF(D195=0,"",IF(IF(ISTEXT(C195),DATE(RIGHT(C195,4),12,31),C195)&lt;PREMISSAS!$D$7,0,IFERROR(VLOOKUP(IF(LEFT(C195,2)="13",DATE(RIGHT(C195,4),12,31),C195),IPCA!$A$3:$D$284,4,FALSE),1)*D195))</f>
        <v/>
      </c>
      <c r="F195" s="4">
        <f ca="1">IF(C195="","",IFERROR(AVERAGEIF(E$5:$E195,"&gt;"&amp;_xlfn.PERCENTILE.EXC(E$5:$E195,0.2)),0))</f>
        <v>0</v>
      </c>
    </row>
    <row r="196" spans="2:6" x14ac:dyDescent="0.25">
      <c r="B196" s="18">
        <v>192</v>
      </c>
      <c r="C196" s="21">
        <f ca="1">IFERROR(IF(LEFT(C195,2)="13",DATE(RIGHT(C195,4),12,31),IF(EOMONTH(C195,1)&gt;PREMISSAS!$C$3,"",IF(MONTH(C195)=11,"13º "&amp;YEAR(C195),EOMONTH(C195,1)))),"")</f>
        <v>42825</v>
      </c>
      <c r="D196" s="22">
        <f ca="1">VLOOKUP(C196,'Histórico de Remunerações'!$D$7:$E$656,2,FALSE)</f>
        <v>0</v>
      </c>
      <c r="E196" s="4" t="str">
        <f ca="1">IF(D196=0,"",IF(IF(ISTEXT(C196),DATE(RIGHT(C196,4),12,31),C196)&lt;PREMISSAS!$D$7,0,IFERROR(VLOOKUP(IF(LEFT(C196,2)="13",DATE(RIGHT(C196,4),12,31),C196),IPCA!$A$3:$D$284,4,FALSE),1)*D196))</f>
        <v/>
      </c>
      <c r="F196" s="4">
        <f ca="1">IF(C196="","",IFERROR(AVERAGEIF(E$5:$E196,"&gt;"&amp;_xlfn.PERCENTILE.EXC(E$5:$E196,0.2)),0))</f>
        <v>0</v>
      </c>
    </row>
    <row r="197" spans="2:6" x14ac:dyDescent="0.25">
      <c r="B197" s="18">
        <v>193</v>
      </c>
      <c r="C197" s="21">
        <f ca="1">IFERROR(IF(LEFT(C196,2)="13",DATE(RIGHT(C196,4),12,31),IF(EOMONTH(C196,1)&gt;PREMISSAS!$C$3,"",IF(MONTH(C196)=11,"13º "&amp;YEAR(C196),EOMONTH(C196,1)))),"")</f>
        <v>42855</v>
      </c>
      <c r="D197" s="22">
        <f ca="1">VLOOKUP(C197,'Histórico de Remunerações'!$D$7:$E$656,2,FALSE)</f>
        <v>0</v>
      </c>
      <c r="E197" s="4" t="str">
        <f ca="1">IF(D197=0,"",IF(IF(ISTEXT(C197),DATE(RIGHT(C197,4),12,31),C197)&lt;PREMISSAS!$D$7,0,IFERROR(VLOOKUP(IF(LEFT(C197,2)="13",DATE(RIGHT(C197,4),12,31),C197),IPCA!$A$3:$D$284,4,FALSE),1)*D197))</f>
        <v/>
      </c>
      <c r="F197" s="4">
        <f ca="1">IF(C197="","",IFERROR(AVERAGEIF(E$5:$E197,"&gt;"&amp;_xlfn.PERCENTILE.EXC(E$5:$E197,0.2)),0))</f>
        <v>0</v>
      </c>
    </row>
    <row r="198" spans="2:6" x14ac:dyDescent="0.25">
      <c r="B198" s="18">
        <v>194</v>
      </c>
      <c r="C198" s="21">
        <f ca="1">IFERROR(IF(LEFT(C197,2)="13",DATE(RIGHT(C197,4),12,31),IF(EOMONTH(C197,1)&gt;PREMISSAS!$C$3,"",IF(MONTH(C197)=11,"13º "&amp;YEAR(C197),EOMONTH(C197,1)))),"")</f>
        <v>42886</v>
      </c>
      <c r="D198" s="22">
        <f ca="1">VLOOKUP(C198,'Histórico de Remunerações'!$D$7:$E$656,2,FALSE)</f>
        <v>0</v>
      </c>
      <c r="E198" s="4" t="str">
        <f ca="1">IF(D198=0,"",IF(IF(ISTEXT(C198),DATE(RIGHT(C198,4),12,31),C198)&lt;PREMISSAS!$D$7,0,IFERROR(VLOOKUP(IF(LEFT(C198,2)="13",DATE(RIGHT(C198,4),12,31),C198),IPCA!$A$3:$D$284,4,FALSE),1)*D198))</f>
        <v/>
      </c>
      <c r="F198" s="4">
        <f ca="1">IF(C198="","",IFERROR(AVERAGEIF(E$5:$E198,"&gt;"&amp;_xlfn.PERCENTILE.EXC(E$5:$E198,0.2)),0))</f>
        <v>0</v>
      </c>
    </row>
    <row r="199" spans="2:6" x14ac:dyDescent="0.25">
      <c r="B199" s="18">
        <v>195</v>
      </c>
      <c r="C199" s="21">
        <f ca="1">IFERROR(IF(LEFT(C198,2)="13",DATE(RIGHT(C198,4),12,31),IF(EOMONTH(C198,1)&gt;PREMISSAS!$C$3,"",IF(MONTH(C198)=11,"13º "&amp;YEAR(C198),EOMONTH(C198,1)))),"")</f>
        <v>42916</v>
      </c>
      <c r="D199" s="22">
        <f ca="1">VLOOKUP(C199,'Histórico de Remunerações'!$D$7:$E$656,2,FALSE)</f>
        <v>0</v>
      </c>
      <c r="E199" s="4" t="str">
        <f ca="1">IF(D199=0,"",IF(IF(ISTEXT(C199),DATE(RIGHT(C199,4),12,31),C199)&lt;PREMISSAS!$D$7,0,IFERROR(VLOOKUP(IF(LEFT(C199,2)="13",DATE(RIGHT(C199,4),12,31),C199),IPCA!$A$3:$D$284,4,FALSE),1)*D199))</f>
        <v/>
      </c>
      <c r="F199" s="4">
        <f ca="1">IF(C199="","",IFERROR(AVERAGEIF(E$5:$E199,"&gt;"&amp;_xlfn.PERCENTILE.EXC(E$5:$E199,0.2)),0))</f>
        <v>0</v>
      </c>
    </row>
    <row r="200" spans="2:6" x14ac:dyDescent="0.25">
      <c r="B200" s="18">
        <v>196</v>
      </c>
      <c r="C200" s="21">
        <f ca="1">IFERROR(IF(LEFT(C199,2)="13",DATE(RIGHT(C199,4),12,31),IF(EOMONTH(C199,1)&gt;PREMISSAS!$C$3,"",IF(MONTH(C199)=11,"13º "&amp;YEAR(C199),EOMONTH(C199,1)))),"")</f>
        <v>42947</v>
      </c>
      <c r="D200" s="22">
        <f ca="1">VLOOKUP(C200,'Histórico de Remunerações'!$D$7:$E$656,2,FALSE)</f>
        <v>0</v>
      </c>
      <c r="E200" s="4" t="str">
        <f ca="1">IF(D200=0,"",IF(IF(ISTEXT(C200),DATE(RIGHT(C200,4),12,31),C200)&lt;PREMISSAS!$D$7,0,IFERROR(VLOOKUP(IF(LEFT(C200,2)="13",DATE(RIGHT(C200,4),12,31),C200),IPCA!$A$3:$D$284,4,FALSE),1)*D200))</f>
        <v/>
      </c>
      <c r="F200" s="4">
        <f ca="1">IF(C200="","",IFERROR(AVERAGEIF(E$5:$E200,"&gt;"&amp;_xlfn.PERCENTILE.EXC(E$5:$E200,0.2)),0))</f>
        <v>0</v>
      </c>
    </row>
    <row r="201" spans="2:6" x14ac:dyDescent="0.25">
      <c r="B201" s="18">
        <v>197</v>
      </c>
      <c r="C201" s="21">
        <f ca="1">IFERROR(IF(LEFT(C200,2)="13",DATE(RIGHT(C200,4),12,31),IF(EOMONTH(C200,1)&gt;PREMISSAS!$C$3,"",IF(MONTH(C200)=11,"13º "&amp;YEAR(C200),EOMONTH(C200,1)))),"")</f>
        <v>42978</v>
      </c>
      <c r="D201" s="22">
        <f ca="1">VLOOKUP(C201,'Histórico de Remunerações'!$D$7:$E$656,2,FALSE)</f>
        <v>0</v>
      </c>
      <c r="E201" s="4" t="str">
        <f ca="1">IF(D201=0,"",IF(IF(ISTEXT(C201),DATE(RIGHT(C201,4),12,31),C201)&lt;PREMISSAS!$D$7,0,IFERROR(VLOOKUP(IF(LEFT(C201,2)="13",DATE(RIGHT(C201,4),12,31),C201),IPCA!$A$3:$D$284,4,FALSE),1)*D201))</f>
        <v/>
      </c>
      <c r="F201" s="4">
        <f ca="1">IF(C201="","",IFERROR(AVERAGEIF(E$5:$E201,"&gt;"&amp;_xlfn.PERCENTILE.EXC(E$5:$E201,0.2)),0))</f>
        <v>0</v>
      </c>
    </row>
    <row r="202" spans="2:6" x14ac:dyDescent="0.25">
      <c r="B202" s="18">
        <v>198</v>
      </c>
      <c r="C202" s="21">
        <f ca="1">IFERROR(IF(LEFT(C201,2)="13",DATE(RIGHT(C201,4),12,31),IF(EOMONTH(C201,1)&gt;PREMISSAS!$C$3,"",IF(MONTH(C201)=11,"13º "&amp;YEAR(C201),EOMONTH(C201,1)))),"")</f>
        <v>43008</v>
      </c>
      <c r="D202" s="22">
        <f ca="1">VLOOKUP(C202,'Histórico de Remunerações'!$D$7:$E$656,2,FALSE)</f>
        <v>0</v>
      </c>
      <c r="E202" s="4" t="str">
        <f ca="1">IF(D202=0,"",IF(IF(ISTEXT(C202),DATE(RIGHT(C202,4),12,31),C202)&lt;PREMISSAS!$D$7,0,IFERROR(VLOOKUP(IF(LEFT(C202,2)="13",DATE(RIGHT(C202,4),12,31),C202),IPCA!$A$3:$D$284,4,FALSE),1)*D202))</f>
        <v/>
      </c>
      <c r="F202" s="4">
        <f ca="1">IF(C202="","",IFERROR(AVERAGEIF(E$5:$E202,"&gt;"&amp;_xlfn.PERCENTILE.EXC(E$5:$E202,0.2)),0))</f>
        <v>0</v>
      </c>
    </row>
    <row r="203" spans="2:6" x14ac:dyDescent="0.25">
      <c r="B203" s="18">
        <v>199</v>
      </c>
      <c r="C203" s="21">
        <f ca="1">IFERROR(IF(LEFT(C202,2)="13",DATE(RIGHT(C202,4),12,31),IF(EOMONTH(C202,1)&gt;PREMISSAS!$C$3,"",IF(MONTH(C202)=11,"13º "&amp;YEAR(C202),EOMONTH(C202,1)))),"")</f>
        <v>43039</v>
      </c>
      <c r="D203" s="22">
        <f ca="1">VLOOKUP(C203,'Histórico de Remunerações'!$D$7:$E$656,2,FALSE)</f>
        <v>0</v>
      </c>
      <c r="E203" s="4" t="str">
        <f ca="1">IF(D203=0,"",IF(IF(ISTEXT(C203),DATE(RIGHT(C203,4),12,31),C203)&lt;PREMISSAS!$D$7,0,IFERROR(VLOOKUP(IF(LEFT(C203,2)="13",DATE(RIGHT(C203,4),12,31),C203),IPCA!$A$3:$D$284,4,FALSE),1)*D203))</f>
        <v/>
      </c>
      <c r="F203" s="4">
        <f ca="1">IF(C203="","",IFERROR(AVERAGEIF(E$5:$E203,"&gt;"&amp;_xlfn.PERCENTILE.EXC(E$5:$E203,0.2)),0))</f>
        <v>0</v>
      </c>
    </row>
    <row r="204" spans="2:6" x14ac:dyDescent="0.25">
      <c r="B204" s="18">
        <v>200</v>
      </c>
      <c r="C204" s="21">
        <f ca="1">IFERROR(IF(LEFT(C203,2)="13",DATE(RIGHT(C203,4),12,31),IF(EOMONTH(C203,1)&gt;PREMISSAS!$C$3,"",IF(MONTH(C203)=11,"13º "&amp;YEAR(C203),EOMONTH(C203,1)))),"")</f>
        <v>43069</v>
      </c>
      <c r="D204" s="22">
        <f ca="1">VLOOKUP(C204,'Histórico de Remunerações'!$D$7:$E$656,2,FALSE)</f>
        <v>0</v>
      </c>
      <c r="E204" s="4" t="str">
        <f ca="1">IF(D204=0,"",IF(IF(ISTEXT(C204),DATE(RIGHT(C204,4),12,31),C204)&lt;PREMISSAS!$D$7,0,IFERROR(VLOOKUP(IF(LEFT(C204,2)="13",DATE(RIGHT(C204,4),12,31),C204),IPCA!$A$3:$D$284,4,FALSE),1)*D204))</f>
        <v/>
      </c>
      <c r="F204" s="4">
        <f ca="1">IF(C204="","",IFERROR(AVERAGEIF(E$5:$E204,"&gt;"&amp;_xlfn.PERCENTILE.EXC(E$5:$E204,0.2)),0))</f>
        <v>0</v>
      </c>
    </row>
    <row r="205" spans="2:6" x14ac:dyDescent="0.25">
      <c r="B205" s="18">
        <v>201</v>
      </c>
      <c r="C205" s="21" t="str">
        <f ca="1">IFERROR(IF(LEFT(C204,2)="13",DATE(RIGHT(C204,4),12,31),IF(EOMONTH(C204,1)&gt;PREMISSAS!$C$3,"",IF(MONTH(C204)=11,"13º "&amp;YEAR(C204),EOMONTH(C204,1)))),"")</f>
        <v>13º 2017</v>
      </c>
      <c r="D205" s="22">
        <f ca="1">VLOOKUP(C205,'Histórico de Remunerações'!$D$7:$E$656,2,FALSE)</f>
        <v>0</v>
      </c>
      <c r="E205" s="4" t="str">
        <f ca="1">IF(D205=0,"",IF(IF(ISTEXT(C205),DATE(RIGHT(C205,4),12,31),C205)&lt;PREMISSAS!$D$7,0,IFERROR(VLOOKUP(IF(LEFT(C205,2)="13",DATE(RIGHT(C205,4),12,31),C205),IPCA!$A$3:$D$284,4,FALSE),1)*D205))</f>
        <v/>
      </c>
      <c r="F205" s="4">
        <f ca="1">IF(C205="","",IFERROR(AVERAGEIF(E$5:$E205,"&gt;"&amp;_xlfn.PERCENTILE.EXC(E$5:$E205,0.2)),0))</f>
        <v>0</v>
      </c>
    </row>
    <row r="206" spans="2:6" x14ac:dyDescent="0.25">
      <c r="B206" s="18">
        <v>202</v>
      </c>
      <c r="C206" s="21">
        <f ca="1">IFERROR(IF(LEFT(C205,2)="13",DATE(RIGHT(C205,4),12,31),IF(EOMONTH(C205,1)&gt;PREMISSAS!$C$3,"",IF(MONTH(C205)=11,"13º "&amp;YEAR(C205),EOMONTH(C205,1)))),"")</f>
        <v>43100</v>
      </c>
      <c r="D206" s="22">
        <f ca="1">VLOOKUP(C206,'Histórico de Remunerações'!$D$7:$E$656,2,FALSE)</f>
        <v>0</v>
      </c>
      <c r="E206" s="4" t="str">
        <f ca="1">IF(D206=0,"",IF(IF(ISTEXT(C206),DATE(RIGHT(C206,4),12,31),C206)&lt;PREMISSAS!$D$7,0,IFERROR(VLOOKUP(IF(LEFT(C206,2)="13",DATE(RIGHT(C206,4),12,31),C206),IPCA!$A$3:$D$284,4,FALSE),1)*D206))</f>
        <v/>
      </c>
      <c r="F206" s="4">
        <f ca="1">IF(C206="","",IFERROR(AVERAGEIF(E$5:$E206,"&gt;"&amp;_xlfn.PERCENTILE.EXC(E$5:$E206,0.2)),0))</f>
        <v>0</v>
      </c>
    </row>
    <row r="207" spans="2:6" x14ac:dyDescent="0.25">
      <c r="B207" s="18">
        <v>203</v>
      </c>
      <c r="C207" s="21">
        <f ca="1">IFERROR(IF(LEFT(C206,2)="13",DATE(RIGHT(C206,4),12,31),IF(EOMONTH(C206,1)&gt;PREMISSAS!$C$3,"",IF(MONTH(C206)=11,"13º "&amp;YEAR(C206),EOMONTH(C206,1)))),"")</f>
        <v>43131</v>
      </c>
      <c r="D207" s="22">
        <f ca="1">VLOOKUP(C207,'Histórico de Remunerações'!$D$7:$E$656,2,FALSE)</f>
        <v>0</v>
      </c>
      <c r="E207" s="4" t="str">
        <f ca="1">IF(D207=0,"",IF(IF(ISTEXT(C207),DATE(RIGHT(C207,4),12,31),C207)&lt;PREMISSAS!$D$7,0,IFERROR(VLOOKUP(IF(LEFT(C207,2)="13",DATE(RIGHT(C207,4),12,31),C207),IPCA!$A$3:$D$284,4,FALSE),1)*D207))</f>
        <v/>
      </c>
      <c r="F207" s="4">
        <f ca="1">IF(C207="","",IFERROR(AVERAGEIF(E$5:$E207,"&gt;"&amp;_xlfn.PERCENTILE.EXC(E$5:$E207,0.2)),0))</f>
        <v>0</v>
      </c>
    </row>
    <row r="208" spans="2:6" x14ac:dyDescent="0.25">
      <c r="B208" s="18">
        <v>204</v>
      </c>
      <c r="C208" s="21">
        <f ca="1">IFERROR(IF(LEFT(C207,2)="13",DATE(RIGHT(C207,4),12,31),IF(EOMONTH(C207,1)&gt;PREMISSAS!$C$3,"",IF(MONTH(C207)=11,"13º "&amp;YEAR(C207),EOMONTH(C207,1)))),"")</f>
        <v>43159</v>
      </c>
      <c r="D208" s="22">
        <f ca="1">VLOOKUP(C208,'Histórico de Remunerações'!$D$7:$E$656,2,FALSE)</f>
        <v>0</v>
      </c>
      <c r="E208" s="4" t="str">
        <f ca="1">IF(D208=0,"",IF(IF(ISTEXT(C208),DATE(RIGHT(C208,4),12,31),C208)&lt;PREMISSAS!$D$7,0,IFERROR(VLOOKUP(IF(LEFT(C208,2)="13",DATE(RIGHT(C208,4),12,31),C208),IPCA!$A$3:$D$284,4,FALSE),1)*D208))</f>
        <v/>
      </c>
      <c r="F208" s="4">
        <f ca="1">IF(C208="","",IFERROR(AVERAGEIF(E$5:$E208,"&gt;"&amp;_xlfn.PERCENTILE.EXC(E$5:$E208,0.2)),0))</f>
        <v>0</v>
      </c>
    </row>
    <row r="209" spans="2:6" x14ac:dyDescent="0.25">
      <c r="B209" s="18">
        <v>205</v>
      </c>
      <c r="C209" s="21">
        <f ca="1">IFERROR(IF(LEFT(C208,2)="13",DATE(RIGHT(C208,4),12,31),IF(EOMONTH(C208,1)&gt;PREMISSAS!$C$3,"",IF(MONTH(C208)=11,"13º "&amp;YEAR(C208),EOMONTH(C208,1)))),"")</f>
        <v>43190</v>
      </c>
      <c r="D209" s="22">
        <f ca="1">VLOOKUP(C209,'Histórico de Remunerações'!$D$7:$E$656,2,FALSE)</f>
        <v>0</v>
      </c>
      <c r="E209" s="4" t="str">
        <f ca="1">IF(D209=0,"",IF(IF(ISTEXT(C209),DATE(RIGHT(C209,4),12,31),C209)&lt;PREMISSAS!$D$7,0,IFERROR(VLOOKUP(IF(LEFT(C209,2)="13",DATE(RIGHT(C209,4),12,31),C209),IPCA!$A$3:$D$284,4,FALSE),1)*D209))</f>
        <v/>
      </c>
      <c r="F209" s="4">
        <f ca="1">IF(C209="","",IFERROR(AVERAGEIF(E$5:$E209,"&gt;"&amp;_xlfn.PERCENTILE.EXC(E$5:$E209,0.2)),0))</f>
        <v>0</v>
      </c>
    </row>
    <row r="210" spans="2:6" x14ac:dyDescent="0.25">
      <c r="B210" s="18">
        <v>206</v>
      </c>
      <c r="C210" s="21">
        <f ca="1">IFERROR(IF(LEFT(C209,2)="13",DATE(RIGHT(C209,4),12,31),IF(EOMONTH(C209,1)&gt;PREMISSAS!$C$3,"",IF(MONTH(C209)=11,"13º "&amp;YEAR(C209),EOMONTH(C209,1)))),"")</f>
        <v>43220</v>
      </c>
      <c r="D210" s="22">
        <f ca="1">VLOOKUP(C210,'Histórico de Remunerações'!$D$7:$E$656,2,FALSE)</f>
        <v>0</v>
      </c>
      <c r="E210" s="4" t="str">
        <f ca="1">IF(D210=0,"",IF(IF(ISTEXT(C210),DATE(RIGHT(C210,4),12,31),C210)&lt;PREMISSAS!$D$7,0,IFERROR(VLOOKUP(IF(LEFT(C210,2)="13",DATE(RIGHT(C210,4),12,31),C210),IPCA!$A$3:$D$284,4,FALSE),1)*D210))</f>
        <v/>
      </c>
      <c r="F210" s="4">
        <f ca="1">IF(C210="","",IFERROR(AVERAGEIF(E$5:$E210,"&gt;"&amp;_xlfn.PERCENTILE.EXC(E$5:$E210,0.2)),0))</f>
        <v>0</v>
      </c>
    </row>
    <row r="211" spans="2:6" x14ac:dyDescent="0.25">
      <c r="B211" s="18">
        <v>207</v>
      </c>
      <c r="C211" s="21">
        <f ca="1">IFERROR(IF(LEFT(C210,2)="13",DATE(RIGHT(C210,4),12,31),IF(EOMONTH(C210,1)&gt;PREMISSAS!$C$3,"",IF(MONTH(C210)=11,"13º "&amp;YEAR(C210),EOMONTH(C210,1)))),"")</f>
        <v>43251</v>
      </c>
      <c r="D211" s="22">
        <f ca="1">VLOOKUP(C211,'Histórico de Remunerações'!$D$7:$E$656,2,FALSE)</f>
        <v>0</v>
      </c>
      <c r="E211" s="4" t="str">
        <f ca="1">IF(D211=0,"",IF(IF(ISTEXT(C211),DATE(RIGHT(C211,4),12,31),C211)&lt;PREMISSAS!$D$7,0,IFERROR(VLOOKUP(IF(LEFT(C211,2)="13",DATE(RIGHT(C211,4),12,31),C211),IPCA!$A$3:$D$284,4,FALSE),1)*D211))</f>
        <v/>
      </c>
      <c r="F211" s="4">
        <f ca="1">IF(C211="","",IFERROR(AVERAGEIF(E$5:$E211,"&gt;"&amp;_xlfn.PERCENTILE.EXC(E$5:$E211,0.2)),0))</f>
        <v>0</v>
      </c>
    </row>
    <row r="212" spans="2:6" x14ac:dyDescent="0.25">
      <c r="B212" s="18">
        <v>208</v>
      </c>
      <c r="C212" s="21">
        <f ca="1">IFERROR(IF(LEFT(C211,2)="13",DATE(RIGHT(C211,4),12,31),IF(EOMONTH(C211,1)&gt;PREMISSAS!$C$3,"",IF(MONTH(C211)=11,"13º "&amp;YEAR(C211),EOMONTH(C211,1)))),"")</f>
        <v>43281</v>
      </c>
      <c r="D212" s="22">
        <f ca="1">VLOOKUP(C212,'Histórico de Remunerações'!$D$7:$E$656,2,FALSE)</f>
        <v>0</v>
      </c>
      <c r="E212" s="4" t="str">
        <f ca="1">IF(D212=0,"",IF(IF(ISTEXT(C212),DATE(RIGHT(C212,4),12,31),C212)&lt;PREMISSAS!$D$7,0,IFERROR(VLOOKUP(IF(LEFT(C212,2)="13",DATE(RIGHT(C212,4),12,31),C212),IPCA!$A$3:$D$284,4,FALSE),1)*D212))</f>
        <v/>
      </c>
      <c r="F212" s="4">
        <f ca="1">IF(C212="","",IFERROR(AVERAGEIF(E$5:$E212,"&gt;"&amp;_xlfn.PERCENTILE.EXC(E$5:$E212,0.2)),0))</f>
        <v>0</v>
      </c>
    </row>
    <row r="213" spans="2:6" x14ac:dyDescent="0.25">
      <c r="B213" s="18">
        <v>209</v>
      </c>
      <c r="C213" s="21">
        <f ca="1">IFERROR(IF(LEFT(C212,2)="13",DATE(RIGHT(C212,4),12,31),IF(EOMONTH(C212,1)&gt;PREMISSAS!$C$3,"",IF(MONTH(C212)=11,"13º "&amp;YEAR(C212),EOMONTH(C212,1)))),"")</f>
        <v>43312</v>
      </c>
      <c r="D213" s="22">
        <f ca="1">VLOOKUP(C213,'Histórico de Remunerações'!$D$7:$E$656,2,FALSE)</f>
        <v>0</v>
      </c>
      <c r="E213" s="4" t="str">
        <f ca="1">IF(D213=0,"",IF(IF(ISTEXT(C213),DATE(RIGHT(C213,4),12,31),C213)&lt;PREMISSAS!$D$7,0,IFERROR(VLOOKUP(IF(LEFT(C213,2)="13",DATE(RIGHT(C213,4),12,31),C213),IPCA!$A$3:$D$284,4,FALSE),1)*D213))</f>
        <v/>
      </c>
      <c r="F213" s="4">
        <f ca="1">IF(C213="","",IFERROR(AVERAGEIF(E$5:$E213,"&gt;"&amp;_xlfn.PERCENTILE.EXC(E$5:$E213,0.2)),0))</f>
        <v>0</v>
      </c>
    </row>
    <row r="214" spans="2:6" x14ac:dyDescent="0.25">
      <c r="B214" s="18">
        <v>210</v>
      </c>
      <c r="C214" s="21">
        <f ca="1">IFERROR(IF(LEFT(C213,2)="13",DATE(RIGHT(C213,4),12,31),IF(EOMONTH(C213,1)&gt;PREMISSAS!$C$3,"",IF(MONTH(C213)=11,"13º "&amp;YEAR(C213),EOMONTH(C213,1)))),"")</f>
        <v>43343</v>
      </c>
      <c r="D214" s="22">
        <f ca="1">VLOOKUP(C214,'Histórico de Remunerações'!$D$7:$E$656,2,FALSE)</f>
        <v>0</v>
      </c>
      <c r="E214" s="4" t="str">
        <f ca="1">IF(D214=0,"",IF(IF(ISTEXT(C214),DATE(RIGHT(C214,4),12,31),C214)&lt;PREMISSAS!$D$7,0,IFERROR(VLOOKUP(IF(LEFT(C214,2)="13",DATE(RIGHT(C214,4),12,31),C214),IPCA!$A$3:$D$284,4,FALSE),1)*D214))</f>
        <v/>
      </c>
      <c r="F214" s="4">
        <f ca="1">IF(C214="","",IFERROR(AVERAGEIF(E$5:$E214,"&gt;"&amp;_xlfn.PERCENTILE.EXC(E$5:$E214,0.2)),0))</f>
        <v>0</v>
      </c>
    </row>
    <row r="215" spans="2:6" x14ac:dyDescent="0.25">
      <c r="B215" s="18">
        <v>211</v>
      </c>
      <c r="C215" s="21">
        <f ca="1">IFERROR(IF(LEFT(C214,2)="13",DATE(RIGHT(C214,4),12,31),IF(EOMONTH(C214,1)&gt;PREMISSAS!$C$3,"",IF(MONTH(C214)=11,"13º "&amp;YEAR(C214),EOMONTH(C214,1)))),"")</f>
        <v>43373</v>
      </c>
      <c r="D215" s="22">
        <f ca="1">VLOOKUP(C215,'Histórico de Remunerações'!$D$7:$E$656,2,FALSE)</f>
        <v>0</v>
      </c>
      <c r="E215" s="4" t="str">
        <f ca="1">IF(D215=0,"",IF(IF(ISTEXT(C215),DATE(RIGHT(C215,4),12,31),C215)&lt;PREMISSAS!$D$7,0,IFERROR(VLOOKUP(IF(LEFT(C215,2)="13",DATE(RIGHT(C215,4),12,31),C215),IPCA!$A$3:$D$284,4,FALSE),1)*D215))</f>
        <v/>
      </c>
      <c r="F215" s="4">
        <f ca="1">IF(C215="","",IFERROR(AVERAGEIF(E$5:$E215,"&gt;"&amp;_xlfn.PERCENTILE.EXC(E$5:$E215,0.2)),0))</f>
        <v>0</v>
      </c>
    </row>
    <row r="216" spans="2:6" x14ac:dyDescent="0.25">
      <c r="B216" s="18">
        <v>212</v>
      </c>
      <c r="C216" s="21">
        <f ca="1">IFERROR(IF(LEFT(C215,2)="13",DATE(RIGHT(C215,4),12,31),IF(EOMONTH(C215,1)&gt;PREMISSAS!$C$3,"",IF(MONTH(C215)=11,"13º "&amp;YEAR(C215),EOMONTH(C215,1)))),"")</f>
        <v>43404</v>
      </c>
      <c r="D216" s="22">
        <f ca="1">VLOOKUP(C216,'Histórico de Remunerações'!$D$7:$E$656,2,FALSE)</f>
        <v>0</v>
      </c>
      <c r="E216" s="4" t="str">
        <f ca="1">IF(D216=0,"",IF(IF(ISTEXT(C216),DATE(RIGHT(C216,4),12,31),C216)&lt;PREMISSAS!$D$7,0,IFERROR(VLOOKUP(IF(LEFT(C216,2)="13",DATE(RIGHT(C216,4),12,31),C216),IPCA!$A$3:$D$284,4,FALSE),1)*D216))</f>
        <v/>
      </c>
      <c r="F216" s="4">
        <f ca="1">IF(C216="","",IFERROR(AVERAGEIF(E$5:$E216,"&gt;"&amp;_xlfn.PERCENTILE.EXC(E$5:$E216,0.2)),0))</f>
        <v>0</v>
      </c>
    </row>
    <row r="217" spans="2:6" x14ac:dyDescent="0.25">
      <c r="B217" s="18">
        <v>213</v>
      </c>
      <c r="C217" s="21">
        <f ca="1">IFERROR(IF(LEFT(C216,2)="13",DATE(RIGHT(C216,4),12,31),IF(EOMONTH(C216,1)&gt;PREMISSAS!$C$3,"",IF(MONTH(C216)=11,"13º "&amp;YEAR(C216),EOMONTH(C216,1)))),"")</f>
        <v>43434</v>
      </c>
      <c r="D217" s="22">
        <f ca="1">VLOOKUP(C217,'Histórico de Remunerações'!$D$7:$E$656,2,FALSE)</f>
        <v>0</v>
      </c>
      <c r="E217" s="4" t="str">
        <f ca="1">IF(D217=0,"",IF(IF(ISTEXT(C217),DATE(RIGHT(C217,4),12,31),C217)&lt;PREMISSAS!$D$7,0,IFERROR(VLOOKUP(IF(LEFT(C217,2)="13",DATE(RIGHT(C217,4),12,31),C217),IPCA!$A$3:$D$284,4,FALSE),1)*D217))</f>
        <v/>
      </c>
      <c r="F217" s="4">
        <f ca="1">IF(C217="","",IFERROR(AVERAGEIF(E$5:$E217,"&gt;"&amp;_xlfn.PERCENTILE.EXC(E$5:$E217,0.2)),0))</f>
        <v>0</v>
      </c>
    </row>
    <row r="218" spans="2:6" x14ac:dyDescent="0.25">
      <c r="B218" s="18">
        <v>214</v>
      </c>
      <c r="C218" s="21" t="str">
        <f ca="1">IFERROR(IF(LEFT(C217,2)="13",DATE(RIGHT(C217,4),12,31),IF(EOMONTH(C217,1)&gt;PREMISSAS!$C$3,"",IF(MONTH(C217)=11,"13º "&amp;YEAR(C217),EOMONTH(C217,1)))),"")</f>
        <v>13º 2018</v>
      </c>
      <c r="D218" s="22">
        <f ca="1">VLOOKUP(C218,'Histórico de Remunerações'!$D$7:$E$656,2,FALSE)</f>
        <v>0</v>
      </c>
      <c r="E218" s="4" t="str">
        <f ca="1">IF(D218=0,"",IF(IF(ISTEXT(C218),DATE(RIGHT(C218,4),12,31),C218)&lt;PREMISSAS!$D$7,0,IFERROR(VLOOKUP(IF(LEFT(C218,2)="13",DATE(RIGHT(C218,4),12,31),C218),IPCA!$A$3:$D$284,4,FALSE),1)*D218))</f>
        <v/>
      </c>
      <c r="F218" s="4">
        <f ca="1">IF(C218="","",IFERROR(AVERAGEIF(E$5:$E218,"&gt;"&amp;_xlfn.PERCENTILE.EXC(E$5:$E218,0.2)),0))</f>
        <v>0</v>
      </c>
    </row>
    <row r="219" spans="2:6" x14ac:dyDescent="0.25">
      <c r="B219" s="18">
        <v>215</v>
      </c>
      <c r="C219" s="21">
        <f ca="1">IFERROR(IF(LEFT(C218,2)="13",DATE(RIGHT(C218,4),12,31),IF(EOMONTH(C218,1)&gt;PREMISSAS!$C$3,"",IF(MONTH(C218)=11,"13º "&amp;YEAR(C218),EOMONTH(C218,1)))),"")</f>
        <v>43465</v>
      </c>
      <c r="D219" s="22">
        <f ca="1">VLOOKUP(C219,'Histórico de Remunerações'!$D$7:$E$656,2,FALSE)</f>
        <v>0</v>
      </c>
      <c r="E219" s="4" t="str">
        <f ca="1">IF(D219=0,"",IF(IF(ISTEXT(C219),DATE(RIGHT(C219,4),12,31),C219)&lt;PREMISSAS!$D$7,0,IFERROR(VLOOKUP(IF(LEFT(C219,2)="13",DATE(RIGHT(C219,4),12,31),C219),IPCA!$A$3:$D$284,4,FALSE),1)*D219))</f>
        <v/>
      </c>
      <c r="F219" s="4">
        <f ca="1">IF(C219="","",IFERROR(AVERAGEIF(E$5:$E219,"&gt;"&amp;_xlfn.PERCENTILE.EXC(E$5:$E219,0.2)),0))</f>
        <v>0</v>
      </c>
    </row>
    <row r="220" spans="2:6" x14ac:dyDescent="0.25">
      <c r="B220" s="18">
        <v>216</v>
      </c>
      <c r="C220" s="21">
        <f ca="1">IFERROR(IF(LEFT(C219,2)="13",DATE(RIGHT(C219,4),12,31),IF(EOMONTH(C219,1)&gt;PREMISSAS!$C$3,"",IF(MONTH(C219)=11,"13º "&amp;YEAR(C219),EOMONTH(C219,1)))),"")</f>
        <v>43496</v>
      </c>
      <c r="D220" s="22">
        <f ca="1">VLOOKUP(C220,'Histórico de Remunerações'!$D$7:$E$656,2,FALSE)</f>
        <v>0</v>
      </c>
      <c r="E220" s="4" t="str">
        <f ca="1">IF(D220=0,"",IF(IF(ISTEXT(C220),DATE(RIGHT(C220,4),12,31),C220)&lt;PREMISSAS!$D$7,0,IFERROR(VLOOKUP(IF(LEFT(C220,2)="13",DATE(RIGHT(C220,4),12,31),C220),IPCA!$A$3:$D$284,4,FALSE),1)*D220))</f>
        <v/>
      </c>
      <c r="F220" s="4">
        <f ca="1">IF(C220="","",IFERROR(AVERAGEIF(E$5:$E220,"&gt;"&amp;_xlfn.PERCENTILE.EXC(E$5:$E220,0.2)),0))</f>
        <v>0</v>
      </c>
    </row>
    <row r="221" spans="2:6" x14ac:dyDescent="0.25">
      <c r="B221" s="18">
        <v>217</v>
      </c>
      <c r="C221" s="21">
        <f ca="1">IFERROR(IF(LEFT(C220,2)="13",DATE(RIGHT(C220,4),12,31),IF(EOMONTH(C220,1)&gt;PREMISSAS!$C$3,"",IF(MONTH(C220)=11,"13º "&amp;YEAR(C220),EOMONTH(C220,1)))),"")</f>
        <v>43524</v>
      </c>
      <c r="D221" s="22">
        <f ca="1">VLOOKUP(C221,'Histórico de Remunerações'!$D$7:$E$656,2,FALSE)</f>
        <v>0</v>
      </c>
      <c r="E221" s="4" t="str">
        <f ca="1">IF(D221=0,"",IF(IF(ISTEXT(C221),DATE(RIGHT(C221,4),12,31),C221)&lt;PREMISSAS!$D$7,0,IFERROR(VLOOKUP(IF(LEFT(C221,2)="13",DATE(RIGHT(C221,4),12,31),C221),IPCA!$A$3:$D$284,4,FALSE),1)*D221))</f>
        <v/>
      </c>
      <c r="F221" s="4">
        <f ca="1">IF(C221="","",IFERROR(AVERAGEIF(E$5:$E221,"&gt;"&amp;_xlfn.PERCENTILE.EXC(E$5:$E221,0.2)),0))</f>
        <v>0</v>
      </c>
    </row>
    <row r="222" spans="2:6" x14ac:dyDescent="0.25">
      <c r="B222" s="18">
        <v>218</v>
      </c>
      <c r="C222" s="21" t="str">
        <f ca="1">IFERROR(IF(LEFT(C221,2)="13",DATE(RIGHT(C221,4),12,31),IF(EOMONTH(C221,1)&gt;PREMISSAS!$C$3,"",IF(MONTH(C221)=11,"13º "&amp;YEAR(C221),EOMONTH(C221,1)))),"")</f>
        <v/>
      </c>
      <c r="D222" s="22">
        <f ca="1">VLOOKUP(C222,'Histórico de Remunerações'!$D$7:$E$656,2,FALSE)</f>
        <v>0</v>
      </c>
      <c r="E222" s="4" t="str">
        <f ca="1">IF(D222=0,"",IF(IF(ISTEXT(C222),DATE(RIGHT(C222,4),12,31),C222)&lt;PREMISSAS!$D$7,0,IFERROR(VLOOKUP(IF(LEFT(C222,2)="13",DATE(RIGHT(C222,4),12,31),C222),IPCA!$A$3:$D$284,4,FALSE),1)*D222))</f>
        <v/>
      </c>
      <c r="F222" s="4" t="str">
        <f ca="1">IF(C222="","",IFERROR(AVERAGEIF(E$5:$E222,"&gt;"&amp;_xlfn.PERCENTILE.EXC(E$5:$E222,0.2)),0))</f>
        <v/>
      </c>
    </row>
    <row r="223" spans="2:6" x14ac:dyDescent="0.25">
      <c r="B223" s="18">
        <v>219</v>
      </c>
      <c r="C223" s="21" t="str">
        <f ca="1">IFERROR(IF(LEFT(C222,2)="13",DATE(RIGHT(C222,4),12,31),IF(EOMONTH(C222,1)&gt;PREMISSAS!$C$3,"",IF(MONTH(C222)=11,"13º "&amp;YEAR(C222),EOMONTH(C222,1)))),"")</f>
        <v/>
      </c>
      <c r="D223" s="22">
        <f ca="1">VLOOKUP(C223,'Histórico de Remunerações'!$D$7:$E$656,2,FALSE)</f>
        <v>0</v>
      </c>
      <c r="E223" s="4" t="str">
        <f ca="1">IF(D223=0,"",IF(IF(ISTEXT(C223),DATE(RIGHT(C223,4),12,31),C223)&lt;PREMISSAS!$D$7,0,IFERROR(VLOOKUP(IF(LEFT(C223,2)="13",DATE(RIGHT(C223,4),12,31),C223),IPCA!$A$3:$D$284,4,FALSE),1)*D223))</f>
        <v/>
      </c>
      <c r="F223" s="4" t="str">
        <f ca="1">IF(C223="","",IFERROR(AVERAGEIF(E$5:$E223,"&gt;"&amp;_xlfn.PERCENTILE.EXC(E$5:$E223,0.2)),0))</f>
        <v/>
      </c>
    </row>
    <row r="224" spans="2:6" x14ac:dyDescent="0.25">
      <c r="B224" s="18">
        <v>220</v>
      </c>
      <c r="C224" s="21" t="str">
        <f ca="1">IFERROR(IF(LEFT(C223,2)="13",DATE(RIGHT(C223,4),12,31),IF(EOMONTH(C223,1)&gt;PREMISSAS!$C$3,"",IF(MONTH(C223)=11,"13º "&amp;YEAR(C223),EOMONTH(C223,1)))),"")</f>
        <v/>
      </c>
      <c r="D224" s="22">
        <f ca="1">VLOOKUP(C224,'Histórico de Remunerações'!$D$7:$E$656,2,FALSE)</f>
        <v>0</v>
      </c>
      <c r="E224" s="4" t="str">
        <f ca="1">IF(D224=0,"",IF(IF(ISTEXT(C224),DATE(RIGHT(C224,4),12,31),C224)&lt;PREMISSAS!$D$7,0,IFERROR(VLOOKUP(IF(LEFT(C224,2)="13",DATE(RIGHT(C224,4),12,31),C224),IPCA!$A$3:$D$284,4,FALSE),1)*D224))</f>
        <v/>
      </c>
      <c r="F224" s="4" t="str">
        <f ca="1">IF(C224="","",IFERROR(AVERAGEIF(E$5:$E224,"&gt;"&amp;_xlfn.PERCENTILE.EXC(E$5:$E224,0.2)),0))</f>
        <v/>
      </c>
    </row>
    <row r="225" spans="2:6" x14ac:dyDescent="0.25">
      <c r="B225" s="18">
        <v>221</v>
      </c>
      <c r="C225" s="21" t="str">
        <f ca="1">IFERROR(IF(LEFT(C224,2)="13",DATE(RIGHT(C224,4),12,31),IF(EOMONTH(C224,1)&gt;PREMISSAS!$C$3,"",IF(MONTH(C224)=11,"13º "&amp;YEAR(C224),EOMONTH(C224,1)))),"")</f>
        <v/>
      </c>
      <c r="D225" s="22">
        <f ca="1">VLOOKUP(C225,'Histórico de Remunerações'!$D$7:$E$656,2,FALSE)</f>
        <v>0</v>
      </c>
      <c r="E225" s="4" t="str">
        <f ca="1">IF(D225=0,"",IF(IF(ISTEXT(C225),DATE(RIGHT(C225,4),12,31),C225)&lt;PREMISSAS!$D$7,0,IFERROR(VLOOKUP(IF(LEFT(C225,2)="13",DATE(RIGHT(C225,4),12,31),C225),IPCA!$A$3:$D$284,4,FALSE),1)*D225))</f>
        <v/>
      </c>
      <c r="F225" s="4" t="str">
        <f ca="1">IF(C225="","",IFERROR(AVERAGEIF(E$5:$E225,"&gt;"&amp;_xlfn.PERCENTILE.EXC(E$5:$E225,0.2)),0))</f>
        <v/>
      </c>
    </row>
    <row r="226" spans="2:6" x14ac:dyDescent="0.25">
      <c r="B226" s="18">
        <v>222</v>
      </c>
      <c r="C226" s="21" t="str">
        <f ca="1">IFERROR(IF(LEFT(C225,2)="13",DATE(RIGHT(C225,4),12,31),IF(EOMONTH(C225,1)&gt;PREMISSAS!$C$3,"",IF(MONTH(C225)=11,"13º "&amp;YEAR(C225),EOMONTH(C225,1)))),"")</f>
        <v/>
      </c>
      <c r="D226" s="22">
        <f ca="1">VLOOKUP(C226,'Histórico de Remunerações'!$D$7:$E$656,2,FALSE)</f>
        <v>0</v>
      </c>
      <c r="E226" s="4" t="str">
        <f ca="1">IF(D226=0,"",IF(IF(ISTEXT(C226),DATE(RIGHT(C226,4),12,31),C226)&lt;PREMISSAS!$D$7,0,IFERROR(VLOOKUP(IF(LEFT(C226,2)="13",DATE(RIGHT(C226,4),12,31),C226),IPCA!$A$3:$D$284,4,FALSE),1)*D226))</f>
        <v/>
      </c>
      <c r="F226" s="4" t="str">
        <f ca="1">IF(C226="","",IFERROR(AVERAGEIF(E$5:$E226,"&gt;"&amp;_xlfn.PERCENTILE.EXC(E$5:$E226,0.2)),0))</f>
        <v/>
      </c>
    </row>
    <row r="227" spans="2:6" x14ac:dyDescent="0.25">
      <c r="B227" s="18">
        <v>223</v>
      </c>
      <c r="C227" s="21" t="str">
        <f ca="1">IFERROR(IF(LEFT(C226,2)="13",DATE(RIGHT(C226,4),12,31),IF(EOMONTH(C226,1)&gt;PREMISSAS!$C$3,"",IF(MONTH(C226)=11,"13º "&amp;YEAR(C226),EOMONTH(C226,1)))),"")</f>
        <v/>
      </c>
      <c r="D227" s="22">
        <f ca="1">VLOOKUP(C227,'Histórico de Remunerações'!$D$7:$E$656,2,FALSE)</f>
        <v>0</v>
      </c>
      <c r="E227" s="4" t="str">
        <f ca="1">IF(D227=0,"",IF(IF(ISTEXT(C227),DATE(RIGHT(C227,4),12,31),C227)&lt;PREMISSAS!$D$7,0,IFERROR(VLOOKUP(IF(LEFT(C227,2)="13",DATE(RIGHT(C227,4),12,31),C227),IPCA!$A$3:$D$284,4,FALSE),1)*D227))</f>
        <v/>
      </c>
      <c r="F227" s="4" t="str">
        <f ca="1">IF(C227="","",IFERROR(AVERAGEIF(E$5:$E227,"&gt;"&amp;_xlfn.PERCENTILE.EXC(E$5:$E227,0.2)),0))</f>
        <v/>
      </c>
    </row>
    <row r="228" spans="2:6" x14ac:dyDescent="0.25">
      <c r="B228" s="18">
        <v>224</v>
      </c>
      <c r="C228" s="21" t="str">
        <f ca="1">IFERROR(IF(LEFT(C227,2)="13",DATE(RIGHT(C227,4),12,31),IF(EOMONTH(C227,1)&gt;PREMISSAS!$C$3,"",IF(MONTH(C227)=11,"13º "&amp;YEAR(C227),EOMONTH(C227,1)))),"")</f>
        <v/>
      </c>
      <c r="D228" s="22">
        <f ca="1">VLOOKUP(C228,'Histórico de Remunerações'!$D$7:$E$656,2,FALSE)</f>
        <v>0</v>
      </c>
      <c r="E228" s="4" t="str">
        <f ca="1">IF(D228=0,"",IF(IF(ISTEXT(C228),DATE(RIGHT(C228,4),12,31),C228)&lt;PREMISSAS!$D$7,0,IFERROR(VLOOKUP(IF(LEFT(C228,2)="13",DATE(RIGHT(C228,4),12,31),C228),IPCA!$A$3:$D$284,4,FALSE),1)*D228))</f>
        <v/>
      </c>
      <c r="F228" s="4" t="str">
        <f ca="1">IF(C228="","",IFERROR(AVERAGEIF(E$5:$E228,"&gt;"&amp;_xlfn.PERCENTILE.EXC(E$5:$E228,0.2)),0))</f>
        <v/>
      </c>
    </row>
    <row r="229" spans="2:6" x14ac:dyDescent="0.25">
      <c r="B229" s="18">
        <v>225</v>
      </c>
      <c r="C229" s="21" t="str">
        <f ca="1">IFERROR(IF(LEFT(C228,2)="13",DATE(RIGHT(C228,4),12,31),IF(EOMONTH(C228,1)&gt;PREMISSAS!$C$3,"",IF(MONTH(C228)=11,"13º "&amp;YEAR(C228),EOMONTH(C228,1)))),"")</f>
        <v/>
      </c>
      <c r="D229" s="22">
        <f ca="1">VLOOKUP(C229,'Histórico de Remunerações'!$D$7:$E$656,2,FALSE)</f>
        <v>0</v>
      </c>
      <c r="E229" s="4" t="str">
        <f ca="1">IF(D229=0,"",IF(IF(ISTEXT(C229),DATE(RIGHT(C229,4),12,31),C229)&lt;PREMISSAS!$D$7,0,IFERROR(VLOOKUP(IF(LEFT(C229,2)="13",DATE(RIGHT(C229,4),12,31),C229),IPCA!$A$3:$D$284,4,FALSE),1)*D229))</f>
        <v/>
      </c>
      <c r="F229" s="4" t="str">
        <f ca="1">IF(C229="","",IFERROR(AVERAGEIF(E$5:$E229,"&gt;"&amp;_xlfn.PERCENTILE.EXC(E$5:$E229,0.2)),0))</f>
        <v/>
      </c>
    </row>
    <row r="230" spans="2:6" x14ac:dyDescent="0.25">
      <c r="B230" s="18">
        <v>226</v>
      </c>
      <c r="C230" s="21" t="str">
        <f ca="1">IFERROR(IF(LEFT(C229,2)="13",DATE(RIGHT(C229,4),12,31),IF(EOMONTH(C229,1)&gt;PREMISSAS!$C$3,"",IF(MONTH(C229)=11,"13º "&amp;YEAR(C229),EOMONTH(C229,1)))),"")</f>
        <v/>
      </c>
      <c r="D230" s="22">
        <f ca="1">VLOOKUP(C230,'Histórico de Remunerações'!$D$7:$E$656,2,FALSE)</f>
        <v>0</v>
      </c>
      <c r="E230" s="4" t="str">
        <f ca="1">IF(D230=0,"",IF(IF(ISTEXT(C230),DATE(RIGHT(C230,4),12,31),C230)&lt;PREMISSAS!$D$7,0,IFERROR(VLOOKUP(IF(LEFT(C230,2)="13",DATE(RIGHT(C230,4),12,31),C230),IPCA!$A$3:$D$284,4,FALSE),1)*D230))</f>
        <v/>
      </c>
      <c r="F230" s="4" t="str">
        <f ca="1">IF(C230="","",IFERROR(AVERAGEIF(E$5:$E230,"&gt;"&amp;_xlfn.PERCENTILE.EXC(E$5:$E230,0.2)),0))</f>
        <v/>
      </c>
    </row>
    <row r="231" spans="2:6" x14ac:dyDescent="0.25">
      <c r="B231" s="18">
        <v>227</v>
      </c>
      <c r="C231" s="21" t="str">
        <f ca="1">IFERROR(IF(LEFT(C230,2)="13",DATE(RIGHT(C230,4),12,31),IF(EOMONTH(C230,1)&gt;PREMISSAS!$C$3,"",IF(MONTH(C230)=11,"13º "&amp;YEAR(C230),EOMONTH(C230,1)))),"")</f>
        <v/>
      </c>
      <c r="D231" s="22">
        <f ca="1">VLOOKUP(C231,'Histórico de Remunerações'!$D$7:$E$656,2,FALSE)</f>
        <v>0</v>
      </c>
      <c r="E231" s="4" t="str">
        <f ca="1">IF(D231=0,"",IF(IF(ISTEXT(C231),DATE(RIGHT(C231,4),12,31),C231)&lt;PREMISSAS!$D$7,0,IFERROR(VLOOKUP(IF(LEFT(C231,2)="13",DATE(RIGHT(C231,4),12,31),C231),IPCA!$A$3:$D$284,4,FALSE),1)*D231))</f>
        <v/>
      </c>
      <c r="F231" s="4" t="str">
        <f ca="1">IF(C231="","",IFERROR(AVERAGEIF(E$5:$E231,"&gt;"&amp;_xlfn.PERCENTILE.EXC(E$5:$E231,0.2)),0))</f>
        <v/>
      </c>
    </row>
    <row r="232" spans="2:6" x14ac:dyDescent="0.25">
      <c r="B232" s="18">
        <v>228</v>
      </c>
      <c r="C232" s="21" t="str">
        <f ca="1">IFERROR(IF(LEFT(C231,2)="13",DATE(RIGHT(C231,4),12,31),IF(EOMONTH(C231,1)&gt;PREMISSAS!$C$3,"",IF(MONTH(C231)=11,"13º "&amp;YEAR(C231),EOMONTH(C231,1)))),"")</f>
        <v/>
      </c>
      <c r="D232" s="22">
        <f ca="1">VLOOKUP(C232,'Histórico de Remunerações'!$D$7:$E$656,2,FALSE)</f>
        <v>0</v>
      </c>
      <c r="E232" s="4" t="str">
        <f ca="1">IF(D232=0,"",IF(IF(ISTEXT(C232),DATE(RIGHT(C232,4),12,31),C232)&lt;PREMISSAS!$D$7,0,IFERROR(VLOOKUP(IF(LEFT(C232,2)="13",DATE(RIGHT(C232,4),12,31),C232),IPCA!$A$3:$D$284,4,FALSE),1)*D232))</f>
        <v/>
      </c>
      <c r="F232" s="4" t="str">
        <f ca="1">IF(C232="","",IFERROR(AVERAGEIF(E$5:$E232,"&gt;"&amp;_xlfn.PERCENTILE.EXC(E$5:$E232,0.2)),0))</f>
        <v/>
      </c>
    </row>
    <row r="233" spans="2:6" x14ac:dyDescent="0.25">
      <c r="B233" s="18">
        <v>229</v>
      </c>
      <c r="C233" s="21" t="str">
        <f ca="1">IFERROR(IF(LEFT(C232,2)="13",DATE(RIGHT(C232,4),12,31),IF(EOMONTH(C232,1)&gt;PREMISSAS!$C$3,"",IF(MONTH(C232)=11,"13º "&amp;YEAR(C232),EOMONTH(C232,1)))),"")</f>
        <v/>
      </c>
      <c r="D233" s="22">
        <f ca="1">VLOOKUP(C233,'Histórico de Remunerações'!$D$7:$E$656,2,FALSE)</f>
        <v>0</v>
      </c>
      <c r="E233" s="4" t="str">
        <f ca="1">IF(D233=0,"",IF(IF(ISTEXT(C233),DATE(RIGHT(C233,4),12,31),C233)&lt;PREMISSAS!$D$7,0,IFERROR(VLOOKUP(IF(LEFT(C233,2)="13",DATE(RIGHT(C233,4),12,31),C233),IPCA!$A$3:$D$284,4,FALSE),1)*D233))</f>
        <v/>
      </c>
      <c r="F233" s="4" t="str">
        <f ca="1">IF(C233="","",IFERROR(AVERAGEIF(E$5:$E233,"&gt;"&amp;_xlfn.PERCENTILE.EXC(E$5:$E233,0.2)),0))</f>
        <v/>
      </c>
    </row>
    <row r="234" spans="2:6" x14ac:dyDescent="0.25">
      <c r="B234" s="18">
        <v>230</v>
      </c>
      <c r="C234" s="21" t="str">
        <f ca="1">IFERROR(IF(LEFT(C233,2)="13",DATE(RIGHT(C233,4),12,31),IF(EOMONTH(C233,1)&gt;PREMISSAS!$C$3,"",IF(MONTH(C233)=11,"13º "&amp;YEAR(C233),EOMONTH(C233,1)))),"")</f>
        <v/>
      </c>
      <c r="D234" s="22">
        <f ca="1">VLOOKUP(C234,'Histórico de Remunerações'!$D$7:$E$656,2,FALSE)</f>
        <v>0</v>
      </c>
      <c r="E234" s="4" t="str">
        <f ca="1">IF(D234=0,"",IF(IF(ISTEXT(C234),DATE(RIGHT(C234,4),12,31),C234)&lt;PREMISSAS!$D$7,0,IFERROR(VLOOKUP(IF(LEFT(C234,2)="13",DATE(RIGHT(C234,4),12,31),C234),IPCA!$A$3:$D$284,4,FALSE),1)*D234))</f>
        <v/>
      </c>
      <c r="F234" s="4" t="str">
        <f ca="1">IF(C234="","",IFERROR(AVERAGEIF(E$5:$E234,"&gt;"&amp;_xlfn.PERCENTILE.EXC(E$5:$E234,0.2)),0))</f>
        <v/>
      </c>
    </row>
    <row r="235" spans="2:6" x14ac:dyDescent="0.25">
      <c r="B235" s="18">
        <v>231</v>
      </c>
      <c r="C235" s="21" t="str">
        <f ca="1">IFERROR(IF(LEFT(C234,2)="13",DATE(RIGHT(C234,4),12,31),IF(EOMONTH(C234,1)&gt;PREMISSAS!$C$3,"",IF(MONTH(C234)=11,"13º "&amp;YEAR(C234),EOMONTH(C234,1)))),"")</f>
        <v/>
      </c>
      <c r="D235" s="22">
        <f ca="1">VLOOKUP(C235,'Histórico de Remunerações'!$D$7:$E$656,2,FALSE)</f>
        <v>0</v>
      </c>
      <c r="E235" s="4" t="str">
        <f ca="1">IF(D235=0,"",IF(IF(ISTEXT(C235),DATE(RIGHT(C235,4),12,31),C235)&lt;PREMISSAS!$D$7,0,IFERROR(VLOOKUP(IF(LEFT(C235,2)="13",DATE(RIGHT(C235,4),12,31),C235),IPCA!$A$3:$D$284,4,FALSE),1)*D235))</f>
        <v/>
      </c>
      <c r="F235" s="4" t="str">
        <f ca="1">IF(C235="","",IFERROR(AVERAGEIF(E$5:$E235,"&gt;"&amp;_xlfn.PERCENTILE.EXC(E$5:$E235,0.2)),0))</f>
        <v/>
      </c>
    </row>
    <row r="236" spans="2:6" x14ac:dyDescent="0.25">
      <c r="B236" s="18">
        <v>232</v>
      </c>
      <c r="C236" s="21" t="str">
        <f ca="1">IFERROR(IF(LEFT(C235,2)="13",DATE(RIGHT(C235,4),12,31),IF(EOMONTH(C235,1)&gt;PREMISSAS!$C$3,"",IF(MONTH(C235)=11,"13º "&amp;YEAR(C235),EOMONTH(C235,1)))),"")</f>
        <v/>
      </c>
      <c r="D236" s="22">
        <f ca="1">VLOOKUP(C236,'Histórico de Remunerações'!$D$7:$E$656,2,FALSE)</f>
        <v>0</v>
      </c>
      <c r="E236" s="4" t="str">
        <f ca="1">IF(D236=0,"",IF(IF(ISTEXT(C236),DATE(RIGHT(C236,4),12,31),C236)&lt;PREMISSAS!$D$7,0,IFERROR(VLOOKUP(IF(LEFT(C236,2)="13",DATE(RIGHT(C236,4),12,31),C236),IPCA!$A$3:$D$284,4,FALSE),1)*D236))</f>
        <v/>
      </c>
      <c r="F236" s="4" t="str">
        <f ca="1">IF(C236="","",IFERROR(AVERAGEIF(E$5:$E236,"&gt;"&amp;_xlfn.PERCENTILE.EXC(E$5:$E236,0.2)),0))</f>
        <v/>
      </c>
    </row>
    <row r="237" spans="2:6" x14ac:dyDescent="0.25">
      <c r="B237" s="18">
        <v>233</v>
      </c>
      <c r="C237" s="21" t="str">
        <f ca="1">IFERROR(IF(LEFT(C236,2)="13",DATE(RIGHT(C236,4),12,31),IF(EOMONTH(C236,1)&gt;PREMISSAS!$C$3,"",IF(MONTH(C236)=11,"13º "&amp;YEAR(C236),EOMONTH(C236,1)))),"")</f>
        <v/>
      </c>
      <c r="D237" s="22">
        <f ca="1">VLOOKUP(C237,'Histórico de Remunerações'!$D$7:$E$656,2,FALSE)</f>
        <v>0</v>
      </c>
      <c r="E237" s="4" t="str">
        <f ca="1">IF(D237=0,"",IF(IF(ISTEXT(C237),DATE(RIGHT(C237,4),12,31),C237)&lt;PREMISSAS!$D$7,0,IFERROR(VLOOKUP(IF(LEFT(C237,2)="13",DATE(RIGHT(C237,4),12,31),C237),IPCA!$A$3:$D$284,4,FALSE),1)*D237))</f>
        <v/>
      </c>
      <c r="F237" s="4" t="str">
        <f ca="1">IF(C237="","",IFERROR(AVERAGEIF(E$5:$E237,"&gt;"&amp;_xlfn.PERCENTILE.EXC(E$5:$E237,0.2)),0))</f>
        <v/>
      </c>
    </row>
    <row r="238" spans="2:6" x14ac:dyDescent="0.25">
      <c r="B238" s="18">
        <v>234</v>
      </c>
      <c r="C238" s="21" t="str">
        <f ca="1">IFERROR(IF(LEFT(C237,2)="13",DATE(RIGHT(C237,4),12,31),IF(EOMONTH(C237,1)&gt;PREMISSAS!$C$3,"",IF(MONTH(C237)=11,"13º "&amp;YEAR(C237),EOMONTH(C237,1)))),"")</f>
        <v/>
      </c>
      <c r="D238" s="22">
        <f ca="1">VLOOKUP(C238,'Histórico de Remunerações'!$D$7:$E$656,2,FALSE)</f>
        <v>0</v>
      </c>
      <c r="E238" s="4" t="str">
        <f ca="1">IF(D238=0,"",IF(IF(ISTEXT(C238),DATE(RIGHT(C238,4),12,31),C238)&lt;PREMISSAS!$D$7,0,IFERROR(VLOOKUP(IF(LEFT(C238,2)="13",DATE(RIGHT(C238,4),12,31),C238),IPCA!$A$3:$D$284,4,FALSE),1)*D238))</f>
        <v/>
      </c>
      <c r="F238" s="4" t="str">
        <f ca="1">IF(C238="","",IFERROR(AVERAGEIF(E$5:$E238,"&gt;"&amp;_xlfn.PERCENTILE.EXC(E$5:$E238,0.2)),0))</f>
        <v/>
      </c>
    </row>
    <row r="239" spans="2:6" x14ac:dyDescent="0.25">
      <c r="B239" s="18">
        <v>235</v>
      </c>
      <c r="C239" s="21" t="str">
        <f ca="1">IFERROR(IF(LEFT(C238,2)="13",DATE(RIGHT(C238,4),12,31),IF(EOMONTH(C238,1)&gt;PREMISSAS!$C$3,"",IF(MONTH(C238)=11,"13º "&amp;YEAR(C238),EOMONTH(C238,1)))),"")</f>
        <v/>
      </c>
      <c r="D239" s="22">
        <f ca="1">VLOOKUP(C239,'Histórico de Remunerações'!$D$7:$E$656,2,FALSE)</f>
        <v>0</v>
      </c>
      <c r="E239" s="4" t="str">
        <f ca="1">IF(D239=0,"",IF(IF(ISTEXT(C239),DATE(RIGHT(C239,4),12,31),C239)&lt;PREMISSAS!$D$7,0,IFERROR(VLOOKUP(IF(LEFT(C239,2)="13",DATE(RIGHT(C239,4),12,31),C239),IPCA!$A$3:$D$284,4,FALSE),1)*D239))</f>
        <v/>
      </c>
      <c r="F239" s="4" t="str">
        <f ca="1">IF(C239="","",IFERROR(AVERAGEIF(E$5:$E239,"&gt;"&amp;_xlfn.PERCENTILE.EXC(E$5:$E239,0.2)),0))</f>
        <v/>
      </c>
    </row>
    <row r="240" spans="2:6" x14ac:dyDescent="0.25">
      <c r="B240" s="18">
        <v>236</v>
      </c>
      <c r="C240" s="21" t="str">
        <f ca="1">IFERROR(IF(LEFT(C239,2)="13",DATE(RIGHT(C239,4),12,31),IF(EOMONTH(C239,1)&gt;PREMISSAS!$C$3,"",IF(MONTH(C239)=11,"13º "&amp;YEAR(C239),EOMONTH(C239,1)))),"")</f>
        <v/>
      </c>
      <c r="D240" s="22">
        <f ca="1">VLOOKUP(C240,'Histórico de Remunerações'!$D$7:$E$656,2,FALSE)</f>
        <v>0</v>
      </c>
      <c r="E240" s="4" t="str">
        <f ca="1">IF(D240=0,"",IF(IF(ISTEXT(C240),DATE(RIGHT(C240,4),12,31),C240)&lt;PREMISSAS!$D$7,0,IFERROR(VLOOKUP(IF(LEFT(C240,2)="13",DATE(RIGHT(C240,4),12,31),C240),IPCA!$A$3:$D$284,4,FALSE),1)*D240))</f>
        <v/>
      </c>
      <c r="F240" s="4" t="str">
        <f ca="1">IF(C240="","",IFERROR(AVERAGEIF(E$5:$E240,"&gt;"&amp;_xlfn.PERCENTILE.EXC(E$5:$E240,0.2)),0))</f>
        <v/>
      </c>
    </row>
    <row r="241" spans="2:6" x14ac:dyDescent="0.25">
      <c r="B241" s="18">
        <v>237</v>
      </c>
      <c r="C241" s="21" t="str">
        <f ca="1">IFERROR(IF(LEFT(C240,2)="13",DATE(RIGHT(C240,4),12,31),IF(EOMONTH(C240,1)&gt;PREMISSAS!$C$3,"",IF(MONTH(C240)=11,"13º "&amp;YEAR(C240),EOMONTH(C240,1)))),"")</f>
        <v/>
      </c>
      <c r="D241" s="22">
        <f ca="1">VLOOKUP(C241,'Histórico de Remunerações'!$D$7:$E$656,2,FALSE)</f>
        <v>0</v>
      </c>
      <c r="E241" s="4" t="str">
        <f ca="1">IF(D241=0,"",IF(IF(ISTEXT(C241),DATE(RIGHT(C241,4),12,31),C241)&lt;PREMISSAS!$D$7,0,IFERROR(VLOOKUP(IF(LEFT(C241,2)="13",DATE(RIGHT(C241,4),12,31),C241),IPCA!$A$3:$D$284,4,FALSE),1)*D241))</f>
        <v/>
      </c>
      <c r="F241" s="4" t="str">
        <f ca="1">IF(C241="","",IFERROR(AVERAGEIF(E$5:$E241,"&gt;"&amp;_xlfn.PERCENTILE.EXC(E$5:$E241,0.2)),0))</f>
        <v/>
      </c>
    </row>
    <row r="242" spans="2:6" x14ac:dyDescent="0.25">
      <c r="B242" s="18">
        <v>238</v>
      </c>
      <c r="C242" s="21" t="str">
        <f ca="1">IFERROR(IF(LEFT(C241,2)="13",DATE(RIGHT(C241,4),12,31),IF(EOMONTH(C241,1)&gt;PREMISSAS!$C$3,"",IF(MONTH(C241)=11,"13º "&amp;YEAR(C241),EOMONTH(C241,1)))),"")</f>
        <v/>
      </c>
      <c r="D242" s="22">
        <f ca="1">VLOOKUP(C242,'Histórico de Remunerações'!$D$7:$E$656,2,FALSE)</f>
        <v>0</v>
      </c>
      <c r="E242" s="4" t="str">
        <f ca="1">IF(D242=0,"",IF(IF(ISTEXT(C242),DATE(RIGHT(C242,4),12,31),C242)&lt;PREMISSAS!$D$7,0,IFERROR(VLOOKUP(IF(LEFT(C242,2)="13",DATE(RIGHT(C242,4),12,31),C242),IPCA!$A$3:$D$284,4,FALSE),1)*D242))</f>
        <v/>
      </c>
      <c r="F242" s="4" t="str">
        <f ca="1">IF(C242="","",IFERROR(AVERAGEIF(E$5:$E242,"&gt;"&amp;_xlfn.PERCENTILE.EXC(E$5:$E242,0.2)),0))</f>
        <v/>
      </c>
    </row>
    <row r="243" spans="2:6" x14ac:dyDescent="0.25">
      <c r="B243" s="18">
        <v>239</v>
      </c>
      <c r="C243" s="21" t="str">
        <f ca="1">IFERROR(IF(LEFT(C242,2)="13",DATE(RIGHT(C242,4),12,31),IF(EOMONTH(C242,1)&gt;PREMISSAS!$C$3,"",IF(MONTH(C242)=11,"13º "&amp;YEAR(C242),EOMONTH(C242,1)))),"")</f>
        <v/>
      </c>
      <c r="D243" s="22">
        <f ca="1">VLOOKUP(C243,'Histórico de Remunerações'!$D$7:$E$656,2,FALSE)</f>
        <v>0</v>
      </c>
      <c r="E243" s="4" t="str">
        <f ca="1">IF(D243=0,"",IF(IF(ISTEXT(C243),DATE(RIGHT(C243,4),12,31),C243)&lt;PREMISSAS!$D$7,0,IFERROR(VLOOKUP(IF(LEFT(C243,2)="13",DATE(RIGHT(C243,4),12,31),C243),IPCA!$A$3:$D$284,4,FALSE),1)*D243))</f>
        <v/>
      </c>
      <c r="F243" s="4" t="str">
        <f ca="1">IF(C243="","",IFERROR(AVERAGEIF(E$5:$E243,"&gt;"&amp;_xlfn.PERCENTILE.EXC(E$5:$E243,0.2)),0))</f>
        <v/>
      </c>
    </row>
    <row r="244" spans="2:6" x14ac:dyDescent="0.25">
      <c r="B244" s="18">
        <v>240</v>
      </c>
      <c r="C244" s="21" t="str">
        <f ca="1">IFERROR(IF(LEFT(C243,2)="13",DATE(RIGHT(C243,4),12,31),IF(EOMONTH(C243,1)&gt;PREMISSAS!$C$3,"",IF(MONTH(C243)=11,"13º "&amp;YEAR(C243),EOMONTH(C243,1)))),"")</f>
        <v/>
      </c>
      <c r="D244" s="22">
        <f ca="1">VLOOKUP(C244,'Histórico de Remunerações'!$D$7:$E$656,2,FALSE)</f>
        <v>0</v>
      </c>
      <c r="E244" s="4" t="str">
        <f ca="1">IF(D244=0,"",IF(IF(ISTEXT(C244),DATE(RIGHT(C244,4),12,31),C244)&lt;PREMISSAS!$D$7,0,IFERROR(VLOOKUP(IF(LEFT(C244,2)="13",DATE(RIGHT(C244,4),12,31),C244),IPCA!$A$3:$D$284,4,FALSE),1)*D244))</f>
        <v/>
      </c>
      <c r="F244" s="4" t="str">
        <f ca="1">IF(C244="","",IFERROR(AVERAGEIF(E$5:$E244,"&gt;"&amp;_xlfn.PERCENTILE.EXC(E$5:$E244,0.2)),0))</f>
        <v/>
      </c>
    </row>
    <row r="245" spans="2:6" x14ac:dyDescent="0.25">
      <c r="B245" s="18">
        <v>241</v>
      </c>
      <c r="C245" s="21" t="str">
        <f ca="1">IFERROR(IF(LEFT(C244,2)="13",DATE(RIGHT(C244,4),12,31),IF(EOMONTH(C244,1)&gt;PREMISSAS!$C$3,"",IF(MONTH(C244)=11,"13º "&amp;YEAR(C244),EOMONTH(C244,1)))),"")</f>
        <v/>
      </c>
      <c r="D245" s="22">
        <f ca="1">VLOOKUP(C245,'Histórico de Remunerações'!$D$7:$E$656,2,FALSE)</f>
        <v>0</v>
      </c>
      <c r="E245" s="4" t="str">
        <f ca="1">IF(D245=0,"",IF(IF(ISTEXT(C245),DATE(RIGHT(C245,4),12,31),C245)&lt;PREMISSAS!$D$7,0,IFERROR(VLOOKUP(IF(LEFT(C245,2)="13",DATE(RIGHT(C245,4),12,31),C245),IPCA!$A$3:$D$284,4,FALSE),1)*D245))</f>
        <v/>
      </c>
      <c r="F245" s="4" t="str">
        <f ca="1">IF(C245="","",IFERROR(AVERAGEIF(E$5:$E245,"&gt;"&amp;_xlfn.PERCENTILE.EXC(E$5:$E245,0.2)),0))</f>
        <v/>
      </c>
    </row>
    <row r="246" spans="2:6" x14ac:dyDescent="0.25">
      <c r="B246" s="18">
        <v>242</v>
      </c>
      <c r="C246" s="21" t="str">
        <f ca="1">IFERROR(IF(LEFT(C245,2)="13",DATE(RIGHT(C245,4),12,31),IF(EOMONTH(C245,1)&gt;PREMISSAS!$C$3,"",IF(MONTH(C245)=11,"13º "&amp;YEAR(C245),EOMONTH(C245,1)))),"")</f>
        <v/>
      </c>
      <c r="D246" s="22">
        <f ca="1">VLOOKUP(C246,'Histórico de Remunerações'!$D$7:$E$656,2,FALSE)</f>
        <v>0</v>
      </c>
      <c r="E246" s="4" t="str">
        <f ca="1">IF(D246=0,"",IF(IF(ISTEXT(C246),DATE(RIGHT(C246,4),12,31),C246)&lt;PREMISSAS!$D$7,0,IFERROR(VLOOKUP(IF(LEFT(C246,2)="13",DATE(RIGHT(C246,4),12,31),C246),IPCA!$A$3:$D$284,4,FALSE),1)*D246))</f>
        <v/>
      </c>
      <c r="F246" s="4" t="str">
        <f ca="1">IF(C246="","",IFERROR(AVERAGEIF(E$5:$E246,"&gt;"&amp;_xlfn.PERCENTILE.EXC(E$5:$E246,0.2)),0))</f>
        <v/>
      </c>
    </row>
    <row r="247" spans="2:6" x14ac:dyDescent="0.25">
      <c r="B247" s="18">
        <v>243</v>
      </c>
      <c r="C247" s="21" t="str">
        <f ca="1">IFERROR(IF(LEFT(C246,2)="13",DATE(RIGHT(C246,4),12,31),IF(EOMONTH(C246,1)&gt;PREMISSAS!$C$3,"",IF(MONTH(C246)=11,"13º "&amp;YEAR(C246),EOMONTH(C246,1)))),"")</f>
        <v/>
      </c>
      <c r="D247" s="22">
        <f ca="1">VLOOKUP(C247,'Histórico de Remunerações'!$D$7:$E$656,2,FALSE)</f>
        <v>0</v>
      </c>
      <c r="E247" s="4" t="str">
        <f ca="1">IF(D247=0,"",IF(IF(ISTEXT(C247),DATE(RIGHT(C247,4),12,31),C247)&lt;PREMISSAS!$D$7,0,IFERROR(VLOOKUP(IF(LEFT(C247,2)="13",DATE(RIGHT(C247,4),12,31),C247),IPCA!$A$3:$D$284,4,FALSE),1)*D247))</f>
        <v/>
      </c>
      <c r="F247" s="4" t="str">
        <f ca="1">IF(C247="","",IFERROR(AVERAGEIF(E$5:$E247,"&gt;"&amp;_xlfn.PERCENTILE.EXC(E$5:$E247,0.2)),0))</f>
        <v/>
      </c>
    </row>
    <row r="248" spans="2:6" x14ac:dyDescent="0.25">
      <c r="B248" s="18">
        <v>244</v>
      </c>
      <c r="C248" s="21" t="str">
        <f ca="1">IFERROR(IF(LEFT(C247,2)="13",DATE(RIGHT(C247,4),12,31),IF(EOMONTH(C247,1)&gt;PREMISSAS!$C$3,"",IF(MONTH(C247)=11,"13º "&amp;YEAR(C247),EOMONTH(C247,1)))),"")</f>
        <v/>
      </c>
      <c r="D248" s="22">
        <f ca="1">VLOOKUP(C248,'Histórico de Remunerações'!$D$7:$E$656,2,FALSE)</f>
        <v>0</v>
      </c>
      <c r="E248" s="4" t="str">
        <f ca="1">IF(D248=0,"",IF(IF(ISTEXT(C248),DATE(RIGHT(C248,4),12,31),C248)&lt;PREMISSAS!$D$7,0,IFERROR(VLOOKUP(IF(LEFT(C248,2)="13",DATE(RIGHT(C248,4),12,31),C248),IPCA!$A$3:$D$284,4,FALSE),1)*D248))</f>
        <v/>
      </c>
      <c r="F248" s="4" t="str">
        <f ca="1">IF(C248="","",IFERROR(AVERAGEIF(E$5:$E248,"&gt;"&amp;_xlfn.PERCENTILE.EXC(E$5:$E248,0.2)),0))</f>
        <v/>
      </c>
    </row>
    <row r="249" spans="2:6" x14ac:dyDescent="0.25">
      <c r="B249" s="18">
        <v>245</v>
      </c>
      <c r="C249" s="21" t="str">
        <f ca="1">IFERROR(IF(LEFT(C248,2)="13",DATE(RIGHT(C248,4),12,31),IF(EOMONTH(C248,1)&gt;PREMISSAS!$C$3,"",IF(MONTH(C248)=11,"13º "&amp;YEAR(C248),EOMONTH(C248,1)))),"")</f>
        <v/>
      </c>
      <c r="D249" s="22">
        <f ca="1">VLOOKUP(C249,'Histórico de Remunerações'!$D$7:$E$656,2,FALSE)</f>
        <v>0</v>
      </c>
      <c r="E249" s="4" t="str">
        <f ca="1">IF(D249=0,"",IF(IF(ISTEXT(C249),DATE(RIGHT(C249,4),12,31),C249)&lt;PREMISSAS!$D$7,0,IFERROR(VLOOKUP(IF(LEFT(C249,2)="13",DATE(RIGHT(C249,4),12,31),C249),IPCA!$A$3:$D$284,4,FALSE),1)*D249))</f>
        <v/>
      </c>
      <c r="F249" s="4" t="str">
        <f ca="1">IF(C249="","",IFERROR(AVERAGEIF(E$5:$E249,"&gt;"&amp;_xlfn.PERCENTILE.EXC(E$5:$E249,0.2)),0))</f>
        <v/>
      </c>
    </row>
    <row r="250" spans="2:6" x14ac:dyDescent="0.25">
      <c r="B250" s="18">
        <v>246</v>
      </c>
      <c r="C250" s="21" t="str">
        <f ca="1">IFERROR(IF(LEFT(C249,2)="13",DATE(RIGHT(C249,4),12,31),IF(EOMONTH(C249,1)&gt;PREMISSAS!$C$3,"",IF(MONTH(C249)=11,"13º "&amp;YEAR(C249),EOMONTH(C249,1)))),"")</f>
        <v/>
      </c>
      <c r="D250" s="22">
        <f ca="1">VLOOKUP(C250,'Histórico de Remunerações'!$D$7:$E$656,2,FALSE)</f>
        <v>0</v>
      </c>
      <c r="E250" s="4" t="str">
        <f ca="1">IF(D250=0,"",IF(IF(ISTEXT(C250),DATE(RIGHT(C250,4),12,31),C250)&lt;PREMISSAS!$D$7,0,IFERROR(VLOOKUP(IF(LEFT(C250,2)="13",DATE(RIGHT(C250,4),12,31),C250),IPCA!$A$3:$D$284,4,FALSE),1)*D250))</f>
        <v/>
      </c>
      <c r="F250" s="4" t="str">
        <f ca="1">IF(C250="","",IFERROR(AVERAGEIF(E$5:$E250,"&gt;"&amp;_xlfn.PERCENTILE.EXC(E$5:$E250,0.2)),0))</f>
        <v/>
      </c>
    </row>
    <row r="251" spans="2:6" x14ac:dyDescent="0.25">
      <c r="B251" s="18">
        <v>247</v>
      </c>
      <c r="C251" s="21" t="str">
        <f ca="1">IFERROR(IF(LEFT(C250,2)="13",DATE(RIGHT(C250,4),12,31),IF(EOMONTH(C250,1)&gt;PREMISSAS!$C$3,"",IF(MONTH(C250)=11,"13º "&amp;YEAR(C250),EOMONTH(C250,1)))),"")</f>
        <v/>
      </c>
      <c r="D251" s="22">
        <f ca="1">VLOOKUP(C251,'Histórico de Remunerações'!$D$7:$E$656,2,FALSE)</f>
        <v>0</v>
      </c>
      <c r="E251" s="4" t="str">
        <f ca="1">IF(D251=0,"",IF(IF(ISTEXT(C251),DATE(RIGHT(C251,4),12,31),C251)&lt;PREMISSAS!$D$7,0,IFERROR(VLOOKUP(IF(LEFT(C251,2)="13",DATE(RIGHT(C251,4),12,31),C251),IPCA!$A$3:$D$284,4,FALSE),1)*D251))</f>
        <v/>
      </c>
      <c r="F251" s="4" t="str">
        <f ca="1">IF(C251="","",IFERROR(AVERAGEIF(E$5:$E251,"&gt;"&amp;_xlfn.PERCENTILE.EXC(E$5:$E251,0.2)),0))</f>
        <v/>
      </c>
    </row>
    <row r="252" spans="2:6" x14ac:dyDescent="0.25">
      <c r="B252" s="18">
        <v>248</v>
      </c>
      <c r="C252" s="21" t="str">
        <f ca="1">IFERROR(IF(LEFT(C251,2)="13",DATE(RIGHT(C251,4),12,31),IF(EOMONTH(C251,1)&gt;PREMISSAS!$C$3,"",IF(MONTH(C251)=11,"13º "&amp;YEAR(C251),EOMONTH(C251,1)))),"")</f>
        <v/>
      </c>
      <c r="D252" s="22">
        <f ca="1">VLOOKUP(C252,'Histórico de Remunerações'!$D$7:$E$656,2,FALSE)</f>
        <v>0</v>
      </c>
      <c r="E252" s="4" t="str">
        <f ca="1">IF(D252=0,"",IF(IF(ISTEXT(C252),DATE(RIGHT(C252,4),12,31),C252)&lt;PREMISSAS!$D$7,0,IFERROR(VLOOKUP(IF(LEFT(C252,2)="13",DATE(RIGHT(C252,4),12,31),C252),IPCA!$A$3:$D$284,4,FALSE),1)*D252))</f>
        <v/>
      </c>
      <c r="F252" s="4" t="str">
        <f ca="1">IF(C252="","",IFERROR(AVERAGEIF(E$5:$E252,"&gt;"&amp;_xlfn.PERCENTILE.EXC(E$5:$E252,0.2)),0))</f>
        <v/>
      </c>
    </row>
    <row r="253" spans="2:6" x14ac:dyDescent="0.25">
      <c r="B253" s="18">
        <v>249</v>
      </c>
      <c r="C253" s="21" t="str">
        <f ca="1">IFERROR(IF(LEFT(C252,2)="13",DATE(RIGHT(C252,4),12,31),IF(EOMONTH(C252,1)&gt;PREMISSAS!$C$3,"",IF(MONTH(C252)=11,"13º "&amp;YEAR(C252),EOMONTH(C252,1)))),"")</f>
        <v/>
      </c>
      <c r="D253" s="22">
        <f ca="1">VLOOKUP(C253,'Histórico de Remunerações'!$D$7:$E$656,2,FALSE)</f>
        <v>0</v>
      </c>
      <c r="E253" s="4" t="str">
        <f ca="1">IF(D253=0,"",IF(IF(ISTEXT(C253),DATE(RIGHT(C253,4),12,31),C253)&lt;PREMISSAS!$D$7,0,IFERROR(VLOOKUP(IF(LEFT(C253,2)="13",DATE(RIGHT(C253,4),12,31),C253),IPCA!$A$3:$D$284,4,FALSE),1)*D253))</f>
        <v/>
      </c>
      <c r="F253" s="4" t="str">
        <f ca="1">IF(C253="","",IFERROR(AVERAGEIF(E$5:$E253,"&gt;"&amp;_xlfn.PERCENTILE.EXC(E$5:$E253,0.2)),0))</f>
        <v/>
      </c>
    </row>
    <row r="254" spans="2:6" x14ac:dyDescent="0.25">
      <c r="B254" s="18">
        <v>250</v>
      </c>
      <c r="C254" s="21" t="str">
        <f ca="1">IFERROR(IF(LEFT(C253,2)="13",DATE(RIGHT(C253,4),12,31),IF(EOMONTH(C253,1)&gt;PREMISSAS!$C$3,"",IF(MONTH(C253)=11,"13º "&amp;YEAR(C253),EOMONTH(C253,1)))),"")</f>
        <v/>
      </c>
      <c r="D254" s="22">
        <f ca="1">VLOOKUP(C254,'Histórico de Remunerações'!$D$7:$E$656,2,FALSE)</f>
        <v>0</v>
      </c>
      <c r="E254" s="4" t="str">
        <f ca="1">IF(D254=0,"",IF(IF(ISTEXT(C254),DATE(RIGHT(C254,4),12,31),C254)&lt;PREMISSAS!$D$7,0,IFERROR(VLOOKUP(IF(LEFT(C254,2)="13",DATE(RIGHT(C254,4),12,31),C254),IPCA!$A$3:$D$284,4,FALSE),1)*D254))</f>
        <v/>
      </c>
      <c r="F254" s="4" t="str">
        <f ca="1">IF(C254="","",IFERROR(AVERAGEIF(E$5:$E254,"&gt;"&amp;_xlfn.PERCENTILE.EXC(E$5:$E254,0.2)),0))</f>
        <v/>
      </c>
    </row>
    <row r="255" spans="2:6" x14ac:dyDescent="0.25">
      <c r="B255" s="18">
        <v>251</v>
      </c>
      <c r="C255" s="21" t="str">
        <f ca="1">IFERROR(IF(LEFT(C254,2)="13",DATE(RIGHT(C254,4),12,31),IF(EOMONTH(C254,1)&gt;PREMISSAS!$C$3,"",IF(MONTH(C254)=11,"13º "&amp;YEAR(C254),EOMONTH(C254,1)))),"")</f>
        <v/>
      </c>
      <c r="D255" s="22">
        <f ca="1">VLOOKUP(C255,'Histórico de Remunerações'!$D$7:$E$656,2,FALSE)</f>
        <v>0</v>
      </c>
      <c r="E255" s="4" t="str">
        <f ca="1">IF(D255=0,"",IF(IF(ISTEXT(C255),DATE(RIGHT(C255,4),12,31),C255)&lt;PREMISSAS!$D$7,0,IFERROR(VLOOKUP(IF(LEFT(C255,2)="13",DATE(RIGHT(C255,4),12,31),C255),IPCA!$A$3:$D$284,4,FALSE),1)*D255))</f>
        <v/>
      </c>
      <c r="F255" s="4" t="str">
        <f ca="1">IF(C255="","",IFERROR(AVERAGEIF(E$5:$E255,"&gt;"&amp;_xlfn.PERCENTILE.EXC(E$5:$E255,0.2)),0))</f>
        <v/>
      </c>
    </row>
    <row r="256" spans="2:6" x14ac:dyDescent="0.25">
      <c r="B256" s="18">
        <v>252</v>
      </c>
      <c r="C256" s="21" t="str">
        <f ca="1">IFERROR(IF(LEFT(C255,2)="13",DATE(RIGHT(C255,4),12,31),IF(EOMONTH(C255,1)&gt;PREMISSAS!$C$3,"",IF(MONTH(C255)=11,"13º "&amp;YEAR(C255),EOMONTH(C255,1)))),"")</f>
        <v/>
      </c>
      <c r="D256" s="22">
        <f ca="1">VLOOKUP(C256,'Histórico de Remunerações'!$D$7:$E$656,2,FALSE)</f>
        <v>0</v>
      </c>
      <c r="E256" s="4" t="str">
        <f ca="1">IF(D256=0,"",IF(IF(ISTEXT(C256),DATE(RIGHT(C256,4),12,31),C256)&lt;PREMISSAS!$D$7,0,IFERROR(VLOOKUP(IF(LEFT(C256,2)="13",DATE(RIGHT(C256,4),12,31),C256),IPCA!$A$3:$D$284,4,FALSE),1)*D256))</f>
        <v/>
      </c>
      <c r="F256" s="4" t="str">
        <f ca="1">IF(C256="","",IFERROR(AVERAGEIF(E$5:$E256,"&gt;"&amp;_xlfn.PERCENTILE.EXC(E$5:$E256,0.2)),0))</f>
        <v/>
      </c>
    </row>
    <row r="257" spans="2:6" x14ac:dyDescent="0.25">
      <c r="B257" s="18">
        <v>253</v>
      </c>
      <c r="C257" s="21" t="str">
        <f ca="1">IFERROR(IF(LEFT(C256,2)="13",DATE(RIGHT(C256,4),12,31),IF(EOMONTH(C256,1)&gt;PREMISSAS!$C$3,"",IF(MONTH(C256)=11,"13º "&amp;YEAR(C256),EOMONTH(C256,1)))),"")</f>
        <v/>
      </c>
      <c r="D257" s="22">
        <f ca="1">VLOOKUP(C257,'Histórico de Remunerações'!$D$7:$E$656,2,FALSE)</f>
        <v>0</v>
      </c>
      <c r="E257" s="4" t="str">
        <f ca="1">IF(D257=0,"",IF(IF(ISTEXT(C257),DATE(RIGHT(C257,4),12,31),C257)&lt;PREMISSAS!$D$7,0,IFERROR(VLOOKUP(IF(LEFT(C257,2)="13",DATE(RIGHT(C257,4),12,31),C257),IPCA!$A$3:$D$284,4,FALSE),1)*D257))</f>
        <v/>
      </c>
      <c r="F257" s="4" t="str">
        <f ca="1">IF(C257="","",IFERROR(AVERAGEIF(E$5:$E257,"&gt;"&amp;_xlfn.PERCENTILE.EXC(E$5:$E257,0.2)),0))</f>
        <v/>
      </c>
    </row>
    <row r="258" spans="2:6" x14ac:dyDescent="0.25">
      <c r="B258" s="18">
        <v>254</v>
      </c>
      <c r="C258" s="21" t="str">
        <f ca="1">IFERROR(IF(LEFT(C257,2)="13",DATE(RIGHT(C257,4),12,31),IF(EOMONTH(C257,1)&gt;PREMISSAS!$C$3,"",IF(MONTH(C257)=11,"13º "&amp;YEAR(C257),EOMONTH(C257,1)))),"")</f>
        <v/>
      </c>
      <c r="D258" s="22">
        <f ca="1">VLOOKUP(C258,'Histórico de Remunerações'!$D$7:$E$656,2,FALSE)</f>
        <v>0</v>
      </c>
      <c r="E258" s="4" t="str">
        <f ca="1">IF(D258=0,"",IF(IF(ISTEXT(C258),DATE(RIGHT(C258,4),12,31),C258)&lt;PREMISSAS!$D$7,0,IFERROR(VLOOKUP(IF(LEFT(C258,2)="13",DATE(RIGHT(C258,4),12,31),C258),IPCA!$A$3:$D$284,4,FALSE),1)*D258))</f>
        <v/>
      </c>
      <c r="F258" s="4" t="str">
        <f ca="1">IF(C258="","",IFERROR(AVERAGEIF(E$5:$E258,"&gt;"&amp;_xlfn.PERCENTILE.EXC(E$5:$E258,0.2)),0))</f>
        <v/>
      </c>
    </row>
    <row r="259" spans="2:6" x14ac:dyDescent="0.25">
      <c r="B259" s="18">
        <v>255</v>
      </c>
      <c r="C259" s="21" t="str">
        <f ca="1">IFERROR(IF(LEFT(C258,2)="13",DATE(RIGHT(C258,4),12,31),IF(EOMONTH(C258,1)&gt;PREMISSAS!$C$3,"",IF(MONTH(C258)=11,"13º "&amp;YEAR(C258),EOMONTH(C258,1)))),"")</f>
        <v/>
      </c>
      <c r="D259" s="22">
        <f ca="1">VLOOKUP(C259,'Histórico de Remunerações'!$D$7:$E$656,2,FALSE)</f>
        <v>0</v>
      </c>
      <c r="E259" s="4" t="str">
        <f ca="1">IF(D259=0,"",IF(IF(ISTEXT(C259),DATE(RIGHT(C259,4),12,31),C259)&lt;PREMISSAS!$D$7,0,IFERROR(VLOOKUP(IF(LEFT(C259,2)="13",DATE(RIGHT(C259,4),12,31),C259),IPCA!$A$3:$D$284,4,FALSE),1)*D259))</f>
        <v/>
      </c>
      <c r="F259" s="4" t="str">
        <f ca="1">IF(C259="","",IFERROR(AVERAGEIF(E$5:$E259,"&gt;"&amp;_xlfn.PERCENTILE.EXC(E$5:$E259,0.2)),0))</f>
        <v/>
      </c>
    </row>
    <row r="260" spans="2:6" x14ac:dyDescent="0.25">
      <c r="B260" s="18">
        <v>256</v>
      </c>
      <c r="C260" s="21" t="str">
        <f ca="1">IFERROR(IF(LEFT(C259,2)="13",DATE(RIGHT(C259,4),12,31),IF(EOMONTH(C259,1)&gt;PREMISSAS!$C$3,"",IF(MONTH(C259)=11,"13º "&amp;YEAR(C259),EOMONTH(C259,1)))),"")</f>
        <v/>
      </c>
      <c r="D260" s="22">
        <f ca="1">VLOOKUP(C260,'Histórico de Remunerações'!$D$7:$E$656,2,FALSE)</f>
        <v>0</v>
      </c>
      <c r="E260" s="4" t="str">
        <f ca="1">IF(D260=0,"",IF(IF(ISTEXT(C260),DATE(RIGHT(C260,4),12,31),C260)&lt;PREMISSAS!$D$7,0,IFERROR(VLOOKUP(IF(LEFT(C260,2)="13",DATE(RIGHT(C260,4),12,31),C260),IPCA!$A$3:$D$284,4,FALSE),1)*D260))</f>
        <v/>
      </c>
      <c r="F260" s="4" t="str">
        <f ca="1">IF(C260="","",IFERROR(AVERAGEIF(E$5:$E260,"&gt;"&amp;_xlfn.PERCENTILE.EXC(E$5:$E260,0.2)),0))</f>
        <v/>
      </c>
    </row>
    <row r="261" spans="2:6" x14ac:dyDescent="0.25">
      <c r="B261" s="18">
        <v>257</v>
      </c>
      <c r="C261" s="21" t="str">
        <f ca="1">IFERROR(IF(LEFT(C260,2)="13",DATE(RIGHT(C260,4),12,31),IF(EOMONTH(C260,1)&gt;PREMISSAS!$C$3,"",IF(MONTH(C260)=11,"13º "&amp;YEAR(C260),EOMONTH(C260,1)))),"")</f>
        <v/>
      </c>
      <c r="D261" s="22">
        <f ca="1">VLOOKUP(C261,'Histórico de Remunerações'!$D$7:$E$656,2,FALSE)</f>
        <v>0</v>
      </c>
      <c r="E261" s="4" t="str">
        <f ca="1">IF(D261=0,"",IF(IF(ISTEXT(C261),DATE(RIGHT(C261,4),12,31),C261)&lt;PREMISSAS!$D$7,0,IFERROR(VLOOKUP(IF(LEFT(C261,2)="13",DATE(RIGHT(C261,4),12,31),C261),IPCA!$A$3:$D$284,4,FALSE),1)*D261))</f>
        <v/>
      </c>
      <c r="F261" s="4" t="str">
        <f ca="1">IF(C261="","",IFERROR(AVERAGEIF(E$5:$E261,"&gt;"&amp;_xlfn.PERCENTILE.EXC(E$5:$E261,0.2)),0))</f>
        <v/>
      </c>
    </row>
    <row r="262" spans="2:6" x14ac:dyDescent="0.25">
      <c r="B262" s="18">
        <v>258</v>
      </c>
      <c r="C262" s="21" t="str">
        <f ca="1">IFERROR(IF(LEFT(C261,2)="13",DATE(RIGHT(C261,4),12,31),IF(EOMONTH(C261,1)&gt;PREMISSAS!$C$3,"",IF(MONTH(C261)=11,"13º "&amp;YEAR(C261),EOMONTH(C261,1)))),"")</f>
        <v/>
      </c>
      <c r="D262" s="22">
        <f ca="1">VLOOKUP(C262,'Histórico de Remunerações'!$D$7:$E$656,2,FALSE)</f>
        <v>0</v>
      </c>
      <c r="E262" s="4" t="str">
        <f ca="1">IF(D262=0,"",IF(IF(ISTEXT(C262),DATE(RIGHT(C262,4),12,31),C262)&lt;PREMISSAS!$D$7,0,IFERROR(VLOOKUP(IF(LEFT(C262,2)="13",DATE(RIGHT(C262,4),12,31),C262),IPCA!$A$3:$D$284,4,FALSE),1)*D262))</f>
        <v/>
      </c>
      <c r="F262" s="4" t="str">
        <f ca="1">IF(C262="","",IFERROR(AVERAGEIF(E$5:$E262,"&gt;"&amp;_xlfn.PERCENTILE.EXC(E$5:$E262,0.2)),0))</f>
        <v/>
      </c>
    </row>
    <row r="263" spans="2:6" x14ac:dyDescent="0.25">
      <c r="B263" s="18">
        <v>259</v>
      </c>
      <c r="C263" s="21" t="str">
        <f ca="1">IFERROR(IF(LEFT(C262,2)="13",DATE(RIGHT(C262,4),12,31),IF(EOMONTH(C262,1)&gt;PREMISSAS!$C$3,"",IF(MONTH(C262)=11,"13º "&amp;YEAR(C262),EOMONTH(C262,1)))),"")</f>
        <v/>
      </c>
      <c r="D263" s="22">
        <f ca="1">VLOOKUP(C263,'Histórico de Remunerações'!$D$7:$E$656,2,FALSE)</f>
        <v>0</v>
      </c>
      <c r="E263" s="4" t="str">
        <f ca="1">IF(D263=0,"",IF(IF(ISTEXT(C263),DATE(RIGHT(C263,4),12,31),C263)&lt;PREMISSAS!$D$7,0,IFERROR(VLOOKUP(IF(LEFT(C263,2)="13",DATE(RIGHT(C263,4),12,31),C263),IPCA!$A$3:$D$284,4,FALSE),1)*D263))</f>
        <v/>
      </c>
      <c r="F263" s="4" t="str">
        <f ca="1">IF(C263="","",IFERROR(AVERAGEIF(E$5:$E263,"&gt;"&amp;_xlfn.PERCENTILE.EXC(E$5:$E263,0.2)),0))</f>
        <v/>
      </c>
    </row>
    <row r="264" spans="2:6" x14ac:dyDescent="0.25">
      <c r="B264" s="18">
        <v>260</v>
      </c>
      <c r="C264" s="21" t="str">
        <f ca="1">IFERROR(IF(LEFT(C263,2)="13",DATE(RIGHT(C263,4),12,31),IF(EOMONTH(C263,1)&gt;PREMISSAS!$C$3,"",IF(MONTH(C263)=11,"13º "&amp;YEAR(C263),EOMONTH(C263,1)))),"")</f>
        <v/>
      </c>
      <c r="D264" s="22">
        <f ca="1">VLOOKUP(C264,'Histórico de Remunerações'!$D$7:$E$656,2,FALSE)</f>
        <v>0</v>
      </c>
      <c r="E264" s="4" t="str">
        <f ca="1">IF(D264=0,"",IF(IF(ISTEXT(C264),DATE(RIGHT(C264,4),12,31),C264)&lt;PREMISSAS!$D$7,0,IFERROR(VLOOKUP(IF(LEFT(C264,2)="13",DATE(RIGHT(C264,4),12,31),C264),IPCA!$A$3:$D$284,4,FALSE),1)*D264))</f>
        <v/>
      </c>
      <c r="F264" s="4" t="str">
        <f ca="1">IF(C264="","",IFERROR(AVERAGEIF(E$5:$E264,"&gt;"&amp;_xlfn.PERCENTILE.EXC(E$5:$E264,0.2)),0))</f>
        <v/>
      </c>
    </row>
    <row r="265" spans="2:6" x14ac:dyDescent="0.25">
      <c r="B265" s="18">
        <v>261</v>
      </c>
      <c r="C265" s="21" t="str">
        <f ca="1">IFERROR(IF(LEFT(C264,2)="13",DATE(RIGHT(C264,4),12,31),IF(EOMONTH(C264,1)&gt;PREMISSAS!$C$3,"",IF(MONTH(C264)=11,"13º "&amp;YEAR(C264),EOMONTH(C264,1)))),"")</f>
        <v/>
      </c>
      <c r="D265" s="22">
        <f ca="1">VLOOKUP(C265,'Histórico de Remunerações'!$D$7:$E$656,2,FALSE)</f>
        <v>0</v>
      </c>
      <c r="E265" s="4" t="str">
        <f ca="1">IF(D265=0,"",IF(IF(ISTEXT(C265),DATE(RIGHT(C265,4),12,31),C265)&lt;PREMISSAS!$D$7,0,IFERROR(VLOOKUP(IF(LEFT(C265,2)="13",DATE(RIGHT(C265,4),12,31),C265),IPCA!$A$3:$D$284,4,FALSE),1)*D265))</f>
        <v/>
      </c>
      <c r="F265" s="4" t="str">
        <f ca="1">IF(C265="","",IFERROR(AVERAGEIF(E$5:$E265,"&gt;"&amp;_xlfn.PERCENTILE.EXC(E$5:$E265,0.2)),0))</f>
        <v/>
      </c>
    </row>
    <row r="266" spans="2:6" x14ac:dyDescent="0.25">
      <c r="B266" s="18">
        <v>262</v>
      </c>
      <c r="C266" s="21" t="str">
        <f ca="1">IFERROR(IF(LEFT(C265,2)="13",DATE(RIGHT(C265,4),12,31),IF(EOMONTH(C265,1)&gt;PREMISSAS!$C$3,"",IF(MONTH(C265)=11,"13º "&amp;YEAR(C265),EOMONTH(C265,1)))),"")</f>
        <v/>
      </c>
      <c r="D266" s="22">
        <f ca="1">VLOOKUP(C266,'Histórico de Remunerações'!$D$7:$E$656,2,FALSE)</f>
        <v>0</v>
      </c>
      <c r="E266" s="4" t="str">
        <f ca="1">IF(D266=0,"",IF(IF(ISTEXT(C266),DATE(RIGHT(C266,4),12,31),C266)&lt;PREMISSAS!$D$7,0,IFERROR(VLOOKUP(IF(LEFT(C266,2)="13",DATE(RIGHT(C266,4),12,31),C266),IPCA!$A$3:$D$284,4,FALSE),1)*D266))</f>
        <v/>
      </c>
      <c r="F266" s="4" t="str">
        <f ca="1">IF(C266="","",IFERROR(AVERAGEIF(E$5:$E266,"&gt;"&amp;_xlfn.PERCENTILE.EXC(E$5:$E266,0.2)),0))</f>
        <v/>
      </c>
    </row>
    <row r="267" spans="2:6" x14ac:dyDescent="0.25">
      <c r="B267" s="18">
        <v>263</v>
      </c>
      <c r="C267" s="21" t="str">
        <f ca="1">IFERROR(IF(LEFT(C266,2)="13",DATE(RIGHT(C266,4),12,31),IF(EOMONTH(C266,1)&gt;PREMISSAS!$C$3,"",IF(MONTH(C266)=11,"13º "&amp;YEAR(C266),EOMONTH(C266,1)))),"")</f>
        <v/>
      </c>
      <c r="D267" s="22">
        <f ca="1">VLOOKUP(C267,'Histórico de Remunerações'!$D$7:$E$656,2,FALSE)</f>
        <v>0</v>
      </c>
      <c r="E267" s="4" t="str">
        <f ca="1">IF(D267=0,"",IF(IF(ISTEXT(C267),DATE(RIGHT(C267,4),12,31),C267)&lt;PREMISSAS!$D$7,0,IFERROR(VLOOKUP(IF(LEFT(C267,2)="13",DATE(RIGHT(C267,4),12,31),C267),IPCA!$A$3:$D$284,4,FALSE),1)*D267))</f>
        <v/>
      </c>
      <c r="F267" s="4" t="str">
        <f ca="1">IF(C267="","",IFERROR(AVERAGEIF(E$5:$E267,"&gt;"&amp;_xlfn.PERCENTILE.EXC(E$5:$E267,0.2)),0))</f>
        <v/>
      </c>
    </row>
    <row r="268" spans="2:6" x14ac:dyDescent="0.25">
      <c r="B268" s="18">
        <v>264</v>
      </c>
      <c r="C268" s="21" t="str">
        <f ca="1">IFERROR(IF(LEFT(C267,2)="13",DATE(RIGHT(C267,4),12,31),IF(EOMONTH(C267,1)&gt;PREMISSAS!$C$3,"",IF(MONTH(C267)=11,"13º "&amp;YEAR(C267),EOMONTH(C267,1)))),"")</f>
        <v/>
      </c>
      <c r="D268" s="22">
        <f ca="1">VLOOKUP(C268,'Histórico de Remunerações'!$D$7:$E$656,2,FALSE)</f>
        <v>0</v>
      </c>
      <c r="E268" s="4" t="str">
        <f ca="1">IF(D268=0,"",IF(IF(ISTEXT(C268),DATE(RIGHT(C268,4),12,31),C268)&lt;PREMISSAS!$D$7,0,IFERROR(VLOOKUP(IF(LEFT(C268,2)="13",DATE(RIGHT(C268,4),12,31),C268),IPCA!$A$3:$D$284,4,FALSE),1)*D268))</f>
        <v/>
      </c>
      <c r="F268" s="4" t="str">
        <f ca="1">IF(C268="","",IFERROR(AVERAGEIF(E$5:$E268,"&gt;"&amp;_xlfn.PERCENTILE.EXC(E$5:$E268,0.2)),0))</f>
        <v/>
      </c>
    </row>
    <row r="269" spans="2:6" x14ac:dyDescent="0.25">
      <c r="B269" s="18">
        <v>265</v>
      </c>
      <c r="C269" s="21" t="str">
        <f ca="1">IFERROR(IF(LEFT(C268,2)="13",DATE(RIGHT(C268,4),12,31),IF(EOMONTH(C268,1)&gt;PREMISSAS!$C$3,"",IF(MONTH(C268)=11,"13º "&amp;YEAR(C268),EOMONTH(C268,1)))),"")</f>
        <v/>
      </c>
      <c r="D269" s="22">
        <f ca="1">VLOOKUP(C269,'Histórico de Remunerações'!$D$7:$E$656,2,FALSE)</f>
        <v>0</v>
      </c>
      <c r="E269" s="4" t="str">
        <f ca="1">IF(D269=0,"",IF(IF(ISTEXT(C269),DATE(RIGHT(C269,4),12,31),C269)&lt;PREMISSAS!$D$7,0,IFERROR(VLOOKUP(IF(LEFT(C269,2)="13",DATE(RIGHT(C269,4),12,31),C269),IPCA!$A$3:$D$284,4,FALSE),1)*D269))</f>
        <v/>
      </c>
      <c r="F269" s="4" t="str">
        <f ca="1">IF(C269="","",IFERROR(AVERAGEIF(E$5:$E269,"&gt;"&amp;_xlfn.PERCENTILE.EXC(E$5:$E269,0.2)),0))</f>
        <v/>
      </c>
    </row>
    <row r="270" spans="2:6" x14ac:dyDescent="0.25">
      <c r="B270" s="18">
        <v>266</v>
      </c>
      <c r="C270" s="21" t="str">
        <f ca="1">IFERROR(IF(LEFT(C269,2)="13",DATE(RIGHT(C269,4),12,31),IF(EOMONTH(C269,1)&gt;PREMISSAS!$C$3,"",IF(MONTH(C269)=11,"13º "&amp;YEAR(C269),EOMONTH(C269,1)))),"")</f>
        <v/>
      </c>
      <c r="D270" s="22">
        <f ca="1">VLOOKUP(C270,'Histórico de Remunerações'!$D$7:$E$656,2,FALSE)</f>
        <v>0</v>
      </c>
      <c r="E270" s="4" t="str">
        <f ca="1">IF(D270=0,"",IF(IF(ISTEXT(C270),DATE(RIGHT(C270,4),12,31),C270)&lt;PREMISSAS!$D$7,0,IFERROR(VLOOKUP(IF(LEFT(C270,2)="13",DATE(RIGHT(C270,4),12,31),C270),IPCA!$A$3:$D$284,4,FALSE),1)*D270))</f>
        <v/>
      </c>
      <c r="F270" s="4" t="str">
        <f ca="1">IF(C270="","",IFERROR(AVERAGEIF(E$5:$E270,"&gt;"&amp;_xlfn.PERCENTILE.EXC(E$5:$E270,0.2)),0))</f>
        <v/>
      </c>
    </row>
    <row r="271" spans="2:6" x14ac:dyDescent="0.25">
      <c r="B271" s="18">
        <v>267</v>
      </c>
      <c r="C271" s="21" t="str">
        <f ca="1">IFERROR(IF(LEFT(C270,2)="13",DATE(RIGHT(C270,4),12,31),IF(EOMONTH(C270,1)&gt;PREMISSAS!$C$3,"",IF(MONTH(C270)=11,"13º "&amp;YEAR(C270),EOMONTH(C270,1)))),"")</f>
        <v/>
      </c>
      <c r="D271" s="22">
        <f ca="1">VLOOKUP(C271,'Histórico de Remunerações'!$D$7:$E$656,2,FALSE)</f>
        <v>0</v>
      </c>
      <c r="E271" s="4" t="str">
        <f ca="1">IF(D271=0,"",IF(IF(ISTEXT(C271),DATE(RIGHT(C271,4),12,31),C271)&lt;PREMISSAS!$D$7,0,IFERROR(VLOOKUP(IF(LEFT(C271,2)="13",DATE(RIGHT(C271,4),12,31),C271),IPCA!$A$3:$D$284,4,FALSE),1)*D271))</f>
        <v/>
      </c>
      <c r="F271" s="4" t="str">
        <f ca="1">IF(C271="","",IFERROR(AVERAGEIF(E$5:$E271,"&gt;"&amp;_xlfn.PERCENTILE.EXC(E$5:$E271,0.2)),0))</f>
        <v/>
      </c>
    </row>
    <row r="272" spans="2:6" x14ac:dyDescent="0.25">
      <c r="B272" s="18">
        <v>268</v>
      </c>
      <c r="C272" s="21" t="str">
        <f ca="1">IFERROR(IF(LEFT(C271,2)="13",DATE(RIGHT(C271,4),12,31),IF(EOMONTH(C271,1)&gt;PREMISSAS!$C$3,"",IF(MONTH(C271)=11,"13º "&amp;YEAR(C271),EOMONTH(C271,1)))),"")</f>
        <v/>
      </c>
      <c r="D272" s="22">
        <f ca="1">VLOOKUP(C272,'Histórico de Remunerações'!$D$7:$E$656,2,FALSE)</f>
        <v>0</v>
      </c>
      <c r="E272" s="4" t="str">
        <f ca="1">IF(D272=0,"",IF(IF(ISTEXT(C272),DATE(RIGHT(C272,4),12,31),C272)&lt;PREMISSAS!$D$7,0,IFERROR(VLOOKUP(IF(LEFT(C272,2)="13",DATE(RIGHT(C272,4),12,31),C272),IPCA!$A$3:$D$284,4,FALSE),1)*D272))</f>
        <v/>
      </c>
      <c r="F272" s="4" t="str">
        <f ca="1">IF(C272="","",IFERROR(AVERAGEIF(E$5:$E272,"&gt;"&amp;_xlfn.PERCENTILE.EXC(E$5:$E272,0.2)),0))</f>
        <v/>
      </c>
    </row>
    <row r="273" spans="2:6" x14ac:dyDescent="0.25">
      <c r="B273" s="18">
        <v>269</v>
      </c>
      <c r="C273" s="21" t="str">
        <f ca="1">IFERROR(IF(LEFT(C272,2)="13",DATE(RIGHT(C272,4),12,31),IF(EOMONTH(C272,1)&gt;PREMISSAS!$C$3,"",IF(MONTH(C272)=11,"13º "&amp;YEAR(C272),EOMONTH(C272,1)))),"")</f>
        <v/>
      </c>
      <c r="D273" s="22">
        <f ca="1">VLOOKUP(C273,'Histórico de Remunerações'!$D$7:$E$656,2,FALSE)</f>
        <v>0</v>
      </c>
      <c r="E273" s="4" t="str">
        <f ca="1">IF(D273=0,"",IF(IF(ISTEXT(C273),DATE(RIGHT(C273,4),12,31),C273)&lt;PREMISSAS!$D$7,0,IFERROR(VLOOKUP(IF(LEFT(C273,2)="13",DATE(RIGHT(C273,4),12,31),C273),IPCA!$A$3:$D$284,4,FALSE),1)*D273))</f>
        <v/>
      </c>
      <c r="F273" s="4" t="str">
        <f ca="1">IF(C273="","",IFERROR(AVERAGEIF(E$5:$E273,"&gt;"&amp;_xlfn.PERCENTILE.EXC(E$5:$E273,0.2)),0))</f>
        <v/>
      </c>
    </row>
    <row r="274" spans="2:6" x14ac:dyDescent="0.25">
      <c r="B274" s="18">
        <v>270</v>
      </c>
      <c r="C274" s="21" t="str">
        <f ca="1">IFERROR(IF(LEFT(C273,2)="13",DATE(RIGHT(C273,4),12,31),IF(EOMONTH(C273,1)&gt;PREMISSAS!$C$3,"",IF(MONTH(C273)=11,"13º "&amp;YEAR(C273),EOMONTH(C273,1)))),"")</f>
        <v/>
      </c>
      <c r="D274" s="22">
        <f ca="1">VLOOKUP(C274,'Histórico de Remunerações'!$D$7:$E$656,2,FALSE)</f>
        <v>0</v>
      </c>
      <c r="E274" s="4" t="str">
        <f ca="1">IF(D274=0,"",IF(IF(ISTEXT(C274),DATE(RIGHT(C274,4),12,31),C274)&lt;PREMISSAS!$D$7,0,IFERROR(VLOOKUP(IF(LEFT(C274,2)="13",DATE(RIGHT(C274,4),12,31),C274),IPCA!$A$3:$D$284,4,FALSE),1)*D274))</f>
        <v/>
      </c>
      <c r="F274" s="4" t="str">
        <f ca="1">IF(C274="","",IFERROR(AVERAGEIF(E$5:$E274,"&gt;"&amp;_xlfn.PERCENTILE.EXC(E$5:$E274,0.2)),0))</f>
        <v/>
      </c>
    </row>
    <row r="275" spans="2:6" x14ac:dyDescent="0.25">
      <c r="B275" s="18">
        <v>271</v>
      </c>
      <c r="C275" s="21" t="str">
        <f ca="1">IFERROR(IF(LEFT(C274,2)="13",DATE(RIGHT(C274,4),12,31),IF(EOMONTH(C274,1)&gt;PREMISSAS!$C$3,"",IF(MONTH(C274)=11,"13º "&amp;YEAR(C274),EOMONTH(C274,1)))),"")</f>
        <v/>
      </c>
      <c r="D275" s="22">
        <f ca="1">VLOOKUP(C275,'Histórico de Remunerações'!$D$7:$E$656,2,FALSE)</f>
        <v>0</v>
      </c>
      <c r="E275" s="4" t="str">
        <f ca="1">IF(D275=0,"",IF(IF(ISTEXT(C275),DATE(RIGHT(C275,4),12,31),C275)&lt;PREMISSAS!$D$7,0,IFERROR(VLOOKUP(IF(LEFT(C275,2)="13",DATE(RIGHT(C275,4),12,31),C275),IPCA!$A$3:$D$284,4,FALSE),1)*D275))</f>
        <v/>
      </c>
      <c r="F275" s="4" t="str">
        <f ca="1">IF(C275="","",IFERROR(AVERAGEIF(E$5:$E275,"&gt;"&amp;_xlfn.PERCENTILE.EXC(E$5:$E275,0.2)),0))</f>
        <v/>
      </c>
    </row>
    <row r="276" spans="2:6" x14ac:dyDescent="0.25">
      <c r="B276" s="18">
        <v>272</v>
      </c>
      <c r="C276" s="21" t="str">
        <f ca="1">IFERROR(IF(LEFT(C275,2)="13",DATE(RIGHT(C275,4),12,31),IF(EOMONTH(C275,1)&gt;PREMISSAS!$C$3,"",IF(MONTH(C275)=11,"13º "&amp;YEAR(C275),EOMONTH(C275,1)))),"")</f>
        <v/>
      </c>
      <c r="D276" s="22">
        <f ca="1">VLOOKUP(C276,'Histórico de Remunerações'!$D$7:$E$656,2,FALSE)</f>
        <v>0</v>
      </c>
      <c r="E276" s="4" t="str">
        <f ca="1">IF(D276=0,"",IF(IF(ISTEXT(C276),DATE(RIGHT(C276,4),12,31),C276)&lt;PREMISSAS!$D$7,0,IFERROR(VLOOKUP(IF(LEFT(C276,2)="13",DATE(RIGHT(C276,4),12,31),C276),IPCA!$A$3:$D$284,4,FALSE),1)*D276))</f>
        <v/>
      </c>
      <c r="F276" s="4" t="str">
        <f ca="1">IF(C276="","",IFERROR(AVERAGEIF(E$5:$E276,"&gt;"&amp;_xlfn.PERCENTILE.EXC(E$5:$E276,0.2)),0))</f>
        <v/>
      </c>
    </row>
    <row r="277" spans="2:6" x14ac:dyDescent="0.25">
      <c r="B277" s="18">
        <v>273</v>
      </c>
      <c r="C277" s="21" t="str">
        <f ca="1">IFERROR(IF(LEFT(C276,2)="13",DATE(RIGHT(C276,4),12,31),IF(EOMONTH(C276,1)&gt;PREMISSAS!$C$3,"",IF(MONTH(C276)=11,"13º "&amp;YEAR(C276),EOMONTH(C276,1)))),"")</f>
        <v/>
      </c>
      <c r="D277" s="22">
        <f ca="1">VLOOKUP(C277,'Histórico de Remunerações'!$D$7:$E$656,2,FALSE)</f>
        <v>0</v>
      </c>
      <c r="E277" s="4" t="str">
        <f ca="1">IF(D277=0,"",IF(IF(ISTEXT(C277),DATE(RIGHT(C277,4),12,31),C277)&lt;PREMISSAS!$D$7,0,IFERROR(VLOOKUP(IF(LEFT(C277,2)="13",DATE(RIGHT(C277,4),12,31),C277),IPCA!$A$3:$D$284,4,FALSE),1)*D277))</f>
        <v/>
      </c>
      <c r="F277" s="4" t="str">
        <f ca="1">IF(C277="","",IFERROR(AVERAGEIF(E$5:$E277,"&gt;"&amp;_xlfn.PERCENTILE.EXC(E$5:$E277,0.2)),0))</f>
        <v/>
      </c>
    </row>
    <row r="278" spans="2:6" x14ac:dyDescent="0.25">
      <c r="B278" s="18">
        <v>274</v>
      </c>
      <c r="C278" s="21" t="str">
        <f ca="1">IFERROR(IF(LEFT(C277,2)="13",DATE(RIGHT(C277,4),12,31),IF(EOMONTH(C277,1)&gt;PREMISSAS!$C$3,"",IF(MONTH(C277)=11,"13º "&amp;YEAR(C277),EOMONTH(C277,1)))),"")</f>
        <v/>
      </c>
      <c r="D278" s="22">
        <f ca="1">VLOOKUP(C278,'Histórico de Remunerações'!$D$7:$E$656,2,FALSE)</f>
        <v>0</v>
      </c>
      <c r="E278" s="4" t="str">
        <f ca="1">IF(D278=0,"",IF(IF(ISTEXT(C278),DATE(RIGHT(C278,4),12,31),C278)&lt;PREMISSAS!$D$7,0,IFERROR(VLOOKUP(IF(LEFT(C278,2)="13",DATE(RIGHT(C278,4),12,31),C278),IPCA!$A$3:$D$284,4,FALSE),1)*D278))</f>
        <v/>
      </c>
      <c r="F278" s="4" t="str">
        <f ca="1">IF(C278="","",IFERROR(AVERAGEIF(E$5:$E278,"&gt;"&amp;_xlfn.PERCENTILE.EXC(E$5:$E278,0.2)),0))</f>
        <v/>
      </c>
    </row>
    <row r="279" spans="2:6" x14ac:dyDescent="0.25">
      <c r="B279" s="18">
        <v>275</v>
      </c>
      <c r="C279" s="21" t="str">
        <f ca="1">IFERROR(IF(LEFT(C278,2)="13",DATE(RIGHT(C278,4),12,31),IF(EOMONTH(C278,1)&gt;PREMISSAS!$C$3,"",IF(MONTH(C278)=11,"13º "&amp;YEAR(C278),EOMONTH(C278,1)))),"")</f>
        <v/>
      </c>
      <c r="D279" s="22">
        <f ca="1">VLOOKUP(C279,'Histórico de Remunerações'!$D$7:$E$656,2,FALSE)</f>
        <v>0</v>
      </c>
      <c r="E279" s="4" t="str">
        <f ca="1">IF(D279=0,"",IF(IF(ISTEXT(C279),DATE(RIGHT(C279,4),12,31),C279)&lt;PREMISSAS!$D$7,0,IFERROR(VLOOKUP(IF(LEFT(C279,2)="13",DATE(RIGHT(C279,4),12,31),C279),IPCA!$A$3:$D$284,4,FALSE),1)*D279))</f>
        <v/>
      </c>
      <c r="F279" s="4" t="str">
        <f ca="1">IF(C279="","",IFERROR(AVERAGEIF(E$5:$E279,"&gt;"&amp;_xlfn.PERCENTILE.EXC(E$5:$E279,0.2)),0))</f>
        <v/>
      </c>
    </row>
    <row r="280" spans="2:6" x14ac:dyDescent="0.25">
      <c r="B280" s="18">
        <v>276</v>
      </c>
      <c r="C280" s="21" t="str">
        <f ca="1">IFERROR(IF(LEFT(C279,2)="13",DATE(RIGHT(C279,4),12,31),IF(EOMONTH(C279,1)&gt;PREMISSAS!$C$3,"",IF(MONTH(C279)=11,"13º "&amp;YEAR(C279),EOMONTH(C279,1)))),"")</f>
        <v/>
      </c>
      <c r="D280" s="22">
        <f ca="1">VLOOKUP(C280,'Histórico de Remunerações'!$D$7:$E$656,2,FALSE)</f>
        <v>0</v>
      </c>
      <c r="E280" s="4" t="str">
        <f ca="1">IF(D280=0,"",IF(IF(ISTEXT(C280),DATE(RIGHT(C280,4),12,31),C280)&lt;PREMISSAS!$D$7,0,IFERROR(VLOOKUP(IF(LEFT(C280,2)="13",DATE(RIGHT(C280,4),12,31),C280),IPCA!$A$3:$D$284,4,FALSE),1)*D280))</f>
        <v/>
      </c>
      <c r="F280" s="4" t="str">
        <f ca="1">IF(C280="","",IFERROR(AVERAGEIF(E$5:$E280,"&gt;"&amp;_xlfn.PERCENTILE.EXC(E$5:$E280,0.2)),0))</f>
        <v/>
      </c>
    </row>
    <row r="281" spans="2:6" x14ac:dyDescent="0.25">
      <c r="B281" s="18">
        <v>277</v>
      </c>
      <c r="C281" s="21" t="str">
        <f ca="1">IFERROR(IF(LEFT(C280,2)="13",DATE(RIGHT(C280,4),12,31),IF(EOMONTH(C280,1)&gt;PREMISSAS!$C$3,"",IF(MONTH(C280)=11,"13º "&amp;YEAR(C280),EOMONTH(C280,1)))),"")</f>
        <v/>
      </c>
      <c r="D281" s="22">
        <f ca="1">VLOOKUP(C281,'Histórico de Remunerações'!$D$7:$E$656,2,FALSE)</f>
        <v>0</v>
      </c>
      <c r="E281" s="4" t="str">
        <f ca="1">IF(D281=0,"",IF(IF(ISTEXT(C281),DATE(RIGHT(C281,4),12,31),C281)&lt;PREMISSAS!$D$7,0,IFERROR(VLOOKUP(IF(LEFT(C281,2)="13",DATE(RIGHT(C281,4),12,31),C281),IPCA!$A$3:$D$284,4,FALSE),1)*D281))</f>
        <v/>
      </c>
      <c r="F281" s="4" t="str">
        <f ca="1">IF(C281="","",IFERROR(AVERAGEIF(E$5:$E281,"&gt;"&amp;_xlfn.PERCENTILE.EXC(E$5:$E281,0.2)),0))</f>
        <v/>
      </c>
    </row>
    <row r="282" spans="2:6" x14ac:dyDescent="0.25">
      <c r="B282" s="18">
        <v>278</v>
      </c>
      <c r="C282" s="21" t="str">
        <f ca="1">IFERROR(IF(LEFT(C281,2)="13",DATE(RIGHT(C281,4),12,31),IF(EOMONTH(C281,1)&gt;PREMISSAS!$C$3,"",IF(MONTH(C281)=11,"13º "&amp;YEAR(C281),EOMONTH(C281,1)))),"")</f>
        <v/>
      </c>
      <c r="D282" s="22">
        <f ca="1">VLOOKUP(C282,'Histórico de Remunerações'!$D$7:$E$656,2,FALSE)</f>
        <v>0</v>
      </c>
      <c r="E282" s="4" t="str">
        <f ca="1">IF(D282=0,"",IF(IF(ISTEXT(C282),DATE(RIGHT(C282,4),12,31),C282)&lt;PREMISSAS!$D$7,0,IFERROR(VLOOKUP(IF(LEFT(C282,2)="13",DATE(RIGHT(C282,4),12,31),C282),IPCA!$A$3:$D$284,4,FALSE),1)*D282))</f>
        <v/>
      </c>
      <c r="F282" s="4" t="str">
        <f ca="1">IF(C282="","",IFERROR(AVERAGEIF(E$5:$E282,"&gt;"&amp;_xlfn.PERCENTILE.EXC(E$5:$E282,0.2)),0))</f>
        <v/>
      </c>
    </row>
    <row r="283" spans="2:6" x14ac:dyDescent="0.25">
      <c r="B283" s="18">
        <v>279</v>
      </c>
      <c r="C283" s="21" t="str">
        <f ca="1">IFERROR(IF(LEFT(C282,2)="13",DATE(RIGHT(C282,4),12,31),IF(EOMONTH(C282,1)&gt;PREMISSAS!$C$3,"",IF(MONTH(C282)=11,"13º "&amp;YEAR(C282),EOMONTH(C282,1)))),"")</f>
        <v/>
      </c>
      <c r="D283" s="22">
        <f ca="1">VLOOKUP(C283,'Histórico de Remunerações'!$D$7:$E$656,2,FALSE)</f>
        <v>0</v>
      </c>
      <c r="E283" s="4" t="str">
        <f ca="1">IF(D283=0,"",IF(IF(ISTEXT(C283),DATE(RIGHT(C283,4),12,31),C283)&lt;PREMISSAS!$D$7,0,IFERROR(VLOOKUP(IF(LEFT(C283,2)="13",DATE(RIGHT(C283,4),12,31),C283),IPCA!$A$3:$D$284,4,FALSE),1)*D283))</f>
        <v/>
      </c>
      <c r="F283" s="4" t="str">
        <f ca="1">IF(C283="","",IFERROR(AVERAGEIF(E$5:$E283,"&gt;"&amp;_xlfn.PERCENTILE.EXC(E$5:$E283,0.2)),0))</f>
        <v/>
      </c>
    </row>
    <row r="284" spans="2:6" x14ac:dyDescent="0.25">
      <c r="B284" s="18">
        <v>280</v>
      </c>
      <c r="C284" s="21" t="str">
        <f ca="1">IFERROR(IF(LEFT(C283,2)="13",DATE(RIGHT(C283,4),12,31),IF(EOMONTH(C283,1)&gt;PREMISSAS!$C$3,"",IF(MONTH(C283)=11,"13º "&amp;YEAR(C283),EOMONTH(C283,1)))),"")</f>
        <v/>
      </c>
      <c r="D284" s="22">
        <f ca="1">VLOOKUP(C284,'Histórico de Remunerações'!$D$7:$E$656,2,FALSE)</f>
        <v>0</v>
      </c>
      <c r="E284" s="4" t="str">
        <f ca="1">IF(D284=0,"",IF(IF(ISTEXT(C284),DATE(RIGHT(C284,4),12,31),C284)&lt;PREMISSAS!$D$7,0,IFERROR(VLOOKUP(IF(LEFT(C284,2)="13",DATE(RIGHT(C284,4),12,31),C284),IPCA!$A$3:$D$284,4,FALSE),1)*D284))</f>
        <v/>
      </c>
      <c r="F284" s="4" t="str">
        <f ca="1">IF(C284="","",IFERROR(AVERAGEIF(E$5:$E284,"&gt;"&amp;_xlfn.PERCENTILE.EXC(E$5:$E284,0.2)),0))</f>
        <v/>
      </c>
    </row>
    <row r="285" spans="2:6" x14ac:dyDescent="0.25">
      <c r="B285" s="18">
        <v>281</v>
      </c>
      <c r="C285" s="21" t="str">
        <f ca="1">IFERROR(IF(LEFT(C284,2)="13",DATE(RIGHT(C284,4),12,31),IF(EOMONTH(C284,1)&gt;PREMISSAS!$C$3,"",IF(MONTH(C284)=11,"13º "&amp;YEAR(C284),EOMONTH(C284,1)))),"")</f>
        <v/>
      </c>
      <c r="D285" s="22">
        <f ca="1">VLOOKUP(C285,'Histórico de Remunerações'!$D$7:$E$656,2,FALSE)</f>
        <v>0</v>
      </c>
      <c r="E285" s="4" t="str">
        <f ca="1">IF(D285=0,"",IF(IF(ISTEXT(C285),DATE(RIGHT(C285,4),12,31),C285)&lt;PREMISSAS!$D$7,0,IFERROR(VLOOKUP(IF(LEFT(C285,2)="13",DATE(RIGHT(C285,4),12,31),C285),IPCA!$A$3:$D$284,4,FALSE),1)*D285))</f>
        <v/>
      </c>
      <c r="F285" s="4" t="str">
        <f ca="1">IF(C285="","",IFERROR(AVERAGEIF(E$5:$E285,"&gt;"&amp;_xlfn.PERCENTILE.EXC(E$5:$E285,0.2)),0))</f>
        <v/>
      </c>
    </row>
    <row r="286" spans="2:6" x14ac:dyDescent="0.25">
      <c r="B286" s="18">
        <v>282</v>
      </c>
      <c r="C286" s="21" t="str">
        <f ca="1">IFERROR(IF(LEFT(C285,2)="13",DATE(RIGHT(C285,4),12,31),IF(EOMONTH(C285,1)&gt;PREMISSAS!$C$3,"",IF(MONTH(C285)=11,"13º "&amp;YEAR(C285),EOMONTH(C285,1)))),"")</f>
        <v/>
      </c>
      <c r="D286" s="22">
        <f ca="1">VLOOKUP(C286,'Histórico de Remunerações'!$D$7:$E$656,2,FALSE)</f>
        <v>0</v>
      </c>
      <c r="E286" s="4" t="str">
        <f ca="1">IF(D286=0,"",IF(IF(ISTEXT(C286),DATE(RIGHT(C286,4),12,31),C286)&lt;PREMISSAS!$D$7,0,IFERROR(VLOOKUP(IF(LEFT(C286,2)="13",DATE(RIGHT(C286,4),12,31),C286),IPCA!$A$3:$D$284,4,FALSE),1)*D286))</f>
        <v/>
      </c>
      <c r="F286" s="4" t="str">
        <f ca="1">IF(C286="","",IFERROR(AVERAGEIF(E$5:$E286,"&gt;"&amp;_xlfn.PERCENTILE.EXC(E$5:$E286,0.2)),0))</f>
        <v/>
      </c>
    </row>
    <row r="287" spans="2:6" x14ac:dyDescent="0.25">
      <c r="B287" s="18">
        <v>283</v>
      </c>
      <c r="C287" s="21" t="str">
        <f ca="1">IFERROR(IF(LEFT(C286,2)="13",DATE(RIGHT(C286,4),12,31),IF(EOMONTH(C286,1)&gt;PREMISSAS!$C$3,"",IF(MONTH(C286)=11,"13º "&amp;YEAR(C286),EOMONTH(C286,1)))),"")</f>
        <v/>
      </c>
      <c r="D287" s="22">
        <f ca="1">VLOOKUP(C287,'Histórico de Remunerações'!$D$7:$E$656,2,FALSE)</f>
        <v>0</v>
      </c>
      <c r="E287" s="4" t="str">
        <f ca="1">IF(D287=0,"",IF(IF(ISTEXT(C287),DATE(RIGHT(C287,4),12,31),C287)&lt;PREMISSAS!$D$7,0,IFERROR(VLOOKUP(IF(LEFT(C287,2)="13",DATE(RIGHT(C287,4),12,31),C287),IPCA!$A$3:$D$284,4,FALSE),1)*D287))</f>
        <v/>
      </c>
      <c r="F287" s="4" t="str">
        <f ca="1">IF(C287="","",IFERROR(AVERAGEIF(E$5:$E287,"&gt;"&amp;_xlfn.PERCENTILE.EXC(E$5:$E287,0.2)),0))</f>
        <v/>
      </c>
    </row>
    <row r="288" spans="2:6" x14ac:dyDescent="0.25">
      <c r="B288" s="18">
        <v>284</v>
      </c>
      <c r="C288" s="21" t="str">
        <f ca="1">IFERROR(IF(LEFT(C287,2)="13",DATE(RIGHT(C287,4),12,31),IF(EOMONTH(C287,1)&gt;PREMISSAS!$C$3,"",IF(MONTH(C287)=11,"13º "&amp;YEAR(C287),EOMONTH(C287,1)))),"")</f>
        <v/>
      </c>
      <c r="D288" s="22">
        <f ca="1">VLOOKUP(C288,'Histórico de Remunerações'!$D$7:$E$656,2,FALSE)</f>
        <v>0</v>
      </c>
      <c r="E288" s="4" t="str">
        <f ca="1">IF(D288=0,"",IF(IF(ISTEXT(C288),DATE(RIGHT(C288,4),12,31),C288)&lt;PREMISSAS!$D$7,0,IFERROR(VLOOKUP(IF(LEFT(C288,2)="13",DATE(RIGHT(C288,4),12,31),C288),IPCA!$A$3:$D$284,4,FALSE),1)*D288))</f>
        <v/>
      </c>
      <c r="F288" s="4" t="str">
        <f ca="1">IF(C288="","",IFERROR(AVERAGEIF(E$5:$E288,"&gt;"&amp;_xlfn.PERCENTILE.EXC(E$5:$E288,0.2)),0))</f>
        <v/>
      </c>
    </row>
    <row r="289" spans="2:6" x14ac:dyDescent="0.25">
      <c r="B289" s="18">
        <v>285</v>
      </c>
      <c r="C289" s="21" t="str">
        <f ca="1">IFERROR(IF(LEFT(C288,2)="13",DATE(RIGHT(C288,4),12,31),IF(EOMONTH(C288,1)&gt;PREMISSAS!$C$3,"",IF(MONTH(C288)=11,"13º "&amp;YEAR(C288),EOMONTH(C288,1)))),"")</f>
        <v/>
      </c>
      <c r="D289" s="22">
        <f ca="1">VLOOKUP(C289,'Histórico de Remunerações'!$D$7:$E$656,2,FALSE)</f>
        <v>0</v>
      </c>
      <c r="E289" s="4" t="str">
        <f ca="1">IF(D289=0,"",IF(IF(ISTEXT(C289),DATE(RIGHT(C289,4),12,31),C289)&lt;PREMISSAS!$D$7,0,IFERROR(VLOOKUP(IF(LEFT(C289,2)="13",DATE(RIGHT(C289,4),12,31),C289),IPCA!$A$3:$D$284,4,FALSE),1)*D289))</f>
        <v/>
      </c>
      <c r="F289" s="4" t="str">
        <f ca="1">IF(C289="","",IFERROR(AVERAGEIF(E$5:$E289,"&gt;"&amp;_xlfn.PERCENTILE.EXC(E$5:$E289,0.2)),0))</f>
        <v/>
      </c>
    </row>
    <row r="290" spans="2:6" x14ac:dyDescent="0.25">
      <c r="B290" s="18">
        <v>286</v>
      </c>
      <c r="C290" s="21" t="str">
        <f ca="1">IFERROR(IF(LEFT(C289,2)="13",DATE(RIGHT(C289,4),12,31),IF(EOMONTH(C289,1)&gt;PREMISSAS!$C$3,"",IF(MONTH(C289)=11,"13º "&amp;YEAR(C289),EOMONTH(C289,1)))),"")</f>
        <v/>
      </c>
      <c r="D290" s="22">
        <f ca="1">VLOOKUP(C290,'Histórico de Remunerações'!$D$7:$E$656,2,FALSE)</f>
        <v>0</v>
      </c>
      <c r="E290" s="4" t="str">
        <f ca="1">IF(D290=0,"",IF(IF(ISTEXT(C290),DATE(RIGHT(C290,4),12,31),C290)&lt;PREMISSAS!$D$7,0,IFERROR(VLOOKUP(IF(LEFT(C290,2)="13",DATE(RIGHT(C290,4),12,31),C290),IPCA!$A$3:$D$284,4,FALSE),1)*D290))</f>
        <v/>
      </c>
      <c r="F290" s="4" t="str">
        <f ca="1">IF(C290="","",IFERROR(AVERAGEIF(E$5:$E290,"&gt;"&amp;_xlfn.PERCENTILE.EXC(E$5:$E290,0.2)),0))</f>
        <v/>
      </c>
    </row>
    <row r="291" spans="2:6" x14ac:dyDescent="0.25">
      <c r="B291" s="18">
        <v>287</v>
      </c>
      <c r="C291" s="21" t="str">
        <f ca="1">IFERROR(IF(LEFT(C290,2)="13",DATE(RIGHT(C290,4),12,31),IF(EOMONTH(C290,1)&gt;PREMISSAS!$C$3,"",IF(MONTH(C290)=11,"13º "&amp;YEAR(C290),EOMONTH(C290,1)))),"")</f>
        <v/>
      </c>
      <c r="D291" s="22">
        <f ca="1">VLOOKUP(C291,'Histórico de Remunerações'!$D$7:$E$656,2,FALSE)</f>
        <v>0</v>
      </c>
      <c r="E291" s="4" t="str">
        <f ca="1">IF(D291=0,"",IF(IF(ISTEXT(C291),DATE(RIGHT(C291,4),12,31),C291)&lt;PREMISSAS!$D$7,0,IFERROR(VLOOKUP(IF(LEFT(C291,2)="13",DATE(RIGHT(C291,4),12,31),C291),IPCA!$A$3:$D$284,4,FALSE),1)*D291))</f>
        <v/>
      </c>
      <c r="F291" s="4" t="str">
        <f ca="1">IF(C291="","",IFERROR(AVERAGEIF(E$5:$E291,"&gt;"&amp;_xlfn.PERCENTILE.EXC(E$5:$E291,0.2)),0))</f>
        <v/>
      </c>
    </row>
    <row r="292" spans="2:6" x14ac:dyDescent="0.25">
      <c r="B292" s="18">
        <v>288</v>
      </c>
      <c r="C292" s="21" t="str">
        <f ca="1">IFERROR(IF(LEFT(C291,2)="13",DATE(RIGHT(C291,4),12,31),IF(EOMONTH(C291,1)&gt;PREMISSAS!$C$3,"",IF(MONTH(C291)=11,"13º "&amp;YEAR(C291),EOMONTH(C291,1)))),"")</f>
        <v/>
      </c>
      <c r="D292" s="22">
        <f ca="1">VLOOKUP(C292,'Histórico de Remunerações'!$D$7:$E$656,2,FALSE)</f>
        <v>0</v>
      </c>
      <c r="E292" s="4" t="str">
        <f ca="1">IF(D292=0,"",IF(IF(ISTEXT(C292),DATE(RIGHT(C292,4),12,31),C292)&lt;PREMISSAS!$D$7,0,IFERROR(VLOOKUP(IF(LEFT(C292,2)="13",DATE(RIGHT(C292,4),12,31),C292),IPCA!$A$3:$D$284,4,FALSE),1)*D292))</f>
        <v/>
      </c>
      <c r="F292" s="4" t="str">
        <f ca="1">IF(C292="","",IFERROR(AVERAGEIF(E$5:$E292,"&gt;"&amp;_xlfn.PERCENTILE.EXC(E$5:$E292,0.2)),0))</f>
        <v/>
      </c>
    </row>
    <row r="293" spans="2:6" x14ac:dyDescent="0.25">
      <c r="B293" s="18">
        <v>289</v>
      </c>
      <c r="C293" s="21" t="str">
        <f ca="1">IFERROR(IF(LEFT(C292,2)="13",DATE(RIGHT(C292,4),12,31),IF(EOMONTH(C292,1)&gt;PREMISSAS!$C$3,"",IF(MONTH(C292)=11,"13º "&amp;YEAR(C292),EOMONTH(C292,1)))),"")</f>
        <v/>
      </c>
      <c r="D293" s="22">
        <f ca="1">VLOOKUP(C293,'Histórico de Remunerações'!$D$7:$E$656,2,FALSE)</f>
        <v>0</v>
      </c>
      <c r="E293" s="4" t="str">
        <f ca="1">IF(D293=0,"",IF(IF(ISTEXT(C293),DATE(RIGHT(C293,4),12,31),C293)&lt;PREMISSAS!$D$7,0,IFERROR(VLOOKUP(IF(LEFT(C293,2)="13",DATE(RIGHT(C293,4),12,31),C293),IPCA!$A$3:$D$284,4,FALSE),1)*D293))</f>
        <v/>
      </c>
      <c r="F293" s="4" t="str">
        <f ca="1">IF(C293="","",IFERROR(AVERAGEIF(E$5:$E293,"&gt;"&amp;_xlfn.PERCENTILE.EXC(E$5:$E293,0.2)),0))</f>
        <v/>
      </c>
    </row>
    <row r="294" spans="2:6" x14ac:dyDescent="0.25">
      <c r="B294" s="18">
        <v>290</v>
      </c>
      <c r="C294" s="21" t="str">
        <f ca="1">IFERROR(IF(LEFT(C293,2)="13",DATE(RIGHT(C293,4),12,31),IF(EOMONTH(C293,1)&gt;PREMISSAS!$C$3,"",IF(MONTH(C293)=11,"13º "&amp;YEAR(C293),EOMONTH(C293,1)))),"")</f>
        <v/>
      </c>
      <c r="D294" s="22">
        <f ca="1">VLOOKUP(C294,'Histórico de Remunerações'!$D$7:$E$656,2,FALSE)</f>
        <v>0</v>
      </c>
      <c r="E294" s="4" t="str">
        <f ca="1">IF(D294=0,"",IF(IF(ISTEXT(C294),DATE(RIGHT(C294,4),12,31),C294)&lt;PREMISSAS!$D$7,0,IFERROR(VLOOKUP(IF(LEFT(C294,2)="13",DATE(RIGHT(C294,4),12,31),C294),IPCA!$A$3:$D$284,4,FALSE),1)*D294))</f>
        <v/>
      </c>
      <c r="F294" s="4" t="str">
        <f ca="1">IF(C294="","",IFERROR(AVERAGEIF(E$5:$E294,"&gt;"&amp;_xlfn.PERCENTILE.EXC(E$5:$E294,0.2)),0))</f>
        <v/>
      </c>
    </row>
    <row r="295" spans="2:6" x14ac:dyDescent="0.25">
      <c r="B295" s="18">
        <v>291</v>
      </c>
      <c r="C295" s="21" t="str">
        <f ca="1">IFERROR(IF(LEFT(C294,2)="13",DATE(RIGHT(C294,4),12,31),IF(EOMONTH(C294,1)&gt;PREMISSAS!$C$3,"",IF(MONTH(C294)=11,"13º "&amp;YEAR(C294),EOMONTH(C294,1)))),"")</f>
        <v/>
      </c>
      <c r="D295" s="22">
        <f ca="1">VLOOKUP(C295,'Histórico de Remunerações'!$D$7:$E$656,2,FALSE)</f>
        <v>0</v>
      </c>
      <c r="E295" s="4" t="str">
        <f ca="1">IF(D295=0,"",IF(IF(ISTEXT(C295),DATE(RIGHT(C295,4),12,31),C295)&lt;PREMISSAS!$D$7,0,IFERROR(VLOOKUP(IF(LEFT(C295,2)="13",DATE(RIGHT(C295,4),12,31),C295),IPCA!$A$3:$D$284,4,FALSE),1)*D295))</f>
        <v/>
      </c>
      <c r="F295" s="4" t="str">
        <f ca="1">IF(C295="","",IFERROR(AVERAGEIF(E$5:$E295,"&gt;"&amp;_xlfn.PERCENTILE.EXC(E$5:$E295,0.2)),0))</f>
        <v/>
      </c>
    </row>
    <row r="296" spans="2:6" x14ac:dyDescent="0.25">
      <c r="B296" s="18">
        <v>292</v>
      </c>
      <c r="C296" s="21" t="str">
        <f ca="1">IFERROR(IF(LEFT(C295,2)="13",DATE(RIGHT(C295,4),12,31),IF(EOMONTH(C295,1)&gt;PREMISSAS!$C$3,"",IF(MONTH(C295)=11,"13º "&amp;YEAR(C295),EOMONTH(C295,1)))),"")</f>
        <v/>
      </c>
      <c r="D296" s="22">
        <f ca="1">VLOOKUP(C296,'Histórico de Remunerações'!$D$7:$E$656,2,FALSE)</f>
        <v>0</v>
      </c>
      <c r="E296" s="4" t="str">
        <f ca="1">IF(D296=0,"",IF(IF(ISTEXT(C296),DATE(RIGHT(C296,4),12,31),C296)&lt;PREMISSAS!$D$7,0,IFERROR(VLOOKUP(IF(LEFT(C296,2)="13",DATE(RIGHT(C296,4),12,31),C296),IPCA!$A$3:$D$284,4,FALSE),1)*D296))</f>
        <v/>
      </c>
      <c r="F296" s="4" t="str">
        <f ca="1">IF(C296="","",IFERROR(AVERAGEIF(E$5:$E296,"&gt;"&amp;_xlfn.PERCENTILE.EXC(E$5:$E296,0.2)),0))</f>
        <v/>
      </c>
    </row>
    <row r="297" spans="2:6" x14ac:dyDescent="0.25">
      <c r="B297" s="18">
        <v>293</v>
      </c>
      <c r="C297" s="21" t="str">
        <f ca="1">IFERROR(IF(LEFT(C296,2)="13",DATE(RIGHT(C296,4),12,31),IF(EOMONTH(C296,1)&gt;PREMISSAS!$C$3,"",IF(MONTH(C296)=11,"13º "&amp;YEAR(C296),EOMONTH(C296,1)))),"")</f>
        <v/>
      </c>
      <c r="D297" s="22">
        <f ca="1">VLOOKUP(C297,'Histórico de Remunerações'!$D$7:$E$656,2,FALSE)</f>
        <v>0</v>
      </c>
      <c r="E297" s="4" t="str">
        <f ca="1">IF(D297=0,"",IF(IF(ISTEXT(C297),DATE(RIGHT(C297,4),12,31),C297)&lt;PREMISSAS!$D$7,0,IFERROR(VLOOKUP(IF(LEFT(C297,2)="13",DATE(RIGHT(C297,4),12,31),C297),IPCA!$A$3:$D$284,4,FALSE),1)*D297))</f>
        <v/>
      </c>
      <c r="F297" s="4" t="str">
        <f ca="1">IF(C297="","",IFERROR(AVERAGEIF(E$5:$E297,"&gt;"&amp;_xlfn.PERCENTILE.EXC(E$5:$E297,0.2)),0))</f>
        <v/>
      </c>
    </row>
    <row r="298" spans="2:6" x14ac:dyDescent="0.25">
      <c r="B298" s="18">
        <v>294</v>
      </c>
      <c r="C298" s="21" t="str">
        <f ca="1">IFERROR(IF(LEFT(C297,2)="13",DATE(RIGHT(C297,4),12,31),IF(EOMONTH(C297,1)&gt;PREMISSAS!$C$3,"",IF(MONTH(C297)=11,"13º "&amp;YEAR(C297),EOMONTH(C297,1)))),"")</f>
        <v/>
      </c>
      <c r="D298" s="22">
        <f ca="1">VLOOKUP(C298,'Histórico de Remunerações'!$D$7:$E$656,2,FALSE)</f>
        <v>0</v>
      </c>
      <c r="E298" s="4" t="str">
        <f ca="1">IF(D298=0,"",IF(IF(ISTEXT(C298),DATE(RIGHT(C298,4),12,31),C298)&lt;PREMISSAS!$D$7,0,IFERROR(VLOOKUP(IF(LEFT(C298,2)="13",DATE(RIGHT(C298,4),12,31),C298),IPCA!$A$3:$D$284,4,FALSE),1)*D298))</f>
        <v/>
      </c>
      <c r="F298" s="4" t="str">
        <f ca="1">IF(C298="","",IFERROR(AVERAGEIF(E$5:$E298,"&gt;"&amp;_xlfn.PERCENTILE.EXC(E$5:$E298,0.2)),0))</f>
        <v/>
      </c>
    </row>
    <row r="299" spans="2:6" x14ac:dyDescent="0.25">
      <c r="B299" s="18">
        <v>295</v>
      </c>
      <c r="C299" s="21" t="str">
        <f ca="1">IFERROR(IF(LEFT(C298,2)="13",DATE(RIGHT(C298,4),12,31),IF(EOMONTH(C298,1)&gt;PREMISSAS!$C$3,"",IF(MONTH(C298)=11,"13º "&amp;YEAR(C298),EOMONTH(C298,1)))),"")</f>
        <v/>
      </c>
      <c r="D299" s="22">
        <f ca="1">VLOOKUP(C299,'Histórico de Remunerações'!$D$7:$E$656,2,FALSE)</f>
        <v>0</v>
      </c>
      <c r="E299" s="4" t="str">
        <f ca="1">IF(D299=0,"",IF(IF(ISTEXT(C299),DATE(RIGHT(C299,4),12,31),C299)&lt;PREMISSAS!$D$7,0,IFERROR(VLOOKUP(IF(LEFT(C299,2)="13",DATE(RIGHT(C299,4),12,31),C299),IPCA!$A$3:$D$284,4,FALSE),1)*D299))</f>
        <v/>
      </c>
      <c r="F299" s="4" t="str">
        <f ca="1">IF(C299="","",IFERROR(AVERAGEIF(E$5:$E299,"&gt;"&amp;_xlfn.PERCENTILE.EXC(E$5:$E299,0.2)),0))</f>
        <v/>
      </c>
    </row>
    <row r="300" spans="2:6" x14ac:dyDescent="0.25">
      <c r="B300" s="18">
        <v>296</v>
      </c>
      <c r="C300" s="21" t="str">
        <f ca="1">IFERROR(IF(LEFT(C299,2)="13",DATE(RIGHT(C299,4),12,31),IF(EOMONTH(C299,1)&gt;PREMISSAS!$C$3,"",IF(MONTH(C299)=11,"13º "&amp;YEAR(C299),EOMONTH(C299,1)))),"")</f>
        <v/>
      </c>
      <c r="D300" s="22">
        <f ca="1">VLOOKUP(C300,'Histórico de Remunerações'!$D$7:$E$656,2,FALSE)</f>
        <v>0</v>
      </c>
      <c r="E300" s="4" t="str">
        <f ca="1">IF(D300=0,"",IF(IF(ISTEXT(C300),DATE(RIGHT(C300,4),12,31),C300)&lt;PREMISSAS!$D$7,0,IFERROR(VLOOKUP(IF(LEFT(C300,2)="13",DATE(RIGHT(C300,4),12,31),C300),IPCA!$A$3:$D$284,4,FALSE),1)*D300))</f>
        <v/>
      </c>
      <c r="F300" s="4" t="str">
        <f ca="1">IF(C300="","",IFERROR(AVERAGEIF(E$5:$E300,"&gt;"&amp;_xlfn.PERCENTILE.EXC(E$5:$E300,0.2)),0))</f>
        <v/>
      </c>
    </row>
    <row r="301" spans="2:6" x14ac:dyDescent="0.25">
      <c r="B301" s="18">
        <v>297</v>
      </c>
      <c r="C301" s="21" t="str">
        <f ca="1">IFERROR(IF(LEFT(C300,2)="13",DATE(RIGHT(C300,4),12,31),IF(EOMONTH(C300,1)&gt;PREMISSAS!$C$3,"",IF(MONTH(C300)=11,"13º "&amp;YEAR(C300),EOMONTH(C300,1)))),"")</f>
        <v/>
      </c>
      <c r="D301" s="22">
        <f ca="1">VLOOKUP(C301,'Histórico de Remunerações'!$D$7:$E$656,2,FALSE)</f>
        <v>0</v>
      </c>
      <c r="E301" s="4" t="str">
        <f ca="1">IF(D301=0,"",IF(IF(ISTEXT(C301),DATE(RIGHT(C301,4),12,31),C301)&lt;PREMISSAS!$D$7,0,IFERROR(VLOOKUP(IF(LEFT(C301,2)="13",DATE(RIGHT(C301,4),12,31),C301),IPCA!$A$3:$D$284,4,FALSE),1)*D301))</f>
        <v/>
      </c>
      <c r="F301" s="4" t="str">
        <f ca="1">IF(C301="","",IFERROR(AVERAGEIF(E$5:$E301,"&gt;"&amp;_xlfn.PERCENTILE.EXC(E$5:$E301,0.2)),0))</f>
        <v/>
      </c>
    </row>
    <row r="302" spans="2:6" x14ac:dyDescent="0.25">
      <c r="B302" s="18">
        <v>298</v>
      </c>
      <c r="C302" s="21" t="str">
        <f ca="1">IFERROR(IF(LEFT(C301,2)="13",DATE(RIGHT(C301,4),12,31),IF(EOMONTH(C301,1)&gt;PREMISSAS!$C$3,"",IF(MONTH(C301)=11,"13º "&amp;YEAR(C301),EOMONTH(C301,1)))),"")</f>
        <v/>
      </c>
      <c r="D302" s="22">
        <f ca="1">VLOOKUP(C302,'Histórico de Remunerações'!$D$7:$E$656,2,FALSE)</f>
        <v>0</v>
      </c>
      <c r="E302" s="4" t="str">
        <f ca="1">IF(D302=0,"",IF(IF(ISTEXT(C302),DATE(RIGHT(C302,4),12,31),C302)&lt;PREMISSAS!$D$7,0,IFERROR(VLOOKUP(IF(LEFT(C302,2)="13",DATE(RIGHT(C302,4),12,31),C302),IPCA!$A$3:$D$284,4,FALSE),1)*D302))</f>
        <v/>
      </c>
      <c r="F302" s="4" t="str">
        <f ca="1">IF(C302="","",IFERROR(AVERAGEIF(E$5:$E302,"&gt;"&amp;_xlfn.PERCENTILE.EXC(E$5:$E302,0.2)),0))</f>
        <v/>
      </c>
    </row>
    <row r="303" spans="2:6" x14ac:dyDescent="0.25">
      <c r="B303" s="18">
        <v>299</v>
      </c>
      <c r="C303" s="21" t="str">
        <f ca="1">IFERROR(IF(LEFT(C302,2)="13",DATE(RIGHT(C302,4),12,31),IF(EOMONTH(C302,1)&gt;PREMISSAS!$C$3,"",IF(MONTH(C302)=11,"13º "&amp;YEAR(C302),EOMONTH(C302,1)))),"")</f>
        <v/>
      </c>
      <c r="D303" s="22">
        <f ca="1">VLOOKUP(C303,'Histórico de Remunerações'!$D$7:$E$656,2,FALSE)</f>
        <v>0</v>
      </c>
      <c r="E303" s="4" t="str">
        <f ca="1">IF(D303=0,"",IF(IF(ISTEXT(C303),DATE(RIGHT(C303,4),12,31),C303)&lt;PREMISSAS!$D$7,0,IFERROR(VLOOKUP(IF(LEFT(C303,2)="13",DATE(RIGHT(C303,4),12,31),C303),IPCA!$A$3:$D$284,4,FALSE),1)*D303))</f>
        <v/>
      </c>
      <c r="F303" s="4" t="str">
        <f ca="1">IF(C303="","",IFERROR(AVERAGEIF(E$5:$E303,"&gt;"&amp;_xlfn.PERCENTILE.EXC(E$5:$E303,0.2)),0))</f>
        <v/>
      </c>
    </row>
    <row r="304" spans="2:6" x14ac:dyDescent="0.25">
      <c r="B304" s="18">
        <v>300</v>
      </c>
      <c r="C304" s="21" t="str">
        <f ca="1">IFERROR(IF(LEFT(C303,2)="13",DATE(RIGHT(C303,4),12,31),IF(EOMONTH(C303,1)&gt;PREMISSAS!$C$3,"",IF(MONTH(C303)=11,"13º "&amp;YEAR(C303),EOMONTH(C303,1)))),"")</f>
        <v/>
      </c>
      <c r="D304" s="22">
        <f ca="1">VLOOKUP(C304,'Histórico de Remunerações'!$D$7:$E$656,2,FALSE)</f>
        <v>0</v>
      </c>
      <c r="E304" s="4" t="str">
        <f ca="1">IF(D304=0,"",IF(IF(ISTEXT(C304),DATE(RIGHT(C304,4),12,31),C304)&lt;PREMISSAS!$D$7,0,IFERROR(VLOOKUP(IF(LEFT(C304,2)="13",DATE(RIGHT(C304,4),12,31),C304),IPCA!$A$3:$D$284,4,FALSE),1)*D304))</f>
        <v/>
      </c>
      <c r="F304" s="4" t="str">
        <f ca="1">IF(C304="","",IFERROR(AVERAGEIF(E$5:$E304,"&gt;"&amp;_xlfn.PERCENTILE.EXC(E$5:$E304,0.2)),0))</f>
        <v/>
      </c>
    </row>
    <row r="305" spans="2:6" x14ac:dyDescent="0.25">
      <c r="B305" s="18">
        <v>301</v>
      </c>
      <c r="C305" s="21" t="str">
        <f ca="1">IFERROR(IF(LEFT(C304,2)="13",DATE(RIGHT(C304,4),12,31),IF(EOMONTH(C304,1)&gt;PREMISSAS!$C$3,"",IF(MONTH(C304)=11,"13º "&amp;YEAR(C304),EOMONTH(C304,1)))),"")</f>
        <v/>
      </c>
      <c r="D305" s="22">
        <f ca="1">VLOOKUP(C305,'Histórico de Remunerações'!$D$7:$E$656,2,FALSE)</f>
        <v>0</v>
      </c>
      <c r="E305" s="4" t="str">
        <f ca="1">IF(D305=0,"",IF(IF(ISTEXT(C305),DATE(RIGHT(C305,4),12,31),C305)&lt;PREMISSAS!$D$7,0,IFERROR(VLOOKUP(IF(LEFT(C305,2)="13",DATE(RIGHT(C305,4),12,31),C305),IPCA!$A$3:$D$284,4,FALSE),1)*D305))</f>
        <v/>
      </c>
      <c r="F305" s="4" t="str">
        <f ca="1">IF(C305="","",IFERROR(AVERAGEIF(E$5:$E305,"&gt;"&amp;_xlfn.PERCENTILE.EXC(E$5:$E305,0.2)),0))</f>
        <v/>
      </c>
    </row>
    <row r="306" spans="2:6" x14ac:dyDescent="0.25">
      <c r="B306" s="18">
        <v>302</v>
      </c>
      <c r="C306" s="21" t="str">
        <f ca="1">IFERROR(IF(LEFT(C305,2)="13",DATE(RIGHT(C305,4),12,31),IF(EOMONTH(C305,1)&gt;PREMISSAS!$C$3,"",IF(MONTH(C305)=11,"13º "&amp;YEAR(C305),EOMONTH(C305,1)))),"")</f>
        <v/>
      </c>
      <c r="D306" s="22">
        <f ca="1">VLOOKUP(C306,'Histórico de Remunerações'!$D$7:$E$656,2,FALSE)</f>
        <v>0</v>
      </c>
      <c r="E306" s="4" t="str">
        <f ca="1">IF(D306=0,"",IF(IF(ISTEXT(C306),DATE(RIGHT(C306,4),12,31),C306)&lt;PREMISSAS!$D$7,0,IFERROR(VLOOKUP(IF(LEFT(C306,2)="13",DATE(RIGHT(C306,4),12,31),C306),IPCA!$A$3:$D$284,4,FALSE),1)*D306))</f>
        <v/>
      </c>
      <c r="F306" s="4" t="str">
        <f ca="1">IF(C306="","",IFERROR(AVERAGEIF(E$5:$E306,"&gt;"&amp;_xlfn.PERCENTILE.EXC(E$5:$E306,0.2)),0))</f>
        <v/>
      </c>
    </row>
    <row r="307" spans="2:6" x14ac:dyDescent="0.25">
      <c r="B307" s="18">
        <v>303</v>
      </c>
      <c r="C307" s="21" t="str">
        <f ca="1">IFERROR(IF(LEFT(C306,2)="13",DATE(RIGHT(C306,4),12,31),IF(EOMONTH(C306,1)&gt;PREMISSAS!$C$3,"",IF(MONTH(C306)=11,"13º "&amp;YEAR(C306),EOMONTH(C306,1)))),"")</f>
        <v/>
      </c>
      <c r="D307" s="22">
        <f ca="1">VLOOKUP(C307,'Histórico de Remunerações'!$D$7:$E$656,2,FALSE)</f>
        <v>0</v>
      </c>
      <c r="E307" s="4" t="str">
        <f ca="1">IF(D307=0,"",IF(IF(ISTEXT(C307),DATE(RIGHT(C307,4),12,31),C307)&lt;PREMISSAS!$D$7,0,IFERROR(VLOOKUP(IF(LEFT(C307,2)="13",DATE(RIGHT(C307,4),12,31),C307),IPCA!$A$3:$D$284,4,FALSE),1)*D307))</f>
        <v/>
      </c>
      <c r="F307" s="4" t="str">
        <f ca="1">IF(C307="","",IFERROR(AVERAGEIF(E$5:$E307,"&gt;"&amp;_xlfn.PERCENTILE.EXC(E$5:$E307,0.2)),0))</f>
        <v/>
      </c>
    </row>
    <row r="308" spans="2:6" x14ac:dyDescent="0.25">
      <c r="B308" s="18">
        <v>304</v>
      </c>
      <c r="C308" s="21" t="str">
        <f ca="1">IFERROR(IF(LEFT(C307,2)="13",DATE(RIGHT(C307,4),12,31),IF(EOMONTH(C307,1)&gt;PREMISSAS!$C$3,"",IF(MONTH(C307)=11,"13º "&amp;YEAR(C307),EOMONTH(C307,1)))),"")</f>
        <v/>
      </c>
      <c r="D308" s="22">
        <f ca="1">VLOOKUP(C308,'Histórico de Remunerações'!$D$7:$E$656,2,FALSE)</f>
        <v>0</v>
      </c>
      <c r="E308" s="4" t="str">
        <f ca="1">IF(D308=0,"",IF(IF(ISTEXT(C308),DATE(RIGHT(C308,4),12,31),C308)&lt;PREMISSAS!$D$7,0,IFERROR(VLOOKUP(IF(LEFT(C308,2)="13",DATE(RIGHT(C308,4),12,31),C308),IPCA!$A$3:$D$284,4,FALSE),1)*D308))</f>
        <v/>
      </c>
      <c r="F308" s="4" t="str">
        <f ca="1">IF(C308="","",IFERROR(AVERAGEIF(E$5:$E308,"&gt;"&amp;_xlfn.PERCENTILE.EXC(E$5:$E308,0.2)),0))</f>
        <v/>
      </c>
    </row>
    <row r="309" spans="2:6" x14ac:dyDescent="0.25">
      <c r="B309" s="18">
        <v>305</v>
      </c>
      <c r="C309" s="21" t="str">
        <f ca="1">IFERROR(IF(LEFT(C308,2)="13",DATE(RIGHT(C308,4),12,31),IF(EOMONTH(C308,1)&gt;PREMISSAS!$C$3,"",IF(MONTH(C308)=11,"13º "&amp;YEAR(C308),EOMONTH(C308,1)))),"")</f>
        <v/>
      </c>
      <c r="D309" s="22">
        <f ca="1">VLOOKUP(C309,'Histórico de Remunerações'!$D$7:$E$656,2,FALSE)</f>
        <v>0</v>
      </c>
      <c r="E309" s="4" t="str">
        <f ca="1">IF(D309=0,"",IF(IF(ISTEXT(C309),DATE(RIGHT(C309,4),12,31),C309)&lt;PREMISSAS!$D$7,0,IFERROR(VLOOKUP(IF(LEFT(C309,2)="13",DATE(RIGHT(C309,4),12,31),C309),IPCA!$A$3:$D$284,4,FALSE),1)*D309))</f>
        <v/>
      </c>
      <c r="F309" s="4" t="str">
        <f ca="1">IF(C309="","",IFERROR(AVERAGEIF(E$5:$E309,"&gt;"&amp;_xlfn.PERCENTILE.EXC(E$5:$E309,0.2)),0))</f>
        <v/>
      </c>
    </row>
    <row r="310" spans="2:6" x14ac:dyDescent="0.25">
      <c r="B310" s="18">
        <v>306</v>
      </c>
      <c r="C310" s="21" t="str">
        <f ca="1">IFERROR(IF(LEFT(C309,2)="13",DATE(RIGHT(C309,4),12,31),IF(EOMONTH(C309,1)&gt;PREMISSAS!$C$3,"",IF(MONTH(C309)=11,"13º "&amp;YEAR(C309),EOMONTH(C309,1)))),"")</f>
        <v/>
      </c>
      <c r="D310" s="22">
        <f ca="1">VLOOKUP(C310,'Histórico de Remunerações'!$D$7:$E$656,2,FALSE)</f>
        <v>0</v>
      </c>
      <c r="E310" s="4" t="str">
        <f ca="1">IF(D310=0,"",IF(IF(ISTEXT(C310),DATE(RIGHT(C310,4),12,31),C310)&lt;PREMISSAS!$D$7,0,IFERROR(VLOOKUP(IF(LEFT(C310,2)="13",DATE(RIGHT(C310,4),12,31),C310),IPCA!$A$3:$D$284,4,FALSE),1)*D310))</f>
        <v/>
      </c>
      <c r="F310" s="4" t="str">
        <f ca="1">IF(C310="","",IFERROR(AVERAGEIF(E$5:$E310,"&gt;"&amp;_xlfn.PERCENTILE.EXC(E$5:$E310,0.2)),0))</f>
        <v/>
      </c>
    </row>
    <row r="311" spans="2:6" x14ac:dyDescent="0.25">
      <c r="B311" s="18">
        <v>307</v>
      </c>
      <c r="C311" s="21" t="str">
        <f ca="1">IFERROR(IF(LEFT(C310,2)="13",DATE(RIGHT(C310,4),12,31),IF(EOMONTH(C310,1)&gt;PREMISSAS!$C$3,"",IF(MONTH(C310)=11,"13º "&amp;YEAR(C310),EOMONTH(C310,1)))),"")</f>
        <v/>
      </c>
      <c r="D311" s="22">
        <f ca="1">VLOOKUP(C311,'Histórico de Remunerações'!$D$7:$E$656,2,FALSE)</f>
        <v>0</v>
      </c>
      <c r="E311" s="4" t="str">
        <f ca="1">IF(D311=0,"",IF(IF(ISTEXT(C311),DATE(RIGHT(C311,4),12,31),C311)&lt;PREMISSAS!$D$7,0,IFERROR(VLOOKUP(IF(LEFT(C311,2)="13",DATE(RIGHT(C311,4),12,31),C311),IPCA!$A$3:$D$284,4,FALSE),1)*D311))</f>
        <v/>
      </c>
      <c r="F311" s="4" t="str">
        <f ca="1">IF(C311="","",IFERROR(AVERAGEIF(E$5:$E311,"&gt;"&amp;_xlfn.PERCENTILE.EXC(E$5:$E311,0.2)),0))</f>
        <v/>
      </c>
    </row>
    <row r="312" spans="2:6" x14ac:dyDescent="0.25">
      <c r="B312" s="18">
        <v>308</v>
      </c>
      <c r="C312" s="21" t="str">
        <f ca="1">IFERROR(IF(LEFT(C311,2)="13",DATE(RIGHT(C311,4),12,31),IF(EOMONTH(C311,1)&gt;PREMISSAS!$C$3,"",IF(MONTH(C311)=11,"13º "&amp;YEAR(C311),EOMONTH(C311,1)))),"")</f>
        <v/>
      </c>
      <c r="D312" s="22">
        <f ca="1">VLOOKUP(C312,'Histórico de Remunerações'!$D$7:$E$656,2,FALSE)</f>
        <v>0</v>
      </c>
      <c r="E312" s="4" t="str">
        <f ca="1">IF(D312=0,"",IF(IF(ISTEXT(C312),DATE(RIGHT(C312,4),12,31),C312)&lt;PREMISSAS!$D$7,0,IFERROR(VLOOKUP(IF(LEFT(C312,2)="13",DATE(RIGHT(C312,4),12,31),C312),IPCA!$A$3:$D$284,4,FALSE),1)*D312))</f>
        <v/>
      </c>
      <c r="F312" s="4" t="str">
        <f ca="1">IF(C312="","",IFERROR(AVERAGEIF(E$5:$E312,"&gt;"&amp;_xlfn.PERCENTILE.EXC(E$5:$E312,0.2)),0))</f>
        <v/>
      </c>
    </row>
    <row r="313" spans="2:6" x14ac:dyDescent="0.25">
      <c r="B313" s="18">
        <v>309</v>
      </c>
      <c r="C313" s="21" t="str">
        <f ca="1">IFERROR(IF(LEFT(C312,2)="13",DATE(RIGHT(C312,4),12,31),IF(EOMONTH(C312,1)&gt;PREMISSAS!$C$3,"",IF(MONTH(C312)=11,"13º "&amp;YEAR(C312),EOMONTH(C312,1)))),"")</f>
        <v/>
      </c>
      <c r="D313" s="22">
        <f ca="1">VLOOKUP(C313,'Histórico de Remunerações'!$D$7:$E$656,2,FALSE)</f>
        <v>0</v>
      </c>
      <c r="E313" s="4" t="str">
        <f ca="1">IF(D313=0,"",IF(IF(ISTEXT(C313),DATE(RIGHT(C313,4),12,31),C313)&lt;PREMISSAS!$D$7,0,IFERROR(VLOOKUP(IF(LEFT(C313,2)="13",DATE(RIGHT(C313,4),12,31),C313),IPCA!$A$3:$D$284,4,FALSE),1)*D313))</f>
        <v/>
      </c>
      <c r="F313" s="4" t="str">
        <f ca="1">IF(C313="","",IFERROR(AVERAGEIF(E$5:$E313,"&gt;"&amp;_xlfn.PERCENTILE.EXC(E$5:$E313,0.2)),0))</f>
        <v/>
      </c>
    </row>
    <row r="314" spans="2:6" x14ac:dyDescent="0.25">
      <c r="B314" s="18">
        <v>310</v>
      </c>
      <c r="C314" s="21" t="str">
        <f ca="1">IFERROR(IF(LEFT(C313,2)="13",DATE(RIGHT(C313,4),12,31),IF(EOMONTH(C313,1)&gt;PREMISSAS!$C$3,"",IF(MONTH(C313)=11,"13º "&amp;YEAR(C313),EOMONTH(C313,1)))),"")</f>
        <v/>
      </c>
      <c r="D314" s="22">
        <f ca="1">VLOOKUP(C314,'Histórico de Remunerações'!$D$7:$E$656,2,FALSE)</f>
        <v>0</v>
      </c>
      <c r="E314" s="4" t="str">
        <f ca="1">IF(D314=0,"",IF(IF(ISTEXT(C314),DATE(RIGHT(C314,4),12,31),C314)&lt;PREMISSAS!$D$7,0,IFERROR(VLOOKUP(IF(LEFT(C314,2)="13",DATE(RIGHT(C314,4),12,31),C314),IPCA!$A$3:$D$284,4,FALSE),1)*D314))</f>
        <v/>
      </c>
      <c r="F314" s="4" t="str">
        <f ca="1">IF(C314="","",IFERROR(AVERAGEIF(E$5:$E314,"&gt;"&amp;_xlfn.PERCENTILE.EXC(E$5:$E314,0.2)),0))</f>
        <v/>
      </c>
    </row>
    <row r="315" spans="2:6" x14ac:dyDescent="0.25">
      <c r="B315" s="18">
        <v>311</v>
      </c>
      <c r="C315" s="21" t="str">
        <f ca="1">IFERROR(IF(LEFT(C314,2)="13",DATE(RIGHT(C314,4),12,31),IF(EOMONTH(C314,1)&gt;PREMISSAS!$C$3,"",IF(MONTH(C314)=11,"13º "&amp;YEAR(C314),EOMONTH(C314,1)))),"")</f>
        <v/>
      </c>
      <c r="D315" s="22">
        <f ca="1">VLOOKUP(C315,'Histórico de Remunerações'!$D$7:$E$656,2,FALSE)</f>
        <v>0</v>
      </c>
      <c r="E315" s="4" t="str">
        <f ca="1">IF(D315=0,"",IF(IF(ISTEXT(C315),DATE(RIGHT(C315,4),12,31),C315)&lt;PREMISSAS!$D$7,0,IFERROR(VLOOKUP(IF(LEFT(C315,2)="13",DATE(RIGHT(C315,4),12,31),C315),IPCA!$A$3:$D$284,4,FALSE),1)*D315))</f>
        <v/>
      </c>
      <c r="F315" s="4" t="str">
        <f ca="1">IF(C315="","",IFERROR(AVERAGEIF(E$5:$E315,"&gt;"&amp;_xlfn.PERCENTILE.EXC(E$5:$E315,0.2)),0))</f>
        <v/>
      </c>
    </row>
    <row r="316" spans="2:6" x14ac:dyDescent="0.25">
      <c r="B316" s="18">
        <v>312</v>
      </c>
      <c r="C316" s="21" t="str">
        <f ca="1">IFERROR(IF(LEFT(C315,2)="13",DATE(RIGHT(C315,4),12,31),IF(EOMONTH(C315,1)&gt;PREMISSAS!$C$3,"",IF(MONTH(C315)=11,"13º "&amp;YEAR(C315),EOMONTH(C315,1)))),"")</f>
        <v/>
      </c>
      <c r="D316" s="22">
        <f ca="1">VLOOKUP(C316,'Histórico de Remunerações'!$D$7:$E$656,2,FALSE)</f>
        <v>0</v>
      </c>
      <c r="E316" s="4" t="str">
        <f ca="1">IF(D316=0,"",IF(IF(ISTEXT(C316),DATE(RIGHT(C316,4),12,31),C316)&lt;PREMISSAS!$D$7,0,IFERROR(VLOOKUP(IF(LEFT(C316,2)="13",DATE(RIGHT(C316,4),12,31),C316),IPCA!$A$3:$D$284,4,FALSE),1)*D316))</f>
        <v/>
      </c>
      <c r="F316" s="4" t="str">
        <f ca="1">IF(C316="","",IFERROR(AVERAGEIF(E$5:$E316,"&gt;"&amp;_xlfn.PERCENTILE.EXC(E$5:$E316,0.2)),0))</f>
        <v/>
      </c>
    </row>
    <row r="317" spans="2:6" x14ac:dyDescent="0.25">
      <c r="B317" s="18">
        <v>313</v>
      </c>
      <c r="C317" s="21" t="str">
        <f ca="1">IFERROR(IF(LEFT(C316,2)="13",DATE(RIGHT(C316,4),12,31),IF(EOMONTH(C316,1)&gt;PREMISSAS!$C$3,"",IF(MONTH(C316)=11,"13º "&amp;YEAR(C316),EOMONTH(C316,1)))),"")</f>
        <v/>
      </c>
      <c r="D317" s="22">
        <f ca="1">VLOOKUP(C317,'Histórico de Remunerações'!$D$7:$E$656,2,FALSE)</f>
        <v>0</v>
      </c>
      <c r="E317" s="4" t="str">
        <f ca="1">IF(D317=0,"",IF(IF(ISTEXT(C317),DATE(RIGHT(C317,4),12,31),C317)&lt;PREMISSAS!$D$7,0,IFERROR(VLOOKUP(IF(LEFT(C317,2)="13",DATE(RIGHT(C317,4),12,31),C317),IPCA!$A$3:$D$284,4,FALSE),1)*D317))</f>
        <v/>
      </c>
      <c r="F317" s="4" t="str">
        <f ca="1">IF(C317="","",IFERROR(AVERAGEIF(E$5:$E317,"&gt;"&amp;_xlfn.PERCENTILE.EXC(E$5:$E317,0.2)),0))</f>
        <v/>
      </c>
    </row>
    <row r="318" spans="2:6" x14ac:dyDescent="0.25">
      <c r="B318" s="18">
        <v>314</v>
      </c>
      <c r="C318" s="21" t="str">
        <f ca="1">IFERROR(IF(LEFT(C317,2)="13",DATE(RIGHT(C317,4),12,31),IF(EOMONTH(C317,1)&gt;PREMISSAS!$C$3,"",IF(MONTH(C317)=11,"13º "&amp;YEAR(C317),EOMONTH(C317,1)))),"")</f>
        <v/>
      </c>
      <c r="D318" s="22">
        <f ca="1">VLOOKUP(C318,'Histórico de Remunerações'!$D$7:$E$656,2,FALSE)</f>
        <v>0</v>
      </c>
      <c r="E318" s="4" t="str">
        <f ca="1">IF(D318=0,"",IF(IF(ISTEXT(C318),DATE(RIGHT(C318,4),12,31),C318)&lt;PREMISSAS!$D$7,0,IFERROR(VLOOKUP(IF(LEFT(C318,2)="13",DATE(RIGHT(C318,4),12,31),C318),IPCA!$A$3:$D$284,4,FALSE),1)*D318))</f>
        <v/>
      </c>
      <c r="F318" s="4" t="str">
        <f ca="1">IF(C318="","",IFERROR(AVERAGEIF(E$5:$E318,"&gt;"&amp;_xlfn.PERCENTILE.EXC(E$5:$E318,0.2)),0))</f>
        <v/>
      </c>
    </row>
    <row r="319" spans="2:6" x14ac:dyDescent="0.25">
      <c r="B319" s="18">
        <v>315</v>
      </c>
      <c r="C319" s="21" t="str">
        <f ca="1">IFERROR(IF(LEFT(C318,2)="13",DATE(RIGHT(C318,4),12,31),IF(EOMONTH(C318,1)&gt;PREMISSAS!$C$3,"",IF(MONTH(C318)=11,"13º "&amp;YEAR(C318),EOMONTH(C318,1)))),"")</f>
        <v/>
      </c>
      <c r="D319" s="22">
        <f ca="1">VLOOKUP(C319,'Histórico de Remunerações'!$D$7:$E$656,2,FALSE)</f>
        <v>0</v>
      </c>
      <c r="E319" s="4" t="str">
        <f ca="1">IF(D319=0,"",IF(IF(ISTEXT(C319),DATE(RIGHT(C319,4),12,31),C319)&lt;PREMISSAS!$D$7,0,IFERROR(VLOOKUP(IF(LEFT(C319,2)="13",DATE(RIGHT(C319,4),12,31),C319),IPCA!$A$3:$D$284,4,FALSE),1)*D319))</f>
        <v/>
      </c>
      <c r="F319" s="4" t="str">
        <f ca="1">IF(C319="","",IFERROR(AVERAGEIF(E$5:$E319,"&gt;"&amp;_xlfn.PERCENTILE.EXC(E$5:$E319,0.2)),0))</f>
        <v/>
      </c>
    </row>
    <row r="320" spans="2:6" x14ac:dyDescent="0.25">
      <c r="B320" s="18">
        <v>316</v>
      </c>
      <c r="C320" s="21" t="str">
        <f ca="1">IFERROR(IF(LEFT(C319,2)="13",DATE(RIGHT(C319,4),12,31),IF(EOMONTH(C319,1)&gt;PREMISSAS!$C$3,"",IF(MONTH(C319)=11,"13º "&amp;YEAR(C319),EOMONTH(C319,1)))),"")</f>
        <v/>
      </c>
      <c r="D320" s="22">
        <f ca="1">VLOOKUP(C320,'Histórico de Remunerações'!$D$7:$E$656,2,FALSE)</f>
        <v>0</v>
      </c>
      <c r="E320" s="4" t="str">
        <f ca="1">IF(D320=0,"",IF(IF(ISTEXT(C320),DATE(RIGHT(C320,4),12,31),C320)&lt;PREMISSAS!$D$7,0,IFERROR(VLOOKUP(IF(LEFT(C320,2)="13",DATE(RIGHT(C320,4),12,31),C320),IPCA!$A$3:$D$284,4,FALSE),1)*D320))</f>
        <v/>
      </c>
      <c r="F320" s="4" t="str">
        <f ca="1">IF(C320="","",IFERROR(AVERAGEIF(E$5:$E320,"&gt;"&amp;_xlfn.PERCENTILE.EXC(E$5:$E320,0.2)),0))</f>
        <v/>
      </c>
    </row>
    <row r="321" spans="2:6" x14ac:dyDescent="0.25">
      <c r="B321" s="18">
        <v>317</v>
      </c>
      <c r="C321" s="21" t="str">
        <f ca="1">IFERROR(IF(LEFT(C320,2)="13",DATE(RIGHT(C320,4),12,31),IF(EOMONTH(C320,1)&gt;PREMISSAS!$C$3,"",IF(MONTH(C320)=11,"13º "&amp;YEAR(C320),EOMONTH(C320,1)))),"")</f>
        <v/>
      </c>
      <c r="D321" s="22">
        <f ca="1">VLOOKUP(C321,'Histórico de Remunerações'!$D$7:$E$656,2,FALSE)</f>
        <v>0</v>
      </c>
      <c r="E321" s="4" t="str">
        <f ca="1">IF(D321=0,"",IF(IF(ISTEXT(C321),DATE(RIGHT(C321,4),12,31),C321)&lt;PREMISSAS!$D$7,0,IFERROR(VLOOKUP(IF(LEFT(C321,2)="13",DATE(RIGHT(C321,4),12,31),C321),IPCA!$A$3:$D$284,4,FALSE),1)*D321))</f>
        <v/>
      </c>
      <c r="F321" s="4" t="str">
        <f ca="1">IF(C321="","",IFERROR(AVERAGEIF(E$5:$E321,"&gt;"&amp;_xlfn.PERCENTILE.EXC(E$5:$E321,0.2)),0))</f>
        <v/>
      </c>
    </row>
    <row r="322" spans="2:6" x14ac:dyDescent="0.25">
      <c r="B322" s="18">
        <v>318</v>
      </c>
      <c r="C322" s="21" t="str">
        <f ca="1">IFERROR(IF(LEFT(C321,2)="13",DATE(RIGHT(C321,4),12,31),IF(EOMONTH(C321,1)&gt;PREMISSAS!$C$3,"",IF(MONTH(C321)=11,"13º "&amp;YEAR(C321),EOMONTH(C321,1)))),"")</f>
        <v/>
      </c>
      <c r="D322" s="22">
        <f ca="1">VLOOKUP(C322,'Histórico de Remunerações'!$D$7:$E$656,2,FALSE)</f>
        <v>0</v>
      </c>
      <c r="E322" s="4" t="str">
        <f ca="1">IF(D322=0,"",IF(IF(ISTEXT(C322),DATE(RIGHT(C322,4),12,31),C322)&lt;PREMISSAS!$D$7,0,IFERROR(VLOOKUP(IF(LEFT(C322,2)="13",DATE(RIGHT(C322,4),12,31),C322),IPCA!$A$3:$D$284,4,FALSE),1)*D322))</f>
        <v/>
      </c>
      <c r="F322" s="4" t="str">
        <f ca="1">IF(C322="","",IFERROR(AVERAGEIF(E$5:$E322,"&gt;"&amp;_xlfn.PERCENTILE.EXC(E$5:$E322,0.2)),0))</f>
        <v/>
      </c>
    </row>
    <row r="323" spans="2:6" x14ac:dyDescent="0.25">
      <c r="B323" s="18">
        <v>319</v>
      </c>
      <c r="C323" s="21" t="str">
        <f ca="1">IFERROR(IF(LEFT(C322,2)="13",DATE(RIGHT(C322,4),12,31),IF(EOMONTH(C322,1)&gt;PREMISSAS!$C$3,"",IF(MONTH(C322)=11,"13º "&amp;YEAR(C322),EOMONTH(C322,1)))),"")</f>
        <v/>
      </c>
      <c r="D323" s="22">
        <f ca="1">VLOOKUP(C323,'Histórico de Remunerações'!$D$7:$E$656,2,FALSE)</f>
        <v>0</v>
      </c>
      <c r="E323" s="4" t="str">
        <f ca="1">IF(D323=0,"",IF(IF(ISTEXT(C323),DATE(RIGHT(C323,4),12,31),C323)&lt;PREMISSAS!$D$7,0,IFERROR(VLOOKUP(IF(LEFT(C323,2)="13",DATE(RIGHT(C323,4),12,31),C323),IPCA!$A$3:$D$284,4,FALSE),1)*D323))</f>
        <v/>
      </c>
      <c r="F323" s="4" t="str">
        <f ca="1">IF(C323="","",IFERROR(AVERAGEIF(E$5:$E323,"&gt;"&amp;_xlfn.PERCENTILE.EXC(E$5:$E323,0.2)),0))</f>
        <v/>
      </c>
    </row>
    <row r="324" spans="2:6" x14ac:dyDescent="0.25">
      <c r="B324" s="18">
        <v>320</v>
      </c>
      <c r="C324" s="21" t="str">
        <f ca="1">IFERROR(IF(LEFT(C323,2)="13",DATE(RIGHT(C323,4),12,31),IF(EOMONTH(C323,1)&gt;PREMISSAS!$C$3,"",IF(MONTH(C323)=11,"13º "&amp;YEAR(C323),EOMONTH(C323,1)))),"")</f>
        <v/>
      </c>
      <c r="D324" s="22">
        <f ca="1">VLOOKUP(C324,'Histórico de Remunerações'!$D$7:$E$656,2,FALSE)</f>
        <v>0</v>
      </c>
      <c r="E324" s="4" t="str">
        <f ca="1">IF(D324=0,"",IF(IF(ISTEXT(C324),DATE(RIGHT(C324,4),12,31),C324)&lt;PREMISSAS!$D$7,0,IFERROR(VLOOKUP(IF(LEFT(C324,2)="13",DATE(RIGHT(C324,4),12,31),C324),IPCA!$A$3:$D$284,4,FALSE),1)*D324))</f>
        <v/>
      </c>
      <c r="F324" s="4" t="str">
        <f ca="1">IF(C324="","",IFERROR(AVERAGEIF(E$5:$E324,"&gt;"&amp;_xlfn.PERCENTILE.EXC(E$5:$E324,0.2)),0))</f>
        <v/>
      </c>
    </row>
    <row r="325" spans="2:6" x14ac:dyDescent="0.25">
      <c r="B325" s="18">
        <v>321</v>
      </c>
      <c r="C325" s="21" t="str">
        <f ca="1">IFERROR(IF(LEFT(C324,2)="13",DATE(RIGHT(C324,4),12,31),IF(EOMONTH(C324,1)&gt;PREMISSAS!$C$3,"",IF(MONTH(C324)=11,"13º "&amp;YEAR(C324),EOMONTH(C324,1)))),"")</f>
        <v/>
      </c>
      <c r="D325" s="22">
        <f ca="1">VLOOKUP(C325,'Histórico de Remunerações'!$D$7:$E$656,2,FALSE)</f>
        <v>0</v>
      </c>
      <c r="E325" s="4" t="str">
        <f ca="1">IF(D325=0,"",IF(IF(ISTEXT(C325),DATE(RIGHT(C325,4),12,31),C325)&lt;PREMISSAS!$D$7,0,IFERROR(VLOOKUP(IF(LEFT(C325,2)="13",DATE(RIGHT(C325,4),12,31),C325),IPCA!$A$3:$D$284,4,FALSE),1)*D325))</f>
        <v/>
      </c>
      <c r="F325" s="4" t="str">
        <f ca="1">IF(C325="","",IFERROR(AVERAGEIF(E$5:$E325,"&gt;"&amp;_xlfn.PERCENTILE.EXC(E$5:$E325,0.2)),0))</f>
        <v/>
      </c>
    </row>
    <row r="326" spans="2:6" x14ac:dyDescent="0.25">
      <c r="B326" s="18">
        <v>322</v>
      </c>
      <c r="C326" s="21" t="str">
        <f ca="1">IFERROR(IF(LEFT(C325,2)="13",DATE(RIGHT(C325,4),12,31),IF(EOMONTH(C325,1)&gt;PREMISSAS!$C$3,"",IF(MONTH(C325)=11,"13º "&amp;YEAR(C325),EOMONTH(C325,1)))),"")</f>
        <v/>
      </c>
      <c r="D326" s="22">
        <f ca="1">VLOOKUP(C326,'Histórico de Remunerações'!$D$7:$E$656,2,FALSE)</f>
        <v>0</v>
      </c>
      <c r="E326" s="4" t="str">
        <f ca="1">IF(D326=0,"",IF(IF(ISTEXT(C326),DATE(RIGHT(C326,4),12,31),C326)&lt;PREMISSAS!$D$7,0,IFERROR(VLOOKUP(IF(LEFT(C326,2)="13",DATE(RIGHT(C326,4),12,31),C326),IPCA!$A$3:$D$284,4,FALSE),1)*D326))</f>
        <v/>
      </c>
      <c r="F326" s="4" t="str">
        <f ca="1">IF(C326="","",IFERROR(AVERAGEIF(E$5:$E326,"&gt;"&amp;_xlfn.PERCENTILE.EXC(E$5:$E326,0.2)),0))</f>
        <v/>
      </c>
    </row>
    <row r="327" spans="2:6" x14ac:dyDescent="0.25">
      <c r="B327" s="18">
        <v>323</v>
      </c>
      <c r="C327" s="21" t="str">
        <f ca="1">IFERROR(IF(LEFT(C326,2)="13",DATE(RIGHT(C326,4),12,31),IF(EOMONTH(C326,1)&gt;PREMISSAS!$C$3,"",IF(MONTH(C326)=11,"13º "&amp;YEAR(C326),EOMONTH(C326,1)))),"")</f>
        <v/>
      </c>
      <c r="D327" s="22">
        <f ca="1">VLOOKUP(C327,'Histórico de Remunerações'!$D$7:$E$656,2,FALSE)</f>
        <v>0</v>
      </c>
      <c r="E327" s="4" t="str">
        <f ca="1">IF(D327=0,"",IF(IF(ISTEXT(C327),DATE(RIGHT(C327,4),12,31),C327)&lt;PREMISSAS!$D$7,0,IFERROR(VLOOKUP(IF(LEFT(C327,2)="13",DATE(RIGHT(C327,4),12,31),C327),IPCA!$A$3:$D$284,4,FALSE),1)*D327))</f>
        <v/>
      </c>
      <c r="F327" s="4" t="str">
        <f ca="1">IF(C327="","",IFERROR(AVERAGEIF(E$5:$E327,"&gt;"&amp;_xlfn.PERCENTILE.EXC(E$5:$E327,0.2)),0))</f>
        <v/>
      </c>
    </row>
    <row r="328" spans="2:6" x14ac:dyDescent="0.25">
      <c r="B328" s="18">
        <v>324</v>
      </c>
      <c r="C328" s="21" t="str">
        <f ca="1">IFERROR(IF(LEFT(C327,2)="13",DATE(RIGHT(C327,4),12,31),IF(EOMONTH(C327,1)&gt;PREMISSAS!$C$3,"",IF(MONTH(C327)=11,"13º "&amp;YEAR(C327),EOMONTH(C327,1)))),"")</f>
        <v/>
      </c>
      <c r="D328" s="22">
        <f ca="1">VLOOKUP(C328,'Histórico de Remunerações'!$D$7:$E$656,2,FALSE)</f>
        <v>0</v>
      </c>
      <c r="E328" s="4" t="str">
        <f ca="1">IF(D328=0,"",IF(IF(ISTEXT(C328),DATE(RIGHT(C328,4),12,31),C328)&lt;PREMISSAS!$D$7,0,IFERROR(VLOOKUP(IF(LEFT(C328,2)="13",DATE(RIGHT(C328,4),12,31),C328),IPCA!$A$3:$D$284,4,FALSE),1)*D328))</f>
        <v/>
      </c>
      <c r="F328" s="4" t="str">
        <f ca="1">IF(C328="","",IFERROR(AVERAGEIF(E$5:$E328,"&gt;"&amp;_xlfn.PERCENTILE.EXC(E$5:$E328,0.2)),0))</f>
        <v/>
      </c>
    </row>
    <row r="329" spans="2:6" x14ac:dyDescent="0.25">
      <c r="B329" s="18">
        <v>325</v>
      </c>
      <c r="C329" s="21" t="str">
        <f ca="1">IFERROR(IF(LEFT(C328,2)="13",DATE(RIGHT(C328,4),12,31),IF(EOMONTH(C328,1)&gt;PREMISSAS!$C$3,"",IF(MONTH(C328)=11,"13º "&amp;YEAR(C328),EOMONTH(C328,1)))),"")</f>
        <v/>
      </c>
      <c r="D329" s="22">
        <f ca="1">VLOOKUP(C329,'Histórico de Remunerações'!$D$7:$E$656,2,FALSE)</f>
        <v>0</v>
      </c>
      <c r="E329" s="4" t="str">
        <f ca="1">IF(D329=0,"",IF(IF(ISTEXT(C329),DATE(RIGHT(C329,4),12,31),C329)&lt;PREMISSAS!$D$7,0,IFERROR(VLOOKUP(IF(LEFT(C329,2)="13",DATE(RIGHT(C329,4),12,31),C329),IPCA!$A$3:$D$284,4,FALSE),1)*D329))</f>
        <v/>
      </c>
      <c r="F329" s="4" t="str">
        <f ca="1">IF(C329="","",IFERROR(AVERAGEIF(E$5:$E329,"&gt;"&amp;_xlfn.PERCENTILE.EXC(E$5:$E329,0.2)),0))</f>
        <v/>
      </c>
    </row>
    <row r="330" spans="2:6" x14ac:dyDescent="0.25">
      <c r="B330" s="18">
        <v>326</v>
      </c>
      <c r="C330" s="21" t="str">
        <f ca="1">IFERROR(IF(LEFT(C329,2)="13",DATE(RIGHT(C329,4),12,31),IF(EOMONTH(C329,1)&gt;PREMISSAS!$C$3,"",IF(MONTH(C329)=11,"13º "&amp;YEAR(C329),EOMONTH(C329,1)))),"")</f>
        <v/>
      </c>
      <c r="D330" s="22">
        <f ca="1">VLOOKUP(C330,'Histórico de Remunerações'!$D$7:$E$656,2,FALSE)</f>
        <v>0</v>
      </c>
      <c r="E330" s="4" t="str">
        <f ca="1">IF(D330=0,"",IF(IF(ISTEXT(C330),DATE(RIGHT(C330,4),12,31),C330)&lt;PREMISSAS!$D$7,0,IFERROR(VLOOKUP(IF(LEFT(C330,2)="13",DATE(RIGHT(C330,4),12,31),C330),IPCA!$A$3:$D$284,4,FALSE),1)*D330))</f>
        <v/>
      </c>
      <c r="F330" s="4" t="str">
        <f ca="1">IF(C330="","",IFERROR(AVERAGEIF(E$5:$E330,"&gt;"&amp;_xlfn.PERCENTILE.EXC(E$5:$E330,0.2)),0))</f>
        <v/>
      </c>
    </row>
    <row r="331" spans="2:6" x14ac:dyDescent="0.25">
      <c r="B331" s="18">
        <v>327</v>
      </c>
      <c r="C331" s="21" t="str">
        <f ca="1">IFERROR(IF(LEFT(C330,2)="13",DATE(RIGHT(C330,4),12,31),IF(EOMONTH(C330,1)&gt;PREMISSAS!$C$3,"",IF(MONTH(C330)=11,"13º "&amp;YEAR(C330),EOMONTH(C330,1)))),"")</f>
        <v/>
      </c>
      <c r="D331" s="22">
        <f ca="1">VLOOKUP(C331,'Histórico de Remunerações'!$D$7:$E$656,2,FALSE)</f>
        <v>0</v>
      </c>
      <c r="E331" s="4" t="str">
        <f ca="1">IF(D331=0,"",IF(IF(ISTEXT(C331),DATE(RIGHT(C331,4),12,31),C331)&lt;PREMISSAS!$D$7,0,IFERROR(VLOOKUP(IF(LEFT(C331,2)="13",DATE(RIGHT(C331,4),12,31),C331),IPCA!$A$3:$D$284,4,FALSE),1)*D331))</f>
        <v/>
      </c>
      <c r="F331" s="4" t="str">
        <f ca="1">IF(C331="","",IFERROR(AVERAGEIF(E$5:$E331,"&gt;"&amp;_xlfn.PERCENTILE.EXC(E$5:$E331,0.2)),0))</f>
        <v/>
      </c>
    </row>
    <row r="332" spans="2:6" x14ac:dyDescent="0.25">
      <c r="B332" s="18">
        <v>328</v>
      </c>
      <c r="C332" s="21" t="str">
        <f ca="1">IFERROR(IF(LEFT(C331,2)="13",DATE(RIGHT(C331,4),12,31),IF(EOMONTH(C331,1)&gt;PREMISSAS!$C$3,"",IF(MONTH(C331)=11,"13º "&amp;YEAR(C331),EOMONTH(C331,1)))),"")</f>
        <v/>
      </c>
      <c r="D332" s="22">
        <f ca="1">VLOOKUP(C332,'Histórico de Remunerações'!$D$7:$E$656,2,FALSE)</f>
        <v>0</v>
      </c>
      <c r="E332" s="4" t="str">
        <f ca="1">IF(D332=0,"",IF(IF(ISTEXT(C332),DATE(RIGHT(C332,4),12,31),C332)&lt;PREMISSAS!$D$7,0,IFERROR(VLOOKUP(IF(LEFT(C332,2)="13",DATE(RIGHT(C332,4),12,31),C332),IPCA!$A$3:$D$284,4,FALSE),1)*D332))</f>
        <v/>
      </c>
      <c r="F332" s="4" t="str">
        <f ca="1">IF(C332="","",IFERROR(AVERAGEIF(E$5:$E332,"&gt;"&amp;_xlfn.PERCENTILE.EXC(E$5:$E332,0.2)),0))</f>
        <v/>
      </c>
    </row>
    <row r="333" spans="2:6" x14ac:dyDescent="0.25">
      <c r="B333" s="18">
        <v>329</v>
      </c>
      <c r="C333" s="21" t="str">
        <f ca="1">IFERROR(IF(LEFT(C332,2)="13",DATE(RIGHT(C332,4),12,31),IF(EOMONTH(C332,1)&gt;PREMISSAS!$C$3,"",IF(MONTH(C332)=11,"13º "&amp;YEAR(C332),EOMONTH(C332,1)))),"")</f>
        <v/>
      </c>
      <c r="D333" s="22">
        <f ca="1">VLOOKUP(C333,'Histórico de Remunerações'!$D$7:$E$656,2,FALSE)</f>
        <v>0</v>
      </c>
      <c r="E333" s="4" t="str">
        <f ca="1">IF(D333=0,"",IF(IF(ISTEXT(C333),DATE(RIGHT(C333,4),12,31),C333)&lt;PREMISSAS!$D$7,0,IFERROR(VLOOKUP(IF(LEFT(C333,2)="13",DATE(RIGHT(C333,4),12,31),C333),IPCA!$A$3:$D$284,4,FALSE),1)*D333))</f>
        <v/>
      </c>
      <c r="F333" s="4" t="str">
        <f ca="1">IF(C333="","",IFERROR(AVERAGEIF(E$5:$E333,"&gt;"&amp;_xlfn.PERCENTILE.EXC(E$5:$E333,0.2)),0))</f>
        <v/>
      </c>
    </row>
    <row r="334" spans="2:6" x14ac:dyDescent="0.25">
      <c r="B334" s="18">
        <v>330</v>
      </c>
      <c r="C334" s="21" t="str">
        <f ca="1">IFERROR(IF(LEFT(C333,2)="13",DATE(RIGHT(C333,4),12,31),IF(EOMONTH(C333,1)&gt;PREMISSAS!$C$3,"",IF(MONTH(C333)=11,"13º "&amp;YEAR(C333),EOMONTH(C333,1)))),"")</f>
        <v/>
      </c>
      <c r="D334" s="22">
        <f ca="1">VLOOKUP(C334,'Histórico de Remunerações'!$D$7:$E$656,2,FALSE)</f>
        <v>0</v>
      </c>
      <c r="E334" s="4" t="str">
        <f ca="1">IF(D334=0,"",IF(IF(ISTEXT(C334),DATE(RIGHT(C334,4),12,31),C334)&lt;PREMISSAS!$D$7,0,IFERROR(VLOOKUP(IF(LEFT(C334,2)="13",DATE(RIGHT(C334,4),12,31),C334),IPCA!$A$3:$D$284,4,FALSE),1)*D334))</f>
        <v/>
      </c>
      <c r="F334" s="4" t="str">
        <f ca="1">IF(C334="","",IFERROR(AVERAGEIF(E$5:$E334,"&gt;"&amp;_xlfn.PERCENTILE.EXC(E$5:$E334,0.2)),0))</f>
        <v/>
      </c>
    </row>
    <row r="335" spans="2:6" x14ac:dyDescent="0.25">
      <c r="B335" s="18">
        <v>331</v>
      </c>
      <c r="C335" s="21" t="str">
        <f ca="1">IFERROR(IF(LEFT(C334,2)="13",DATE(RIGHT(C334,4),12,31),IF(EOMONTH(C334,1)&gt;PREMISSAS!$C$3,"",IF(MONTH(C334)=11,"13º "&amp;YEAR(C334),EOMONTH(C334,1)))),"")</f>
        <v/>
      </c>
      <c r="D335" s="22">
        <f ca="1">VLOOKUP(C335,'Histórico de Remunerações'!$D$7:$E$656,2,FALSE)</f>
        <v>0</v>
      </c>
      <c r="E335" s="4" t="str">
        <f ca="1">IF(D335=0,"",IF(IF(ISTEXT(C335),DATE(RIGHT(C335,4),12,31),C335)&lt;PREMISSAS!$D$7,0,IFERROR(VLOOKUP(IF(LEFT(C335,2)="13",DATE(RIGHT(C335,4),12,31),C335),IPCA!$A$3:$D$284,4,FALSE),1)*D335))</f>
        <v/>
      </c>
      <c r="F335" s="4" t="str">
        <f ca="1">IF(C335="","",IFERROR(AVERAGEIF(E$5:$E335,"&gt;"&amp;_xlfn.PERCENTILE.EXC(E$5:$E335,0.2)),0))</f>
        <v/>
      </c>
    </row>
    <row r="336" spans="2:6" x14ac:dyDescent="0.25">
      <c r="B336" s="18">
        <v>332</v>
      </c>
      <c r="C336" s="21" t="str">
        <f ca="1">IFERROR(IF(LEFT(C335,2)="13",DATE(RIGHT(C335,4),12,31),IF(EOMONTH(C335,1)&gt;PREMISSAS!$C$3,"",IF(MONTH(C335)=11,"13º "&amp;YEAR(C335),EOMONTH(C335,1)))),"")</f>
        <v/>
      </c>
      <c r="D336" s="22">
        <f ca="1">VLOOKUP(C336,'Histórico de Remunerações'!$D$7:$E$656,2,FALSE)</f>
        <v>0</v>
      </c>
      <c r="E336" s="4" t="str">
        <f ca="1">IF(D336=0,"",IF(IF(ISTEXT(C336),DATE(RIGHT(C336,4),12,31),C336)&lt;PREMISSAS!$D$7,0,IFERROR(VLOOKUP(IF(LEFT(C336,2)="13",DATE(RIGHT(C336,4),12,31),C336),IPCA!$A$3:$D$284,4,FALSE),1)*D336))</f>
        <v/>
      </c>
      <c r="F336" s="4" t="str">
        <f ca="1">IF(C336="","",IFERROR(AVERAGEIF(E$5:$E336,"&gt;"&amp;_xlfn.PERCENTILE.EXC(E$5:$E336,0.2)),0))</f>
        <v/>
      </c>
    </row>
    <row r="337" spans="2:6" x14ac:dyDescent="0.25">
      <c r="B337" s="18">
        <v>333</v>
      </c>
      <c r="C337" s="21" t="str">
        <f ca="1">IFERROR(IF(LEFT(C336,2)="13",DATE(RIGHT(C336,4),12,31),IF(EOMONTH(C336,1)&gt;PREMISSAS!$C$3,"",IF(MONTH(C336)=11,"13º "&amp;YEAR(C336),EOMONTH(C336,1)))),"")</f>
        <v/>
      </c>
      <c r="D337" s="22">
        <f ca="1">VLOOKUP(C337,'Histórico de Remunerações'!$D$7:$E$656,2,FALSE)</f>
        <v>0</v>
      </c>
      <c r="E337" s="4" t="str">
        <f ca="1">IF(D337=0,"",IF(IF(ISTEXT(C337),DATE(RIGHT(C337,4),12,31),C337)&lt;PREMISSAS!$D$7,0,IFERROR(VLOOKUP(IF(LEFT(C337,2)="13",DATE(RIGHT(C337,4),12,31),C337),IPCA!$A$3:$D$284,4,FALSE),1)*D337))</f>
        <v/>
      </c>
      <c r="F337" s="4" t="str">
        <f ca="1">IF(C337="","",IFERROR(AVERAGEIF(E$5:$E337,"&gt;"&amp;_xlfn.PERCENTILE.EXC(E$5:$E337,0.2)),0))</f>
        <v/>
      </c>
    </row>
    <row r="338" spans="2:6" x14ac:dyDescent="0.25">
      <c r="B338" s="18">
        <v>334</v>
      </c>
      <c r="C338" s="21" t="str">
        <f ca="1">IFERROR(IF(LEFT(C337,2)="13",DATE(RIGHT(C337,4),12,31),IF(EOMONTH(C337,1)&gt;PREMISSAS!$C$3,"",IF(MONTH(C337)=11,"13º "&amp;YEAR(C337),EOMONTH(C337,1)))),"")</f>
        <v/>
      </c>
      <c r="D338" s="22">
        <f ca="1">VLOOKUP(C338,'Histórico de Remunerações'!$D$7:$E$656,2,FALSE)</f>
        <v>0</v>
      </c>
      <c r="E338" s="4" t="str">
        <f ca="1">IF(D338=0,"",IF(IF(ISTEXT(C338),DATE(RIGHT(C338,4),12,31),C338)&lt;PREMISSAS!$D$7,0,IFERROR(VLOOKUP(IF(LEFT(C338,2)="13",DATE(RIGHT(C338,4),12,31),C338),IPCA!$A$3:$D$284,4,FALSE),1)*D338))</f>
        <v/>
      </c>
      <c r="F338" s="4" t="str">
        <f ca="1">IF(C338="","",IFERROR(AVERAGEIF(E$5:$E338,"&gt;"&amp;_xlfn.PERCENTILE.EXC(E$5:$E338,0.2)),0))</f>
        <v/>
      </c>
    </row>
    <row r="339" spans="2:6" x14ac:dyDescent="0.25">
      <c r="B339" s="18">
        <v>335</v>
      </c>
      <c r="C339" s="21" t="str">
        <f ca="1">IFERROR(IF(LEFT(C338,2)="13",DATE(RIGHT(C338,4),12,31),IF(EOMONTH(C338,1)&gt;PREMISSAS!$C$3,"",IF(MONTH(C338)=11,"13º "&amp;YEAR(C338),EOMONTH(C338,1)))),"")</f>
        <v/>
      </c>
      <c r="D339" s="22">
        <f ca="1">VLOOKUP(C339,'Histórico de Remunerações'!$D$7:$E$656,2,FALSE)</f>
        <v>0</v>
      </c>
      <c r="E339" s="4" t="str">
        <f ca="1">IF(D339=0,"",IF(IF(ISTEXT(C339),DATE(RIGHT(C339,4),12,31),C339)&lt;PREMISSAS!$D$7,0,IFERROR(VLOOKUP(IF(LEFT(C339,2)="13",DATE(RIGHT(C339,4),12,31),C339),IPCA!$A$3:$D$284,4,FALSE),1)*D339))</f>
        <v/>
      </c>
      <c r="F339" s="4" t="str">
        <f ca="1">IF(C339="","",IFERROR(AVERAGEIF(E$5:$E339,"&gt;"&amp;_xlfn.PERCENTILE.EXC(E$5:$E339,0.2)),0))</f>
        <v/>
      </c>
    </row>
    <row r="340" spans="2:6" x14ac:dyDescent="0.25">
      <c r="B340" s="18">
        <v>336</v>
      </c>
      <c r="C340" s="21" t="str">
        <f ca="1">IFERROR(IF(LEFT(C339,2)="13",DATE(RIGHT(C339,4),12,31),IF(EOMONTH(C339,1)&gt;PREMISSAS!$C$3,"",IF(MONTH(C339)=11,"13º "&amp;YEAR(C339),EOMONTH(C339,1)))),"")</f>
        <v/>
      </c>
      <c r="D340" s="22">
        <f ca="1">VLOOKUP(C340,'Histórico de Remunerações'!$D$7:$E$656,2,FALSE)</f>
        <v>0</v>
      </c>
      <c r="E340" s="4" t="str">
        <f ca="1">IF(D340=0,"",IF(IF(ISTEXT(C340),DATE(RIGHT(C340,4),12,31),C340)&lt;PREMISSAS!$D$7,0,IFERROR(VLOOKUP(IF(LEFT(C340,2)="13",DATE(RIGHT(C340,4),12,31),C340),IPCA!$A$3:$D$284,4,FALSE),1)*D340))</f>
        <v/>
      </c>
      <c r="F340" s="4" t="str">
        <f ca="1">IF(C340="","",IFERROR(AVERAGEIF(E$5:$E340,"&gt;"&amp;_xlfn.PERCENTILE.EXC(E$5:$E340,0.2)),0))</f>
        <v/>
      </c>
    </row>
    <row r="341" spans="2:6" x14ac:dyDescent="0.25">
      <c r="B341" s="18">
        <v>337</v>
      </c>
      <c r="C341" s="21" t="str">
        <f ca="1">IFERROR(IF(LEFT(C340,2)="13",DATE(RIGHT(C340,4),12,31),IF(EOMONTH(C340,1)&gt;PREMISSAS!$C$3,"",IF(MONTH(C340)=11,"13º "&amp;YEAR(C340),EOMONTH(C340,1)))),"")</f>
        <v/>
      </c>
      <c r="D341" s="22">
        <f ca="1">VLOOKUP(C341,'Histórico de Remunerações'!$D$7:$E$656,2,FALSE)</f>
        <v>0</v>
      </c>
      <c r="E341" s="4" t="str">
        <f ca="1">IF(D341=0,"",IF(IF(ISTEXT(C341),DATE(RIGHT(C341,4),12,31),C341)&lt;PREMISSAS!$D$7,0,IFERROR(VLOOKUP(IF(LEFT(C341,2)="13",DATE(RIGHT(C341,4),12,31),C341),IPCA!$A$3:$D$284,4,FALSE),1)*D341))</f>
        <v/>
      </c>
      <c r="F341" s="4" t="str">
        <f ca="1">IF(C341="","",IFERROR(AVERAGEIF(E$5:$E341,"&gt;"&amp;_xlfn.PERCENTILE.EXC(E$5:$E341,0.2)),0))</f>
        <v/>
      </c>
    </row>
    <row r="342" spans="2:6" x14ac:dyDescent="0.25">
      <c r="B342" s="18">
        <v>338</v>
      </c>
      <c r="C342" s="21" t="str">
        <f ca="1">IFERROR(IF(LEFT(C341,2)="13",DATE(RIGHT(C341,4),12,31),IF(EOMONTH(C341,1)&gt;PREMISSAS!$C$3,"",IF(MONTH(C341)=11,"13º "&amp;YEAR(C341),EOMONTH(C341,1)))),"")</f>
        <v/>
      </c>
      <c r="D342" s="22">
        <f ca="1">VLOOKUP(C342,'Histórico de Remunerações'!$D$7:$E$656,2,FALSE)</f>
        <v>0</v>
      </c>
      <c r="E342" s="4" t="str">
        <f ca="1">IF(D342=0,"",IF(IF(ISTEXT(C342),DATE(RIGHT(C342,4),12,31),C342)&lt;PREMISSAS!$D$7,0,IFERROR(VLOOKUP(IF(LEFT(C342,2)="13",DATE(RIGHT(C342,4),12,31),C342),IPCA!$A$3:$D$284,4,FALSE),1)*D342))</f>
        <v/>
      </c>
      <c r="F342" s="4" t="str">
        <f ca="1">IF(C342="","",IFERROR(AVERAGEIF(E$5:$E342,"&gt;"&amp;_xlfn.PERCENTILE.EXC(E$5:$E342,0.2)),0))</f>
        <v/>
      </c>
    </row>
    <row r="343" spans="2:6" x14ac:dyDescent="0.25">
      <c r="B343" s="18">
        <v>339</v>
      </c>
      <c r="C343" s="21" t="str">
        <f ca="1">IFERROR(IF(LEFT(C342,2)="13",DATE(RIGHT(C342,4),12,31),IF(EOMONTH(C342,1)&gt;PREMISSAS!$C$3,"",IF(MONTH(C342)=11,"13º "&amp;YEAR(C342),EOMONTH(C342,1)))),"")</f>
        <v/>
      </c>
      <c r="D343" s="22">
        <f ca="1">VLOOKUP(C343,'Histórico de Remunerações'!$D$7:$E$656,2,FALSE)</f>
        <v>0</v>
      </c>
      <c r="E343" s="4" t="str">
        <f ca="1">IF(D343=0,"",IF(IF(ISTEXT(C343),DATE(RIGHT(C343,4),12,31),C343)&lt;PREMISSAS!$D$7,0,IFERROR(VLOOKUP(IF(LEFT(C343,2)="13",DATE(RIGHT(C343,4),12,31),C343),IPCA!$A$3:$D$284,4,FALSE),1)*D343))</f>
        <v/>
      </c>
      <c r="F343" s="4" t="str">
        <f ca="1">IF(C343="","",IFERROR(AVERAGEIF(E$5:$E343,"&gt;"&amp;_xlfn.PERCENTILE.EXC(E$5:$E343,0.2)),0))</f>
        <v/>
      </c>
    </row>
    <row r="344" spans="2:6" x14ac:dyDescent="0.25">
      <c r="B344" s="18">
        <v>340</v>
      </c>
      <c r="C344" s="21" t="str">
        <f ca="1">IFERROR(IF(LEFT(C343,2)="13",DATE(RIGHT(C343,4),12,31),IF(EOMONTH(C343,1)&gt;PREMISSAS!$C$3,"",IF(MONTH(C343)=11,"13º "&amp;YEAR(C343),EOMONTH(C343,1)))),"")</f>
        <v/>
      </c>
      <c r="D344" s="22">
        <f ca="1">VLOOKUP(C344,'Histórico de Remunerações'!$D$7:$E$656,2,FALSE)</f>
        <v>0</v>
      </c>
      <c r="E344" s="4" t="str">
        <f ca="1">IF(D344=0,"",IF(IF(ISTEXT(C344),DATE(RIGHT(C344,4),12,31),C344)&lt;PREMISSAS!$D$7,0,IFERROR(VLOOKUP(IF(LEFT(C344,2)="13",DATE(RIGHT(C344,4),12,31),C344),IPCA!$A$3:$D$284,4,FALSE),1)*D344))</f>
        <v/>
      </c>
      <c r="F344" s="4" t="str">
        <f ca="1">IF(C344="","",IFERROR(AVERAGEIF(E$5:$E344,"&gt;"&amp;_xlfn.PERCENTILE.EXC(E$5:$E344,0.2)),0))</f>
        <v/>
      </c>
    </row>
    <row r="345" spans="2:6" x14ac:dyDescent="0.25">
      <c r="B345" s="18">
        <v>341</v>
      </c>
      <c r="C345" s="21" t="str">
        <f ca="1">IFERROR(IF(LEFT(C344,2)="13",DATE(RIGHT(C344,4),12,31),IF(EOMONTH(C344,1)&gt;PREMISSAS!$C$3,"",IF(MONTH(C344)=11,"13º "&amp;YEAR(C344),EOMONTH(C344,1)))),"")</f>
        <v/>
      </c>
      <c r="D345" s="22">
        <f ca="1">VLOOKUP(C345,'Histórico de Remunerações'!$D$7:$E$656,2,FALSE)</f>
        <v>0</v>
      </c>
      <c r="E345" s="4" t="str">
        <f ca="1">IF(D345=0,"",IF(IF(ISTEXT(C345),DATE(RIGHT(C345,4),12,31),C345)&lt;PREMISSAS!$D$7,0,IFERROR(VLOOKUP(IF(LEFT(C345,2)="13",DATE(RIGHT(C345,4),12,31),C345),IPCA!$A$3:$D$284,4,FALSE),1)*D345))</f>
        <v/>
      </c>
      <c r="F345" s="4" t="str">
        <f ca="1">IF(C345="","",IFERROR(AVERAGEIF(E$5:$E345,"&gt;"&amp;_xlfn.PERCENTILE.EXC(E$5:$E345,0.2)),0))</f>
        <v/>
      </c>
    </row>
    <row r="346" spans="2:6" x14ac:dyDescent="0.25">
      <c r="B346" s="18">
        <v>342</v>
      </c>
      <c r="C346" s="21" t="str">
        <f ca="1">IFERROR(IF(LEFT(C345,2)="13",DATE(RIGHT(C345,4),12,31),IF(EOMONTH(C345,1)&gt;PREMISSAS!$C$3,"",IF(MONTH(C345)=11,"13º "&amp;YEAR(C345),EOMONTH(C345,1)))),"")</f>
        <v/>
      </c>
      <c r="D346" s="22">
        <f ca="1">VLOOKUP(C346,'Histórico de Remunerações'!$D$7:$E$656,2,FALSE)</f>
        <v>0</v>
      </c>
      <c r="E346" s="4" t="str">
        <f ca="1">IF(D346=0,"",IF(IF(ISTEXT(C346),DATE(RIGHT(C346,4),12,31),C346)&lt;PREMISSAS!$D$7,0,IFERROR(VLOOKUP(IF(LEFT(C346,2)="13",DATE(RIGHT(C346,4),12,31),C346),IPCA!$A$3:$D$284,4,FALSE),1)*D346))</f>
        <v/>
      </c>
      <c r="F346" s="4" t="str">
        <f ca="1">IF(C346="","",IFERROR(AVERAGEIF(E$5:$E346,"&gt;"&amp;_xlfn.PERCENTILE.EXC(E$5:$E346,0.2)),0))</f>
        <v/>
      </c>
    </row>
    <row r="347" spans="2:6" x14ac:dyDescent="0.25">
      <c r="B347" s="18">
        <v>343</v>
      </c>
      <c r="C347" s="21" t="str">
        <f ca="1">IFERROR(IF(LEFT(C346,2)="13",DATE(RIGHT(C346,4),12,31),IF(EOMONTH(C346,1)&gt;PREMISSAS!$C$3,"",IF(MONTH(C346)=11,"13º "&amp;YEAR(C346),EOMONTH(C346,1)))),"")</f>
        <v/>
      </c>
      <c r="D347" s="22">
        <f ca="1">VLOOKUP(C347,'Histórico de Remunerações'!$D$7:$E$656,2,FALSE)</f>
        <v>0</v>
      </c>
      <c r="E347" s="4" t="str">
        <f ca="1">IF(D347=0,"",IF(IF(ISTEXT(C347),DATE(RIGHT(C347,4),12,31),C347)&lt;PREMISSAS!$D$7,0,IFERROR(VLOOKUP(IF(LEFT(C347,2)="13",DATE(RIGHT(C347,4),12,31),C347),IPCA!$A$3:$D$284,4,FALSE),1)*D347))</f>
        <v/>
      </c>
      <c r="F347" s="4" t="str">
        <f ca="1">IF(C347="","",IFERROR(AVERAGEIF(E$5:$E347,"&gt;"&amp;_xlfn.PERCENTILE.EXC(E$5:$E347,0.2)),0))</f>
        <v/>
      </c>
    </row>
    <row r="348" spans="2:6" x14ac:dyDescent="0.25">
      <c r="B348" s="18">
        <v>344</v>
      </c>
      <c r="C348" s="21" t="str">
        <f ca="1">IFERROR(IF(LEFT(C347,2)="13",DATE(RIGHT(C347,4),12,31),IF(EOMONTH(C347,1)&gt;PREMISSAS!$C$3,"",IF(MONTH(C347)=11,"13º "&amp;YEAR(C347),EOMONTH(C347,1)))),"")</f>
        <v/>
      </c>
      <c r="D348" s="22">
        <f ca="1">VLOOKUP(C348,'Histórico de Remunerações'!$D$7:$E$656,2,FALSE)</f>
        <v>0</v>
      </c>
      <c r="E348" s="4" t="str">
        <f ca="1">IF(D348=0,"",IF(IF(ISTEXT(C348),DATE(RIGHT(C348,4),12,31),C348)&lt;PREMISSAS!$D$7,0,IFERROR(VLOOKUP(IF(LEFT(C348,2)="13",DATE(RIGHT(C348,4),12,31),C348),IPCA!$A$3:$D$284,4,FALSE),1)*D348))</f>
        <v/>
      </c>
      <c r="F348" s="4" t="str">
        <f ca="1">IF(C348="","",IFERROR(AVERAGEIF(E$5:$E348,"&gt;"&amp;_xlfn.PERCENTILE.EXC(E$5:$E348,0.2)),0))</f>
        <v/>
      </c>
    </row>
    <row r="349" spans="2:6" x14ac:dyDescent="0.25">
      <c r="B349" s="18">
        <v>345</v>
      </c>
      <c r="C349" s="21" t="str">
        <f ca="1">IFERROR(IF(LEFT(C348,2)="13",DATE(RIGHT(C348,4),12,31),IF(EOMONTH(C348,1)&gt;PREMISSAS!$C$3,"",IF(MONTH(C348)=11,"13º "&amp;YEAR(C348),EOMONTH(C348,1)))),"")</f>
        <v/>
      </c>
      <c r="D349" s="22">
        <f ca="1">VLOOKUP(C349,'Histórico de Remunerações'!$D$7:$E$656,2,FALSE)</f>
        <v>0</v>
      </c>
      <c r="E349" s="4" t="str">
        <f ca="1">IF(D349=0,"",IF(IF(ISTEXT(C349),DATE(RIGHT(C349,4),12,31),C349)&lt;PREMISSAS!$D$7,0,IFERROR(VLOOKUP(IF(LEFT(C349,2)="13",DATE(RIGHT(C349,4),12,31),C349),IPCA!$A$3:$D$284,4,FALSE),1)*D349))</f>
        <v/>
      </c>
      <c r="F349" s="4" t="str">
        <f ca="1">IF(C349="","",IFERROR(AVERAGEIF(E$5:$E349,"&gt;"&amp;_xlfn.PERCENTILE.EXC(E$5:$E349,0.2)),0))</f>
        <v/>
      </c>
    </row>
    <row r="350" spans="2:6" x14ac:dyDescent="0.25">
      <c r="B350" s="18">
        <v>346</v>
      </c>
      <c r="C350" s="21" t="str">
        <f ca="1">IFERROR(IF(LEFT(C349,2)="13",DATE(RIGHT(C349,4),12,31),IF(EOMONTH(C349,1)&gt;PREMISSAS!$C$3,"",IF(MONTH(C349)=11,"13º "&amp;YEAR(C349),EOMONTH(C349,1)))),"")</f>
        <v/>
      </c>
      <c r="D350" s="22">
        <f ca="1">VLOOKUP(C350,'Histórico de Remunerações'!$D$7:$E$656,2,FALSE)</f>
        <v>0</v>
      </c>
      <c r="E350" s="4" t="str">
        <f ca="1">IF(D350=0,"",IF(IF(ISTEXT(C350),DATE(RIGHT(C350,4),12,31),C350)&lt;PREMISSAS!$D$7,0,IFERROR(VLOOKUP(IF(LEFT(C350,2)="13",DATE(RIGHT(C350,4),12,31),C350),IPCA!$A$3:$D$284,4,FALSE),1)*D350))</f>
        <v/>
      </c>
      <c r="F350" s="4" t="str">
        <f ca="1">IF(C350="","",IFERROR(AVERAGEIF(E$5:$E350,"&gt;"&amp;_xlfn.PERCENTILE.EXC(E$5:$E350,0.2)),0))</f>
        <v/>
      </c>
    </row>
    <row r="351" spans="2:6" x14ac:dyDescent="0.25">
      <c r="B351" s="18">
        <v>347</v>
      </c>
      <c r="C351" s="21" t="str">
        <f ca="1">IFERROR(IF(LEFT(C350,2)="13",DATE(RIGHT(C350,4),12,31),IF(EOMONTH(C350,1)&gt;PREMISSAS!$C$3,"",IF(MONTH(C350)=11,"13º "&amp;YEAR(C350),EOMONTH(C350,1)))),"")</f>
        <v/>
      </c>
      <c r="D351" s="22">
        <f ca="1">VLOOKUP(C351,'Histórico de Remunerações'!$D$7:$E$656,2,FALSE)</f>
        <v>0</v>
      </c>
      <c r="E351" s="4" t="str">
        <f ca="1">IF(D351=0,"",IF(IF(ISTEXT(C351),DATE(RIGHT(C351,4),12,31),C351)&lt;PREMISSAS!$D$7,0,IFERROR(VLOOKUP(IF(LEFT(C351,2)="13",DATE(RIGHT(C351,4),12,31),C351),IPCA!$A$3:$D$284,4,FALSE),1)*D351))</f>
        <v/>
      </c>
      <c r="F351" s="4" t="str">
        <f ca="1">IF(C351="","",IFERROR(AVERAGEIF(E$5:$E351,"&gt;"&amp;_xlfn.PERCENTILE.EXC(E$5:$E351,0.2)),0))</f>
        <v/>
      </c>
    </row>
    <row r="352" spans="2:6" x14ac:dyDescent="0.25">
      <c r="B352" s="18">
        <v>348</v>
      </c>
      <c r="C352" s="21" t="str">
        <f ca="1">IFERROR(IF(LEFT(C351,2)="13",DATE(RIGHT(C351,4),12,31),IF(EOMONTH(C351,1)&gt;PREMISSAS!$C$3,"",IF(MONTH(C351)=11,"13º "&amp;YEAR(C351),EOMONTH(C351,1)))),"")</f>
        <v/>
      </c>
      <c r="D352" s="22">
        <f ca="1">VLOOKUP(C352,'Histórico de Remunerações'!$D$7:$E$656,2,FALSE)</f>
        <v>0</v>
      </c>
      <c r="E352" s="4" t="str">
        <f ca="1">IF(D352=0,"",IF(IF(ISTEXT(C352),DATE(RIGHT(C352,4),12,31),C352)&lt;PREMISSAS!$D$7,0,IFERROR(VLOOKUP(IF(LEFT(C352,2)="13",DATE(RIGHT(C352,4),12,31),C352),IPCA!$A$3:$D$284,4,FALSE),1)*D352))</f>
        <v/>
      </c>
      <c r="F352" s="4" t="str">
        <f ca="1">IF(C352="","",IFERROR(AVERAGEIF(E$5:$E352,"&gt;"&amp;_xlfn.PERCENTILE.EXC(E$5:$E352,0.2)),0))</f>
        <v/>
      </c>
    </row>
    <row r="353" spans="2:6" x14ac:dyDescent="0.25">
      <c r="B353" s="18">
        <v>349</v>
      </c>
      <c r="C353" s="21" t="str">
        <f ca="1">IFERROR(IF(LEFT(C352,2)="13",DATE(RIGHT(C352,4),12,31),IF(EOMONTH(C352,1)&gt;PREMISSAS!$C$3,"",IF(MONTH(C352)=11,"13º "&amp;YEAR(C352),EOMONTH(C352,1)))),"")</f>
        <v/>
      </c>
      <c r="D353" s="22">
        <f ca="1">VLOOKUP(C353,'Histórico de Remunerações'!$D$7:$E$656,2,FALSE)</f>
        <v>0</v>
      </c>
      <c r="E353" s="4" t="str">
        <f ca="1">IF(D353=0,"",IF(IF(ISTEXT(C353),DATE(RIGHT(C353,4),12,31),C353)&lt;PREMISSAS!$D$7,0,IFERROR(VLOOKUP(IF(LEFT(C353,2)="13",DATE(RIGHT(C353,4),12,31),C353),IPCA!$A$3:$D$284,4,FALSE),1)*D353))</f>
        <v/>
      </c>
      <c r="F353" s="4" t="str">
        <f ca="1">IF(C353="","",IFERROR(AVERAGEIF(E$5:$E353,"&gt;"&amp;_xlfn.PERCENTILE.EXC(E$5:$E353,0.2)),0))</f>
        <v/>
      </c>
    </row>
    <row r="354" spans="2:6" x14ac:dyDescent="0.25">
      <c r="B354" s="18">
        <v>350</v>
      </c>
      <c r="C354" s="21" t="str">
        <f ca="1">IFERROR(IF(LEFT(C353,2)="13",DATE(RIGHT(C353,4),12,31),IF(EOMONTH(C353,1)&gt;PREMISSAS!$C$3,"",IF(MONTH(C353)=11,"13º "&amp;YEAR(C353),EOMONTH(C353,1)))),"")</f>
        <v/>
      </c>
      <c r="D354" s="22">
        <f ca="1">VLOOKUP(C354,'Histórico de Remunerações'!$D$7:$E$656,2,FALSE)</f>
        <v>0</v>
      </c>
      <c r="E354" s="4" t="str">
        <f ca="1">IF(D354=0,"",IF(IF(ISTEXT(C354),DATE(RIGHT(C354,4),12,31),C354)&lt;PREMISSAS!$D$7,0,IFERROR(VLOOKUP(IF(LEFT(C354,2)="13",DATE(RIGHT(C354,4),12,31),C354),IPCA!$A$3:$D$284,4,FALSE),1)*D354))</f>
        <v/>
      </c>
      <c r="F354" s="4" t="str">
        <f ca="1">IF(C354="","",IFERROR(AVERAGEIF(E$5:$E354,"&gt;"&amp;_xlfn.PERCENTILE.EXC(E$5:$E354,0.2)),0))</f>
        <v/>
      </c>
    </row>
    <row r="355" spans="2:6" x14ac:dyDescent="0.25">
      <c r="B355" s="18">
        <v>351</v>
      </c>
      <c r="C355" s="21" t="str">
        <f ca="1">IFERROR(IF(LEFT(C354,2)="13",DATE(RIGHT(C354,4),12,31),IF(EOMONTH(C354,1)&gt;PREMISSAS!$C$3,"",IF(MONTH(C354)=11,"13º "&amp;YEAR(C354),EOMONTH(C354,1)))),"")</f>
        <v/>
      </c>
      <c r="D355" s="22">
        <f ca="1">VLOOKUP(C355,'Histórico de Remunerações'!$D$7:$E$656,2,FALSE)</f>
        <v>0</v>
      </c>
      <c r="E355" s="4" t="str">
        <f ca="1">IF(D355=0,"",IF(IF(ISTEXT(C355),DATE(RIGHT(C355,4),12,31),C355)&lt;PREMISSAS!$D$7,0,IFERROR(VLOOKUP(IF(LEFT(C355,2)="13",DATE(RIGHT(C355,4),12,31),C355),IPCA!$A$3:$D$284,4,FALSE),1)*D355))</f>
        <v/>
      </c>
      <c r="F355" s="4" t="str">
        <f ca="1">IF(C355="","",IFERROR(AVERAGEIF(E$5:$E355,"&gt;"&amp;_xlfn.PERCENTILE.EXC(E$5:$E355,0.2)),0))</f>
        <v/>
      </c>
    </row>
    <row r="356" spans="2:6" x14ac:dyDescent="0.25">
      <c r="B356" s="18">
        <v>352</v>
      </c>
      <c r="C356" s="21" t="str">
        <f ca="1">IFERROR(IF(LEFT(C355,2)="13",DATE(RIGHT(C355,4),12,31),IF(EOMONTH(C355,1)&gt;PREMISSAS!$C$3,"",IF(MONTH(C355)=11,"13º "&amp;YEAR(C355),EOMONTH(C355,1)))),"")</f>
        <v/>
      </c>
      <c r="D356" s="22">
        <f ca="1">VLOOKUP(C356,'Histórico de Remunerações'!$D$7:$E$656,2,FALSE)</f>
        <v>0</v>
      </c>
      <c r="E356" s="4" t="str">
        <f ca="1">IF(D356=0,"",IF(IF(ISTEXT(C356),DATE(RIGHT(C356,4),12,31),C356)&lt;PREMISSAS!$D$7,0,IFERROR(VLOOKUP(IF(LEFT(C356,2)="13",DATE(RIGHT(C356,4),12,31),C356),IPCA!$A$3:$D$284,4,FALSE),1)*D356))</f>
        <v/>
      </c>
      <c r="F356" s="4" t="str">
        <f ca="1">IF(C356="","",IFERROR(AVERAGEIF(E$5:$E356,"&gt;"&amp;_xlfn.PERCENTILE.EXC(E$5:$E356,0.2)),0))</f>
        <v/>
      </c>
    </row>
    <row r="357" spans="2:6" x14ac:dyDescent="0.25">
      <c r="B357" s="18">
        <v>353</v>
      </c>
      <c r="C357" s="21" t="str">
        <f ca="1">IFERROR(IF(LEFT(C356,2)="13",DATE(RIGHT(C356,4),12,31),IF(EOMONTH(C356,1)&gt;PREMISSAS!$C$3,"",IF(MONTH(C356)=11,"13º "&amp;YEAR(C356),EOMONTH(C356,1)))),"")</f>
        <v/>
      </c>
      <c r="D357" s="22">
        <f ca="1">VLOOKUP(C357,'Histórico de Remunerações'!$D$7:$E$656,2,FALSE)</f>
        <v>0</v>
      </c>
      <c r="E357" s="4" t="str">
        <f ca="1">IF(D357=0,"",IF(IF(ISTEXT(C357),DATE(RIGHT(C357,4),12,31),C357)&lt;PREMISSAS!$D$7,0,IFERROR(VLOOKUP(IF(LEFT(C357,2)="13",DATE(RIGHT(C357,4),12,31),C357),IPCA!$A$3:$D$284,4,FALSE),1)*D357))</f>
        <v/>
      </c>
      <c r="F357" s="4" t="str">
        <f ca="1">IF(C357="","",IFERROR(AVERAGEIF(E$5:$E357,"&gt;"&amp;_xlfn.PERCENTILE.EXC(E$5:$E357,0.2)),0))</f>
        <v/>
      </c>
    </row>
    <row r="358" spans="2:6" x14ac:dyDescent="0.25">
      <c r="B358" s="18">
        <v>354</v>
      </c>
      <c r="C358" s="21" t="str">
        <f ca="1">IFERROR(IF(LEFT(C357,2)="13",DATE(RIGHT(C357,4),12,31),IF(EOMONTH(C357,1)&gt;PREMISSAS!$C$3,"",IF(MONTH(C357)=11,"13º "&amp;YEAR(C357),EOMONTH(C357,1)))),"")</f>
        <v/>
      </c>
      <c r="D358" s="22">
        <f ca="1">VLOOKUP(C358,'Histórico de Remunerações'!$D$7:$E$656,2,FALSE)</f>
        <v>0</v>
      </c>
      <c r="E358" s="4" t="str">
        <f ca="1">IF(D358=0,"",IF(IF(ISTEXT(C358),DATE(RIGHT(C358,4),12,31),C358)&lt;PREMISSAS!$D$7,0,IFERROR(VLOOKUP(IF(LEFT(C358,2)="13",DATE(RIGHT(C358,4),12,31),C358),IPCA!$A$3:$D$284,4,FALSE),1)*D358))</f>
        <v/>
      </c>
      <c r="F358" s="4" t="str">
        <f ca="1">IF(C358="","",IFERROR(AVERAGEIF(E$5:$E358,"&gt;"&amp;_xlfn.PERCENTILE.EXC(E$5:$E358,0.2)),0))</f>
        <v/>
      </c>
    </row>
    <row r="359" spans="2:6" x14ac:dyDescent="0.25">
      <c r="B359" s="18">
        <v>355</v>
      </c>
      <c r="C359" s="21" t="str">
        <f ca="1">IFERROR(IF(LEFT(C358,2)="13",DATE(RIGHT(C358,4),12,31),IF(EOMONTH(C358,1)&gt;PREMISSAS!$C$3,"",IF(MONTH(C358)=11,"13º "&amp;YEAR(C358),EOMONTH(C358,1)))),"")</f>
        <v/>
      </c>
      <c r="D359" s="22">
        <f ca="1">VLOOKUP(C359,'Histórico de Remunerações'!$D$7:$E$656,2,FALSE)</f>
        <v>0</v>
      </c>
      <c r="E359" s="4" t="str">
        <f ca="1">IF(D359=0,"",IF(IF(ISTEXT(C359),DATE(RIGHT(C359,4),12,31),C359)&lt;PREMISSAS!$D$7,0,IFERROR(VLOOKUP(IF(LEFT(C359,2)="13",DATE(RIGHT(C359,4),12,31),C359),IPCA!$A$3:$D$284,4,FALSE),1)*D359))</f>
        <v/>
      </c>
      <c r="F359" s="4" t="str">
        <f ca="1">IF(C359="","",IFERROR(AVERAGEIF(E$5:$E359,"&gt;"&amp;_xlfn.PERCENTILE.EXC(E$5:$E359,0.2)),0))</f>
        <v/>
      </c>
    </row>
    <row r="360" spans="2:6" x14ac:dyDescent="0.25">
      <c r="B360" s="18">
        <v>356</v>
      </c>
      <c r="C360" s="21" t="str">
        <f ca="1">IFERROR(IF(LEFT(C359,2)="13",DATE(RIGHT(C359,4),12,31),IF(EOMONTH(C359,1)&gt;PREMISSAS!$C$3,"",IF(MONTH(C359)=11,"13º "&amp;YEAR(C359),EOMONTH(C359,1)))),"")</f>
        <v/>
      </c>
      <c r="D360" s="22">
        <f ca="1">VLOOKUP(C360,'Histórico de Remunerações'!$D$7:$E$656,2,FALSE)</f>
        <v>0</v>
      </c>
      <c r="E360" s="4" t="str">
        <f ca="1">IF(D360=0,"",IF(IF(ISTEXT(C360),DATE(RIGHT(C360,4),12,31),C360)&lt;PREMISSAS!$D$7,0,IFERROR(VLOOKUP(IF(LEFT(C360,2)="13",DATE(RIGHT(C360,4),12,31),C360),IPCA!$A$3:$D$284,4,FALSE),1)*D360))</f>
        <v/>
      </c>
      <c r="F360" s="4" t="str">
        <f ca="1">IF(C360="","",IFERROR(AVERAGEIF(E$5:$E360,"&gt;"&amp;_xlfn.PERCENTILE.EXC(E$5:$E360,0.2)),0))</f>
        <v/>
      </c>
    </row>
    <row r="361" spans="2:6" x14ac:dyDescent="0.25">
      <c r="B361" s="18">
        <v>357</v>
      </c>
      <c r="C361" s="21" t="str">
        <f ca="1">IFERROR(IF(LEFT(C360,2)="13",DATE(RIGHT(C360,4),12,31),IF(EOMONTH(C360,1)&gt;PREMISSAS!$C$3,"",IF(MONTH(C360)=11,"13º "&amp;YEAR(C360),EOMONTH(C360,1)))),"")</f>
        <v/>
      </c>
      <c r="D361" s="22">
        <f ca="1">VLOOKUP(C361,'Histórico de Remunerações'!$D$7:$E$656,2,FALSE)</f>
        <v>0</v>
      </c>
      <c r="E361" s="4" t="str">
        <f ca="1">IF(D361=0,"",IF(IF(ISTEXT(C361),DATE(RIGHT(C361,4),12,31),C361)&lt;PREMISSAS!$D$7,0,IFERROR(VLOOKUP(IF(LEFT(C361,2)="13",DATE(RIGHT(C361,4),12,31),C361),IPCA!$A$3:$D$284,4,FALSE),1)*D361))</f>
        <v/>
      </c>
      <c r="F361" s="4" t="str">
        <f ca="1">IF(C361="","",IFERROR(AVERAGEIF(E$5:$E361,"&gt;"&amp;_xlfn.PERCENTILE.EXC(E$5:$E361,0.2)),0))</f>
        <v/>
      </c>
    </row>
    <row r="362" spans="2:6" x14ac:dyDescent="0.25">
      <c r="B362" s="18">
        <v>358</v>
      </c>
      <c r="C362" s="21" t="str">
        <f ca="1">IFERROR(IF(LEFT(C361,2)="13",DATE(RIGHT(C361,4),12,31),IF(EOMONTH(C361,1)&gt;PREMISSAS!$C$3,"",IF(MONTH(C361)=11,"13º "&amp;YEAR(C361),EOMONTH(C361,1)))),"")</f>
        <v/>
      </c>
      <c r="D362" s="22">
        <f ca="1">VLOOKUP(C362,'Histórico de Remunerações'!$D$7:$E$656,2,FALSE)</f>
        <v>0</v>
      </c>
      <c r="E362" s="4" t="str">
        <f ca="1">IF(D362=0,"",IF(IF(ISTEXT(C362),DATE(RIGHT(C362,4),12,31),C362)&lt;PREMISSAS!$D$7,0,IFERROR(VLOOKUP(IF(LEFT(C362,2)="13",DATE(RIGHT(C362,4),12,31),C362),IPCA!$A$3:$D$284,4,FALSE),1)*D362))</f>
        <v/>
      </c>
      <c r="F362" s="4" t="str">
        <f ca="1">IF(C362="","",IFERROR(AVERAGEIF(E$5:$E362,"&gt;"&amp;_xlfn.PERCENTILE.EXC(E$5:$E362,0.2)),0))</f>
        <v/>
      </c>
    </row>
    <row r="363" spans="2:6" x14ac:dyDescent="0.25">
      <c r="B363" s="18">
        <v>359</v>
      </c>
      <c r="C363" s="21" t="str">
        <f ca="1">IFERROR(IF(LEFT(C362,2)="13",DATE(RIGHT(C362,4),12,31),IF(EOMONTH(C362,1)&gt;PREMISSAS!$C$3,"",IF(MONTH(C362)=11,"13º "&amp;YEAR(C362),EOMONTH(C362,1)))),"")</f>
        <v/>
      </c>
      <c r="D363" s="22">
        <f ca="1">VLOOKUP(C363,'Histórico de Remunerações'!$D$7:$E$656,2,FALSE)</f>
        <v>0</v>
      </c>
      <c r="E363" s="4" t="str">
        <f ca="1">IF(D363=0,"",IF(IF(ISTEXT(C363),DATE(RIGHT(C363,4),12,31),C363)&lt;PREMISSAS!$D$7,0,IFERROR(VLOOKUP(IF(LEFT(C363,2)="13",DATE(RIGHT(C363,4),12,31),C363),IPCA!$A$3:$D$284,4,FALSE),1)*D363))</f>
        <v/>
      </c>
      <c r="F363" s="4" t="str">
        <f ca="1">IF(C363="","",IFERROR(AVERAGEIF(E$5:$E363,"&gt;"&amp;_xlfn.PERCENTILE.EXC(E$5:$E363,0.2)),0))</f>
        <v/>
      </c>
    </row>
    <row r="364" spans="2:6" x14ac:dyDescent="0.25">
      <c r="B364" s="18">
        <v>360</v>
      </c>
      <c r="C364" s="21" t="str">
        <f ca="1">IFERROR(IF(LEFT(C363,2)="13",DATE(RIGHT(C363,4),12,31),IF(EOMONTH(C363,1)&gt;PREMISSAS!$C$3,"",IF(MONTH(C363)=11,"13º "&amp;YEAR(C363),EOMONTH(C363,1)))),"")</f>
        <v/>
      </c>
      <c r="D364" s="22">
        <f ca="1">VLOOKUP(C364,'Histórico de Remunerações'!$D$7:$E$656,2,FALSE)</f>
        <v>0</v>
      </c>
      <c r="E364" s="4" t="str">
        <f ca="1">IF(D364=0,"",IF(IF(ISTEXT(C364),DATE(RIGHT(C364,4),12,31),C364)&lt;PREMISSAS!$D$7,0,IFERROR(VLOOKUP(IF(LEFT(C364,2)="13",DATE(RIGHT(C364,4),12,31),C364),IPCA!$A$3:$D$284,4,FALSE),1)*D364))</f>
        <v/>
      </c>
      <c r="F364" s="4" t="str">
        <f ca="1">IF(C364="","",IFERROR(AVERAGEIF(E$5:$E364,"&gt;"&amp;_xlfn.PERCENTILE.EXC(E$5:$E364,0.2)),0))</f>
        <v/>
      </c>
    </row>
    <row r="365" spans="2:6" x14ac:dyDescent="0.25">
      <c r="B365" s="18">
        <v>361</v>
      </c>
      <c r="C365" s="21" t="str">
        <f ca="1">IFERROR(IF(LEFT(C364,2)="13",DATE(RIGHT(C364,4),12,31),IF(EOMONTH(C364,1)&gt;PREMISSAS!$C$3,"",IF(MONTH(C364)=11,"13º "&amp;YEAR(C364),EOMONTH(C364,1)))),"")</f>
        <v/>
      </c>
      <c r="D365" s="22">
        <f ca="1">VLOOKUP(C365,'Histórico de Remunerações'!$D$7:$E$656,2,FALSE)</f>
        <v>0</v>
      </c>
      <c r="E365" s="4" t="str">
        <f ca="1">IF(D365=0,"",IF(IF(ISTEXT(C365),DATE(RIGHT(C365,4),12,31),C365)&lt;PREMISSAS!$D$7,0,IFERROR(VLOOKUP(IF(LEFT(C365,2)="13",DATE(RIGHT(C365,4),12,31),C365),IPCA!$A$3:$D$284,4,FALSE),1)*D365))</f>
        <v/>
      </c>
      <c r="F365" s="4" t="str">
        <f ca="1">IF(C365="","",IFERROR(AVERAGEIF(E$5:$E365,"&gt;"&amp;_xlfn.PERCENTILE.EXC(E$5:$E365,0.2)),0))</f>
        <v/>
      </c>
    </row>
    <row r="366" spans="2:6" x14ac:dyDescent="0.25">
      <c r="B366" s="18">
        <v>362</v>
      </c>
      <c r="C366" s="21" t="str">
        <f ca="1">IFERROR(IF(LEFT(C365,2)="13",DATE(RIGHT(C365,4),12,31),IF(EOMONTH(C365,1)&gt;PREMISSAS!$C$3,"",IF(MONTH(C365)=11,"13º "&amp;YEAR(C365),EOMONTH(C365,1)))),"")</f>
        <v/>
      </c>
      <c r="D366" s="22">
        <f ca="1">VLOOKUP(C366,'Histórico de Remunerações'!$D$7:$E$656,2,FALSE)</f>
        <v>0</v>
      </c>
      <c r="E366" s="4" t="str">
        <f ca="1">IF(D366=0,"",IF(IF(ISTEXT(C366),DATE(RIGHT(C366,4),12,31),C366)&lt;PREMISSAS!$D$7,0,IFERROR(VLOOKUP(IF(LEFT(C366,2)="13",DATE(RIGHT(C366,4),12,31),C366),IPCA!$A$3:$D$284,4,FALSE),1)*D366))</f>
        <v/>
      </c>
      <c r="F366" s="4" t="str">
        <f ca="1">IF(C366="","",IFERROR(AVERAGEIF(E$5:$E366,"&gt;"&amp;_xlfn.PERCENTILE.EXC(E$5:$E366,0.2)),0))</f>
        <v/>
      </c>
    </row>
    <row r="367" spans="2:6" x14ac:dyDescent="0.25">
      <c r="B367" s="18">
        <v>363</v>
      </c>
      <c r="C367" s="21" t="str">
        <f ca="1">IFERROR(IF(LEFT(C366,2)="13",DATE(RIGHT(C366,4),12,31),IF(EOMONTH(C366,1)&gt;PREMISSAS!$C$3,"",IF(MONTH(C366)=11,"13º "&amp;YEAR(C366),EOMONTH(C366,1)))),"")</f>
        <v/>
      </c>
      <c r="D367" s="22">
        <f ca="1">VLOOKUP(C367,'Histórico de Remunerações'!$D$7:$E$656,2,FALSE)</f>
        <v>0</v>
      </c>
      <c r="E367" s="4" t="str">
        <f ca="1">IF(D367=0,"",IF(IF(ISTEXT(C367),DATE(RIGHT(C367,4),12,31),C367)&lt;PREMISSAS!$D$7,0,IFERROR(VLOOKUP(IF(LEFT(C367,2)="13",DATE(RIGHT(C367,4),12,31),C367),IPCA!$A$3:$D$284,4,FALSE),1)*D367))</f>
        <v/>
      </c>
      <c r="F367" s="4" t="str">
        <f ca="1">IF(C367="","",IFERROR(AVERAGEIF(E$5:$E367,"&gt;"&amp;_xlfn.PERCENTILE.EXC(E$5:$E367,0.2)),0))</f>
        <v/>
      </c>
    </row>
    <row r="368" spans="2:6" x14ac:dyDescent="0.25">
      <c r="B368" s="18">
        <v>364</v>
      </c>
      <c r="C368" s="21" t="str">
        <f ca="1">IFERROR(IF(LEFT(C367,2)="13",DATE(RIGHT(C367,4),12,31),IF(EOMONTH(C367,1)&gt;PREMISSAS!$C$3,"",IF(MONTH(C367)=11,"13º "&amp;YEAR(C367),EOMONTH(C367,1)))),"")</f>
        <v/>
      </c>
      <c r="D368" s="22">
        <f ca="1">VLOOKUP(C368,'Histórico de Remunerações'!$D$7:$E$656,2,FALSE)</f>
        <v>0</v>
      </c>
      <c r="E368" s="4" t="str">
        <f ca="1">IF(D368=0,"",IF(IF(ISTEXT(C368),DATE(RIGHT(C368,4),12,31),C368)&lt;PREMISSAS!$D$7,0,IFERROR(VLOOKUP(IF(LEFT(C368,2)="13",DATE(RIGHT(C368,4),12,31),C368),IPCA!$A$3:$D$284,4,FALSE),1)*D368))</f>
        <v/>
      </c>
      <c r="F368" s="4" t="str">
        <f ca="1">IF(C368="","",IFERROR(AVERAGEIF(E$5:$E368,"&gt;"&amp;_xlfn.PERCENTILE.EXC(E$5:$E368,0.2)),0))</f>
        <v/>
      </c>
    </row>
    <row r="369" spans="2:6" x14ac:dyDescent="0.25">
      <c r="B369" s="18">
        <v>365</v>
      </c>
      <c r="C369" s="21" t="str">
        <f ca="1">IFERROR(IF(LEFT(C368,2)="13",DATE(RIGHT(C368,4),12,31),IF(EOMONTH(C368,1)&gt;PREMISSAS!$C$3,"",IF(MONTH(C368)=11,"13º "&amp;YEAR(C368),EOMONTH(C368,1)))),"")</f>
        <v/>
      </c>
      <c r="D369" s="22">
        <f ca="1">VLOOKUP(C369,'Histórico de Remunerações'!$D$7:$E$656,2,FALSE)</f>
        <v>0</v>
      </c>
      <c r="E369" s="4" t="str">
        <f ca="1">IF(D369=0,"",IF(IF(ISTEXT(C369),DATE(RIGHT(C369,4),12,31),C369)&lt;PREMISSAS!$D$7,0,IFERROR(VLOOKUP(IF(LEFT(C369,2)="13",DATE(RIGHT(C369,4),12,31),C369),IPCA!$A$3:$D$284,4,FALSE),1)*D369))</f>
        <v/>
      </c>
      <c r="F369" s="4" t="str">
        <f ca="1">IF(C369="","",IFERROR(AVERAGEIF(E$5:$E369,"&gt;"&amp;_xlfn.PERCENTILE.EXC(E$5:$E369,0.2)),0))</f>
        <v/>
      </c>
    </row>
    <row r="370" spans="2:6" x14ac:dyDescent="0.25">
      <c r="B370" s="18">
        <v>366</v>
      </c>
      <c r="C370" s="21" t="str">
        <f ca="1">IFERROR(IF(LEFT(C369,2)="13",DATE(RIGHT(C369,4),12,31),IF(EOMONTH(C369,1)&gt;PREMISSAS!$C$3,"",IF(MONTH(C369)=11,"13º "&amp;YEAR(C369),EOMONTH(C369,1)))),"")</f>
        <v/>
      </c>
      <c r="D370" s="22">
        <f ca="1">VLOOKUP(C370,'Histórico de Remunerações'!$D$7:$E$656,2,FALSE)</f>
        <v>0</v>
      </c>
      <c r="E370" s="4" t="str">
        <f ca="1">IF(D370=0,"",IF(IF(ISTEXT(C370),DATE(RIGHT(C370,4),12,31),C370)&lt;PREMISSAS!$D$7,0,IFERROR(VLOOKUP(IF(LEFT(C370,2)="13",DATE(RIGHT(C370,4),12,31),C370),IPCA!$A$3:$D$284,4,FALSE),1)*D370))</f>
        <v/>
      </c>
      <c r="F370" s="4" t="str">
        <f ca="1">IF(C370="","",IFERROR(AVERAGEIF(E$5:$E370,"&gt;"&amp;_xlfn.PERCENTILE.EXC(E$5:$E370,0.2)),0))</f>
        <v/>
      </c>
    </row>
    <row r="371" spans="2:6" x14ac:dyDescent="0.25">
      <c r="B371" s="18">
        <v>367</v>
      </c>
      <c r="C371" s="21" t="str">
        <f ca="1">IFERROR(IF(LEFT(C370,2)="13",DATE(RIGHT(C370,4),12,31),IF(EOMONTH(C370,1)&gt;PREMISSAS!$C$3,"",IF(MONTH(C370)=11,"13º "&amp;YEAR(C370),EOMONTH(C370,1)))),"")</f>
        <v/>
      </c>
      <c r="D371" s="22">
        <f ca="1">VLOOKUP(C371,'Histórico de Remunerações'!$D$7:$E$656,2,FALSE)</f>
        <v>0</v>
      </c>
      <c r="E371" s="4" t="str">
        <f ca="1">IF(D371=0,"",IF(IF(ISTEXT(C371),DATE(RIGHT(C371,4),12,31),C371)&lt;PREMISSAS!$D$7,0,IFERROR(VLOOKUP(IF(LEFT(C371,2)="13",DATE(RIGHT(C371,4),12,31),C371),IPCA!$A$3:$D$284,4,FALSE),1)*D371))</f>
        <v/>
      </c>
      <c r="F371" s="4" t="str">
        <f ca="1">IF(C371="","",IFERROR(AVERAGEIF(E$5:$E371,"&gt;"&amp;_xlfn.PERCENTILE.EXC(E$5:$E371,0.2)),0))</f>
        <v/>
      </c>
    </row>
    <row r="372" spans="2:6" x14ac:dyDescent="0.25">
      <c r="B372" s="18">
        <v>368</v>
      </c>
      <c r="C372" s="21" t="str">
        <f ca="1">IFERROR(IF(LEFT(C371,2)="13",DATE(RIGHT(C371,4),12,31),IF(EOMONTH(C371,1)&gt;PREMISSAS!$C$3,"",IF(MONTH(C371)=11,"13º "&amp;YEAR(C371),EOMONTH(C371,1)))),"")</f>
        <v/>
      </c>
      <c r="D372" s="22">
        <f ca="1">VLOOKUP(C372,'Histórico de Remunerações'!$D$7:$E$656,2,FALSE)</f>
        <v>0</v>
      </c>
      <c r="E372" s="4" t="str">
        <f ca="1">IF(D372=0,"",IF(IF(ISTEXT(C372),DATE(RIGHT(C372,4),12,31),C372)&lt;PREMISSAS!$D$7,0,IFERROR(VLOOKUP(IF(LEFT(C372,2)="13",DATE(RIGHT(C372,4),12,31),C372),IPCA!$A$3:$D$284,4,FALSE),1)*D372))</f>
        <v/>
      </c>
      <c r="F372" s="4" t="str">
        <f ca="1">IF(C372="","",IFERROR(AVERAGEIF(E$5:$E372,"&gt;"&amp;_xlfn.PERCENTILE.EXC(E$5:$E372,0.2)),0))</f>
        <v/>
      </c>
    </row>
    <row r="373" spans="2:6" x14ac:dyDescent="0.25">
      <c r="B373" s="18">
        <v>369</v>
      </c>
      <c r="C373" s="21" t="str">
        <f ca="1">IFERROR(IF(LEFT(C372,2)="13",DATE(RIGHT(C372,4),12,31),IF(EOMONTH(C372,1)&gt;PREMISSAS!$C$3,"",IF(MONTH(C372)=11,"13º "&amp;YEAR(C372),EOMONTH(C372,1)))),"")</f>
        <v/>
      </c>
      <c r="D373" s="22">
        <f ca="1">VLOOKUP(C373,'Histórico de Remunerações'!$D$7:$E$656,2,FALSE)</f>
        <v>0</v>
      </c>
      <c r="E373" s="4" t="str">
        <f ca="1">IF(D373=0,"",IF(IF(ISTEXT(C373),DATE(RIGHT(C373,4),12,31),C373)&lt;PREMISSAS!$D$7,0,IFERROR(VLOOKUP(IF(LEFT(C373,2)="13",DATE(RIGHT(C373,4),12,31),C373),IPCA!$A$3:$D$284,4,FALSE),1)*D373))</f>
        <v/>
      </c>
      <c r="F373" s="4" t="str">
        <f ca="1">IF(C373="","",IFERROR(AVERAGEIF(E$5:$E373,"&gt;"&amp;_xlfn.PERCENTILE.EXC(E$5:$E373,0.2)),0))</f>
        <v/>
      </c>
    </row>
    <row r="374" spans="2:6" x14ac:dyDescent="0.25">
      <c r="B374" s="18">
        <v>370</v>
      </c>
      <c r="C374" s="21" t="str">
        <f ca="1">IFERROR(IF(LEFT(C373,2)="13",DATE(RIGHT(C373,4),12,31),IF(EOMONTH(C373,1)&gt;PREMISSAS!$C$3,"",IF(MONTH(C373)=11,"13º "&amp;YEAR(C373),EOMONTH(C373,1)))),"")</f>
        <v/>
      </c>
      <c r="D374" s="22">
        <f ca="1">VLOOKUP(C374,'Histórico de Remunerações'!$D$7:$E$656,2,FALSE)</f>
        <v>0</v>
      </c>
      <c r="E374" s="4" t="str">
        <f ca="1">IF(D374=0,"",IF(IF(ISTEXT(C374),DATE(RIGHT(C374,4),12,31),C374)&lt;PREMISSAS!$D$7,0,IFERROR(VLOOKUP(IF(LEFT(C374,2)="13",DATE(RIGHT(C374,4),12,31),C374),IPCA!$A$3:$D$284,4,FALSE),1)*D374))</f>
        <v/>
      </c>
      <c r="F374" s="4" t="str">
        <f ca="1">IF(C374="","",IFERROR(AVERAGEIF(E$5:$E374,"&gt;"&amp;_xlfn.PERCENTILE.EXC(E$5:$E374,0.2)),0))</f>
        <v/>
      </c>
    </row>
    <row r="375" spans="2:6" x14ac:dyDescent="0.25">
      <c r="B375" s="18">
        <v>371</v>
      </c>
      <c r="C375" s="21" t="str">
        <f ca="1">IFERROR(IF(LEFT(C374,2)="13",DATE(RIGHT(C374,4),12,31),IF(EOMONTH(C374,1)&gt;PREMISSAS!$C$3,"",IF(MONTH(C374)=11,"13º "&amp;YEAR(C374),EOMONTH(C374,1)))),"")</f>
        <v/>
      </c>
      <c r="D375" s="22">
        <f ca="1">VLOOKUP(C375,'Histórico de Remunerações'!$D$7:$E$656,2,FALSE)</f>
        <v>0</v>
      </c>
      <c r="E375" s="4" t="str">
        <f ca="1">IF(D375=0,"",IF(IF(ISTEXT(C375),DATE(RIGHT(C375,4),12,31),C375)&lt;PREMISSAS!$D$7,0,IFERROR(VLOOKUP(IF(LEFT(C375,2)="13",DATE(RIGHT(C375,4),12,31),C375),IPCA!$A$3:$D$284,4,FALSE),1)*D375))</f>
        <v/>
      </c>
      <c r="F375" s="4" t="str">
        <f ca="1">IF(C375="","",IFERROR(AVERAGEIF(E$5:$E375,"&gt;"&amp;_xlfn.PERCENTILE.EXC(E$5:$E375,0.2)),0))</f>
        <v/>
      </c>
    </row>
    <row r="376" spans="2:6" x14ac:dyDescent="0.25">
      <c r="B376" s="18">
        <v>372</v>
      </c>
      <c r="C376" s="21" t="str">
        <f ca="1">IFERROR(IF(LEFT(C375,2)="13",DATE(RIGHT(C375,4),12,31),IF(EOMONTH(C375,1)&gt;PREMISSAS!$C$3,"",IF(MONTH(C375)=11,"13º "&amp;YEAR(C375),EOMONTH(C375,1)))),"")</f>
        <v/>
      </c>
      <c r="D376" s="22">
        <f ca="1">VLOOKUP(C376,'Histórico de Remunerações'!$D$7:$E$656,2,FALSE)</f>
        <v>0</v>
      </c>
      <c r="E376" s="4" t="str">
        <f ca="1">IF(D376=0,"",IF(IF(ISTEXT(C376),DATE(RIGHT(C376,4),12,31),C376)&lt;PREMISSAS!$D$7,0,IFERROR(VLOOKUP(IF(LEFT(C376,2)="13",DATE(RIGHT(C376,4),12,31),C376),IPCA!$A$3:$D$284,4,FALSE),1)*D376))</f>
        <v/>
      </c>
      <c r="F376" s="4" t="str">
        <f ca="1">IF(C376="","",IFERROR(AVERAGEIF(E$5:$E376,"&gt;"&amp;_xlfn.PERCENTILE.EXC(E$5:$E376,0.2)),0))</f>
        <v/>
      </c>
    </row>
    <row r="377" spans="2:6" x14ac:dyDescent="0.25">
      <c r="B377" s="18">
        <v>373</v>
      </c>
      <c r="C377" s="21" t="str">
        <f ca="1">IFERROR(IF(LEFT(C376,2)="13",DATE(RIGHT(C376,4),12,31),IF(EOMONTH(C376,1)&gt;PREMISSAS!$C$3,"",IF(MONTH(C376)=11,"13º "&amp;YEAR(C376),EOMONTH(C376,1)))),"")</f>
        <v/>
      </c>
      <c r="D377" s="22">
        <f ca="1">VLOOKUP(C377,'Histórico de Remunerações'!$D$7:$E$656,2,FALSE)</f>
        <v>0</v>
      </c>
      <c r="E377" s="4" t="str">
        <f ca="1">IF(D377=0,"",IF(IF(ISTEXT(C377),DATE(RIGHT(C377,4),12,31),C377)&lt;PREMISSAS!$D$7,0,IFERROR(VLOOKUP(IF(LEFT(C377,2)="13",DATE(RIGHT(C377,4),12,31),C377),IPCA!$A$3:$D$284,4,FALSE),1)*D377))</f>
        <v/>
      </c>
      <c r="F377" s="4" t="str">
        <f ca="1">IF(C377="","",IFERROR(AVERAGEIF(E$5:$E377,"&gt;"&amp;_xlfn.PERCENTILE.EXC(E$5:$E377,0.2)),0))</f>
        <v/>
      </c>
    </row>
    <row r="378" spans="2:6" x14ac:dyDescent="0.25">
      <c r="B378" s="18">
        <v>374</v>
      </c>
      <c r="C378" s="21" t="str">
        <f ca="1">IFERROR(IF(LEFT(C377,2)="13",DATE(RIGHT(C377,4),12,31),IF(EOMONTH(C377,1)&gt;PREMISSAS!$C$3,"",IF(MONTH(C377)=11,"13º "&amp;YEAR(C377),EOMONTH(C377,1)))),"")</f>
        <v/>
      </c>
      <c r="D378" s="22">
        <f ca="1">VLOOKUP(C378,'Histórico de Remunerações'!$D$7:$E$656,2,FALSE)</f>
        <v>0</v>
      </c>
      <c r="E378" s="4" t="str">
        <f ca="1">IF(D378=0,"",IF(IF(ISTEXT(C378),DATE(RIGHT(C378,4),12,31),C378)&lt;PREMISSAS!$D$7,0,IFERROR(VLOOKUP(IF(LEFT(C378,2)="13",DATE(RIGHT(C378,4),12,31),C378),IPCA!$A$3:$D$284,4,FALSE),1)*D378))</f>
        <v/>
      </c>
      <c r="F378" s="4" t="str">
        <f ca="1">IF(C378="","",IFERROR(AVERAGEIF(E$5:$E378,"&gt;"&amp;_xlfn.PERCENTILE.EXC(E$5:$E378,0.2)),0))</f>
        <v/>
      </c>
    </row>
    <row r="379" spans="2:6" x14ac:dyDescent="0.25">
      <c r="B379" s="18">
        <v>375</v>
      </c>
      <c r="C379" s="21" t="str">
        <f ca="1">IFERROR(IF(LEFT(C378,2)="13",DATE(RIGHT(C378,4),12,31),IF(EOMONTH(C378,1)&gt;PREMISSAS!$C$3,"",IF(MONTH(C378)=11,"13º "&amp;YEAR(C378),EOMONTH(C378,1)))),"")</f>
        <v/>
      </c>
      <c r="D379" s="22">
        <f ca="1">VLOOKUP(C379,'Histórico de Remunerações'!$D$7:$E$656,2,FALSE)</f>
        <v>0</v>
      </c>
      <c r="E379" s="4" t="str">
        <f ca="1">IF(D379=0,"",IF(IF(ISTEXT(C379),DATE(RIGHT(C379,4),12,31),C379)&lt;PREMISSAS!$D$7,0,IFERROR(VLOOKUP(IF(LEFT(C379,2)="13",DATE(RIGHT(C379,4),12,31),C379),IPCA!$A$3:$D$284,4,FALSE),1)*D379))</f>
        <v/>
      </c>
      <c r="F379" s="4" t="str">
        <f ca="1">IF(C379="","",IFERROR(AVERAGEIF(E$5:$E379,"&gt;"&amp;_xlfn.PERCENTILE.EXC(E$5:$E379,0.2)),0))</f>
        <v/>
      </c>
    </row>
    <row r="380" spans="2:6" x14ac:dyDescent="0.25">
      <c r="B380" s="18">
        <v>376</v>
      </c>
      <c r="C380" s="21" t="str">
        <f ca="1">IFERROR(IF(LEFT(C379,2)="13",DATE(RIGHT(C379,4),12,31),IF(EOMONTH(C379,1)&gt;PREMISSAS!$C$3,"",IF(MONTH(C379)=11,"13º "&amp;YEAR(C379),EOMONTH(C379,1)))),"")</f>
        <v/>
      </c>
      <c r="D380" s="22">
        <f ca="1">VLOOKUP(C380,'Histórico de Remunerações'!$D$7:$E$656,2,FALSE)</f>
        <v>0</v>
      </c>
      <c r="E380" s="4" t="str">
        <f ca="1">IF(D380=0,"",IF(IF(ISTEXT(C380),DATE(RIGHT(C380,4),12,31),C380)&lt;PREMISSAS!$D$7,0,IFERROR(VLOOKUP(IF(LEFT(C380,2)="13",DATE(RIGHT(C380,4),12,31),C380),IPCA!$A$3:$D$284,4,FALSE),1)*D380))</f>
        <v/>
      </c>
      <c r="F380" s="4" t="str">
        <f ca="1">IF(C380="","",IFERROR(AVERAGEIF(E$5:$E380,"&gt;"&amp;_xlfn.PERCENTILE.EXC(E$5:$E380,0.2)),0))</f>
        <v/>
      </c>
    </row>
    <row r="381" spans="2:6" x14ac:dyDescent="0.25">
      <c r="B381" s="18">
        <v>377</v>
      </c>
      <c r="C381" s="21" t="str">
        <f ca="1">IFERROR(IF(LEFT(C380,2)="13",DATE(RIGHT(C380,4),12,31),IF(EOMONTH(C380,1)&gt;PREMISSAS!$C$3,"",IF(MONTH(C380)=11,"13º "&amp;YEAR(C380),EOMONTH(C380,1)))),"")</f>
        <v/>
      </c>
      <c r="D381" s="22">
        <f ca="1">VLOOKUP(C381,'Histórico de Remunerações'!$D$7:$E$656,2,FALSE)</f>
        <v>0</v>
      </c>
      <c r="E381" s="4" t="str">
        <f ca="1">IF(D381=0,"",IF(IF(ISTEXT(C381),DATE(RIGHT(C381,4),12,31),C381)&lt;PREMISSAS!$D$7,0,IFERROR(VLOOKUP(IF(LEFT(C381,2)="13",DATE(RIGHT(C381,4),12,31),C381),IPCA!$A$3:$D$284,4,FALSE),1)*D381))</f>
        <v/>
      </c>
      <c r="F381" s="4" t="str">
        <f ca="1">IF(C381="","",IFERROR(AVERAGEIF(E$5:$E381,"&gt;"&amp;_xlfn.PERCENTILE.EXC(E$5:$E381,0.2)),0))</f>
        <v/>
      </c>
    </row>
    <row r="382" spans="2:6" x14ac:dyDescent="0.25">
      <c r="B382" s="18">
        <v>378</v>
      </c>
      <c r="C382" s="21" t="str">
        <f ca="1">IFERROR(IF(LEFT(C381,2)="13",DATE(RIGHT(C381,4),12,31),IF(EOMONTH(C381,1)&gt;PREMISSAS!$C$3,"",IF(MONTH(C381)=11,"13º "&amp;YEAR(C381),EOMONTH(C381,1)))),"")</f>
        <v/>
      </c>
      <c r="D382" s="22">
        <f ca="1">VLOOKUP(C382,'Histórico de Remunerações'!$D$7:$E$656,2,FALSE)</f>
        <v>0</v>
      </c>
      <c r="E382" s="4" t="str">
        <f ca="1">IF(D382=0,"",IF(IF(ISTEXT(C382),DATE(RIGHT(C382,4),12,31),C382)&lt;PREMISSAS!$D$7,0,IFERROR(VLOOKUP(IF(LEFT(C382,2)="13",DATE(RIGHT(C382,4),12,31),C382),IPCA!$A$3:$D$284,4,FALSE),1)*D382))</f>
        <v/>
      </c>
      <c r="F382" s="4" t="str">
        <f ca="1">IF(C382="","",IFERROR(AVERAGEIF(E$5:$E382,"&gt;"&amp;_xlfn.PERCENTILE.EXC(E$5:$E382,0.2)),0))</f>
        <v/>
      </c>
    </row>
    <row r="383" spans="2:6" x14ac:dyDescent="0.25">
      <c r="B383" s="18">
        <v>379</v>
      </c>
      <c r="C383" s="21" t="str">
        <f ca="1">IFERROR(IF(LEFT(C382,2)="13",DATE(RIGHT(C382,4),12,31),IF(EOMONTH(C382,1)&gt;PREMISSAS!$C$3,"",IF(MONTH(C382)=11,"13º "&amp;YEAR(C382),EOMONTH(C382,1)))),"")</f>
        <v/>
      </c>
      <c r="D383" s="22">
        <f ca="1">VLOOKUP(C383,'Histórico de Remunerações'!$D$7:$E$656,2,FALSE)</f>
        <v>0</v>
      </c>
      <c r="E383" s="4" t="str">
        <f ca="1">IF(D383=0,"",IF(IF(ISTEXT(C383),DATE(RIGHT(C383,4),12,31),C383)&lt;PREMISSAS!$D$7,0,IFERROR(VLOOKUP(IF(LEFT(C383,2)="13",DATE(RIGHT(C383,4),12,31),C383),IPCA!$A$3:$D$284,4,FALSE),1)*D383))</f>
        <v/>
      </c>
      <c r="F383" s="4" t="str">
        <f ca="1">IF(C383="","",IFERROR(AVERAGEIF(E$5:$E383,"&gt;"&amp;_xlfn.PERCENTILE.EXC(E$5:$E383,0.2)),0))</f>
        <v/>
      </c>
    </row>
    <row r="384" spans="2:6" x14ac:dyDescent="0.25">
      <c r="B384" s="18">
        <v>380</v>
      </c>
      <c r="C384" s="21" t="str">
        <f ca="1">IFERROR(IF(LEFT(C383,2)="13",DATE(RIGHT(C383,4),12,31),IF(EOMONTH(C383,1)&gt;PREMISSAS!$C$3,"",IF(MONTH(C383)=11,"13º "&amp;YEAR(C383),EOMONTH(C383,1)))),"")</f>
        <v/>
      </c>
      <c r="D384" s="22">
        <f ca="1">VLOOKUP(C384,'Histórico de Remunerações'!$D$7:$E$656,2,FALSE)</f>
        <v>0</v>
      </c>
      <c r="E384" s="4" t="str">
        <f ca="1">IF(D384=0,"",IF(IF(ISTEXT(C384),DATE(RIGHT(C384,4),12,31),C384)&lt;PREMISSAS!$D$7,0,IFERROR(VLOOKUP(IF(LEFT(C384,2)="13",DATE(RIGHT(C384,4),12,31),C384),IPCA!$A$3:$D$284,4,FALSE),1)*D384))</f>
        <v/>
      </c>
      <c r="F384" s="4" t="str">
        <f ca="1">IF(C384="","",IFERROR(AVERAGEIF(E$5:$E384,"&gt;"&amp;_xlfn.PERCENTILE.EXC(E$5:$E384,0.2)),0))</f>
        <v/>
      </c>
    </row>
    <row r="385" spans="2:6" x14ac:dyDescent="0.25">
      <c r="B385" s="18">
        <v>381</v>
      </c>
      <c r="C385" s="21" t="str">
        <f ca="1">IFERROR(IF(LEFT(C384,2)="13",DATE(RIGHT(C384,4),12,31),IF(EOMONTH(C384,1)&gt;PREMISSAS!$C$3,"",IF(MONTH(C384)=11,"13º "&amp;YEAR(C384),EOMONTH(C384,1)))),"")</f>
        <v/>
      </c>
      <c r="D385" s="22">
        <f ca="1">VLOOKUP(C385,'Histórico de Remunerações'!$D$7:$E$656,2,FALSE)</f>
        <v>0</v>
      </c>
      <c r="E385" s="4" t="str">
        <f ca="1">IF(D385=0,"",IF(IF(ISTEXT(C385),DATE(RIGHT(C385,4),12,31),C385)&lt;PREMISSAS!$D$7,0,IFERROR(VLOOKUP(IF(LEFT(C385,2)="13",DATE(RIGHT(C385,4),12,31),C385),IPCA!$A$3:$D$284,4,FALSE),1)*D385))</f>
        <v/>
      </c>
      <c r="F385" s="4" t="str">
        <f ca="1">IF(C385="","",IFERROR(AVERAGEIF(E$5:$E385,"&gt;"&amp;_xlfn.PERCENTILE.EXC(E$5:$E385,0.2)),0))</f>
        <v/>
      </c>
    </row>
    <row r="386" spans="2:6" x14ac:dyDescent="0.25">
      <c r="B386" s="18">
        <v>382</v>
      </c>
      <c r="C386" s="21" t="str">
        <f ca="1">IFERROR(IF(LEFT(C385,2)="13",DATE(RIGHT(C385,4),12,31),IF(EOMONTH(C385,1)&gt;PREMISSAS!$C$3,"",IF(MONTH(C385)=11,"13º "&amp;YEAR(C385),EOMONTH(C385,1)))),"")</f>
        <v/>
      </c>
      <c r="D386" s="22">
        <f ca="1">VLOOKUP(C386,'Histórico de Remunerações'!$D$7:$E$656,2,FALSE)</f>
        <v>0</v>
      </c>
      <c r="E386" s="4" t="str">
        <f ca="1">IF(D386=0,"",IF(IF(ISTEXT(C386),DATE(RIGHT(C386,4),12,31),C386)&lt;PREMISSAS!$D$7,0,IFERROR(VLOOKUP(IF(LEFT(C386,2)="13",DATE(RIGHT(C386,4),12,31),C386),IPCA!$A$3:$D$284,4,FALSE),1)*D386))</f>
        <v/>
      </c>
      <c r="F386" s="4" t="str">
        <f ca="1">IF(C386="","",IFERROR(AVERAGEIF(E$5:$E386,"&gt;"&amp;_xlfn.PERCENTILE.EXC(E$5:$E386,0.2)),0))</f>
        <v/>
      </c>
    </row>
    <row r="387" spans="2:6" x14ac:dyDescent="0.25">
      <c r="B387" s="18">
        <v>383</v>
      </c>
      <c r="C387" s="21" t="str">
        <f ca="1">IFERROR(IF(LEFT(C386,2)="13",DATE(RIGHT(C386,4),12,31),IF(EOMONTH(C386,1)&gt;PREMISSAS!$C$3,"",IF(MONTH(C386)=11,"13º "&amp;YEAR(C386),EOMONTH(C386,1)))),"")</f>
        <v/>
      </c>
      <c r="D387" s="22">
        <f ca="1">VLOOKUP(C387,'Histórico de Remunerações'!$D$7:$E$656,2,FALSE)</f>
        <v>0</v>
      </c>
      <c r="E387" s="4" t="str">
        <f ca="1">IF(D387=0,"",IF(IF(ISTEXT(C387),DATE(RIGHT(C387,4),12,31),C387)&lt;PREMISSAS!$D$7,0,IFERROR(VLOOKUP(IF(LEFT(C387,2)="13",DATE(RIGHT(C387,4),12,31),C387),IPCA!$A$3:$D$284,4,FALSE),1)*D387))</f>
        <v/>
      </c>
      <c r="F387" s="4" t="str">
        <f ca="1">IF(C387="","",IFERROR(AVERAGEIF(E$5:$E387,"&gt;"&amp;_xlfn.PERCENTILE.EXC(E$5:$E387,0.2)),0))</f>
        <v/>
      </c>
    </row>
    <row r="388" spans="2:6" x14ac:dyDescent="0.25">
      <c r="B388" s="18">
        <v>384</v>
      </c>
      <c r="C388" s="21" t="str">
        <f ca="1">IFERROR(IF(LEFT(C387,2)="13",DATE(RIGHT(C387,4),12,31),IF(EOMONTH(C387,1)&gt;PREMISSAS!$C$3,"",IF(MONTH(C387)=11,"13º "&amp;YEAR(C387),EOMONTH(C387,1)))),"")</f>
        <v/>
      </c>
      <c r="D388" s="22">
        <f ca="1">VLOOKUP(C388,'Histórico de Remunerações'!$D$7:$E$656,2,FALSE)</f>
        <v>0</v>
      </c>
      <c r="E388" s="4" t="str">
        <f ca="1">IF(D388=0,"",IF(IF(ISTEXT(C388),DATE(RIGHT(C388,4),12,31),C388)&lt;PREMISSAS!$D$7,0,IFERROR(VLOOKUP(IF(LEFT(C388,2)="13",DATE(RIGHT(C388,4),12,31),C388),IPCA!$A$3:$D$284,4,FALSE),1)*D388))</f>
        <v/>
      </c>
      <c r="F388" s="4" t="str">
        <f ca="1">IF(C388="","",IFERROR(AVERAGEIF(E$5:$E388,"&gt;"&amp;_xlfn.PERCENTILE.EXC(E$5:$E388,0.2)),0))</f>
        <v/>
      </c>
    </row>
    <row r="389" spans="2:6" x14ac:dyDescent="0.25">
      <c r="B389" s="18">
        <v>385</v>
      </c>
      <c r="C389" s="21" t="str">
        <f ca="1">IFERROR(IF(LEFT(C388,2)="13",DATE(RIGHT(C388,4),12,31),IF(EOMONTH(C388,1)&gt;PREMISSAS!$C$3,"",IF(MONTH(C388)=11,"13º "&amp;YEAR(C388),EOMONTH(C388,1)))),"")</f>
        <v/>
      </c>
      <c r="D389" s="22">
        <f ca="1">VLOOKUP(C389,'Histórico de Remunerações'!$D$7:$E$656,2,FALSE)</f>
        <v>0</v>
      </c>
      <c r="E389" s="4" t="str">
        <f ca="1">IF(D389=0,"",IF(IF(ISTEXT(C389),DATE(RIGHT(C389,4),12,31),C389)&lt;PREMISSAS!$D$7,0,IFERROR(VLOOKUP(IF(LEFT(C389,2)="13",DATE(RIGHT(C389,4),12,31),C389),IPCA!$A$3:$D$284,4,FALSE),1)*D389))</f>
        <v/>
      </c>
      <c r="F389" s="4" t="str">
        <f ca="1">IF(C389="","",IFERROR(AVERAGEIF(E$5:$E389,"&gt;"&amp;_xlfn.PERCENTILE.EXC(E$5:$E389,0.2)),0))</f>
        <v/>
      </c>
    </row>
    <row r="390" spans="2:6" x14ac:dyDescent="0.25">
      <c r="B390" s="18">
        <v>386</v>
      </c>
      <c r="C390" s="21" t="str">
        <f ca="1">IFERROR(IF(LEFT(C389,2)="13",DATE(RIGHT(C389,4),12,31),IF(EOMONTH(C389,1)&gt;PREMISSAS!$C$3,"",IF(MONTH(C389)=11,"13º "&amp;YEAR(C389),EOMONTH(C389,1)))),"")</f>
        <v/>
      </c>
      <c r="D390" s="22">
        <f ca="1">VLOOKUP(C390,'Histórico de Remunerações'!$D$7:$E$656,2,FALSE)</f>
        <v>0</v>
      </c>
      <c r="E390" s="4" t="str">
        <f ca="1">IF(D390=0,"",IF(IF(ISTEXT(C390),DATE(RIGHT(C390,4),12,31),C390)&lt;PREMISSAS!$D$7,0,IFERROR(VLOOKUP(IF(LEFT(C390,2)="13",DATE(RIGHT(C390,4),12,31),C390),IPCA!$A$3:$D$284,4,FALSE),1)*D390))</f>
        <v/>
      </c>
      <c r="F390" s="4" t="str">
        <f ca="1">IF(C390="","",IFERROR(AVERAGEIF(E$5:$E390,"&gt;"&amp;_xlfn.PERCENTILE.EXC(E$5:$E390,0.2)),0))</f>
        <v/>
      </c>
    </row>
    <row r="391" spans="2:6" x14ac:dyDescent="0.25">
      <c r="B391" s="18">
        <v>387</v>
      </c>
      <c r="C391" s="21" t="str">
        <f ca="1">IFERROR(IF(LEFT(C390,2)="13",DATE(RIGHT(C390,4),12,31),IF(EOMONTH(C390,1)&gt;PREMISSAS!$C$3,"",IF(MONTH(C390)=11,"13º "&amp;YEAR(C390),EOMONTH(C390,1)))),"")</f>
        <v/>
      </c>
      <c r="D391" s="22">
        <f ca="1">VLOOKUP(C391,'Histórico de Remunerações'!$D$7:$E$656,2,FALSE)</f>
        <v>0</v>
      </c>
      <c r="E391" s="4" t="str">
        <f ca="1">IF(D391=0,"",IF(IF(ISTEXT(C391),DATE(RIGHT(C391,4),12,31),C391)&lt;PREMISSAS!$D$7,0,IFERROR(VLOOKUP(IF(LEFT(C391,2)="13",DATE(RIGHT(C391,4),12,31),C391),IPCA!$A$3:$D$284,4,FALSE),1)*D391))</f>
        <v/>
      </c>
      <c r="F391" s="4" t="str">
        <f ca="1">IF(C391="","",IFERROR(AVERAGEIF(E$5:$E391,"&gt;"&amp;_xlfn.PERCENTILE.EXC(E$5:$E391,0.2)),0))</f>
        <v/>
      </c>
    </row>
    <row r="392" spans="2:6" x14ac:dyDescent="0.25">
      <c r="B392" s="18">
        <v>388</v>
      </c>
      <c r="C392" s="21" t="str">
        <f ca="1">IFERROR(IF(LEFT(C391,2)="13",DATE(RIGHT(C391,4),12,31),IF(EOMONTH(C391,1)&gt;PREMISSAS!$C$3,"",IF(MONTH(C391)=11,"13º "&amp;YEAR(C391),EOMONTH(C391,1)))),"")</f>
        <v/>
      </c>
      <c r="D392" s="22">
        <f ca="1">VLOOKUP(C392,'Histórico de Remunerações'!$D$7:$E$656,2,FALSE)</f>
        <v>0</v>
      </c>
      <c r="E392" s="4" t="str">
        <f ca="1">IF(D392=0,"",IF(IF(ISTEXT(C392),DATE(RIGHT(C392,4),12,31),C392)&lt;PREMISSAS!$D$7,0,IFERROR(VLOOKUP(IF(LEFT(C392,2)="13",DATE(RIGHT(C392,4),12,31),C392),IPCA!$A$3:$D$284,4,FALSE),1)*D392))</f>
        <v/>
      </c>
      <c r="F392" s="4" t="str">
        <f ca="1">IF(C392="","",IFERROR(AVERAGEIF(E$5:$E392,"&gt;"&amp;_xlfn.PERCENTILE.EXC(E$5:$E392,0.2)),0))</f>
        <v/>
      </c>
    </row>
    <row r="393" spans="2:6" x14ac:dyDescent="0.25">
      <c r="B393" s="18">
        <v>389</v>
      </c>
      <c r="C393" s="21" t="str">
        <f ca="1">IFERROR(IF(LEFT(C392,2)="13",DATE(RIGHT(C392,4),12,31),IF(EOMONTH(C392,1)&gt;PREMISSAS!$C$3,"",IF(MONTH(C392)=11,"13º "&amp;YEAR(C392),EOMONTH(C392,1)))),"")</f>
        <v/>
      </c>
      <c r="D393" s="22">
        <f ca="1">VLOOKUP(C393,'Histórico de Remunerações'!$D$7:$E$656,2,FALSE)</f>
        <v>0</v>
      </c>
      <c r="E393" s="4" t="str">
        <f ca="1">IF(D393=0,"",IF(IF(ISTEXT(C393),DATE(RIGHT(C393,4),12,31),C393)&lt;PREMISSAS!$D$7,0,IFERROR(VLOOKUP(IF(LEFT(C393,2)="13",DATE(RIGHT(C393,4),12,31),C393),IPCA!$A$3:$D$284,4,FALSE),1)*D393))</f>
        <v/>
      </c>
      <c r="F393" s="4" t="str">
        <f ca="1">IF(C393="","",IFERROR(AVERAGEIF(E$5:$E393,"&gt;"&amp;_xlfn.PERCENTILE.EXC(E$5:$E393,0.2)),0))</f>
        <v/>
      </c>
    </row>
    <row r="394" spans="2:6" x14ac:dyDescent="0.25">
      <c r="B394" s="18">
        <v>390</v>
      </c>
      <c r="C394" s="21" t="str">
        <f ca="1">IFERROR(IF(LEFT(C393,2)="13",DATE(RIGHT(C393,4),12,31),IF(EOMONTH(C393,1)&gt;PREMISSAS!$C$3,"",IF(MONTH(C393)=11,"13º "&amp;YEAR(C393),EOMONTH(C393,1)))),"")</f>
        <v/>
      </c>
      <c r="D394" s="22">
        <f ca="1">VLOOKUP(C394,'Histórico de Remunerações'!$D$7:$E$656,2,FALSE)</f>
        <v>0</v>
      </c>
      <c r="E394" s="4" t="str">
        <f ca="1">IF(D394=0,"",IF(IF(ISTEXT(C394),DATE(RIGHT(C394,4),12,31),C394)&lt;PREMISSAS!$D$7,0,IFERROR(VLOOKUP(IF(LEFT(C394,2)="13",DATE(RIGHT(C394,4),12,31),C394),IPCA!$A$3:$D$284,4,FALSE),1)*D394))</f>
        <v/>
      </c>
      <c r="F394" s="4" t="str">
        <f ca="1">IF(C394="","",IFERROR(AVERAGEIF(E$5:$E394,"&gt;"&amp;_xlfn.PERCENTILE.EXC(E$5:$E394,0.2)),0))</f>
        <v/>
      </c>
    </row>
    <row r="395" spans="2:6" x14ac:dyDescent="0.25">
      <c r="B395" s="18">
        <v>391</v>
      </c>
      <c r="C395" s="21" t="str">
        <f ca="1">IFERROR(IF(LEFT(C394,2)="13",DATE(RIGHT(C394,4),12,31),IF(EOMONTH(C394,1)&gt;PREMISSAS!$C$3,"",IF(MONTH(C394)=11,"13º "&amp;YEAR(C394),EOMONTH(C394,1)))),"")</f>
        <v/>
      </c>
      <c r="D395" s="22">
        <f ca="1">VLOOKUP(C395,'Histórico de Remunerações'!$D$7:$E$656,2,FALSE)</f>
        <v>0</v>
      </c>
      <c r="E395" s="4" t="str">
        <f ca="1">IF(D395=0,"",IF(IF(ISTEXT(C395),DATE(RIGHT(C395,4),12,31),C395)&lt;PREMISSAS!$D$7,0,IFERROR(VLOOKUP(IF(LEFT(C395,2)="13",DATE(RIGHT(C395,4),12,31),C395),IPCA!$A$3:$D$284,4,FALSE),1)*D395))</f>
        <v/>
      </c>
      <c r="F395" s="4" t="str">
        <f ca="1">IF(C395="","",IFERROR(AVERAGEIF(E$5:$E395,"&gt;"&amp;_xlfn.PERCENTILE.EXC(E$5:$E395,0.2)),0))</f>
        <v/>
      </c>
    </row>
    <row r="396" spans="2:6" x14ac:dyDescent="0.25">
      <c r="B396" s="18">
        <v>392</v>
      </c>
      <c r="C396" s="21" t="str">
        <f ca="1">IFERROR(IF(LEFT(C395,2)="13",DATE(RIGHT(C395,4),12,31),IF(EOMONTH(C395,1)&gt;PREMISSAS!$C$3,"",IF(MONTH(C395)=11,"13º "&amp;YEAR(C395),EOMONTH(C395,1)))),"")</f>
        <v/>
      </c>
      <c r="D396" s="22">
        <f ca="1">VLOOKUP(C396,'Histórico de Remunerações'!$D$7:$E$656,2,FALSE)</f>
        <v>0</v>
      </c>
      <c r="E396" s="4" t="str">
        <f ca="1">IF(D396=0,"",IF(IF(ISTEXT(C396),DATE(RIGHT(C396,4),12,31),C396)&lt;PREMISSAS!$D$7,0,IFERROR(VLOOKUP(IF(LEFT(C396,2)="13",DATE(RIGHT(C396,4),12,31),C396),IPCA!$A$3:$D$284,4,FALSE),1)*D396))</f>
        <v/>
      </c>
      <c r="F396" s="4" t="str">
        <f ca="1">IF(C396="","",IFERROR(AVERAGEIF(E$5:$E396,"&gt;"&amp;_xlfn.PERCENTILE.EXC(E$5:$E396,0.2)),0))</f>
        <v/>
      </c>
    </row>
    <row r="397" spans="2:6" x14ac:dyDescent="0.25">
      <c r="B397" s="18">
        <v>393</v>
      </c>
      <c r="C397" s="21" t="str">
        <f ca="1">IFERROR(IF(LEFT(C396,2)="13",DATE(RIGHT(C396,4),12,31),IF(EOMONTH(C396,1)&gt;PREMISSAS!$C$3,"",IF(MONTH(C396)=11,"13º "&amp;YEAR(C396),EOMONTH(C396,1)))),"")</f>
        <v/>
      </c>
      <c r="D397" s="22">
        <f ca="1">VLOOKUP(C397,'Histórico de Remunerações'!$D$7:$E$656,2,FALSE)</f>
        <v>0</v>
      </c>
      <c r="E397" s="4" t="str">
        <f ca="1">IF(D397=0,"",IF(IF(ISTEXT(C397),DATE(RIGHT(C397,4),12,31),C397)&lt;PREMISSAS!$D$7,0,IFERROR(VLOOKUP(IF(LEFT(C397,2)="13",DATE(RIGHT(C397,4),12,31),C397),IPCA!$A$3:$D$284,4,FALSE),1)*D397))</f>
        <v/>
      </c>
      <c r="F397" s="4" t="str">
        <f ca="1">IF(C397="","",IFERROR(AVERAGEIF(E$5:$E397,"&gt;"&amp;_xlfn.PERCENTILE.EXC(E$5:$E397,0.2)),0))</f>
        <v/>
      </c>
    </row>
    <row r="398" spans="2:6" x14ac:dyDescent="0.25">
      <c r="B398" s="18">
        <v>394</v>
      </c>
      <c r="C398" s="21" t="str">
        <f ca="1">IFERROR(IF(LEFT(C397,2)="13",DATE(RIGHT(C397,4),12,31),IF(EOMONTH(C397,1)&gt;PREMISSAS!$C$3,"",IF(MONTH(C397)=11,"13º "&amp;YEAR(C397),EOMONTH(C397,1)))),"")</f>
        <v/>
      </c>
      <c r="D398" s="22">
        <f ca="1">VLOOKUP(C398,'Histórico de Remunerações'!$D$7:$E$656,2,FALSE)</f>
        <v>0</v>
      </c>
      <c r="E398" s="4" t="str">
        <f ca="1">IF(D398=0,"",IF(IF(ISTEXT(C398),DATE(RIGHT(C398,4),12,31),C398)&lt;PREMISSAS!$D$7,0,IFERROR(VLOOKUP(IF(LEFT(C398,2)="13",DATE(RIGHT(C398,4),12,31),C398),IPCA!$A$3:$D$284,4,FALSE),1)*D398))</f>
        <v/>
      </c>
      <c r="F398" s="4" t="str">
        <f ca="1">IF(C398="","",IFERROR(AVERAGEIF(E$5:$E398,"&gt;"&amp;_xlfn.PERCENTILE.EXC(E$5:$E398,0.2)),0))</f>
        <v/>
      </c>
    </row>
    <row r="399" spans="2:6" x14ac:dyDescent="0.25">
      <c r="B399" s="18">
        <v>395</v>
      </c>
      <c r="C399" s="21" t="str">
        <f ca="1">IFERROR(IF(LEFT(C398,2)="13",DATE(RIGHT(C398,4),12,31),IF(EOMONTH(C398,1)&gt;PREMISSAS!$C$3,"",IF(MONTH(C398)=11,"13º "&amp;YEAR(C398),EOMONTH(C398,1)))),"")</f>
        <v/>
      </c>
      <c r="D399" s="22">
        <f ca="1">VLOOKUP(C399,'Histórico de Remunerações'!$D$7:$E$656,2,FALSE)</f>
        <v>0</v>
      </c>
      <c r="E399" s="4" t="str">
        <f ca="1">IF(D399=0,"",IF(IF(ISTEXT(C399),DATE(RIGHT(C399,4),12,31),C399)&lt;PREMISSAS!$D$7,0,IFERROR(VLOOKUP(IF(LEFT(C399,2)="13",DATE(RIGHT(C399,4),12,31),C399),IPCA!$A$3:$D$284,4,FALSE),1)*D399))</f>
        <v/>
      </c>
      <c r="F399" s="4" t="str">
        <f ca="1">IF(C399="","",IFERROR(AVERAGEIF(E$5:$E399,"&gt;"&amp;_xlfn.PERCENTILE.EXC(E$5:$E399,0.2)),0))</f>
        <v/>
      </c>
    </row>
    <row r="400" spans="2:6" x14ac:dyDescent="0.25">
      <c r="B400" s="18">
        <v>396</v>
      </c>
      <c r="C400" s="21" t="str">
        <f ca="1">IFERROR(IF(LEFT(C399,2)="13",DATE(RIGHT(C399,4),12,31),IF(EOMONTH(C399,1)&gt;PREMISSAS!$C$3,"",IF(MONTH(C399)=11,"13º "&amp;YEAR(C399),EOMONTH(C399,1)))),"")</f>
        <v/>
      </c>
      <c r="D400" s="22">
        <f ca="1">VLOOKUP(C400,'Histórico de Remunerações'!$D$7:$E$656,2,FALSE)</f>
        <v>0</v>
      </c>
      <c r="E400" s="4" t="str">
        <f ca="1">IF(D400=0,"",IF(IF(ISTEXT(C400),DATE(RIGHT(C400,4),12,31),C400)&lt;PREMISSAS!$D$7,0,IFERROR(VLOOKUP(IF(LEFT(C400,2)="13",DATE(RIGHT(C400,4),12,31),C400),IPCA!$A$3:$D$284,4,FALSE),1)*D400))</f>
        <v/>
      </c>
      <c r="F400" s="4" t="str">
        <f ca="1">IF(C400="","",IFERROR(AVERAGEIF(E$5:$E400,"&gt;"&amp;_xlfn.PERCENTILE.EXC(E$5:$E400,0.2)),0))</f>
        <v/>
      </c>
    </row>
    <row r="401" spans="2:6" x14ac:dyDescent="0.25">
      <c r="B401" s="18">
        <v>397</v>
      </c>
      <c r="C401" s="21" t="str">
        <f ca="1">IFERROR(IF(LEFT(C400,2)="13",DATE(RIGHT(C400,4),12,31),IF(EOMONTH(C400,1)&gt;PREMISSAS!$C$3,"",IF(MONTH(C400)=11,"13º "&amp;YEAR(C400),EOMONTH(C400,1)))),"")</f>
        <v/>
      </c>
      <c r="D401" s="22">
        <f ca="1">VLOOKUP(C401,'Histórico de Remunerações'!$D$7:$E$656,2,FALSE)</f>
        <v>0</v>
      </c>
      <c r="E401" s="4" t="str">
        <f ca="1">IF(D401=0,"",IF(IF(ISTEXT(C401),DATE(RIGHT(C401,4),12,31),C401)&lt;PREMISSAS!$D$7,0,IFERROR(VLOOKUP(IF(LEFT(C401,2)="13",DATE(RIGHT(C401,4),12,31),C401),IPCA!$A$3:$D$284,4,FALSE),1)*D401))</f>
        <v/>
      </c>
      <c r="F401" s="4" t="str">
        <f ca="1">IF(C401="","",IFERROR(AVERAGEIF(E$5:$E401,"&gt;"&amp;_xlfn.PERCENTILE.EXC(E$5:$E401,0.2)),0))</f>
        <v/>
      </c>
    </row>
    <row r="402" spans="2:6" x14ac:dyDescent="0.25">
      <c r="B402" s="18">
        <v>398</v>
      </c>
      <c r="C402" s="21" t="str">
        <f ca="1">IFERROR(IF(LEFT(C401,2)="13",DATE(RIGHT(C401,4),12,31),IF(EOMONTH(C401,1)&gt;PREMISSAS!$C$3,"",IF(MONTH(C401)=11,"13º "&amp;YEAR(C401),EOMONTH(C401,1)))),"")</f>
        <v/>
      </c>
      <c r="D402" s="22">
        <f ca="1">VLOOKUP(C402,'Histórico de Remunerações'!$D$7:$E$656,2,FALSE)</f>
        <v>0</v>
      </c>
      <c r="E402" s="4" t="str">
        <f ca="1">IF(D402=0,"",IF(IF(ISTEXT(C402),DATE(RIGHT(C402,4),12,31),C402)&lt;PREMISSAS!$D$7,0,IFERROR(VLOOKUP(IF(LEFT(C402,2)="13",DATE(RIGHT(C402,4),12,31),C402),IPCA!$A$3:$D$284,4,FALSE),1)*D402))</f>
        <v/>
      </c>
      <c r="F402" s="4" t="str">
        <f ca="1">IF(C402="","",IFERROR(AVERAGEIF(E$5:$E402,"&gt;"&amp;_xlfn.PERCENTILE.EXC(E$5:$E402,0.2)),0))</f>
        <v/>
      </c>
    </row>
    <row r="403" spans="2:6" x14ac:dyDescent="0.25">
      <c r="B403" s="18">
        <v>399</v>
      </c>
      <c r="C403" s="21" t="str">
        <f ca="1">IFERROR(IF(LEFT(C402,2)="13",DATE(RIGHT(C402,4),12,31),IF(EOMONTH(C402,1)&gt;PREMISSAS!$C$3,"",IF(MONTH(C402)=11,"13º "&amp;YEAR(C402),EOMONTH(C402,1)))),"")</f>
        <v/>
      </c>
      <c r="D403" s="22">
        <f ca="1">VLOOKUP(C403,'Histórico de Remunerações'!$D$7:$E$656,2,FALSE)</f>
        <v>0</v>
      </c>
      <c r="E403" s="4" t="str">
        <f ca="1">IF(D403=0,"",IF(IF(ISTEXT(C403),DATE(RIGHT(C403,4),12,31),C403)&lt;PREMISSAS!$D$7,0,IFERROR(VLOOKUP(IF(LEFT(C403,2)="13",DATE(RIGHT(C403,4),12,31),C403),IPCA!$A$3:$D$284,4,FALSE),1)*D403))</f>
        <v/>
      </c>
      <c r="F403" s="4" t="str">
        <f ca="1">IF(C403="","",IFERROR(AVERAGEIF(E$5:$E403,"&gt;"&amp;_xlfn.PERCENTILE.EXC(E$5:$E403,0.2)),0))</f>
        <v/>
      </c>
    </row>
    <row r="404" spans="2:6" x14ac:dyDescent="0.25">
      <c r="B404" s="18">
        <v>400</v>
      </c>
      <c r="C404" s="21" t="str">
        <f ca="1">IFERROR(IF(LEFT(C403,2)="13",DATE(RIGHT(C403,4),12,31),IF(EOMONTH(C403,1)&gt;PREMISSAS!$C$3,"",IF(MONTH(C403)=11,"13º "&amp;YEAR(C403),EOMONTH(C403,1)))),"")</f>
        <v/>
      </c>
      <c r="D404" s="22">
        <f ca="1">VLOOKUP(C404,'Histórico de Remunerações'!$D$7:$E$656,2,FALSE)</f>
        <v>0</v>
      </c>
      <c r="E404" s="4" t="str">
        <f ca="1">IF(D404=0,"",IF(IF(ISTEXT(C404),DATE(RIGHT(C404,4),12,31),C404)&lt;PREMISSAS!$D$7,0,IFERROR(VLOOKUP(IF(LEFT(C404,2)="13",DATE(RIGHT(C404,4),12,31),C404),IPCA!$A$3:$D$284,4,FALSE),1)*D404))</f>
        <v/>
      </c>
      <c r="F404" s="4" t="str">
        <f ca="1">IF(C404="","",IFERROR(AVERAGEIF(E$5:$E404,"&gt;"&amp;_xlfn.PERCENTILE.EXC(E$5:$E404,0.2)),0))</f>
        <v/>
      </c>
    </row>
    <row r="405" spans="2:6" x14ac:dyDescent="0.25">
      <c r="B405" s="18">
        <v>401</v>
      </c>
      <c r="C405" s="21" t="str">
        <f ca="1">IFERROR(IF(LEFT(C404,2)="13",DATE(RIGHT(C404,4),12,31),IF(EOMONTH(C404,1)&gt;PREMISSAS!$C$3,"",IF(MONTH(C404)=11,"13º "&amp;YEAR(C404),EOMONTH(C404,1)))),"")</f>
        <v/>
      </c>
      <c r="D405" s="22">
        <f ca="1">VLOOKUP(C405,'Histórico de Remunerações'!$D$7:$E$656,2,FALSE)</f>
        <v>0</v>
      </c>
      <c r="E405" s="4" t="str">
        <f ca="1">IF(D405=0,"",IF(IF(ISTEXT(C405),DATE(RIGHT(C405,4),12,31),C405)&lt;PREMISSAS!$D$7,0,IFERROR(VLOOKUP(IF(LEFT(C405,2)="13",DATE(RIGHT(C405,4),12,31),C405),IPCA!$A$3:$D$284,4,FALSE),1)*D405))</f>
        <v/>
      </c>
      <c r="F405" s="4" t="str">
        <f ca="1">IF(C405="","",IFERROR(AVERAGEIF(E$5:$E405,"&gt;"&amp;_xlfn.PERCENTILE.EXC(E$5:$E405,0.2)),0))</f>
        <v/>
      </c>
    </row>
    <row r="406" spans="2:6" x14ac:dyDescent="0.25">
      <c r="B406" s="18">
        <v>402</v>
      </c>
      <c r="C406" s="21" t="str">
        <f ca="1">IFERROR(IF(LEFT(C405,2)="13",DATE(RIGHT(C405,4),12,31),IF(EOMONTH(C405,1)&gt;PREMISSAS!$C$3,"",IF(MONTH(C405)=11,"13º "&amp;YEAR(C405),EOMONTH(C405,1)))),"")</f>
        <v/>
      </c>
      <c r="D406" s="22">
        <f ca="1">VLOOKUP(C406,'Histórico de Remunerações'!$D$7:$E$656,2,FALSE)</f>
        <v>0</v>
      </c>
      <c r="E406" s="4" t="str">
        <f ca="1">IF(D406=0,"",IF(IF(ISTEXT(C406),DATE(RIGHT(C406,4),12,31),C406)&lt;PREMISSAS!$D$7,0,IFERROR(VLOOKUP(IF(LEFT(C406,2)="13",DATE(RIGHT(C406,4),12,31),C406),IPCA!$A$3:$D$284,4,FALSE),1)*D406))</f>
        <v/>
      </c>
      <c r="F406" s="4" t="str">
        <f ca="1">IF(C406="","",IFERROR(AVERAGEIF(E$5:$E406,"&gt;"&amp;_xlfn.PERCENTILE.EXC(E$5:$E406,0.2)),0))</f>
        <v/>
      </c>
    </row>
    <row r="407" spans="2:6" x14ac:dyDescent="0.25">
      <c r="B407" s="18">
        <v>403</v>
      </c>
      <c r="C407" s="21" t="str">
        <f ca="1">IFERROR(IF(LEFT(C406,2)="13",DATE(RIGHT(C406,4),12,31),IF(EOMONTH(C406,1)&gt;PREMISSAS!$C$3,"",IF(MONTH(C406)=11,"13º "&amp;YEAR(C406),EOMONTH(C406,1)))),"")</f>
        <v/>
      </c>
      <c r="D407" s="22">
        <f ca="1">VLOOKUP(C407,'Histórico de Remunerações'!$D$7:$E$656,2,FALSE)</f>
        <v>0</v>
      </c>
      <c r="E407" s="4" t="str">
        <f ca="1">IF(D407=0,"",IF(IF(ISTEXT(C407),DATE(RIGHT(C407,4),12,31),C407)&lt;PREMISSAS!$D$7,0,IFERROR(VLOOKUP(IF(LEFT(C407,2)="13",DATE(RIGHT(C407,4),12,31),C407),IPCA!$A$3:$D$284,4,FALSE),1)*D407))</f>
        <v/>
      </c>
      <c r="F407" s="4" t="str">
        <f ca="1">IF(C407="","",IFERROR(AVERAGEIF(E$5:$E407,"&gt;"&amp;_xlfn.PERCENTILE.EXC(E$5:$E407,0.2)),0))</f>
        <v/>
      </c>
    </row>
    <row r="408" spans="2:6" x14ac:dyDescent="0.25">
      <c r="B408" s="18">
        <v>404</v>
      </c>
      <c r="C408" s="21" t="str">
        <f ca="1">IFERROR(IF(LEFT(C407,2)="13",DATE(RIGHT(C407,4),12,31),IF(EOMONTH(C407,1)&gt;PREMISSAS!$C$3,"",IF(MONTH(C407)=11,"13º "&amp;YEAR(C407),EOMONTH(C407,1)))),"")</f>
        <v/>
      </c>
      <c r="D408" s="22">
        <f ca="1">VLOOKUP(C408,'Histórico de Remunerações'!$D$7:$E$656,2,FALSE)</f>
        <v>0</v>
      </c>
      <c r="E408" s="4" t="str">
        <f ca="1">IF(D408=0,"",IF(IF(ISTEXT(C408),DATE(RIGHT(C408,4),12,31),C408)&lt;PREMISSAS!$D$7,0,IFERROR(VLOOKUP(IF(LEFT(C408,2)="13",DATE(RIGHT(C408,4),12,31),C408),IPCA!$A$3:$D$284,4,FALSE),1)*D408))</f>
        <v/>
      </c>
      <c r="F408" s="4" t="str">
        <f ca="1">IF(C408="","",IFERROR(AVERAGEIF(E$5:$E408,"&gt;"&amp;_xlfn.PERCENTILE.EXC(E$5:$E408,0.2)),0))</f>
        <v/>
      </c>
    </row>
    <row r="409" spans="2:6" x14ac:dyDescent="0.25">
      <c r="B409" s="18">
        <v>405</v>
      </c>
      <c r="C409" s="21" t="str">
        <f ca="1">IFERROR(IF(LEFT(C408,2)="13",DATE(RIGHT(C408,4),12,31),IF(EOMONTH(C408,1)&gt;PREMISSAS!$C$3,"",IF(MONTH(C408)=11,"13º "&amp;YEAR(C408),EOMONTH(C408,1)))),"")</f>
        <v/>
      </c>
      <c r="D409" s="22">
        <f ca="1">VLOOKUP(C409,'Histórico de Remunerações'!$D$7:$E$656,2,FALSE)</f>
        <v>0</v>
      </c>
      <c r="E409" s="4" t="str">
        <f ca="1">IF(D409=0,"",IF(IF(ISTEXT(C409),DATE(RIGHT(C409,4),12,31),C409)&lt;PREMISSAS!$D$7,0,IFERROR(VLOOKUP(IF(LEFT(C409,2)="13",DATE(RIGHT(C409,4),12,31),C409),IPCA!$A$3:$D$284,4,FALSE),1)*D409))</f>
        <v/>
      </c>
      <c r="F409" s="4" t="str">
        <f ca="1">IF(C409="","",IFERROR(AVERAGEIF(E$5:$E409,"&gt;"&amp;_xlfn.PERCENTILE.EXC(E$5:$E409,0.2)),0))</f>
        <v/>
      </c>
    </row>
    <row r="410" spans="2:6" x14ac:dyDescent="0.25">
      <c r="B410" s="18">
        <v>406</v>
      </c>
      <c r="C410" s="21" t="str">
        <f ca="1">IFERROR(IF(LEFT(C409,2)="13",DATE(RIGHT(C409,4),12,31),IF(EOMONTH(C409,1)&gt;PREMISSAS!$C$3,"",IF(MONTH(C409)=11,"13º "&amp;YEAR(C409),EOMONTH(C409,1)))),"")</f>
        <v/>
      </c>
      <c r="D410" s="22">
        <f ca="1">VLOOKUP(C410,'Histórico de Remunerações'!$D$7:$E$656,2,FALSE)</f>
        <v>0</v>
      </c>
      <c r="E410" s="4" t="str">
        <f ca="1">IF(D410=0,"",IF(IF(ISTEXT(C410),DATE(RIGHT(C410,4),12,31),C410)&lt;PREMISSAS!$D$7,0,IFERROR(VLOOKUP(IF(LEFT(C410,2)="13",DATE(RIGHT(C410,4),12,31),C410),IPCA!$A$3:$D$284,4,FALSE),1)*D410))</f>
        <v/>
      </c>
      <c r="F410" s="4" t="str">
        <f ca="1">IF(C410="","",IFERROR(AVERAGEIF(E$5:$E410,"&gt;"&amp;_xlfn.PERCENTILE.EXC(E$5:$E410,0.2)),0))</f>
        <v/>
      </c>
    </row>
    <row r="411" spans="2:6" x14ac:dyDescent="0.25">
      <c r="B411" s="18">
        <v>407</v>
      </c>
      <c r="C411" s="21" t="str">
        <f ca="1">IFERROR(IF(LEFT(C410,2)="13",DATE(RIGHT(C410,4),12,31),IF(EOMONTH(C410,1)&gt;PREMISSAS!$C$3,"",IF(MONTH(C410)=11,"13º "&amp;YEAR(C410),EOMONTH(C410,1)))),"")</f>
        <v/>
      </c>
      <c r="D411" s="22">
        <f ca="1">VLOOKUP(C411,'Histórico de Remunerações'!$D$7:$E$656,2,FALSE)</f>
        <v>0</v>
      </c>
      <c r="E411" s="4" t="str">
        <f ca="1">IF(D411=0,"",IF(IF(ISTEXT(C411),DATE(RIGHT(C411,4),12,31),C411)&lt;PREMISSAS!$D$7,0,IFERROR(VLOOKUP(IF(LEFT(C411,2)="13",DATE(RIGHT(C411,4),12,31),C411),IPCA!$A$3:$D$284,4,FALSE),1)*D411))</f>
        <v/>
      </c>
      <c r="F411" s="4" t="str">
        <f ca="1">IF(C411="","",IFERROR(AVERAGEIF(E$5:$E411,"&gt;"&amp;_xlfn.PERCENTILE.EXC(E$5:$E411,0.2)),0))</f>
        <v/>
      </c>
    </row>
    <row r="412" spans="2:6" x14ac:dyDescent="0.25">
      <c r="B412" s="18">
        <v>408</v>
      </c>
      <c r="C412" s="21" t="str">
        <f ca="1">IFERROR(IF(LEFT(C411,2)="13",DATE(RIGHT(C411,4),12,31),IF(EOMONTH(C411,1)&gt;PREMISSAS!$C$3,"",IF(MONTH(C411)=11,"13º "&amp;YEAR(C411),EOMONTH(C411,1)))),"")</f>
        <v/>
      </c>
      <c r="D412" s="22">
        <f ca="1">VLOOKUP(C412,'Histórico de Remunerações'!$D$7:$E$656,2,FALSE)</f>
        <v>0</v>
      </c>
      <c r="E412" s="4" t="str">
        <f ca="1">IF(D412=0,"",IF(IF(ISTEXT(C412),DATE(RIGHT(C412,4),12,31),C412)&lt;PREMISSAS!$D$7,0,IFERROR(VLOOKUP(IF(LEFT(C412,2)="13",DATE(RIGHT(C412,4),12,31),C412),IPCA!$A$3:$D$284,4,FALSE),1)*D412))</f>
        <v/>
      </c>
      <c r="F412" s="4" t="str">
        <f ca="1">IF(C412="","",IFERROR(AVERAGEIF(E$5:$E412,"&gt;"&amp;_xlfn.PERCENTILE.EXC(E$5:$E412,0.2)),0))</f>
        <v/>
      </c>
    </row>
    <row r="413" spans="2:6" x14ac:dyDescent="0.25">
      <c r="B413" s="18">
        <v>409</v>
      </c>
      <c r="C413" s="21" t="str">
        <f ca="1">IFERROR(IF(LEFT(C412,2)="13",DATE(RIGHT(C412,4),12,31),IF(EOMONTH(C412,1)&gt;PREMISSAS!$C$3,"",IF(MONTH(C412)=11,"13º "&amp;YEAR(C412),EOMONTH(C412,1)))),"")</f>
        <v/>
      </c>
      <c r="D413" s="22">
        <f ca="1">VLOOKUP(C413,'Histórico de Remunerações'!$D$7:$E$656,2,FALSE)</f>
        <v>0</v>
      </c>
      <c r="E413" s="4" t="str">
        <f ca="1">IF(D413=0,"",IF(IF(ISTEXT(C413),DATE(RIGHT(C413,4),12,31),C413)&lt;PREMISSAS!$D$7,0,IFERROR(VLOOKUP(IF(LEFT(C413,2)="13",DATE(RIGHT(C413,4),12,31),C413),IPCA!$A$3:$D$284,4,FALSE),1)*D413))</f>
        <v/>
      </c>
      <c r="F413" s="4" t="str">
        <f ca="1">IF(C413="","",IFERROR(AVERAGEIF(E$5:$E413,"&gt;"&amp;_xlfn.PERCENTILE.EXC(E$5:$E413,0.2)),0))</f>
        <v/>
      </c>
    </row>
    <row r="414" spans="2:6" x14ac:dyDescent="0.25">
      <c r="B414" s="18">
        <v>410</v>
      </c>
      <c r="C414" s="21" t="str">
        <f ca="1">IFERROR(IF(LEFT(C413,2)="13",DATE(RIGHT(C413,4),12,31),IF(EOMONTH(C413,1)&gt;PREMISSAS!$C$3,"",IF(MONTH(C413)=11,"13º "&amp;YEAR(C413),EOMONTH(C413,1)))),"")</f>
        <v/>
      </c>
      <c r="D414" s="22">
        <f ca="1">VLOOKUP(C414,'Histórico de Remunerações'!$D$7:$E$656,2,FALSE)</f>
        <v>0</v>
      </c>
      <c r="E414" s="4" t="str">
        <f ca="1">IF(D414=0,"",IF(IF(ISTEXT(C414),DATE(RIGHT(C414,4),12,31),C414)&lt;PREMISSAS!$D$7,0,IFERROR(VLOOKUP(IF(LEFT(C414,2)="13",DATE(RIGHT(C414,4),12,31),C414),IPCA!$A$3:$D$284,4,FALSE),1)*D414))</f>
        <v/>
      </c>
      <c r="F414" s="4" t="str">
        <f ca="1">IF(C414="","",IFERROR(AVERAGEIF(E$5:$E414,"&gt;"&amp;_xlfn.PERCENTILE.EXC(E$5:$E414,0.2)),0))</f>
        <v/>
      </c>
    </row>
    <row r="415" spans="2:6" x14ac:dyDescent="0.25">
      <c r="B415" s="18">
        <v>411</v>
      </c>
      <c r="C415" s="21" t="str">
        <f ca="1">IFERROR(IF(LEFT(C414,2)="13",DATE(RIGHT(C414,4),12,31),IF(EOMONTH(C414,1)&gt;PREMISSAS!$C$3,"",IF(MONTH(C414)=11,"13º "&amp;YEAR(C414),EOMONTH(C414,1)))),"")</f>
        <v/>
      </c>
      <c r="D415" s="22">
        <f ca="1">VLOOKUP(C415,'Histórico de Remunerações'!$D$7:$E$656,2,FALSE)</f>
        <v>0</v>
      </c>
      <c r="E415" s="4" t="str">
        <f ca="1">IF(D415=0,"",IF(IF(ISTEXT(C415),DATE(RIGHT(C415,4),12,31),C415)&lt;PREMISSAS!$D$7,0,IFERROR(VLOOKUP(IF(LEFT(C415,2)="13",DATE(RIGHT(C415,4),12,31),C415),IPCA!$A$3:$D$284,4,FALSE),1)*D415))</f>
        <v/>
      </c>
      <c r="F415" s="4" t="str">
        <f ca="1">IF(C415="","",IFERROR(AVERAGEIF(E$5:$E415,"&gt;"&amp;_xlfn.PERCENTILE.EXC(E$5:$E415,0.2)),0))</f>
        <v/>
      </c>
    </row>
    <row r="416" spans="2:6" x14ac:dyDescent="0.25">
      <c r="B416" s="18">
        <v>412</v>
      </c>
      <c r="C416" s="21" t="str">
        <f ca="1">IFERROR(IF(LEFT(C415,2)="13",DATE(RIGHT(C415,4),12,31),IF(EOMONTH(C415,1)&gt;PREMISSAS!$C$3,"",IF(MONTH(C415)=11,"13º "&amp;YEAR(C415),EOMONTH(C415,1)))),"")</f>
        <v/>
      </c>
      <c r="D416" s="22">
        <f ca="1">VLOOKUP(C416,'Histórico de Remunerações'!$D$7:$E$656,2,FALSE)</f>
        <v>0</v>
      </c>
      <c r="E416" s="4" t="str">
        <f ca="1">IF(D416=0,"",IF(IF(ISTEXT(C416),DATE(RIGHT(C416,4),12,31),C416)&lt;PREMISSAS!$D$7,0,IFERROR(VLOOKUP(IF(LEFT(C416,2)="13",DATE(RIGHT(C416,4),12,31),C416),IPCA!$A$3:$D$284,4,FALSE),1)*D416))</f>
        <v/>
      </c>
      <c r="F416" s="4" t="str">
        <f ca="1">IF(C416="","",IFERROR(AVERAGEIF(E$5:$E416,"&gt;"&amp;_xlfn.PERCENTILE.EXC(E$5:$E416,0.2)),0))</f>
        <v/>
      </c>
    </row>
    <row r="417" spans="2:6" x14ac:dyDescent="0.25">
      <c r="B417" s="18">
        <v>413</v>
      </c>
      <c r="C417" s="21" t="str">
        <f ca="1">IFERROR(IF(LEFT(C416,2)="13",DATE(RIGHT(C416,4),12,31),IF(EOMONTH(C416,1)&gt;PREMISSAS!$C$3,"",IF(MONTH(C416)=11,"13º "&amp;YEAR(C416),EOMONTH(C416,1)))),"")</f>
        <v/>
      </c>
      <c r="D417" s="22">
        <f ca="1">VLOOKUP(C417,'Histórico de Remunerações'!$D$7:$E$656,2,FALSE)</f>
        <v>0</v>
      </c>
      <c r="E417" s="4" t="str">
        <f ca="1">IF(D417=0,"",IF(IF(ISTEXT(C417),DATE(RIGHT(C417,4),12,31),C417)&lt;PREMISSAS!$D$7,0,IFERROR(VLOOKUP(IF(LEFT(C417,2)="13",DATE(RIGHT(C417,4),12,31),C417),IPCA!$A$3:$D$284,4,FALSE),1)*D417))</f>
        <v/>
      </c>
      <c r="F417" s="4" t="str">
        <f ca="1">IF(C417="","",IFERROR(AVERAGEIF(E$5:$E417,"&gt;"&amp;_xlfn.PERCENTILE.EXC(E$5:$E417,0.2)),0))</f>
        <v/>
      </c>
    </row>
    <row r="418" spans="2:6" x14ac:dyDescent="0.25">
      <c r="B418" s="18">
        <v>414</v>
      </c>
      <c r="C418" s="21" t="str">
        <f ca="1">IFERROR(IF(LEFT(C417,2)="13",DATE(RIGHT(C417,4),12,31),IF(EOMONTH(C417,1)&gt;PREMISSAS!$C$3,"",IF(MONTH(C417)=11,"13º "&amp;YEAR(C417),EOMONTH(C417,1)))),"")</f>
        <v/>
      </c>
      <c r="D418" s="22">
        <f ca="1">VLOOKUP(C418,'Histórico de Remunerações'!$D$7:$E$656,2,FALSE)</f>
        <v>0</v>
      </c>
      <c r="E418" s="4" t="str">
        <f ca="1">IF(D418=0,"",IF(IF(ISTEXT(C418),DATE(RIGHT(C418,4),12,31),C418)&lt;PREMISSAS!$D$7,0,IFERROR(VLOOKUP(IF(LEFT(C418,2)="13",DATE(RIGHT(C418,4),12,31),C418),IPCA!$A$3:$D$284,4,FALSE),1)*D418))</f>
        <v/>
      </c>
      <c r="F418" s="4" t="str">
        <f ca="1">IF(C418="","",IFERROR(AVERAGEIF(E$5:$E418,"&gt;"&amp;_xlfn.PERCENTILE.EXC(E$5:$E418,0.2)),0))</f>
        <v/>
      </c>
    </row>
    <row r="419" spans="2:6" x14ac:dyDescent="0.25">
      <c r="B419" s="18">
        <v>415</v>
      </c>
      <c r="C419" s="21" t="str">
        <f ca="1">IFERROR(IF(LEFT(C418,2)="13",DATE(RIGHT(C418,4),12,31),IF(EOMONTH(C418,1)&gt;PREMISSAS!$C$3,"",IF(MONTH(C418)=11,"13º "&amp;YEAR(C418),EOMONTH(C418,1)))),"")</f>
        <v/>
      </c>
      <c r="D419" s="22">
        <f ca="1">VLOOKUP(C419,'Histórico de Remunerações'!$D$7:$E$656,2,FALSE)</f>
        <v>0</v>
      </c>
      <c r="E419" s="4" t="str">
        <f ca="1">IF(D419=0,"",IF(IF(ISTEXT(C419),DATE(RIGHT(C419,4),12,31),C419)&lt;PREMISSAS!$D$7,0,IFERROR(VLOOKUP(IF(LEFT(C419,2)="13",DATE(RIGHT(C419,4),12,31),C419),IPCA!$A$3:$D$284,4,FALSE),1)*D419))</f>
        <v/>
      </c>
      <c r="F419" s="4" t="str">
        <f ca="1">IF(C419="","",IFERROR(AVERAGEIF(E$5:$E419,"&gt;"&amp;_xlfn.PERCENTILE.EXC(E$5:$E419,0.2)),0))</f>
        <v/>
      </c>
    </row>
    <row r="420" spans="2:6" x14ac:dyDescent="0.25">
      <c r="B420" s="18">
        <v>416</v>
      </c>
      <c r="C420" s="21" t="str">
        <f ca="1">IFERROR(IF(LEFT(C419,2)="13",DATE(RIGHT(C419,4),12,31),IF(EOMONTH(C419,1)&gt;PREMISSAS!$C$3,"",IF(MONTH(C419)=11,"13º "&amp;YEAR(C419),EOMONTH(C419,1)))),"")</f>
        <v/>
      </c>
      <c r="D420" s="22">
        <f ca="1">VLOOKUP(C420,'Histórico de Remunerações'!$D$7:$E$656,2,FALSE)</f>
        <v>0</v>
      </c>
      <c r="E420" s="4" t="str">
        <f ca="1">IF(D420=0,"",IF(IF(ISTEXT(C420),DATE(RIGHT(C420,4),12,31),C420)&lt;PREMISSAS!$D$7,0,IFERROR(VLOOKUP(IF(LEFT(C420,2)="13",DATE(RIGHT(C420,4),12,31),C420),IPCA!$A$3:$D$284,4,FALSE),1)*D420))</f>
        <v/>
      </c>
      <c r="F420" s="4" t="str">
        <f ca="1">IF(C420="","",IFERROR(AVERAGEIF(E$5:$E420,"&gt;"&amp;_xlfn.PERCENTILE.EXC(E$5:$E420,0.2)),0))</f>
        <v/>
      </c>
    </row>
    <row r="421" spans="2:6" x14ac:dyDescent="0.25">
      <c r="B421" s="18">
        <v>417</v>
      </c>
      <c r="C421" s="21" t="str">
        <f ca="1">IFERROR(IF(LEFT(C420,2)="13",DATE(RIGHT(C420,4),12,31),IF(EOMONTH(C420,1)&gt;PREMISSAS!$C$3,"",IF(MONTH(C420)=11,"13º "&amp;YEAR(C420),EOMONTH(C420,1)))),"")</f>
        <v/>
      </c>
      <c r="D421" s="22">
        <f ca="1">VLOOKUP(C421,'Histórico de Remunerações'!$D$7:$E$656,2,FALSE)</f>
        <v>0</v>
      </c>
      <c r="E421" s="4" t="str">
        <f ca="1">IF(D421=0,"",IF(IF(ISTEXT(C421),DATE(RIGHT(C421,4),12,31),C421)&lt;PREMISSAS!$D$7,0,IFERROR(VLOOKUP(IF(LEFT(C421,2)="13",DATE(RIGHT(C421,4),12,31),C421),IPCA!$A$3:$D$284,4,FALSE),1)*D421))</f>
        <v/>
      </c>
      <c r="F421" s="4" t="str">
        <f ca="1">IF(C421="","",IFERROR(AVERAGEIF(E$5:$E421,"&gt;"&amp;_xlfn.PERCENTILE.EXC(E$5:$E421,0.2)),0))</f>
        <v/>
      </c>
    </row>
    <row r="422" spans="2:6" x14ac:dyDescent="0.25">
      <c r="B422" s="18">
        <v>418</v>
      </c>
      <c r="C422" s="21" t="str">
        <f ca="1">IFERROR(IF(LEFT(C421,2)="13",DATE(RIGHT(C421,4),12,31),IF(EOMONTH(C421,1)&gt;PREMISSAS!$C$3,"",IF(MONTH(C421)=11,"13º "&amp;YEAR(C421),EOMONTH(C421,1)))),"")</f>
        <v/>
      </c>
      <c r="D422" s="22">
        <f ca="1">VLOOKUP(C422,'Histórico de Remunerações'!$D$7:$E$656,2,FALSE)</f>
        <v>0</v>
      </c>
      <c r="E422" s="4" t="str">
        <f ca="1">IF(D422=0,"",IF(IF(ISTEXT(C422),DATE(RIGHT(C422,4),12,31),C422)&lt;PREMISSAS!$D$7,0,IFERROR(VLOOKUP(IF(LEFT(C422,2)="13",DATE(RIGHT(C422,4),12,31),C422),IPCA!$A$3:$D$284,4,FALSE),1)*D422))</f>
        <v/>
      </c>
      <c r="F422" s="4" t="str">
        <f ca="1">IF(C422="","",IFERROR(AVERAGEIF(E$5:$E422,"&gt;"&amp;_xlfn.PERCENTILE.EXC(E$5:$E422,0.2)),0))</f>
        <v/>
      </c>
    </row>
    <row r="423" spans="2:6" x14ac:dyDescent="0.25">
      <c r="B423" s="18">
        <v>419</v>
      </c>
      <c r="C423" s="21" t="str">
        <f ca="1">IFERROR(IF(LEFT(C422,2)="13",DATE(RIGHT(C422,4),12,31),IF(EOMONTH(C422,1)&gt;PREMISSAS!$C$3,"",IF(MONTH(C422)=11,"13º "&amp;YEAR(C422),EOMONTH(C422,1)))),"")</f>
        <v/>
      </c>
      <c r="D423" s="22">
        <f ca="1">VLOOKUP(C423,'Histórico de Remunerações'!$D$7:$E$656,2,FALSE)</f>
        <v>0</v>
      </c>
      <c r="E423" s="4" t="str">
        <f ca="1">IF(D423=0,"",IF(IF(ISTEXT(C423),DATE(RIGHT(C423,4),12,31),C423)&lt;PREMISSAS!$D$7,0,IFERROR(VLOOKUP(IF(LEFT(C423,2)="13",DATE(RIGHT(C423,4),12,31),C423),IPCA!$A$3:$D$284,4,FALSE),1)*D423))</f>
        <v/>
      </c>
      <c r="F423" s="4" t="str">
        <f ca="1">IF(C423="","",IFERROR(AVERAGEIF(E$5:$E423,"&gt;"&amp;_xlfn.PERCENTILE.EXC(E$5:$E423,0.2)),0))</f>
        <v/>
      </c>
    </row>
    <row r="424" spans="2:6" x14ac:dyDescent="0.25">
      <c r="B424" s="18">
        <v>420</v>
      </c>
      <c r="C424" s="21" t="str">
        <f ca="1">IFERROR(IF(LEFT(C423,2)="13",DATE(RIGHT(C423,4),12,31),IF(EOMONTH(C423,1)&gt;PREMISSAS!$C$3,"",IF(MONTH(C423)=11,"13º "&amp;YEAR(C423),EOMONTH(C423,1)))),"")</f>
        <v/>
      </c>
      <c r="D424" s="22">
        <f ca="1">VLOOKUP(C424,'Histórico de Remunerações'!$D$7:$E$656,2,FALSE)</f>
        <v>0</v>
      </c>
      <c r="E424" s="4" t="str">
        <f ca="1">IF(D424=0,"",IF(IF(ISTEXT(C424),DATE(RIGHT(C424,4),12,31),C424)&lt;PREMISSAS!$D$7,0,IFERROR(VLOOKUP(IF(LEFT(C424,2)="13",DATE(RIGHT(C424,4),12,31),C424),IPCA!$A$3:$D$284,4,FALSE),1)*D424))</f>
        <v/>
      </c>
      <c r="F424" s="4" t="str">
        <f ca="1">IF(C424="","",IFERROR(AVERAGEIF(E$5:$E424,"&gt;"&amp;_xlfn.PERCENTILE.EXC(E$5:$E424,0.2)),0))</f>
        <v/>
      </c>
    </row>
    <row r="425" spans="2:6" x14ac:dyDescent="0.25">
      <c r="B425" s="18">
        <v>421</v>
      </c>
      <c r="C425" s="21" t="str">
        <f ca="1">IFERROR(IF(LEFT(C424,2)="13",DATE(RIGHT(C424,4),12,31),IF(EOMONTH(C424,1)&gt;PREMISSAS!$C$3,"",IF(MONTH(C424)=11,"13º "&amp;YEAR(C424),EOMONTH(C424,1)))),"")</f>
        <v/>
      </c>
      <c r="D425" s="22">
        <f ca="1">VLOOKUP(C425,'Histórico de Remunerações'!$D$7:$E$656,2,FALSE)</f>
        <v>0</v>
      </c>
      <c r="E425" s="4" t="str">
        <f ca="1">IF(D425=0,"",IF(IF(ISTEXT(C425),DATE(RIGHT(C425,4),12,31),C425)&lt;PREMISSAS!$D$7,0,IFERROR(VLOOKUP(IF(LEFT(C425,2)="13",DATE(RIGHT(C425,4),12,31),C425),IPCA!$A$3:$D$284,4,FALSE),1)*D425))</f>
        <v/>
      </c>
      <c r="F425" s="4" t="str">
        <f ca="1">IF(C425="","",IFERROR(AVERAGEIF(E$5:$E425,"&gt;"&amp;_xlfn.PERCENTILE.EXC(E$5:$E425,0.2)),0))</f>
        <v/>
      </c>
    </row>
    <row r="426" spans="2:6" x14ac:dyDescent="0.25">
      <c r="B426" s="18">
        <v>422</v>
      </c>
      <c r="C426" s="21" t="str">
        <f ca="1">IFERROR(IF(LEFT(C425,2)="13",DATE(RIGHT(C425,4),12,31),IF(EOMONTH(C425,1)&gt;PREMISSAS!$C$3,"",IF(MONTH(C425)=11,"13º "&amp;YEAR(C425),EOMONTH(C425,1)))),"")</f>
        <v/>
      </c>
      <c r="D426" s="22">
        <f ca="1">VLOOKUP(C426,'Histórico de Remunerações'!$D$7:$E$656,2,FALSE)</f>
        <v>0</v>
      </c>
      <c r="E426" s="4" t="str">
        <f ca="1">IF(D426=0,"",IF(IF(ISTEXT(C426),DATE(RIGHT(C426,4),12,31),C426)&lt;PREMISSAS!$D$7,0,IFERROR(VLOOKUP(IF(LEFT(C426,2)="13",DATE(RIGHT(C426,4),12,31),C426),IPCA!$A$3:$D$284,4,FALSE),1)*D426))</f>
        <v/>
      </c>
      <c r="F426" s="4" t="str">
        <f ca="1">IF(C426="","",IFERROR(AVERAGEIF(E$5:$E426,"&gt;"&amp;_xlfn.PERCENTILE.EXC(E$5:$E426,0.2)),0))</f>
        <v/>
      </c>
    </row>
    <row r="427" spans="2:6" x14ac:dyDescent="0.25">
      <c r="B427" s="18">
        <v>423</v>
      </c>
      <c r="C427" s="21" t="str">
        <f ca="1">IFERROR(IF(LEFT(C426,2)="13",DATE(RIGHT(C426,4),12,31),IF(EOMONTH(C426,1)&gt;PREMISSAS!$C$3,"",IF(MONTH(C426)=11,"13º "&amp;YEAR(C426),EOMONTH(C426,1)))),"")</f>
        <v/>
      </c>
      <c r="D427" s="22">
        <f ca="1">VLOOKUP(C427,'Histórico de Remunerações'!$D$7:$E$656,2,FALSE)</f>
        <v>0</v>
      </c>
      <c r="E427" s="4" t="str">
        <f ca="1">IF(D427=0,"",IF(IF(ISTEXT(C427),DATE(RIGHT(C427,4),12,31),C427)&lt;PREMISSAS!$D$7,0,IFERROR(VLOOKUP(IF(LEFT(C427,2)="13",DATE(RIGHT(C427,4),12,31),C427),IPCA!$A$3:$D$284,4,FALSE),1)*D427))</f>
        <v/>
      </c>
      <c r="F427" s="4" t="str">
        <f ca="1">IF(C427="","",IFERROR(AVERAGEIF(E$5:$E427,"&gt;"&amp;_xlfn.PERCENTILE.EXC(E$5:$E427,0.2)),0))</f>
        <v/>
      </c>
    </row>
    <row r="428" spans="2:6" x14ac:dyDescent="0.25">
      <c r="B428" s="18">
        <v>424</v>
      </c>
      <c r="C428" s="21" t="str">
        <f ca="1">IFERROR(IF(LEFT(C427,2)="13",DATE(RIGHT(C427,4),12,31),IF(EOMONTH(C427,1)&gt;PREMISSAS!$C$3,"",IF(MONTH(C427)=11,"13º "&amp;YEAR(C427),EOMONTH(C427,1)))),"")</f>
        <v/>
      </c>
      <c r="D428" s="22">
        <f ca="1">VLOOKUP(C428,'Histórico de Remunerações'!$D$7:$E$656,2,FALSE)</f>
        <v>0</v>
      </c>
      <c r="E428" s="4" t="str">
        <f ca="1">IF(D428=0,"",IF(IF(ISTEXT(C428),DATE(RIGHT(C428,4),12,31),C428)&lt;PREMISSAS!$D$7,0,IFERROR(VLOOKUP(IF(LEFT(C428,2)="13",DATE(RIGHT(C428,4),12,31),C428),IPCA!$A$3:$D$284,4,FALSE),1)*D428))</f>
        <v/>
      </c>
      <c r="F428" s="4" t="str">
        <f ca="1">IF(C428="","",IFERROR(AVERAGEIF(E$5:$E428,"&gt;"&amp;_xlfn.PERCENTILE.EXC(E$5:$E428,0.2)),0))</f>
        <v/>
      </c>
    </row>
    <row r="429" spans="2:6" x14ac:dyDescent="0.25">
      <c r="B429" s="18">
        <v>425</v>
      </c>
      <c r="C429" s="21" t="str">
        <f ca="1">IFERROR(IF(LEFT(C428,2)="13",DATE(RIGHT(C428,4),12,31),IF(EOMONTH(C428,1)&gt;PREMISSAS!$C$3,"",IF(MONTH(C428)=11,"13º "&amp;YEAR(C428),EOMONTH(C428,1)))),"")</f>
        <v/>
      </c>
      <c r="D429" s="22">
        <f ca="1">VLOOKUP(C429,'Histórico de Remunerações'!$D$7:$E$656,2,FALSE)</f>
        <v>0</v>
      </c>
      <c r="E429" s="4" t="str">
        <f ca="1">IF(D429=0,"",IF(IF(ISTEXT(C429),DATE(RIGHT(C429,4),12,31),C429)&lt;PREMISSAS!$D$7,0,IFERROR(VLOOKUP(IF(LEFT(C429,2)="13",DATE(RIGHT(C429,4),12,31),C429),IPCA!$A$3:$D$284,4,FALSE),1)*D429))</f>
        <v/>
      </c>
      <c r="F429" s="4" t="str">
        <f ca="1">IF(C429="","",IFERROR(AVERAGEIF(E$5:$E429,"&gt;"&amp;_xlfn.PERCENTILE.EXC(E$5:$E429,0.2)),0))</f>
        <v/>
      </c>
    </row>
    <row r="430" spans="2:6" x14ac:dyDescent="0.25">
      <c r="B430" s="18">
        <v>426</v>
      </c>
      <c r="C430" s="21" t="str">
        <f ca="1">IFERROR(IF(LEFT(C429,2)="13",DATE(RIGHT(C429,4),12,31),IF(EOMONTH(C429,1)&gt;PREMISSAS!$C$3,"",IF(MONTH(C429)=11,"13º "&amp;YEAR(C429),EOMONTH(C429,1)))),"")</f>
        <v/>
      </c>
      <c r="D430" s="22">
        <f ca="1">VLOOKUP(C430,'Histórico de Remunerações'!$D$7:$E$656,2,FALSE)</f>
        <v>0</v>
      </c>
      <c r="E430" s="4" t="str">
        <f ca="1">IF(D430=0,"",IF(IF(ISTEXT(C430),DATE(RIGHT(C430,4),12,31),C430)&lt;PREMISSAS!$D$7,0,IFERROR(VLOOKUP(IF(LEFT(C430,2)="13",DATE(RIGHT(C430,4),12,31),C430),IPCA!$A$3:$D$284,4,FALSE),1)*D430))</f>
        <v/>
      </c>
      <c r="F430" s="4" t="str">
        <f ca="1">IF(C430="","",IFERROR(AVERAGEIF(E$5:$E430,"&gt;"&amp;_xlfn.PERCENTILE.EXC(E$5:$E430,0.2)),0))</f>
        <v/>
      </c>
    </row>
    <row r="431" spans="2:6" x14ac:dyDescent="0.25">
      <c r="B431" s="18">
        <v>427</v>
      </c>
      <c r="C431" s="21" t="str">
        <f ca="1">IFERROR(IF(LEFT(C430,2)="13",DATE(RIGHT(C430,4),12,31),IF(EOMONTH(C430,1)&gt;PREMISSAS!$C$3,"",IF(MONTH(C430)=11,"13º "&amp;YEAR(C430),EOMONTH(C430,1)))),"")</f>
        <v/>
      </c>
      <c r="D431" s="22">
        <f ca="1">VLOOKUP(C431,'Histórico de Remunerações'!$D$7:$E$656,2,FALSE)</f>
        <v>0</v>
      </c>
      <c r="E431" s="4" t="str">
        <f ca="1">IF(D431=0,"",IF(IF(ISTEXT(C431),DATE(RIGHT(C431,4),12,31),C431)&lt;PREMISSAS!$D$7,0,IFERROR(VLOOKUP(IF(LEFT(C431,2)="13",DATE(RIGHT(C431,4),12,31),C431),IPCA!$A$3:$D$284,4,FALSE),1)*D431))</f>
        <v/>
      </c>
      <c r="F431" s="4" t="str">
        <f ca="1">IF(C431="","",IFERROR(AVERAGEIF(E$5:$E431,"&gt;"&amp;_xlfn.PERCENTILE.EXC(E$5:$E431,0.2)),0))</f>
        <v/>
      </c>
    </row>
    <row r="432" spans="2:6" x14ac:dyDescent="0.25">
      <c r="B432" s="18">
        <v>428</v>
      </c>
      <c r="C432" s="21" t="str">
        <f ca="1">IFERROR(IF(LEFT(C431,2)="13",DATE(RIGHT(C431,4),12,31),IF(EOMONTH(C431,1)&gt;PREMISSAS!$C$3,"",IF(MONTH(C431)=11,"13º "&amp;YEAR(C431),EOMONTH(C431,1)))),"")</f>
        <v/>
      </c>
      <c r="D432" s="22">
        <f ca="1">VLOOKUP(C432,'Histórico de Remunerações'!$D$7:$E$656,2,FALSE)</f>
        <v>0</v>
      </c>
      <c r="E432" s="4" t="str">
        <f ca="1">IF(D432=0,"",IF(IF(ISTEXT(C432),DATE(RIGHT(C432,4),12,31),C432)&lt;PREMISSAS!$D$7,0,IFERROR(VLOOKUP(IF(LEFT(C432,2)="13",DATE(RIGHT(C432,4),12,31),C432),IPCA!$A$3:$D$284,4,FALSE),1)*D432))</f>
        <v/>
      </c>
      <c r="F432" s="4" t="str">
        <f ca="1">IF(C432="","",IFERROR(AVERAGEIF(E$5:$E432,"&gt;"&amp;_xlfn.PERCENTILE.EXC(E$5:$E432,0.2)),0))</f>
        <v/>
      </c>
    </row>
    <row r="433" spans="2:6" x14ac:dyDescent="0.25">
      <c r="B433" s="18">
        <v>429</v>
      </c>
      <c r="C433" s="21" t="str">
        <f ca="1">IFERROR(IF(LEFT(C432,2)="13",DATE(RIGHT(C432,4),12,31),IF(EOMONTH(C432,1)&gt;PREMISSAS!$C$3,"",IF(MONTH(C432)=11,"13º "&amp;YEAR(C432),EOMONTH(C432,1)))),"")</f>
        <v/>
      </c>
      <c r="D433" s="22">
        <f ca="1">VLOOKUP(C433,'Histórico de Remunerações'!$D$7:$E$656,2,FALSE)</f>
        <v>0</v>
      </c>
      <c r="E433" s="4" t="str">
        <f ca="1">IF(D433=0,"",IF(IF(ISTEXT(C433),DATE(RIGHT(C433,4),12,31),C433)&lt;PREMISSAS!$D$7,0,IFERROR(VLOOKUP(IF(LEFT(C433,2)="13",DATE(RIGHT(C433,4),12,31),C433),IPCA!$A$3:$D$284,4,FALSE),1)*D433))</f>
        <v/>
      </c>
      <c r="F433" s="4" t="str">
        <f ca="1">IF(C433="","",IFERROR(AVERAGEIF(E$5:$E433,"&gt;"&amp;_xlfn.PERCENTILE.EXC(E$5:$E433,0.2)),0))</f>
        <v/>
      </c>
    </row>
    <row r="434" spans="2:6" x14ac:dyDescent="0.25">
      <c r="B434" s="18">
        <v>430</v>
      </c>
      <c r="C434" s="21" t="str">
        <f ca="1">IFERROR(IF(LEFT(C433,2)="13",DATE(RIGHT(C433,4),12,31),IF(EOMONTH(C433,1)&gt;PREMISSAS!$C$3,"",IF(MONTH(C433)=11,"13º "&amp;YEAR(C433),EOMONTH(C433,1)))),"")</f>
        <v/>
      </c>
      <c r="D434" s="22">
        <f ca="1">VLOOKUP(C434,'Histórico de Remunerações'!$D$7:$E$656,2,FALSE)</f>
        <v>0</v>
      </c>
      <c r="E434" s="4" t="str">
        <f ca="1">IF(D434=0,"",IF(IF(ISTEXT(C434),DATE(RIGHT(C434,4),12,31),C434)&lt;PREMISSAS!$D$7,0,IFERROR(VLOOKUP(IF(LEFT(C434,2)="13",DATE(RIGHT(C434,4),12,31),C434),IPCA!$A$3:$D$284,4,FALSE),1)*D434))</f>
        <v/>
      </c>
      <c r="F434" s="4" t="str">
        <f ca="1">IF(C434="","",IFERROR(AVERAGEIF(E$5:$E434,"&gt;"&amp;_xlfn.PERCENTILE.EXC(E$5:$E434,0.2)),0))</f>
        <v/>
      </c>
    </row>
    <row r="435" spans="2:6" x14ac:dyDescent="0.25">
      <c r="B435" s="18">
        <v>431</v>
      </c>
      <c r="C435" s="21" t="str">
        <f ca="1">IFERROR(IF(LEFT(C434,2)="13",DATE(RIGHT(C434,4),12,31),IF(EOMONTH(C434,1)&gt;PREMISSAS!$C$3,"",IF(MONTH(C434)=11,"13º "&amp;YEAR(C434),EOMONTH(C434,1)))),"")</f>
        <v/>
      </c>
      <c r="D435" s="22">
        <f ca="1">VLOOKUP(C435,'Histórico de Remunerações'!$D$7:$E$656,2,FALSE)</f>
        <v>0</v>
      </c>
      <c r="E435" s="4" t="str">
        <f ca="1">IF(D435=0,"",IF(IF(ISTEXT(C435),DATE(RIGHT(C435,4),12,31),C435)&lt;PREMISSAS!$D$7,0,IFERROR(VLOOKUP(IF(LEFT(C435,2)="13",DATE(RIGHT(C435,4),12,31),C435),IPCA!$A$3:$D$284,4,FALSE),1)*D435))</f>
        <v/>
      </c>
      <c r="F435" s="4" t="str">
        <f ca="1">IF(C435="","",IFERROR(AVERAGEIF(E$5:$E435,"&gt;"&amp;_xlfn.PERCENTILE.EXC(E$5:$E435,0.2)),0))</f>
        <v/>
      </c>
    </row>
    <row r="436" spans="2:6" x14ac:dyDescent="0.25">
      <c r="B436" s="18">
        <v>432</v>
      </c>
      <c r="C436" s="21" t="str">
        <f ca="1">IFERROR(IF(LEFT(C435,2)="13",DATE(RIGHT(C435,4),12,31),IF(EOMONTH(C435,1)&gt;PREMISSAS!$C$3,"",IF(MONTH(C435)=11,"13º "&amp;YEAR(C435),EOMONTH(C435,1)))),"")</f>
        <v/>
      </c>
      <c r="D436" s="22">
        <f ca="1">VLOOKUP(C436,'Histórico de Remunerações'!$D$7:$E$656,2,FALSE)</f>
        <v>0</v>
      </c>
      <c r="E436" s="4" t="str">
        <f ca="1">IF(D436=0,"",IF(IF(ISTEXT(C436),DATE(RIGHT(C436,4),12,31),C436)&lt;PREMISSAS!$D$7,0,IFERROR(VLOOKUP(IF(LEFT(C436,2)="13",DATE(RIGHT(C436,4),12,31),C436),IPCA!$A$3:$D$284,4,FALSE),1)*D436))</f>
        <v/>
      </c>
      <c r="F436" s="4" t="str">
        <f ca="1">IF(C436="","",IFERROR(AVERAGEIF(E$5:$E436,"&gt;"&amp;_xlfn.PERCENTILE.EXC(E$5:$E436,0.2)),0))</f>
        <v/>
      </c>
    </row>
    <row r="437" spans="2:6" x14ac:dyDescent="0.25">
      <c r="B437" s="18">
        <v>433</v>
      </c>
      <c r="C437" s="21" t="str">
        <f ca="1">IFERROR(IF(LEFT(C436,2)="13",DATE(RIGHT(C436,4),12,31),IF(EOMONTH(C436,1)&gt;PREMISSAS!$C$3,"",IF(MONTH(C436)=11,"13º "&amp;YEAR(C436),EOMONTH(C436,1)))),"")</f>
        <v/>
      </c>
      <c r="D437" s="22">
        <f ca="1">VLOOKUP(C437,'Histórico de Remunerações'!$D$7:$E$656,2,FALSE)</f>
        <v>0</v>
      </c>
      <c r="E437" s="4" t="str">
        <f ca="1">IF(D437=0,"",IF(IF(ISTEXT(C437),DATE(RIGHT(C437,4),12,31),C437)&lt;PREMISSAS!$D$7,0,IFERROR(VLOOKUP(IF(LEFT(C437,2)="13",DATE(RIGHT(C437,4),12,31),C437),IPCA!$A$3:$D$284,4,FALSE),1)*D437))</f>
        <v/>
      </c>
      <c r="F437" s="4" t="str">
        <f ca="1">IF(C437="","",IFERROR(AVERAGEIF(E$5:$E437,"&gt;"&amp;_xlfn.PERCENTILE.EXC(E$5:$E437,0.2)),0))</f>
        <v/>
      </c>
    </row>
    <row r="438" spans="2:6" x14ac:dyDescent="0.25">
      <c r="B438" s="18">
        <v>434</v>
      </c>
      <c r="C438" s="21" t="str">
        <f ca="1">IFERROR(IF(LEFT(C437,2)="13",DATE(RIGHT(C437,4),12,31),IF(EOMONTH(C437,1)&gt;PREMISSAS!$C$3,"",IF(MONTH(C437)=11,"13º "&amp;YEAR(C437),EOMONTH(C437,1)))),"")</f>
        <v/>
      </c>
      <c r="D438" s="22">
        <f ca="1">VLOOKUP(C438,'Histórico de Remunerações'!$D$7:$E$656,2,FALSE)</f>
        <v>0</v>
      </c>
      <c r="E438" s="4" t="str">
        <f ca="1">IF(D438=0,"",IF(IF(ISTEXT(C438),DATE(RIGHT(C438,4),12,31),C438)&lt;PREMISSAS!$D$7,0,IFERROR(VLOOKUP(IF(LEFT(C438,2)="13",DATE(RIGHT(C438,4),12,31),C438),IPCA!$A$3:$D$284,4,FALSE),1)*D438))</f>
        <v/>
      </c>
      <c r="F438" s="4" t="str">
        <f ca="1">IF(C438="","",IFERROR(AVERAGEIF(E$5:$E438,"&gt;"&amp;_xlfn.PERCENTILE.EXC(E$5:$E438,0.2)),0))</f>
        <v/>
      </c>
    </row>
    <row r="439" spans="2:6" x14ac:dyDescent="0.25">
      <c r="B439" s="18">
        <v>435</v>
      </c>
      <c r="C439" s="21" t="str">
        <f ca="1">IFERROR(IF(LEFT(C438,2)="13",DATE(RIGHT(C438,4),12,31),IF(EOMONTH(C438,1)&gt;PREMISSAS!$C$3,"",IF(MONTH(C438)=11,"13º "&amp;YEAR(C438),EOMONTH(C438,1)))),"")</f>
        <v/>
      </c>
      <c r="D439" s="22">
        <f ca="1">VLOOKUP(C439,'Histórico de Remunerações'!$D$7:$E$656,2,FALSE)</f>
        <v>0</v>
      </c>
      <c r="E439" s="4" t="str">
        <f ca="1">IF(D439=0,"",IF(IF(ISTEXT(C439),DATE(RIGHT(C439,4),12,31),C439)&lt;PREMISSAS!$D$7,0,IFERROR(VLOOKUP(IF(LEFT(C439,2)="13",DATE(RIGHT(C439,4),12,31),C439),IPCA!$A$3:$D$284,4,FALSE),1)*D439))</f>
        <v/>
      </c>
      <c r="F439" s="4" t="str">
        <f ca="1">IF(C439="","",IFERROR(AVERAGEIF(E$5:$E439,"&gt;"&amp;_xlfn.PERCENTILE.EXC(E$5:$E439,0.2)),0))</f>
        <v/>
      </c>
    </row>
    <row r="440" spans="2:6" x14ac:dyDescent="0.25">
      <c r="B440" s="18">
        <v>436</v>
      </c>
      <c r="C440" s="21" t="str">
        <f ca="1">IFERROR(IF(LEFT(C439,2)="13",DATE(RIGHT(C439,4),12,31),IF(EOMONTH(C439,1)&gt;PREMISSAS!$C$3,"",IF(MONTH(C439)=11,"13º "&amp;YEAR(C439),EOMONTH(C439,1)))),"")</f>
        <v/>
      </c>
      <c r="D440" s="22">
        <f ca="1">VLOOKUP(C440,'Histórico de Remunerações'!$D$7:$E$656,2,FALSE)</f>
        <v>0</v>
      </c>
      <c r="E440" s="4" t="str">
        <f ca="1">IF(D440=0,"",IF(IF(ISTEXT(C440),DATE(RIGHT(C440,4),12,31),C440)&lt;PREMISSAS!$D$7,0,IFERROR(VLOOKUP(IF(LEFT(C440,2)="13",DATE(RIGHT(C440,4),12,31),C440),IPCA!$A$3:$D$284,4,FALSE),1)*D440))</f>
        <v/>
      </c>
      <c r="F440" s="4" t="str">
        <f ca="1">IF(C440="","",IFERROR(AVERAGEIF(E$5:$E440,"&gt;"&amp;_xlfn.PERCENTILE.EXC(E$5:$E440,0.2)),0))</f>
        <v/>
      </c>
    </row>
    <row r="441" spans="2:6" x14ac:dyDescent="0.25">
      <c r="B441" s="18">
        <v>437</v>
      </c>
      <c r="C441" s="21" t="str">
        <f ca="1">IFERROR(IF(LEFT(C440,2)="13",DATE(RIGHT(C440,4),12,31),IF(EOMONTH(C440,1)&gt;PREMISSAS!$C$3,"",IF(MONTH(C440)=11,"13º "&amp;YEAR(C440),EOMONTH(C440,1)))),"")</f>
        <v/>
      </c>
      <c r="D441" s="22">
        <f ca="1">VLOOKUP(C441,'Histórico de Remunerações'!$D$7:$E$656,2,FALSE)</f>
        <v>0</v>
      </c>
      <c r="E441" s="4" t="str">
        <f ca="1">IF(D441=0,"",IF(IF(ISTEXT(C441),DATE(RIGHT(C441,4),12,31),C441)&lt;PREMISSAS!$D$7,0,IFERROR(VLOOKUP(IF(LEFT(C441,2)="13",DATE(RIGHT(C441,4),12,31),C441),IPCA!$A$3:$D$284,4,FALSE),1)*D441))</f>
        <v/>
      </c>
      <c r="F441" s="4" t="str">
        <f ca="1">IF(C441="","",IFERROR(AVERAGEIF(E$5:$E441,"&gt;"&amp;_xlfn.PERCENTILE.EXC(E$5:$E441,0.2)),0))</f>
        <v/>
      </c>
    </row>
    <row r="442" spans="2:6" x14ac:dyDescent="0.25">
      <c r="B442" s="18">
        <v>438</v>
      </c>
      <c r="C442" s="21" t="str">
        <f ca="1">IFERROR(IF(LEFT(C441,2)="13",DATE(RIGHT(C441,4),12,31),IF(EOMONTH(C441,1)&gt;PREMISSAS!$C$3,"",IF(MONTH(C441)=11,"13º "&amp;YEAR(C441),EOMONTH(C441,1)))),"")</f>
        <v/>
      </c>
      <c r="D442" s="22">
        <f ca="1">VLOOKUP(C442,'Histórico de Remunerações'!$D$7:$E$656,2,FALSE)</f>
        <v>0</v>
      </c>
      <c r="E442" s="4" t="str">
        <f ca="1">IF(D442=0,"",IF(IF(ISTEXT(C442),DATE(RIGHT(C442,4),12,31),C442)&lt;PREMISSAS!$D$7,0,IFERROR(VLOOKUP(IF(LEFT(C442,2)="13",DATE(RIGHT(C442,4),12,31),C442),IPCA!$A$3:$D$284,4,FALSE),1)*D442))</f>
        <v/>
      </c>
      <c r="F442" s="4" t="str">
        <f ca="1">IF(C442="","",IFERROR(AVERAGEIF(E$5:$E442,"&gt;"&amp;_xlfn.PERCENTILE.EXC(E$5:$E442,0.2)),0))</f>
        <v/>
      </c>
    </row>
    <row r="443" spans="2:6" x14ac:dyDescent="0.25">
      <c r="B443" s="18">
        <v>439</v>
      </c>
      <c r="C443" s="21" t="str">
        <f ca="1">IFERROR(IF(LEFT(C442,2)="13",DATE(RIGHT(C442,4),12,31),IF(EOMONTH(C442,1)&gt;PREMISSAS!$C$3,"",IF(MONTH(C442)=11,"13º "&amp;YEAR(C442),EOMONTH(C442,1)))),"")</f>
        <v/>
      </c>
      <c r="D443" s="22">
        <f ca="1">VLOOKUP(C443,'Histórico de Remunerações'!$D$7:$E$656,2,FALSE)</f>
        <v>0</v>
      </c>
      <c r="E443" s="4" t="str">
        <f ca="1">IF(D443=0,"",IF(IF(ISTEXT(C443),DATE(RIGHT(C443,4),12,31),C443)&lt;PREMISSAS!$D$7,0,IFERROR(VLOOKUP(IF(LEFT(C443,2)="13",DATE(RIGHT(C443,4),12,31),C443),IPCA!$A$3:$D$284,4,FALSE),1)*D443))</f>
        <v/>
      </c>
      <c r="F443" s="4" t="str">
        <f ca="1">IF(C443="","",IFERROR(AVERAGEIF(E$5:$E443,"&gt;"&amp;_xlfn.PERCENTILE.EXC(E$5:$E443,0.2)),0))</f>
        <v/>
      </c>
    </row>
    <row r="444" spans="2:6" x14ac:dyDescent="0.25">
      <c r="B444" s="18">
        <v>440</v>
      </c>
      <c r="C444" s="21" t="str">
        <f ca="1">IFERROR(IF(LEFT(C443,2)="13",DATE(RIGHT(C443,4),12,31),IF(EOMONTH(C443,1)&gt;PREMISSAS!$C$3,"",IF(MONTH(C443)=11,"13º "&amp;YEAR(C443),EOMONTH(C443,1)))),"")</f>
        <v/>
      </c>
      <c r="D444" s="22">
        <f ca="1">VLOOKUP(C444,'Histórico de Remunerações'!$D$7:$E$656,2,FALSE)</f>
        <v>0</v>
      </c>
      <c r="E444" s="4" t="str">
        <f ca="1">IF(D444=0,"",IF(IF(ISTEXT(C444),DATE(RIGHT(C444,4),12,31),C444)&lt;PREMISSAS!$D$7,0,IFERROR(VLOOKUP(IF(LEFT(C444,2)="13",DATE(RIGHT(C444,4),12,31),C444),IPCA!$A$3:$D$284,4,FALSE),1)*D444))</f>
        <v/>
      </c>
      <c r="F444" s="4" t="str">
        <f ca="1">IF(C444="","",IFERROR(AVERAGEIF(E$5:$E444,"&gt;"&amp;_xlfn.PERCENTILE.EXC(E$5:$E444,0.2)),0))</f>
        <v/>
      </c>
    </row>
    <row r="445" spans="2:6" x14ac:dyDescent="0.25">
      <c r="B445" s="18">
        <v>441</v>
      </c>
      <c r="C445" s="21" t="str">
        <f ca="1">IFERROR(IF(LEFT(C444,2)="13",DATE(RIGHT(C444,4),12,31),IF(EOMONTH(C444,1)&gt;PREMISSAS!$C$3,"",IF(MONTH(C444)=11,"13º "&amp;YEAR(C444),EOMONTH(C444,1)))),"")</f>
        <v/>
      </c>
      <c r="D445" s="22">
        <f ca="1">VLOOKUP(C445,'Histórico de Remunerações'!$D$7:$E$656,2,FALSE)</f>
        <v>0</v>
      </c>
      <c r="E445" s="4" t="str">
        <f ca="1">IF(D445=0,"",IF(IF(ISTEXT(C445),DATE(RIGHT(C445,4),12,31),C445)&lt;PREMISSAS!$D$7,0,IFERROR(VLOOKUP(IF(LEFT(C445,2)="13",DATE(RIGHT(C445,4),12,31),C445),IPCA!$A$3:$D$284,4,FALSE),1)*D445))</f>
        <v/>
      </c>
      <c r="F445" s="4" t="str">
        <f ca="1">IF(C445="","",IFERROR(AVERAGEIF(E$5:$E445,"&gt;"&amp;_xlfn.PERCENTILE.EXC(E$5:$E445,0.2)),0))</f>
        <v/>
      </c>
    </row>
    <row r="446" spans="2:6" x14ac:dyDescent="0.25">
      <c r="B446" s="18">
        <v>442</v>
      </c>
      <c r="C446" s="21" t="str">
        <f ca="1">IFERROR(IF(LEFT(C445,2)="13",DATE(RIGHT(C445,4),12,31),IF(EOMONTH(C445,1)&gt;PREMISSAS!$C$3,"",IF(MONTH(C445)=11,"13º "&amp;YEAR(C445),EOMONTH(C445,1)))),"")</f>
        <v/>
      </c>
      <c r="D446" s="22">
        <f ca="1">VLOOKUP(C446,'Histórico de Remunerações'!$D$7:$E$656,2,FALSE)</f>
        <v>0</v>
      </c>
      <c r="E446" s="4" t="str">
        <f ca="1">IF(D446=0,"",IF(IF(ISTEXT(C446),DATE(RIGHT(C446,4),12,31),C446)&lt;PREMISSAS!$D$7,0,IFERROR(VLOOKUP(IF(LEFT(C446,2)="13",DATE(RIGHT(C446,4),12,31),C446),IPCA!$A$3:$D$284,4,FALSE),1)*D446))</f>
        <v/>
      </c>
      <c r="F446" s="4" t="str">
        <f ca="1">IF(C446="","",IFERROR(AVERAGEIF(E$5:$E446,"&gt;"&amp;_xlfn.PERCENTILE.EXC(E$5:$E446,0.2)),0))</f>
        <v/>
      </c>
    </row>
    <row r="447" spans="2:6" x14ac:dyDescent="0.25">
      <c r="B447" s="18">
        <v>443</v>
      </c>
      <c r="C447" s="21" t="str">
        <f ca="1">IFERROR(IF(LEFT(C446,2)="13",DATE(RIGHT(C446,4),12,31),IF(EOMONTH(C446,1)&gt;PREMISSAS!$C$3,"",IF(MONTH(C446)=11,"13º "&amp;YEAR(C446),EOMONTH(C446,1)))),"")</f>
        <v/>
      </c>
      <c r="D447" s="22">
        <f ca="1">VLOOKUP(C447,'Histórico de Remunerações'!$D$7:$E$656,2,FALSE)</f>
        <v>0</v>
      </c>
      <c r="E447" s="4" t="str">
        <f ca="1">IF(D447=0,"",IF(IF(ISTEXT(C447),DATE(RIGHT(C447,4),12,31),C447)&lt;PREMISSAS!$D$7,0,IFERROR(VLOOKUP(IF(LEFT(C447,2)="13",DATE(RIGHT(C447,4),12,31),C447),IPCA!$A$3:$D$284,4,FALSE),1)*D447))</f>
        <v/>
      </c>
      <c r="F447" s="4" t="str">
        <f ca="1">IF(C447="","",IFERROR(AVERAGEIF(E$5:$E447,"&gt;"&amp;_xlfn.PERCENTILE.EXC(E$5:$E447,0.2)),0))</f>
        <v/>
      </c>
    </row>
    <row r="448" spans="2:6" x14ac:dyDescent="0.25">
      <c r="B448" s="18">
        <v>444</v>
      </c>
      <c r="C448" s="21" t="str">
        <f ca="1">IFERROR(IF(LEFT(C447,2)="13",DATE(RIGHT(C447,4),12,31),IF(EOMONTH(C447,1)&gt;PREMISSAS!$C$3,"",IF(MONTH(C447)=11,"13º "&amp;YEAR(C447),EOMONTH(C447,1)))),"")</f>
        <v/>
      </c>
      <c r="D448" s="22">
        <f ca="1">VLOOKUP(C448,'Histórico de Remunerações'!$D$7:$E$656,2,FALSE)</f>
        <v>0</v>
      </c>
      <c r="E448" s="4" t="str">
        <f ca="1">IF(D448=0,"",IF(IF(ISTEXT(C448),DATE(RIGHT(C448,4),12,31),C448)&lt;PREMISSAS!$D$7,0,IFERROR(VLOOKUP(IF(LEFT(C448,2)="13",DATE(RIGHT(C448,4),12,31),C448),IPCA!$A$3:$D$284,4,FALSE),1)*D448))</f>
        <v/>
      </c>
      <c r="F448" s="4" t="str">
        <f ca="1">IF(C448="","",IFERROR(AVERAGEIF(E$5:$E448,"&gt;"&amp;_xlfn.PERCENTILE.EXC(E$5:$E448,0.2)),0))</f>
        <v/>
      </c>
    </row>
    <row r="449" spans="2:6" x14ac:dyDescent="0.25">
      <c r="B449" s="18">
        <v>445</v>
      </c>
      <c r="C449" s="21" t="str">
        <f ca="1">IFERROR(IF(LEFT(C448,2)="13",DATE(RIGHT(C448,4),12,31),IF(EOMONTH(C448,1)&gt;PREMISSAS!$C$3,"",IF(MONTH(C448)=11,"13º "&amp;YEAR(C448),EOMONTH(C448,1)))),"")</f>
        <v/>
      </c>
      <c r="D449" s="22">
        <f ca="1">VLOOKUP(C449,'Histórico de Remunerações'!$D$7:$E$656,2,FALSE)</f>
        <v>0</v>
      </c>
      <c r="E449" s="4" t="str">
        <f ca="1">IF(D449=0,"",IF(IF(ISTEXT(C449),DATE(RIGHT(C449,4),12,31),C449)&lt;PREMISSAS!$D$7,0,IFERROR(VLOOKUP(IF(LEFT(C449,2)="13",DATE(RIGHT(C449,4),12,31),C449),IPCA!$A$3:$D$284,4,FALSE),1)*D449))</f>
        <v/>
      </c>
      <c r="F449" s="4" t="str">
        <f ca="1">IF(C449="","",IFERROR(AVERAGEIF(E$5:$E449,"&gt;"&amp;_xlfn.PERCENTILE.EXC(E$5:$E449,0.2)),0))</f>
        <v/>
      </c>
    </row>
    <row r="450" spans="2:6" x14ac:dyDescent="0.25">
      <c r="B450" s="18">
        <v>446</v>
      </c>
      <c r="C450" s="21" t="str">
        <f ca="1">IFERROR(IF(LEFT(C449,2)="13",DATE(RIGHT(C449,4),12,31),IF(EOMONTH(C449,1)&gt;PREMISSAS!$C$3,"",IF(MONTH(C449)=11,"13º "&amp;YEAR(C449),EOMONTH(C449,1)))),"")</f>
        <v/>
      </c>
      <c r="D450" s="22">
        <f ca="1">VLOOKUP(C450,'Histórico de Remunerações'!$D$7:$E$656,2,FALSE)</f>
        <v>0</v>
      </c>
      <c r="E450" s="4" t="str">
        <f ca="1">IF(D450=0,"",IF(IF(ISTEXT(C450),DATE(RIGHT(C450,4),12,31),C450)&lt;PREMISSAS!$D$7,0,IFERROR(VLOOKUP(IF(LEFT(C450,2)="13",DATE(RIGHT(C450,4),12,31),C450),IPCA!$A$3:$D$284,4,FALSE),1)*D450))</f>
        <v/>
      </c>
      <c r="F450" s="4" t="str">
        <f ca="1">IF(C450="","",IFERROR(AVERAGEIF(E$5:$E450,"&gt;"&amp;_xlfn.PERCENTILE.EXC(E$5:$E450,0.2)),0))</f>
        <v/>
      </c>
    </row>
    <row r="451" spans="2:6" x14ac:dyDescent="0.25">
      <c r="B451" s="18">
        <v>447</v>
      </c>
      <c r="C451" s="21" t="str">
        <f ca="1">IFERROR(IF(LEFT(C450,2)="13",DATE(RIGHT(C450,4),12,31),IF(EOMONTH(C450,1)&gt;PREMISSAS!$C$3,"",IF(MONTH(C450)=11,"13º "&amp;YEAR(C450),EOMONTH(C450,1)))),"")</f>
        <v/>
      </c>
      <c r="D451" s="22">
        <f ca="1">VLOOKUP(C451,'Histórico de Remunerações'!$D$7:$E$656,2,FALSE)</f>
        <v>0</v>
      </c>
      <c r="E451" s="4" t="str">
        <f ca="1">IF(D451=0,"",IF(IF(ISTEXT(C451),DATE(RIGHT(C451,4),12,31),C451)&lt;PREMISSAS!$D$7,0,IFERROR(VLOOKUP(IF(LEFT(C451,2)="13",DATE(RIGHT(C451,4),12,31),C451),IPCA!$A$3:$D$284,4,FALSE),1)*D451))</f>
        <v/>
      </c>
      <c r="F451" s="4" t="str">
        <f ca="1">IF(C451="","",IFERROR(AVERAGEIF(E$5:$E451,"&gt;"&amp;_xlfn.PERCENTILE.EXC(E$5:$E451,0.2)),0))</f>
        <v/>
      </c>
    </row>
    <row r="452" spans="2:6" x14ac:dyDescent="0.25">
      <c r="B452" s="18">
        <v>448</v>
      </c>
      <c r="C452" s="21" t="str">
        <f ca="1">IFERROR(IF(LEFT(C451,2)="13",DATE(RIGHT(C451,4),12,31),IF(EOMONTH(C451,1)&gt;PREMISSAS!$C$3,"",IF(MONTH(C451)=11,"13º "&amp;YEAR(C451),EOMONTH(C451,1)))),"")</f>
        <v/>
      </c>
      <c r="D452" s="22">
        <f ca="1">VLOOKUP(C452,'Histórico de Remunerações'!$D$7:$E$656,2,FALSE)</f>
        <v>0</v>
      </c>
      <c r="E452" s="4" t="str">
        <f ca="1">IF(D452=0,"",IF(IF(ISTEXT(C452),DATE(RIGHT(C452,4),12,31),C452)&lt;PREMISSAS!$D$7,0,IFERROR(VLOOKUP(IF(LEFT(C452,2)="13",DATE(RIGHT(C452,4),12,31),C452),IPCA!$A$3:$D$284,4,FALSE),1)*D452))</f>
        <v/>
      </c>
      <c r="F452" s="4" t="str">
        <f ca="1">IF(C452="","",IFERROR(AVERAGEIF(E$5:$E452,"&gt;"&amp;_xlfn.PERCENTILE.EXC(E$5:$E452,0.2)),0))</f>
        <v/>
      </c>
    </row>
    <row r="453" spans="2:6" x14ac:dyDescent="0.25">
      <c r="B453" s="18">
        <v>449</v>
      </c>
      <c r="C453" s="21" t="str">
        <f ca="1">IFERROR(IF(LEFT(C452,2)="13",DATE(RIGHT(C452,4),12,31),IF(EOMONTH(C452,1)&gt;PREMISSAS!$C$3,"",IF(MONTH(C452)=11,"13º "&amp;YEAR(C452),EOMONTH(C452,1)))),"")</f>
        <v/>
      </c>
      <c r="D453" s="22">
        <f ca="1">VLOOKUP(C453,'Histórico de Remunerações'!$D$7:$E$656,2,FALSE)</f>
        <v>0</v>
      </c>
      <c r="E453" s="4" t="str">
        <f ca="1">IF(D453=0,"",IF(IF(ISTEXT(C453),DATE(RIGHT(C453,4),12,31),C453)&lt;PREMISSAS!$D$7,0,IFERROR(VLOOKUP(IF(LEFT(C453,2)="13",DATE(RIGHT(C453,4),12,31),C453),IPCA!$A$3:$D$284,4,FALSE),1)*D453))</f>
        <v/>
      </c>
      <c r="F453" s="4" t="str">
        <f ca="1">IF(C453="","",IFERROR(AVERAGEIF(E$5:$E453,"&gt;"&amp;_xlfn.PERCENTILE.EXC(E$5:$E453,0.2)),0))</f>
        <v/>
      </c>
    </row>
    <row r="454" spans="2:6" x14ac:dyDescent="0.25">
      <c r="B454" s="18">
        <v>450</v>
      </c>
      <c r="C454" s="21" t="str">
        <f ca="1">IFERROR(IF(LEFT(C453,2)="13",DATE(RIGHT(C453,4),12,31),IF(EOMONTH(C453,1)&gt;PREMISSAS!$C$3,"",IF(MONTH(C453)=11,"13º "&amp;YEAR(C453),EOMONTH(C453,1)))),"")</f>
        <v/>
      </c>
      <c r="D454" s="22">
        <f ca="1">VLOOKUP(C454,'Histórico de Remunerações'!$D$7:$E$656,2,FALSE)</f>
        <v>0</v>
      </c>
      <c r="E454" s="4" t="str">
        <f ca="1">IF(D454=0,"",IF(IF(ISTEXT(C454),DATE(RIGHT(C454,4),12,31),C454)&lt;PREMISSAS!$D$7,0,IFERROR(VLOOKUP(IF(LEFT(C454,2)="13",DATE(RIGHT(C454,4),12,31),C454),IPCA!$A$3:$D$284,4,FALSE),1)*D454))</f>
        <v/>
      </c>
      <c r="F454" s="4" t="str">
        <f ca="1">IF(C454="","",IFERROR(AVERAGEIF(E$5:$E454,"&gt;"&amp;_xlfn.PERCENTILE.EXC(E$5:$E454,0.2)),0))</f>
        <v/>
      </c>
    </row>
    <row r="455" spans="2:6" x14ac:dyDescent="0.25">
      <c r="B455" s="18">
        <v>451</v>
      </c>
      <c r="C455" s="21" t="str">
        <f ca="1">IFERROR(IF(LEFT(C454,2)="13",DATE(RIGHT(C454,4),12,31),IF(EOMONTH(C454,1)&gt;PREMISSAS!$C$3,"",IF(MONTH(C454)=11,"13º "&amp;YEAR(C454),EOMONTH(C454,1)))),"")</f>
        <v/>
      </c>
      <c r="D455" s="22">
        <f ca="1">VLOOKUP(C455,'Histórico de Remunerações'!$D$7:$E$656,2,FALSE)</f>
        <v>0</v>
      </c>
      <c r="E455" s="4" t="str">
        <f ca="1">IF(D455=0,"",IF(IF(ISTEXT(C455),DATE(RIGHT(C455,4),12,31),C455)&lt;PREMISSAS!$D$7,0,IFERROR(VLOOKUP(IF(LEFT(C455,2)="13",DATE(RIGHT(C455,4),12,31),C455),IPCA!$A$3:$D$284,4,FALSE),1)*D455))</f>
        <v/>
      </c>
      <c r="F455" s="4" t="str">
        <f ca="1">IF(C455="","",IFERROR(AVERAGEIF(E$5:$E455,"&gt;"&amp;_xlfn.PERCENTILE.EXC(E$5:$E455,0.2)),0))</f>
        <v/>
      </c>
    </row>
    <row r="456" spans="2:6" x14ac:dyDescent="0.25">
      <c r="B456" s="18">
        <v>452</v>
      </c>
      <c r="C456" s="21" t="str">
        <f ca="1">IFERROR(IF(LEFT(C455,2)="13",DATE(RIGHT(C455,4),12,31),IF(EOMONTH(C455,1)&gt;PREMISSAS!$C$3,"",IF(MONTH(C455)=11,"13º "&amp;YEAR(C455),EOMONTH(C455,1)))),"")</f>
        <v/>
      </c>
      <c r="D456" s="22">
        <f ca="1">VLOOKUP(C456,'Histórico de Remunerações'!$D$7:$E$656,2,FALSE)</f>
        <v>0</v>
      </c>
      <c r="E456" s="4" t="str">
        <f ca="1">IF(D456=0,"",IF(IF(ISTEXT(C456),DATE(RIGHT(C456,4),12,31),C456)&lt;PREMISSAS!$D$7,0,IFERROR(VLOOKUP(IF(LEFT(C456,2)="13",DATE(RIGHT(C456,4),12,31),C456),IPCA!$A$3:$D$284,4,FALSE),1)*D456))</f>
        <v/>
      </c>
      <c r="F456" s="4" t="str">
        <f ca="1">IF(C456="","",IFERROR(AVERAGEIF(E$5:$E456,"&gt;"&amp;_xlfn.PERCENTILE.EXC(E$5:$E456,0.2)),0))</f>
        <v/>
      </c>
    </row>
    <row r="457" spans="2:6" x14ac:dyDescent="0.25">
      <c r="B457" s="18">
        <v>453</v>
      </c>
      <c r="C457" s="21" t="str">
        <f ca="1">IFERROR(IF(LEFT(C456,2)="13",DATE(RIGHT(C456,4),12,31),IF(EOMONTH(C456,1)&gt;PREMISSAS!$C$3,"",IF(MONTH(C456)=11,"13º "&amp;YEAR(C456),EOMONTH(C456,1)))),"")</f>
        <v/>
      </c>
      <c r="D457" s="22">
        <f ca="1">VLOOKUP(C457,'Histórico de Remunerações'!$D$7:$E$656,2,FALSE)</f>
        <v>0</v>
      </c>
      <c r="E457" s="4" t="str">
        <f ca="1">IF(D457=0,"",IF(IF(ISTEXT(C457),DATE(RIGHT(C457,4),12,31),C457)&lt;PREMISSAS!$D$7,0,IFERROR(VLOOKUP(IF(LEFT(C457,2)="13",DATE(RIGHT(C457,4),12,31),C457),IPCA!$A$3:$D$284,4,FALSE),1)*D457))</f>
        <v/>
      </c>
      <c r="F457" s="4" t="str">
        <f ca="1">IF(C457="","",IFERROR(AVERAGEIF(E$5:$E457,"&gt;"&amp;_xlfn.PERCENTILE.EXC(E$5:$E457,0.2)),0))</f>
        <v/>
      </c>
    </row>
    <row r="458" spans="2:6" x14ac:dyDescent="0.25">
      <c r="B458" s="18">
        <v>454</v>
      </c>
      <c r="C458" s="21" t="str">
        <f ca="1">IFERROR(IF(LEFT(C457,2)="13",DATE(RIGHT(C457,4),12,31),IF(EOMONTH(C457,1)&gt;PREMISSAS!$C$3,"",IF(MONTH(C457)=11,"13º "&amp;YEAR(C457),EOMONTH(C457,1)))),"")</f>
        <v/>
      </c>
      <c r="D458" s="22">
        <f ca="1">VLOOKUP(C458,'Histórico de Remunerações'!$D$7:$E$656,2,FALSE)</f>
        <v>0</v>
      </c>
      <c r="E458" s="4" t="str">
        <f ca="1">IF(D458=0,"",IF(IF(ISTEXT(C458),DATE(RIGHT(C458,4),12,31),C458)&lt;PREMISSAS!$D$7,0,IFERROR(VLOOKUP(IF(LEFT(C458,2)="13",DATE(RIGHT(C458,4),12,31),C458),IPCA!$A$3:$D$284,4,FALSE),1)*D458))</f>
        <v/>
      </c>
      <c r="F458" s="4" t="str">
        <f ca="1">IF(C458="","",IFERROR(AVERAGEIF(E$5:$E458,"&gt;"&amp;_xlfn.PERCENTILE.EXC(E$5:$E458,0.2)),0))</f>
        <v/>
      </c>
    </row>
    <row r="459" spans="2:6" x14ac:dyDescent="0.25">
      <c r="B459" s="18">
        <v>455</v>
      </c>
      <c r="C459" s="21" t="str">
        <f ca="1">IFERROR(IF(LEFT(C458,2)="13",DATE(RIGHT(C458,4),12,31),IF(EOMONTH(C458,1)&gt;PREMISSAS!$C$3,"",IF(MONTH(C458)=11,"13º "&amp;YEAR(C458),EOMONTH(C458,1)))),"")</f>
        <v/>
      </c>
      <c r="D459" s="22">
        <f ca="1">VLOOKUP(C459,'Histórico de Remunerações'!$D$7:$E$656,2,FALSE)</f>
        <v>0</v>
      </c>
      <c r="E459" s="4" t="str">
        <f ca="1">IF(D459=0,"",IF(IF(ISTEXT(C459),DATE(RIGHT(C459,4),12,31),C459)&lt;PREMISSAS!$D$7,0,IFERROR(VLOOKUP(IF(LEFT(C459,2)="13",DATE(RIGHT(C459,4),12,31),C459),IPCA!$A$3:$D$284,4,FALSE),1)*D459))</f>
        <v/>
      </c>
      <c r="F459" s="4" t="str">
        <f ca="1">IF(C459="","",IFERROR(AVERAGEIF(E$5:$E459,"&gt;"&amp;_xlfn.PERCENTILE.EXC(E$5:$E459,0.2)),0))</f>
        <v/>
      </c>
    </row>
    <row r="460" spans="2:6" x14ac:dyDescent="0.25">
      <c r="B460" s="18">
        <v>456</v>
      </c>
      <c r="C460" s="21" t="str">
        <f ca="1">IFERROR(IF(LEFT(C459,2)="13",DATE(RIGHT(C459,4),12,31),IF(EOMONTH(C459,1)&gt;PREMISSAS!$C$3,"",IF(MONTH(C459)=11,"13º "&amp;YEAR(C459),EOMONTH(C459,1)))),"")</f>
        <v/>
      </c>
      <c r="D460" s="22">
        <f ca="1">VLOOKUP(C460,'Histórico de Remunerações'!$D$7:$E$656,2,FALSE)</f>
        <v>0</v>
      </c>
      <c r="E460" s="4" t="str">
        <f ca="1">IF(D460=0,"",IF(IF(ISTEXT(C460),DATE(RIGHT(C460,4),12,31),C460)&lt;PREMISSAS!$D$7,0,IFERROR(VLOOKUP(IF(LEFT(C460,2)="13",DATE(RIGHT(C460,4),12,31),C460),IPCA!$A$3:$D$284,4,FALSE),1)*D460))</f>
        <v/>
      </c>
      <c r="F460" s="4" t="str">
        <f ca="1">IF(C460="","",IFERROR(AVERAGEIF(E$5:$E460,"&gt;"&amp;_xlfn.PERCENTILE.EXC(E$5:$E460,0.2)),0))</f>
        <v/>
      </c>
    </row>
    <row r="461" spans="2:6" x14ac:dyDescent="0.25">
      <c r="B461" s="18">
        <v>457</v>
      </c>
      <c r="C461" s="21" t="str">
        <f ca="1">IFERROR(IF(LEFT(C460,2)="13",DATE(RIGHT(C460,4),12,31),IF(EOMONTH(C460,1)&gt;PREMISSAS!$C$3,"",IF(MONTH(C460)=11,"13º "&amp;YEAR(C460),EOMONTH(C460,1)))),"")</f>
        <v/>
      </c>
      <c r="D461" s="22">
        <f ca="1">VLOOKUP(C461,'Histórico de Remunerações'!$D$7:$E$656,2,FALSE)</f>
        <v>0</v>
      </c>
      <c r="E461" s="4" t="str">
        <f ca="1">IF(D461=0,"",IF(IF(ISTEXT(C461),DATE(RIGHT(C461,4),12,31),C461)&lt;PREMISSAS!$D$7,0,IFERROR(VLOOKUP(IF(LEFT(C461,2)="13",DATE(RIGHT(C461,4),12,31),C461),IPCA!$A$3:$D$284,4,FALSE),1)*D461))</f>
        <v/>
      </c>
      <c r="F461" s="4" t="str">
        <f ca="1">IF(C461="","",IFERROR(AVERAGEIF(E$5:$E461,"&gt;"&amp;_xlfn.PERCENTILE.EXC(E$5:$E461,0.2)),0))</f>
        <v/>
      </c>
    </row>
    <row r="462" spans="2:6" x14ac:dyDescent="0.25">
      <c r="B462" s="18">
        <v>458</v>
      </c>
      <c r="C462" s="21" t="str">
        <f ca="1">IFERROR(IF(LEFT(C461,2)="13",DATE(RIGHT(C461,4),12,31),IF(EOMONTH(C461,1)&gt;PREMISSAS!$C$3,"",IF(MONTH(C461)=11,"13º "&amp;YEAR(C461),EOMONTH(C461,1)))),"")</f>
        <v/>
      </c>
      <c r="D462" s="22">
        <f ca="1">VLOOKUP(C462,'Histórico de Remunerações'!$D$7:$E$656,2,FALSE)</f>
        <v>0</v>
      </c>
      <c r="E462" s="4" t="str">
        <f ca="1">IF(D462=0,"",IF(IF(ISTEXT(C462),DATE(RIGHT(C462,4),12,31),C462)&lt;PREMISSAS!$D$7,0,IFERROR(VLOOKUP(IF(LEFT(C462,2)="13",DATE(RIGHT(C462,4),12,31),C462),IPCA!$A$3:$D$284,4,FALSE),1)*D462))</f>
        <v/>
      </c>
      <c r="F462" s="4" t="str">
        <f ca="1">IF(C462="","",IFERROR(AVERAGEIF(E$5:$E462,"&gt;"&amp;_xlfn.PERCENTILE.EXC(E$5:$E462,0.2)),0))</f>
        <v/>
      </c>
    </row>
    <row r="463" spans="2:6" x14ac:dyDescent="0.25">
      <c r="B463" s="18">
        <v>459</v>
      </c>
      <c r="C463" s="21" t="str">
        <f ca="1">IFERROR(IF(LEFT(C462,2)="13",DATE(RIGHT(C462,4),12,31),IF(EOMONTH(C462,1)&gt;PREMISSAS!$C$3,"",IF(MONTH(C462)=11,"13º "&amp;YEAR(C462),EOMONTH(C462,1)))),"")</f>
        <v/>
      </c>
      <c r="D463" s="22">
        <f ca="1">VLOOKUP(C463,'Histórico de Remunerações'!$D$7:$E$656,2,FALSE)</f>
        <v>0</v>
      </c>
      <c r="E463" s="4" t="str">
        <f ca="1">IF(D463=0,"",IF(IF(ISTEXT(C463),DATE(RIGHT(C463,4),12,31),C463)&lt;PREMISSAS!$D$7,0,IFERROR(VLOOKUP(IF(LEFT(C463,2)="13",DATE(RIGHT(C463,4),12,31),C463),IPCA!$A$3:$D$284,4,FALSE),1)*D463))</f>
        <v/>
      </c>
      <c r="F463" s="4" t="str">
        <f ca="1">IF(C463="","",IFERROR(AVERAGEIF(E$5:$E463,"&gt;"&amp;_xlfn.PERCENTILE.EXC(E$5:$E463,0.2)),0))</f>
        <v/>
      </c>
    </row>
    <row r="464" spans="2:6" x14ac:dyDescent="0.25">
      <c r="B464" s="18">
        <v>460</v>
      </c>
      <c r="C464" s="21" t="str">
        <f ca="1">IFERROR(IF(LEFT(C463,2)="13",DATE(RIGHT(C463,4),12,31),IF(EOMONTH(C463,1)&gt;PREMISSAS!$C$3,"",IF(MONTH(C463)=11,"13º "&amp;YEAR(C463),EOMONTH(C463,1)))),"")</f>
        <v/>
      </c>
      <c r="D464" s="22">
        <f ca="1">VLOOKUP(C464,'Histórico de Remunerações'!$D$7:$E$656,2,FALSE)</f>
        <v>0</v>
      </c>
      <c r="E464" s="4" t="str">
        <f ca="1">IF(D464=0,"",IF(IF(ISTEXT(C464),DATE(RIGHT(C464,4),12,31),C464)&lt;PREMISSAS!$D$7,0,IFERROR(VLOOKUP(IF(LEFT(C464,2)="13",DATE(RIGHT(C464,4),12,31),C464),IPCA!$A$3:$D$284,4,FALSE),1)*D464))</f>
        <v/>
      </c>
      <c r="F464" s="4" t="str">
        <f ca="1">IF(C464="","",IFERROR(AVERAGEIF(E$5:$E464,"&gt;"&amp;_xlfn.PERCENTILE.EXC(E$5:$E464,0.2)),0))</f>
        <v/>
      </c>
    </row>
    <row r="465" spans="2:6" x14ac:dyDescent="0.25">
      <c r="B465" s="18">
        <v>461</v>
      </c>
      <c r="C465" s="21" t="str">
        <f ca="1">IFERROR(IF(LEFT(C464,2)="13",DATE(RIGHT(C464,4),12,31),IF(EOMONTH(C464,1)&gt;PREMISSAS!$C$3,"",IF(MONTH(C464)=11,"13º "&amp;YEAR(C464),EOMONTH(C464,1)))),"")</f>
        <v/>
      </c>
      <c r="D465" s="22">
        <f ca="1">VLOOKUP(C465,'Histórico de Remunerações'!$D$7:$E$656,2,FALSE)</f>
        <v>0</v>
      </c>
      <c r="E465" s="4" t="str">
        <f ca="1">IF(D465=0,"",IF(IF(ISTEXT(C465),DATE(RIGHT(C465,4),12,31),C465)&lt;PREMISSAS!$D$7,0,IFERROR(VLOOKUP(IF(LEFT(C465,2)="13",DATE(RIGHT(C465,4),12,31),C465),IPCA!$A$3:$D$284,4,FALSE),1)*D465))</f>
        <v/>
      </c>
      <c r="F465" s="4" t="str">
        <f ca="1">IF(C465="","",IFERROR(AVERAGEIF(E$5:$E465,"&gt;"&amp;_xlfn.PERCENTILE.EXC(E$5:$E465,0.2)),0))</f>
        <v/>
      </c>
    </row>
    <row r="466" spans="2:6" x14ac:dyDescent="0.25">
      <c r="B466" s="18">
        <v>462</v>
      </c>
      <c r="C466" s="21" t="str">
        <f ca="1">IFERROR(IF(LEFT(C465,2)="13",DATE(RIGHT(C465,4),12,31),IF(EOMONTH(C465,1)&gt;PREMISSAS!$C$3,"",IF(MONTH(C465)=11,"13º "&amp;YEAR(C465),EOMONTH(C465,1)))),"")</f>
        <v/>
      </c>
      <c r="D466" s="22">
        <f ca="1">VLOOKUP(C466,'Histórico de Remunerações'!$D$7:$E$656,2,FALSE)</f>
        <v>0</v>
      </c>
      <c r="E466" s="4" t="str">
        <f ca="1">IF(D466=0,"",IF(IF(ISTEXT(C466),DATE(RIGHT(C466,4),12,31),C466)&lt;PREMISSAS!$D$7,0,IFERROR(VLOOKUP(IF(LEFT(C466,2)="13",DATE(RIGHT(C466,4),12,31),C466),IPCA!$A$3:$D$284,4,FALSE),1)*D466))</f>
        <v/>
      </c>
      <c r="F466" s="4" t="str">
        <f ca="1">IF(C466="","",IFERROR(AVERAGEIF(E$5:$E466,"&gt;"&amp;_xlfn.PERCENTILE.EXC(E$5:$E466,0.2)),0))</f>
        <v/>
      </c>
    </row>
    <row r="467" spans="2:6" x14ac:dyDescent="0.25">
      <c r="B467" s="18">
        <v>463</v>
      </c>
      <c r="C467" s="21" t="str">
        <f ca="1">IFERROR(IF(LEFT(C466,2)="13",DATE(RIGHT(C466,4),12,31),IF(EOMONTH(C466,1)&gt;PREMISSAS!$C$3,"",IF(MONTH(C466)=11,"13º "&amp;YEAR(C466),EOMONTH(C466,1)))),"")</f>
        <v/>
      </c>
      <c r="D467" s="22">
        <f ca="1">VLOOKUP(C467,'Histórico de Remunerações'!$D$7:$E$656,2,FALSE)</f>
        <v>0</v>
      </c>
      <c r="E467" s="4" t="str">
        <f ca="1">IF(D467=0,"",IF(IF(ISTEXT(C467),DATE(RIGHT(C467,4),12,31),C467)&lt;PREMISSAS!$D$7,0,IFERROR(VLOOKUP(IF(LEFT(C467,2)="13",DATE(RIGHT(C467,4),12,31),C467),IPCA!$A$3:$D$284,4,FALSE),1)*D467))</f>
        <v/>
      </c>
      <c r="F467" s="4" t="str">
        <f ca="1">IF(C467="","",IFERROR(AVERAGEIF(E$5:$E467,"&gt;"&amp;_xlfn.PERCENTILE.EXC(E$5:$E467,0.2)),0))</f>
        <v/>
      </c>
    </row>
    <row r="468" spans="2:6" x14ac:dyDescent="0.25">
      <c r="B468" s="18">
        <v>464</v>
      </c>
      <c r="C468" s="21" t="str">
        <f ca="1">IFERROR(IF(LEFT(C467,2)="13",DATE(RIGHT(C467,4),12,31),IF(EOMONTH(C467,1)&gt;PREMISSAS!$C$3,"",IF(MONTH(C467)=11,"13º "&amp;YEAR(C467),EOMONTH(C467,1)))),"")</f>
        <v/>
      </c>
      <c r="D468" s="22">
        <f ca="1">VLOOKUP(C468,'Histórico de Remunerações'!$D$7:$E$656,2,FALSE)</f>
        <v>0</v>
      </c>
      <c r="E468" s="4" t="str">
        <f ca="1">IF(D468=0,"",IF(IF(ISTEXT(C468),DATE(RIGHT(C468,4),12,31),C468)&lt;PREMISSAS!$D$7,0,IFERROR(VLOOKUP(IF(LEFT(C468,2)="13",DATE(RIGHT(C468,4),12,31),C468),IPCA!$A$3:$D$284,4,FALSE),1)*D468))</f>
        <v/>
      </c>
      <c r="F468" s="4" t="str">
        <f ca="1">IF(C468="","",IFERROR(AVERAGEIF(E$5:$E468,"&gt;"&amp;_xlfn.PERCENTILE.EXC(E$5:$E468,0.2)),0))</f>
        <v/>
      </c>
    </row>
    <row r="469" spans="2:6" x14ac:dyDescent="0.25">
      <c r="B469" s="18">
        <v>465</v>
      </c>
      <c r="C469" s="21" t="str">
        <f ca="1">IFERROR(IF(LEFT(C468,2)="13",DATE(RIGHT(C468,4),12,31),IF(EOMONTH(C468,1)&gt;PREMISSAS!$C$3,"",IF(MONTH(C468)=11,"13º "&amp;YEAR(C468),EOMONTH(C468,1)))),"")</f>
        <v/>
      </c>
      <c r="D469" s="22">
        <f ca="1">VLOOKUP(C469,'Histórico de Remunerações'!$D$7:$E$656,2,FALSE)</f>
        <v>0</v>
      </c>
      <c r="E469" s="4" t="str">
        <f ca="1">IF(D469=0,"",IF(IF(ISTEXT(C469),DATE(RIGHT(C469,4),12,31),C469)&lt;PREMISSAS!$D$7,0,IFERROR(VLOOKUP(IF(LEFT(C469,2)="13",DATE(RIGHT(C469,4),12,31),C469),IPCA!$A$3:$D$284,4,FALSE),1)*D469))</f>
        <v/>
      </c>
      <c r="F469" s="4" t="str">
        <f ca="1">IF(C469="","",IFERROR(AVERAGEIF(E$5:$E469,"&gt;"&amp;_xlfn.PERCENTILE.EXC(E$5:$E469,0.2)),0))</f>
        <v/>
      </c>
    </row>
    <row r="470" spans="2:6" x14ac:dyDescent="0.25">
      <c r="B470" s="18">
        <v>466</v>
      </c>
      <c r="C470" s="21" t="str">
        <f ca="1">IFERROR(IF(LEFT(C469,2)="13",DATE(RIGHT(C469,4),12,31),IF(EOMONTH(C469,1)&gt;PREMISSAS!$C$3,"",IF(MONTH(C469)=11,"13º "&amp;YEAR(C469),EOMONTH(C469,1)))),"")</f>
        <v/>
      </c>
      <c r="D470" s="22">
        <f ca="1">VLOOKUP(C470,'Histórico de Remunerações'!$D$7:$E$656,2,FALSE)</f>
        <v>0</v>
      </c>
      <c r="E470" s="4" t="str">
        <f ca="1">IF(D470=0,"",IF(IF(ISTEXT(C470),DATE(RIGHT(C470,4),12,31),C470)&lt;PREMISSAS!$D$7,0,IFERROR(VLOOKUP(IF(LEFT(C470,2)="13",DATE(RIGHT(C470,4),12,31),C470),IPCA!$A$3:$D$284,4,FALSE),1)*D470))</f>
        <v/>
      </c>
      <c r="F470" s="4" t="str">
        <f ca="1">IF(C470="","",IFERROR(AVERAGEIF(E$5:$E470,"&gt;"&amp;_xlfn.PERCENTILE.EXC(E$5:$E470,0.2)),0))</f>
        <v/>
      </c>
    </row>
    <row r="471" spans="2:6" x14ac:dyDescent="0.25">
      <c r="B471" s="18">
        <v>467</v>
      </c>
      <c r="C471" s="21" t="str">
        <f ca="1">IFERROR(IF(LEFT(C470,2)="13",DATE(RIGHT(C470,4),12,31),IF(EOMONTH(C470,1)&gt;PREMISSAS!$C$3,"",IF(MONTH(C470)=11,"13º "&amp;YEAR(C470),EOMONTH(C470,1)))),"")</f>
        <v/>
      </c>
      <c r="D471" s="22">
        <f ca="1">VLOOKUP(C471,'Histórico de Remunerações'!$D$7:$E$656,2,FALSE)</f>
        <v>0</v>
      </c>
      <c r="E471" s="4" t="str">
        <f ca="1">IF(D471=0,"",IF(IF(ISTEXT(C471),DATE(RIGHT(C471,4),12,31),C471)&lt;PREMISSAS!$D$7,0,IFERROR(VLOOKUP(IF(LEFT(C471,2)="13",DATE(RIGHT(C471,4),12,31),C471),IPCA!$A$3:$D$284,4,FALSE),1)*D471))</f>
        <v/>
      </c>
      <c r="F471" s="4" t="str">
        <f ca="1">IF(C471="","",IFERROR(AVERAGEIF(E$5:$E471,"&gt;"&amp;_xlfn.PERCENTILE.EXC(E$5:$E471,0.2)),0))</f>
        <v/>
      </c>
    </row>
    <row r="472" spans="2:6" x14ac:dyDescent="0.25">
      <c r="B472" s="18">
        <v>468</v>
      </c>
      <c r="C472" s="21" t="str">
        <f ca="1">IFERROR(IF(LEFT(C471,2)="13",DATE(RIGHT(C471,4),12,31),IF(EOMONTH(C471,1)&gt;PREMISSAS!$C$3,"",IF(MONTH(C471)=11,"13º "&amp;YEAR(C471),EOMONTH(C471,1)))),"")</f>
        <v/>
      </c>
      <c r="D472" s="22">
        <f ca="1">VLOOKUP(C472,'Histórico de Remunerações'!$D$7:$E$656,2,FALSE)</f>
        <v>0</v>
      </c>
      <c r="E472" s="4" t="str">
        <f ca="1">IF(D472=0,"",IF(IF(ISTEXT(C472),DATE(RIGHT(C472,4),12,31),C472)&lt;PREMISSAS!$D$7,0,IFERROR(VLOOKUP(IF(LEFT(C472,2)="13",DATE(RIGHT(C472,4),12,31),C472),IPCA!$A$3:$D$284,4,FALSE),1)*D472))</f>
        <v/>
      </c>
      <c r="F472" s="4" t="str">
        <f ca="1">IF(C472="","",IFERROR(AVERAGEIF(E$5:$E472,"&gt;"&amp;_xlfn.PERCENTILE.EXC(E$5:$E472,0.2)),0))</f>
        <v/>
      </c>
    </row>
    <row r="473" spans="2:6" x14ac:dyDescent="0.25">
      <c r="B473" s="18">
        <v>469</v>
      </c>
      <c r="C473" s="21" t="str">
        <f ca="1">IFERROR(IF(LEFT(C472,2)="13",DATE(RIGHT(C472,4),12,31),IF(EOMONTH(C472,1)&gt;PREMISSAS!$C$3,"",IF(MONTH(C472)=11,"13º "&amp;YEAR(C472),EOMONTH(C472,1)))),"")</f>
        <v/>
      </c>
      <c r="D473" s="22">
        <f ca="1">VLOOKUP(C473,'Histórico de Remunerações'!$D$7:$E$656,2,FALSE)</f>
        <v>0</v>
      </c>
      <c r="E473" s="4" t="str">
        <f ca="1">IF(D473=0,"",IF(IF(ISTEXT(C473),DATE(RIGHT(C473,4),12,31),C473)&lt;PREMISSAS!$D$7,0,IFERROR(VLOOKUP(IF(LEFT(C473,2)="13",DATE(RIGHT(C473,4),12,31),C473),IPCA!$A$3:$D$284,4,FALSE),1)*D473))</f>
        <v/>
      </c>
      <c r="F473" s="4" t="str">
        <f ca="1">IF(C473="","",IFERROR(AVERAGEIF(E$5:$E473,"&gt;"&amp;_xlfn.PERCENTILE.EXC(E$5:$E473,0.2)),0))</f>
        <v/>
      </c>
    </row>
    <row r="474" spans="2:6" x14ac:dyDescent="0.25">
      <c r="B474" s="18">
        <v>470</v>
      </c>
      <c r="C474" s="21" t="str">
        <f ca="1">IFERROR(IF(LEFT(C473,2)="13",DATE(RIGHT(C473,4),12,31),IF(EOMONTH(C473,1)&gt;PREMISSAS!$C$3,"",IF(MONTH(C473)=11,"13º "&amp;YEAR(C473),EOMONTH(C473,1)))),"")</f>
        <v/>
      </c>
      <c r="D474" s="22">
        <f ca="1">VLOOKUP(C474,'Histórico de Remunerações'!$D$7:$E$656,2,FALSE)</f>
        <v>0</v>
      </c>
      <c r="E474" s="4" t="str">
        <f ca="1">IF(D474=0,"",IF(IF(ISTEXT(C474),DATE(RIGHT(C474,4),12,31),C474)&lt;PREMISSAS!$D$7,0,IFERROR(VLOOKUP(IF(LEFT(C474,2)="13",DATE(RIGHT(C474,4),12,31),C474),IPCA!$A$3:$D$284,4,FALSE),1)*D474))</f>
        <v/>
      </c>
      <c r="F474" s="4" t="str">
        <f ca="1">IF(C474="","",IFERROR(AVERAGEIF(E$5:$E474,"&gt;"&amp;_xlfn.PERCENTILE.EXC(E$5:$E474,0.2)),0))</f>
        <v/>
      </c>
    </row>
    <row r="475" spans="2:6" x14ac:dyDescent="0.25">
      <c r="B475" s="18">
        <v>471</v>
      </c>
      <c r="C475" s="21" t="str">
        <f ca="1">IFERROR(IF(LEFT(C474,2)="13",DATE(RIGHT(C474,4),12,31),IF(EOMONTH(C474,1)&gt;PREMISSAS!$C$3,"",IF(MONTH(C474)=11,"13º "&amp;YEAR(C474),EOMONTH(C474,1)))),"")</f>
        <v/>
      </c>
      <c r="D475" s="22">
        <f ca="1">VLOOKUP(C475,'Histórico de Remunerações'!$D$7:$E$656,2,FALSE)</f>
        <v>0</v>
      </c>
      <c r="E475" s="4" t="str">
        <f ca="1">IF(D475=0,"",IF(IF(ISTEXT(C475),DATE(RIGHT(C475,4),12,31),C475)&lt;PREMISSAS!$D$7,0,IFERROR(VLOOKUP(IF(LEFT(C475,2)="13",DATE(RIGHT(C475,4),12,31),C475),IPCA!$A$3:$D$284,4,FALSE),1)*D475))</f>
        <v/>
      </c>
      <c r="F475" s="4" t="str">
        <f ca="1">IF(C475="","",IFERROR(AVERAGEIF(E$5:$E475,"&gt;"&amp;_xlfn.PERCENTILE.EXC(E$5:$E475,0.2)),0))</f>
        <v/>
      </c>
    </row>
    <row r="476" spans="2:6" x14ac:dyDescent="0.25">
      <c r="B476" s="18">
        <v>472</v>
      </c>
      <c r="C476" s="21" t="str">
        <f ca="1">IFERROR(IF(LEFT(C475,2)="13",DATE(RIGHT(C475,4),12,31),IF(EOMONTH(C475,1)&gt;PREMISSAS!$C$3,"",IF(MONTH(C475)=11,"13º "&amp;YEAR(C475),EOMONTH(C475,1)))),"")</f>
        <v/>
      </c>
      <c r="D476" s="22">
        <f ca="1">VLOOKUP(C476,'Histórico de Remunerações'!$D$7:$E$656,2,FALSE)</f>
        <v>0</v>
      </c>
      <c r="E476" s="4" t="str">
        <f ca="1">IF(D476=0,"",IF(IF(ISTEXT(C476),DATE(RIGHT(C476,4),12,31),C476)&lt;PREMISSAS!$D$7,0,IFERROR(VLOOKUP(IF(LEFT(C476,2)="13",DATE(RIGHT(C476,4),12,31),C476),IPCA!$A$3:$D$284,4,FALSE),1)*D476))</f>
        <v/>
      </c>
      <c r="F476" s="4" t="str">
        <f ca="1">IF(C476="","",IFERROR(AVERAGEIF(E$5:$E476,"&gt;"&amp;_xlfn.PERCENTILE.EXC(E$5:$E476,0.2)),0))</f>
        <v/>
      </c>
    </row>
    <row r="477" spans="2:6" x14ac:dyDescent="0.25">
      <c r="B477" s="18">
        <v>473</v>
      </c>
      <c r="C477" s="21" t="str">
        <f ca="1">IFERROR(IF(LEFT(C476,2)="13",DATE(RIGHT(C476,4),12,31),IF(EOMONTH(C476,1)&gt;PREMISSAS!$C$3,"",IF(MONTH(C476)=11,"13º "&amp;YEAR(C476),EOMONTH(C476,1)))),"")</f>
        <v/>
      </c>
      <c r="D477" s="22">
        <f ca="1">VLOOKUP(C477,'Histórico de Remunerações'!$D$7:$E$656,2,FALSE)</f>
        <v>0</v>
      </c>
      <c r="E477" s="4" t="str">
        <f ca="1">IF(D477=0,"",IF(IF(ISTEXT(C477),DATE(RIGHT(C477,4),12,31),C477)&lt;PREMISSAS!$D$7,0,IFERROR(VLOOKUP(IF(LEFT(C477,2)="13",DATE(RIGHT(C477,4),12,31),C477),IPCA!$A$3:$D$284,4,FALSE),1)*D477))</f>
        <v/>
      </c>
      <c r="F477" s="4" t="str">
        <f ca="1">IF(C477="","",IFERROR(AVERAGEIF(E$5:$E477,"&gt;"&amp;_xlfn.PERCENTILE.EXC(E$5:$E477,0.2)),0))</f>
        <v/>
      </c>
    </row>
    <row r="478" spans="2:6" x14ac:dyDescent="0.25">
      <c r="B478" s="18">
        <v>474</v>
      </c>
      <c r="C478" s="21" t="str">
        <f ca="1">IFERROR(IF(LEFT(C477,2)="13",DATE(RIGHT(C477,4),12,31),IF(EOMONTH(C477,1)&gt;PREMISSAS!$C$3,"",IF(MONTH(C477)=11,"13º "&amp;YEAR(C477),EOMONTH(C477,1)))),"")</f>
        <v/>
      </c>
      <c r="D478" s="22">
        <f ca="1">VLOOKUP(C478,'Histórico de Remunerações'!$D$7:$E$656,2,FALSE)</f>
        <v>0</v>
      </c>
      <c r="E478" s="4" t="str">
        <f ca="1">IF(D478=0,"",IF(IF(ISTEXT(C478),DATE(RIGHT(C478,4),12,31),C478)&lt;PREMISSAS!$D$7,0,IFERROR(VLOOKUP(IF(LEFT(C478,2)="13",DATE(RIGHT(C478,4),12,31),C478),IPCA!$A$3:$D$284,4,FALSE),1)*D478))</f>
        <v/>
      </c>
      <c r="F478" s="4" t="str">
        <f ca="1">IF(C478="","",IFERROR(AVERAGEIF(E$5:$E478,"&gt;"&amp;_xlfn.PERCENTILE.EXC(E$5:$E478,0.2)),0))</f>
        <v/>
      </c>
    </row>
    <row r="479" spans="2:6" x14ac:dyDescent="0.25">
      <c r="B479" s="18">
        <v>475</v>
      </c>
      <c r="C479" s="21" t="str">
        <f ca="1">IFERROR(IF(LEFT(C478,2)="13",DATE(RIGHT(C478,4),12,31),IF(EOMONTH(C478,1)&gt;PREMISSAS!$C$3,"",IF(MONTH(C478)=11,"13º "&amp;YEAR(C478),EOMONTH(C478,1)))),"")</f>
        <v/>
      </c>
      <c r="D479" s="22">
        <f ca="1">VLOOKUP(C479,'Histórico de Remunerações'!$D$7:$E$656,2,FALSE)</f>
        <v>0</v>
      </c>
      <c r="E479" s="4" t="str">
        <f ca="1">IF(D479=0,"",IF(IF(ISTEXT(C479),DATE(RIGHT(C479,4),12,31),C479)&lt;PREMISSAS!$D$7,0,IFERROR(VLOOKUP(IF(LEFT(C479,2)="13",DATE(RIGHT(C479,4),12,31),C479),IPCA!$A$3:$D$284,4,FALSE),1)*D479))</f>
        <v/>
      </c>
      <c r="F479" s="4" t="str">
        <f ca="1">IF(C479="","",IFERROR(AVERAGEIF(E$5:$E479,"&gt;"&amp;_xlfn.PERCENTILE.EXC(E$5:$E479,0.2)),0))</f>
        <v/>
      </c>
    </row>
    <row r="480" spans="2:6" x14ac:dyDescent="0.25">
      <c r="B480" s="18">
        <v>476</v>
      </c>
      <c r="C480" s="21" t="str">
        <f ca="1">IFERROR(IF(LEFT(C479,2)="13",DATE(RIGHT(C479,4),12,31),IF(EOMONTH(C479,1)&gt;PREMISSAS!$C$3,"",IF(MONTH(C479)=11,"13º "&amp;YEAR(C479),EOMONTH(C479,1)))),"")</f>
        <v/>
      </c>
      <c r="D480" s="22">
        <f ca="1">VLOOKUP(C480,'Histórico de Remunerações'!$D$7:$E$656,2,FALSE)</f>
        <v>0</v>
      </c>
      <c r="E480" s="4" t="str">
        <f ca="1">IF(D480=0,"",IF(IF(ISTEXT(C480),DATE(RIGHT(C480,4),12,31),C480)&lt;PREMISSAS!$D$7,0,IFERROR(VLOOKUP(IF(LEFT(C480,2)="13",DATE(RIGHT(C480,4),12,31),C480),IPCA!$A$3:$D$284,4,FALSE),1)*D480))</f>
        <v/>
      </c>
      <c r="F480" s="4" t="str">
        <f ca="1">IF(C480="","",IFERROR(AVERAGEIF(E$5:$E480,"&gt;"&amp;_xlfn.PERCENTILE.EXC(E$5:$E480,0.2)),0))</f>
        <v/>
      </c>
    </row>
    <row r="481" spans="2:6" x14ac:dyDescent="0.25">
      <c r="B481" s="18">
        <v>477</v>
      </c>
      <c r="C481" s="21" t="str">
        <f ca="1">IFERROR(IF(LEFT(C480,2)="13",DATE(RIGHT(C480,4),12,31),IF(EOMONTH(C480,1)&gt;PREMISSAS!$C$3,"",IF(MONTH(C480)=11,"13º "&amp;YEAR(C480),EOMONTH(C480,1)))),"")</f>
        <v/>
      </c>
      <c r="D481" s="22">
        <f ca="1">VLOOKUP(C481,'Histórico de Remunerações'!$D$7:$E$656,2,FALSE)</f>
        <v>0</v>
      </c>
      <c r="E481" s="4" t="str">
        <f ca="1">IF(D481=0,"",IF(IF(ISTEXT(C481),DATE(RIGHT(C481,4),12,31),C481)&lt;PREMISSAS!$D$7,0,IFERROR(VLOOKUP(IF(LEFT(C481,2)="13",DATE(RIGHT(C481,4),12,31),C481),IPCA!$A$3:$D$284,4,FALSE),1)*D481))</f>
        <v/>
      </c>
      <c r="F481" s="4" t="str">
        <f ca="1">IF(C481="","",IFERROR(AVERAGEIF(E$5:$E481,"&gt;"&amp;_xlfn.PERCENTILE.EXC(E$5:$E481,0.2)),0))</f>
        <v/>
      </c>
    </row>
    <row r="482" spans="2:6" x14ac:dyDescent="0.25">
      <c r="B482" s="18">
        <v>478</v>
      </c>
      <c r="C482" s="21" t="str">
        <f ca="1">IFERROR(IF(LEFT(C481,2)="13",DATE(RIGHT(C481,4),12,31),IF(EOMONTH(C481,1)&gt;PREMISSAS!$C$3,"",IF(MONTH(C481)=11,"13º "&amp;YEAR(C481),EOMONTH(C481,1)))),"")</f>
        <v/>
      </c>
      <c r="D482" s="22">
        <f ca="1">VLOOKUP(C482,'Histórico de Remunerações'!$D$7:$E$656,2,FALSE)</f>
        <v>0</v>
      </c>
      <c r="E482" s="4" t="str">
        <f ca="1">IF(D482=0,"",IF(IF(ISTEXT(C482),DATE(RIGHT(C482,4),12,31),C482)&lt;PREMISSAS!$D$7,0,IFERROR(VLOOKUP(IF(LEFT(C482,2)="13",DATE(RIGHT(C482,4),12,31),C482),IPCA!$A$3:$D$284,4,FALSE),1)*D482))</f>
        <v/>
      </c>
      <c r="F482" s="4" t="str">
        <f ca="1">IF(C482="","",IFERROR(AVERAGEIF(E$5:$E482,"&gt;"&amp;_xlfn.PERCENTILE.EXC(E$5:$E482,0.2)),0))</f>
        <v/>
      </c>
    </row>
    <row r="483" spans="2:6" x14ac:dyDescent="0.25">
      <c r="B483" s="18">
        <v>479</v>
      </c>
      <c r="C483" s="21" t="str">
        <f ca="1">IFERROR(IF(LEFT(C482,2)="13",DATE(RIGHT(C482,4),12,31),IF(EOMONTH(C482,1)&gt;PREMISSAS!$C$3,"",IF(MONTH(C482)=11,"13º "&amp;YEAR(C482),EOMONTH(C482,1)))),"")</f>
        <v/>
      </c>
      <c r="D483" s="22">
        <f ca="1">VLOOKUP(C483,'Histórico de Remunerações'!$D$7:$E$656,2,FALSE)</f>
        <v>0</v>
      </c>
      <c r="E483" s="4" t="str">
        <f ca="1">IF(D483=0,"",IF(IF(ISTEXT(C483),DATE(RIGHT(C483,4),12,31),C483)&lt;PREMISSAS!$D$7,0,IFERROR(VLOOKUP(IF(LEFT(C483,2)="13",DATE(RIGHT(C483,4),12,31),C483),IPCA!$A$3:$D$284,4,FALSE),1)*D483))</f>
        <v/>
      </c>
      <c r="F483" s="4" t="str">
        <f ca="1">IF(C483="","",IFERROR(AVERAGEIF(E$5:$E483,"&gt;"&amp;_xlfn.PERCENTILE.EXC(E$5:$E483,0.2)),0))</f>
        <v/>
      </c>
    </row>
    <row r="484" spans="2:6" x14ac:dyDescent="0.25">
      <c r="B484" s="18">
        <v>480</v>
      </c>
      <c r="C484" s="21" t="str">
        <f ca="1">IFERROR(IF(LEFT(C483,2)="13",DATE(RIGHT(C483,4),12,31),IF(EOMONTH(C483,1)&gt;PREMISSAS!$C$3,"",IF(MONTH(C483)=11,"13º "&amp;YEAR(C483),EOMONTH(C483,1)))),"")</f>
        <v/>
      </c>
      <c r="D484" s="22">
        <f ca="1">VLOOKUP(C484,'Histórico de Remunerações'!$D$7:$E$656,2,FALSE)</f>
        <v>0</v>
      </c>
      <c r="E484" s="4" t="str">
        <f ca="1">IF(D484=0,"",IF(IF(ISTEXT(C484),DATE(RIGHT(C484,4),12,31),C484)&lt;PREMISSAS!$D$7,0,IFERROR(VLOOKUP(IF(LEFT(C484,2)="13",DATE(RIGHT(C484,4),12,31),C484),IPCA!$A$3:$D$284,4,FALSE),1)*D484))</f>
        <v/>
      </c>
      <c r="F484" s="4" t="str">
        <f ca="1">IF(C484="","",IFERROR(AVERAGEIF(E$5:$E484,"&gt;"&amp;_xlfn.PERCENTILE.EXC(E$5:$E484,0.2)),0))</f>
        <v/>
      </c>
    </row>
    <row r="485" spans="2:6" x14ac:dyDescent="0.25">
      <c r="B485" s="18">
        <v>481</v>
      </c>
      <c r="C485" s="21" t="str">
        <f ca="1">IFERROR(IF(LEFT(C484,2)="13",DATE(RIGHT(C484,4),12,31),IF(EOMONTH(C484,1)&gt;PREMISSAS!$C$3,"",IF(MONTH(C484)=11,"13º "&amp;YEAR(C484),EOMONTH(C484,1)))),"")</f>
        <v/>
      </c>
      <c r="D485" s="22">
        <f ca="1">VLOOKUP(C485,'Histórico de Remunerações'!$D$7:$E$656,2,FALSE)</f>
        <v>0</v>
      </c>
      <c r="E485" s="4" t="str">
        <f ca="1">IF(D485=0,"",IF(IF(ISTEXT(C485),DATE(RIGHT(C485,4),12,31),C485)&lt;PREMISSAS!$D$7,0,IFERROR(VLOOKUP(IF(LEFT(C485,2)="13",DATE(RIGHT(C485,4),12,31),C485),IPCA!$A$3:$D$284,4,FALSE),1)*D485))</f>
        <v/>
      </c>
      <c r="F485" s="4" t="str">
        <f ca="1">IF(C485="","",IFERROR(AVERAGEIF(E$5:$E485,"&gt;"&amp;_xlfn.PERCENTILE.EXC(E$5:$E485,0.2)),0))</f>
        <v/>
      </c>
    </row>
    <row r="486" spans="2:6" x14ac:dyDescent="0.25">
      <c r="B486" s="18">
        <v>482</v>
      </c>
      <c r="C486" s="21" t="str">
        <f ca="1">IFERROR(IF(LEFT(C485,2)="13",DATE(RIGHT(C485,4),12,31),IF(EOMONTH(C485,1)&gt;PREMISSAS!$C$3,"",IF(MONTH(C485)=11,"13º "&amp;YEAR(C485),EOMONTH(C485,1)))),"")</f>
        <v/>
      </c>
      <c r="D486" s="22">
        <f ca="1">VLOOKUP(C486,'Histórico de Remunerações'!$D$7:$E$656,2,FALSE)</f>
        <v>0</v>
      </c>
      <c r="E486" s="4" t="str">
        <f ca="1">IF(D486=0,"",IF(IF(ISTEXT(C486),DATE(RIGHT(C486,4),12,31),C486)&lt;PREMISSAS!$D$7,0,IFERROR(VLOOKUP(IF(LEFT(C486,2)="13",DATE(RIGHT(C486,4),12,31),C486),IPCA!$A$3:$D$284,4,FALSE),1)*D486))</f>
        <v/>
      </c>
      <c r="F486" s="4" t="str">
        <f ca="1">IF(C486="","",IFERROR(AVERAGEIF(E$5:$E486,"&gt;"&amp;_xlfn.PERCENTILE.EXC(E$5:$E486,0.2)),0))</f>
        <v/>
      </c>
    </row>
    <row r="487" spans="2:6" x14ac:dyDescent="0.25">
      <c r="B487" s="18">
        <v>483</v>
      </c>
      <c r="C487" s="21" t="str">
        <f ca="1">IFERROR(IF(LEFT(C486,2)="13",DATE(RIGHT(C486,4),12,31),IF(EOMONTH(C486,1)&gt;PREMISSAS!$C$3,"",IF(MONTH(C486)=11,"13º "&amp;YEAR(C486),EOMONTH(C486,1)))),"")</f>
        <v/>
      </c>
      <c r="D487" s="22">
        <f ca="1">VLOOKUP(C487,'Histórico de Remunerações'!$D$7:$E$656,2,FALSE)</f>
        <v>0</v>
      </c>
      <c r="E487" s="4" t="str">
        <f ca="1">IF(D487=0,"",IF(IF(ISTEXT(C487),DATE(RIGHT(C487,4),12,31),C487)&lt;PREMISSAS!$D$7,0,IFERROR(VLOOKUP(IF(LEFT(C487,2)="13",DATE(RIGHT(C487,4),12,31),C487),IPCA!$A$3:$D$284,4,FALSE),1)*D487))</f>
        <v/>
      </c>
      <c r="F487" s="4" t="str">
        <f ca="1">IF(C487="","",IFERROR(AVERAGEIF(E$5:$E487,"&gt;"&amp;_xlfn.PERCENTILE.EXC(E$5:$E487,0.2)),0))</f>
        <v/>
      </c>
    </row>
    <row r="488" spans="2:6" x14ac:dyDescent="0.25">
      <c r="B488" s="18">
        <v>484</v>
      </c>
      <c r="C488" s="21" t="str">
        <f ca="1">IFERROR(IF(LEFT(C487,2)="13",DATE(RIGHT(C487,4),12,31),IF(EOMONTH(C487,1)&gt;PREMISSAS!$C$3,"",IF(MONTH(C487)=11,"13º "&amp;YEAR(C487),EOMONTH(C487,1)))),"")</f>
        <v/>
      </c>
      <c r="D488" s="22">
        <f ca="1">VLOOKUP(C488,'Histórico de Remunerações'!$D$7:$E$656,2,FALSE)</f>
        <v>0</v>
      </c>
      <c r="E488" s="4" t="str">
        <f ca="1">IF(D488=0,"",IF(IF(ISTEXT(C488),DATE(RIGHT(C488,4),12,31),C488)&lt;PREMISSAS!$D$7,0,IFERROR(VLOOKUP(IF(LEFT(C488,2)="13",DATE(RIGHT(C488,4),12,31),C488),IPCA!$A$3:$D$284,4,FALSE),1)*D488))</f>
        <v/>
      </c>
      <c r="F488" s="4" t="str">
        <f ca="1">IF(C488="","",IFERROR(AVERAGEIF(E$5:$E488,"&gt;"&amp;_xlfn.PERCENTILE.EXC(E$5:$E488,0.2)),0))</f>
        <v/>
      </c>
    </row>
    <row r="489" spans="2:6" x14ac:dyDescent="0.25">
      <c r="B489" s="18">
        <v>485</v>
      </c>
      <c r="C489" s="21" t="str">
        <f ca="1">IFERROR(IF(LEFT(C488,2)="13",DATE(RIGHT(C488,4),12,31),IF(EOMONTH(C488,1)&gt;PREMISSAS!$C$3,"",IF(MONTH(C488)=11,"13º "&amp;YEAR(C488),EOMONTH(C488,1)))),"")</f>
        <v/>
      </c>
      <c r="D489" s="22">
        <f ca="1">VLOOKUP(C489,'Histórico de Remunerações'!$D$7:$E$656,2,FALSE)</f>
        <v>0</v>
      </c>
      <c r="E489" s="4" t="str">
        <f ca="1">IF(D489=0,"",IF(IF(ISTEXT(C489),DATE(RIGHT(C489,4),12,31),C489)&lt;PREMISSAS!$D$7,0,IFERROR(VLOOKUP(IF(LEFT(C489,2)="13",DATE(RIGHT(C489,4),12,31),C489),IPCA!$A$3:$D$284,4,FALSE),1)*D489))</f>
        <v/>
      </c>
      <c r="F489" s="4" t="str">
        <f ca="1">IF(C489="","",IFERROR(AVERAGEIF(E$5:$E489,"&gt;"&amp;_xlfn.PERCENTILE.EXC(E$5:$E489,0.2)),0))</f>
        <v/>
      </c>
    </row>
    <row r="490" spans="2:6" x14ac:dyDescent="0.25">
      <c r="B490" s="18">
        <v>486</v>
      </c>
      <c r="C490" s="21" t="str">
        <f ca="1">IFERROR(IF(LEFT(C489,2)="13",DATE(RIGHT(C489,4),12,31),IF(EOMONTH(C489,1)&gt;PREMISSAS!$C$3,"",IF(MONTH(C489)=11,"13º "&amp;YEAR(C489),EOMONTH(C489,1)))),"")</f>
        <v/>
      </c>
      <c r="D490" s="22">
        <f ca="1">VLOOKUP(C490,'Histórico de Remunerações'!$D$7:$E$656,2,FALSE)</f>
        <v>0</v>
      </c>
      <c r="E490" s="4" t="str">
        <f ca="1">IF(D490=0,"",IF(IF(ISTEXT(C490),DATE(RIGHT(C490,4),12,31),C490)&lt;PREMISSAS!$D$7,0,IFERROR(VLOOKUP(IF(LEFT(C490,2)="13",DATE(RIGHT(C490,4),12,31),C490),IPCA!$A$3:$D$284,4,FALSE),1)*D490))</f>
        <v/>
      </c>
      <c r="F490" s="4" t="str">
        <f ca="1">IF(C490="","",IFERROR(AVERAGEIF(E$5:$E490,"&gt;"&amp;_xlfn.PERCENTILE.EXC(E$5:$E490,0.2)),0))</f>
        <v/>
      </c>
    </row>
    <row r="491" spans="2:6" x14ac:dyDescent="0.25">
      <c r="B491" s="18">
        <v>487</v>
      </c>
      <c r="C491" s="21" t="str">
        <f ca="1">IFERROR(IF(LEFT(C490,2)="13",DATE(RIGHT(C490,4),12,31),IF(EOMONTH(C490,1)&gt;PREMISSAS!$C$3,"",IF(MONTH(C490)=11,"13º "&amp;YEAR(C490),EOMONTH(C490,1)))),"")</f>
        <v/>
      </c>
      <c r="D491" s="22">
        <f ca="1">VLOOKUP(C491,'Histórico de Remunerações'!$D$7:$E$656,2,FALSE)</f>
        <v>0</v>
      </c>
      <c r="E491" s="4" t="str">
        <f ca="1">IF(D491=0,"",IF(IF(ISTEXT(C491),DATE(RIGHT(C491,4),12,31),C491)&lt;PREMISSAS!$D$7,0,IFERROR(VLOOKUP(IF(LEFT(C491,2)="13",DATE(RIGHT(C491,4),12,31),C491),IPCA!$A$3:$D$284,4,FALSE),1)*D491))</f>
        <v/>
      </c>
      <c r="F491" s="4" t="str">
        <f ca="1">IF(C491="","",IFERROR(AVERAGEIF(E$5:$E491,"&gt;"&amp;_xlfn.PERCENTILE.EXC(E$5:$E491,0.2)),0))</f>
        <v/>
      </c>
    </row>
    <row r="492" spans="2:6" x14ac:dyDescent="0.25">
      <c r="B492" s="18">
        <v>488</v>
      </c>
      <c r="C492" s="21" t="str">
        <f ca="1">IFERROR(IF(LEFT(C491,2)="13",DATE(RIGHT(C491,4),12,31),IF(EOMONTH(C491,1)&gt;PREMISSAS!$C$3,"",IF(MONTH(C491)=11,"13º "&amp;YEAR(C491),EOMONTH(C491,1)))),"")</f>
        <v/>
      </c>
      <c r="D492" s="22">
        <f ca="1">VLOOKUP(C492,'Histórico de Remunerações'!$D$7:$E$656,2,FALSE)</f>
        <v>0</v>
      </c>
      <c r="E492" s="4" t="str">
        <f ca="1">IF(D492=0,"",IF(IF(ISTEXT(C492),DATE(RIGHT(C492,4),12,31),C492)&lt;PREMISSAS!$D$7,0,IFERROR(VLOOKUP(IF(LEFT(C492,2)="13",DATE(RIGHT(C492,4),12,31),C492),IPCA!$A$3:$D$284,4,FALSE),1)*D492))</f>
        <v/>
      </c>
      <c r="F492" s="4" t="str">
        <f ca="1">IF(C492="","",IFERROR(AVERAGEIF(E$5:$E492,"&gt;"&amp;_xlfn.PERCENTILE.EXC(E$5:$E492,0.2)),0))</f>
        <v/>
      </c>
    </row>
    <row r="493" spans="2:6" x14ac:dyDescent="0.25">
      <c r="B493" s="18">
        <v>489</v>
      </c>
      <c r="C493" s="21" t="str">
        <f ca="1">IFERROR(IF(LEFT(C492,2)="13",DATE(RIGHT(C492,4),12,31),IF(EOMONTH(C492,1)&gt;PREMISSAS!$C$3,"",IF(MONTH(C492)=11,"13º "&amp;YEAR(C492),EOMONTH(C492,1)))),"")</f>
        <v/>
      </c>
      <c r="D493" s="22">
        <f ca="1">VLOOKUP(C493,'Histórico de Remunerações'!$D$7:$E$656,2,FALSE)</f>
        <v>0</v>
      </c>
      <c r="E493" s="4" t="str">
        <f ca="1">IF(D493=0,"",IF(IF(ISTEXT(C493),DATE(RIGHT(C493,4),12,31),C493)&lt;PREMISSAS!$D$7,0,IFERROR(VLOOKUP(IF(LEFT(C493,2)="13",DATE(RIGHT(C493,4),12,31),C493),IPCA!$A$3:$D$284,4,FALSE),1)*D493))</f>
        <v/>
      </c>
      <c r="F493" s="4" t="str">
        <f ca="1">IF(C493="","",IFERROR(AVERAGEIF(E$5:$E493,"&gt;"&amp;_xlfn.PERCENTILE.EXC(E$5:$E493,0.2)),0))</f>
        <v/>
      </c>
    </row>
    <row r="494" spans="2:6" x14ac:dyDescent="0.25">
      <c r="B494" s="18">
        <v>490</v>
      </c>
      <c r="C494" s="21" t="str">
        <f ca="1">IFERROR(IF(LEFT(C493,2)="13",DATE(RIGHT(C493,4),12,31),IF(EOMONTH(C493,1)&gt;PREMISSAS!$C$3,"",IF(MONTH(C493)=11,"13º "&amp;YEAR(C493),EOMONTH(C493,1)))),"")</f>
        <v/>
      </c>
      <c r="D494" s="22">
        <f ca="1">VLOOKUP(C494,'Histórico de Remunerações'!$D$7:$E$656,2,FALSE)</f>
        <v>0</v>
      </c>
      <c r="E494" s="4" t="str">
        <f ca="1">IF(D494=0,"",IF(IF(ISTEXT(C494),DATE(RIGHT(C494,4),12,31),C494)&lt;PREMISSAS!$D$7,0,IFERROR(VLOOKUP(IF(LEFT(C494,2)="13",DATE(RIGHT(C494,4),12,31),C494),IPCA!$A$3:$D$284,4,FALSE),1)*D494))</f>
        <v/>
      </c>
      <c r="F494" s="4" t="str">
        <f ca="1">IF(C494="","",IFERROR(AVERAGEIF(E$5:$E494,"&gt;"&amp;_xlfn.PERCENTILE.EXC(E$5:$E494,0.2)),0))</f>
        <v/>
      </c>
    </row>
    <row r="495" spans="2:6" x14ac:dyDescent="0.25">
      <c r="B495" s="18">
        <v>491</v>
      </c>
      <c r="C495" s="21" t="str">
        <f ca="1">IFERROR(IF(LEFT(C494,2)="13",DATE(RIGHT(C494,4),12,31),IF(EOMONTH(C494,1)&gt;PREMISSAS!$C$3,"",IF(MONTH(C494)=11,"13º "&amp;YEAR(C494),EOMONTH(C494,1)))),"")</f>
        <v/>
      </c>
      <c r="D495" s="22">
        <f ca="1">VLOOKUP(C495,'Histórico de Remunerações'!$D$7:$E$656,2,FALSE)</f>
        <v>0</v>
      </c>
      <c r="E495" s="4" t="str">
        <f ca="1">IF(D495=0,"",IF(IF(ISTEXT(C495),DATE(RIGHT(C495,4),12,31),C495)&lt;PREMISSAS!$D$7,0,IFERROR(VLOOKUP(IF(LEFT(C495,2)="13",DATE(RIGHT(C495,4),12,31),C495),IPCA!$A$3:$D$284,4,FALSE),1)*D495))</f>
        <v/>
      </c>
      <c r="F495" s="4" t="str">
        <f ca="1">IF(C495="","",IFERROR(AVERAGEIF(E$5:$E495,"&gt;"&amp;_xlfn.PERCENTILE.EXC(E$5:$E495,0.2)),0))</f>
        <v/>
      </c>
    </row>
    <row r="496" spans="2:6" x14ac:dyDescent="0.25">
      <c r="B496" s="18">
        <v>492</v>
      </c>
      <c r="C496" s="21" t="str">
        <f ca="1">IFERROR(IF(LEFT(C495,2)="13",DATE(RIGHT(C495,4),12,31),IF(EOMONTH(C495,1)&gt;PREMISSAS!$C$3,"",IF(MONTH(C495)=11,"13º "&amp;YEAR(C495),EOMONTH(C495,1)))),"")</f>
        <v/>
      </c>
      <c r="D496" s="22">
        <f ca="1">VLOOKUP(C496,'Histórico de Remunerações'!$D$7:$E$656,2,FALSE)</f>
        <v>0</v>
      </c>
      <c r="E496" s="4" t="str">
        <f ca="1">IF(D496=0,"",IF(IF(ISTEXT(C496),DATE(RIGHT(C496,4),12,31),C496)&lt;PREMISSAS!$D$7,0,IFERROR(VLOOKUP(IF(LEFT(C496,2)="13",DATE(RIGHT(C496,4),12,31),C496),IPCA!$A$3:$D$284,4,FALSE),1)*D496))</f>
        <v/>
      </c>
      <c r="F496" s="4" t="str">
        <f ca="1">IF(C496="","",IFERROR(AVERAGEIF(E$5:$E496,"&gt;"&amp;_xlfn.PERCENTILE.EXC(E$5:$E496,0.2)),0))</f>
        <v/>
      </c>
    </row>
    <row r="497" spans="2:6" x14ac:dyDescent="0.25">
      <c r="B497" s="18">
        <v>493</v>
      </c>
      <c r="C497" s="21" t="str">
        <f ca="1">IFERROR(IF(LEFT(C496,2)="13",DATE(RIGHT(C496,4),12,31),IF(EOMONTH(C496,1)&gt;PREMISSAS!$C$3,"",IF(MONTH(C496)=11,"13º "&amp;YEAR(C496),EOMONTH(C496,1)))),"")</f>
        <v/>
      </c>
      <c r="D497" s="22">
        <f ca="1">VLOOKUP(C497,'Histórico de Remunerações'!$D$7:$E$656,2,FALSE)</f>
        <v>0</v>
      </c>
      <c r="E497" s="4" t="str">
        <f ca="1">IF(D497=0,"",IF(IF(ISTEXT(C497),DATE(RIGHT(C497,4),12,31),C497)&lt;PREMISSAS!$D$7,0,IFERROR(VLOOKUP(IF(LEFT(C497,2)="13",DATE(RIGHT(C497,4),12,31),C497),IPCA!$A$3:$D$284,4,FALSE),1)*D497))</f>
        <v/>
      </c>
      <c r="F497" s="4" t="str">
        <f ca="1">IF(C497="","",IFERROR(AVERAGEIF(E$5:$E497,"&gt;"&amp;_xlfn.PERCENTILE.EXC(E$5:$E497,0.2)),0))</f>
        <v/>
      </c>
    </row>
    <row r="498" spans="2:6" x14ac:dyDescent="0.25">
      <c r="B498" s="18">
        <v>494</v>
      </c>
      <c r="C498" s="21" t="str">
        <f ca="1">IFERROR(IF(LEFT(C497,2)="13",DATE(RIGHT(C497,4),12,31),IF(EOMONTH(C497,1)&gt;PREMISSAS!$C$3,"",IF(MONTH(C497)=11,"13º "&amp;YEAR(C497),EOMONTH(C497,1)))),"")</f>
        <v/>
      </c>
      <c r="D498" s="22">
        <f ca="1">VLOOKUP(C498,'Histórico de Remunerações'!$D$7:$E$656,2,FALSE)</f>
        <v>0</v>
      </c>
      <c r="E498" s="4" t="str">
        <f ca="1">IF(D498=0,"",IF(IF(ISTEXT(C498),DATE(RIGHT(C498,4),12,31),C498)&lt;PREMISSAS!$D$7,0,IFERROR(VLOOKUP(IF(LEFT(C498,2)="13",DATE(RIGHT(C498,4),12,31),C498),IPCA!$A$3:$D$284,4,FALSE),1)*D498))</f>
        <v/>
      </c>
      <c r="F498" s="4" t="str">
        <f ca="1">IF(C498="","",IFERROR(AVERAGEIF(E$5:$E498,"&gt;"&amp;_xlfn.PERCENTILE.EXC(E$5:$E498,0.2)),0))</f>
        <v/>
      </c>
    </row>
    <row r="499" spans="2:6" x14ac:dyDescent="0.25">
      <c r="B499" s="18">
        <v>495</v>
      </c>
      <c r="C499" s="21" t="str">
        <f ca="1">IFERROR(IF(LEFT(C498,2)="13",DATE(RIGHT(C498,4),12,31),IF(EOMONTH(C498,1)&gt;PREMISSAS!$C$3,"",IF(MONTH(C498)=11,"13º "&amp;YEAR(C498),EOMONTH(C498,1)))),"")</f>
        <v/>
      </c>
      <c r="D499" s="22">
        <f ca="1">VLOOKUP(C499,'Histórico de Remunerações'!$D$7:$E$656,2,FALSE)</f>
        <v>0</v>
      </c>
      <c r="E499" s="4" t="str">
        <f ca="1">IF(D499=0,"",IF(IF(ISTEXT(C499),DATE(RIGHT(C499,4),12,31),C499)&lt;PREMISSAS!$D$7,0,IFERROR(VLOOKUP(IF(LEFT(C499,2)="13",DATE(RIGHT(C499,4),12,31),C499),IPCA!$A$3:$D$284,4,FALSE),1)*D499))</f>
        <v/>
      </c>
      <c r="F499" s="4" t="str">
        <f ca="1">IF(C499="","",IFERROR(AVERAGEIF(E$5:$E499,"&gt;"&amp;_xlfn.PERCENTILE.EXC(E$5:$E499,0.2)),0))</f>
        <v/>
      </c>
    </row>
    <row r="500" spans="2:6" x14ac:dyDescent="0.25">
      <c r="B500" s="18">
        <v>496</v>
      </c>
      <c r="C500" s="21" t="str">
        <f ca="1">IFERROR(IF(LEFT(C499,2)="13",DATE(RIGHT(C499,4),12,31),IF(EOMONTH(C499,1)&gt;PREMISSAS!$C$3,"",IF(MONTH(C499)=11,"13º "&amp;YEAR(C499),EOMONTH(C499,1)))),"")</f>
        <v/>
      </c>
      <c r="D500" s="22">
        <f ca="1">VLOOKUP(C500,'Histórico de Remunerações'!$D$7:$E$656,2,FALSE)</f>
        <v>0</v>
      </c>
      <c r="E500" s="4" t="str">
        <f ca="1">IF(D500=0,"",IF(IF(ISTEXT(C500),DATE(RIGHT(C500,4),12,31),C500)&lt;PREMISSAS!$D$7,0,IFERROR(VLOOKUP(IF(LEFT(C500,2)="13",DATE(RIGHT(C500,4),12,31),C500),IPCA!$A$3:$D$284,4,FALSE),1)*D500))</f>
        <v/>
      </c>
      <c r="F500" s="4" t="str">
        <f ca="1">IF(C500="","",IFERROR(AVERAGEIF(E$5:$E500,"&gt;"&amp;_xlfn.PERCENTILE.EXC(E$5:$E500,0.2)),0))</f>
        <v/>
      </c>
    </row>
    <row r="501" spans="2:6" x14ac:dyDescent="0.25">
      <c r="B501" s="18">
        <v>497</v>
      </c>
      <c r="C501" s="21" t="str">
        <f ca="1">IFERROR(IF(LEFT(C500,2)="13",DATE(RIGHT(C500,4),12,31),IF(EOMONTH(C500,1)&gt;PREMISSAS!$C$3,"",IF(MONTH(C500)=11,"13º "&amp;YEAR(C500),EOMONTH(C500,1)))),"")</f>
        <v/>
      </c>
      <c r="D501" s="22">
        <f ca="1">VLOOKUP(C501,'Histórico de Remunerações'!$D$7:$E$656,2,FALSE)</f>
        <v>0</v>
      </c>
      <c r="E501" s="4" t="str">
        <f ca="1">IF(D501=0,"",IF(IF(ISTEXT(C501),DATE(RIGHT(C501,4),12,31),C501)&lt;PREMISSAS!$D$7,0,IFERROR(VLOOKUP(IF(LEFT(C501,2)="13",DATE(RIGHT(C501,4),12,31),C501),IPCA!$A$3:$D$284,4,FALSE),1)*D501))</f>
        <v/>
      </c>
      <c r="F501" s="4" t="str">
        <f ca="1">IF(C501="","",IFERROR(AVERAGEIF(E$5:$E501,"&gt;"&amp;_xlfn.PERCENTILE.EXC(E$5:$E501,0.2)),0))</f>
        <v/>
      </c>
    </row>
    <row r="502" spans="2:6" x14ac:dyDescent="0.25">
      <c r="B502" s="18">
        <v>498</v>
      </c>
      <c r="C502" s="21" t="str">
        <f ca="1">IFERROR(IF(LEFT(C501,2)="13",DATE(RIGHT(C501,4),12,31),IF(EOMONTH(C501,1)&gt;PREMISSAS!$C$3,"",IF(MONTH(C501)=11,"13º "&amp;YEAR(C501),EOMONTH(C501,1)))),"")</f>
        <v/>
      </c>
      <c r="D502" s="22">
        <f ca="1">VLOOKUP(C502,'Histórico de Remunerações'!$D$7:$E$656,2,FALSE)</f>
        <v>0</v>
      </c>
      <c r="E502" s="4" t="str">
        <f ca="1">IF(D502=0,"",IF(IF(ISTEXT(C502),DATE(RIGHT(C502,4),12,31),C502)&lt;PREMISSAS!$D$7,0,IFERROR(VLOOKUP(IF(LEFT(C502,2)="13",DATE(RIGHT(C502,4),12,31),C502),IPCA!$A$3:$D$284,4,FALSE),1)*D502))</f>
        <v/>
      </c>
      <c r="F502" s="4" t="str">
        <f ca="1">IF(C502="","",IFERROR(AVERAGEIF(E$5:$E502,"&gt;"&amp;_xlfn.PERCENTILE.EXC(E$5:$E502,0.2)),0))</f>
        <v/>
      </c>
    </row>
    <row r="503" spans="2:6" x14ac:dyDescent="0.25">
      <c r="B503" s="18">
        <v>499</v>
      </c>
      <c r="C503" s="21" t="str">
        <f ca="1">IFERROR(IF(LEFT(C502,2)="13",DATE(RIGHT(C502,4),12,31),IF(EOMONTH(C502,1)&gt;PREMISSAS!$C$3,"",IF(MONTH(C502)=11,"13º "&amp;YEAR(C502),EOMONTH(C502,1)))),"")</f>
        <v/>
      </c>
      <c r="D503" s="22">
        <f ca="1">VLOOKUP(C503,'Histórico de Remunerações'!$D$7:$E$656,2,FALSE)</f>
        <v>0</v>
      </c>
      <c r="E503" s="4" t="str">
        <f ca="1">IF(D503=0,"",IF(IF(ISTEXT(C503),DATE(RIGHT(C503,4),12,31),C503)&lt;PREMISSAS!$D$7,0,IFERROR(VLOOKUP(IF(LEFT(C503,2)="13",DATE(RIGHT(C503,4),12,31),C503),IPCA!$A$3:$D$284,4,FALSE),1)*D503))</f>
        <v/>
      </c>
      <c r="F503" s="4" t="str">
        <f ca="1">IF(C503="","",IFERROR(AVERAGEIF(E$5:$E503,"&gt;"&amp;_xlfn.PERCENTILE.EXC(E$5:$E503,0.2)),0))</f>
        <v/>
      </c>
    </row>
    <row r="504" spans="2:6" x14ac:dyDescent="0.25">
      <c r="B504" s="18">
        <v>500</v>
      </c>
      <c r="C504" s="21" t="str">
        <f ca="1">IFERROR(IF(LEFT(C503,2)="13",DATE(RIGHT(C503,4),12,31),IF(EOMONTH(C503,1)&gt;PREMISSAS!$C$3,"",IF(MONTH(C503)=11,"13º "&amp;YEAR(C503),EOMONTH(C503,1)))),"")</f>
        <v/>
      </c>
      <c r="D504" s="22">
        <f ca="1">VLOOKUP(C504,'Histórico de Remunerações'!$D$7:$E$656,2,FALSE)</f>
        <v>0</v>
      </c>
      <c r="E504" s="4" t="str">
        <f ca="1">IF(D504=0,"",IF(IF(ISTEXT(C504),DATE(RIGHT(C504,4),12,31),C504)&lt;PREMISSAS!$D$7,0,IFERROR(VLOOKUP(IF(LEFT(C504,2)="13",DATE(RIGHT(C504,4),12,31),C504),IPCA!$A$3:$D$284,4,FALSE),1)*D504))</f>
        <v/>
      </c>
      <c r="F504" s="4" t="str">
        <f ca="1">IF(C504="","",IFERROR(AVERAGEIF(E$5:$E504,"&gt;"&amp;_xlfn.PERCENTILE.EXC(E$5:$E504,0.2)),0))</f>
        <v/>
      </c>
    </row>
    <row r="505" spans="2:6" x14ac:dyDescent="0.25">
      <c r="B505" s="18">
        <v>501</v>
      </c>
      <c r="C505" s="21" t="str">
        <f ca="1">IFERROR(IF(LEFT(C504,2)="13",DATE(RIGHT(C504,4),12,31),IF(EOMONTH(C504,1)&gt;PREMISSAS!$C$3,"",IF(MONTH(C504)=11,"13º "&amp;YEAR(C504),EOMONTH(C504,1)))),"")</f>
        <v/>
      </c>
      <c r="D505" s="22">
        <f ca="1">VLOOKUP(C505,'Histórico de Remunerações'!$D$7:$E$656,2,FALSE)</f>
        <v>0</v>
      </c>
      <c r="E505" s="4" t="str">
        <f ca="1">IF(D505=0,"",IF(IF(ISTEXT(C505),DATE(RIGHT(C505,4),12,31),C505)&lt;PREMISSAS!$D$7,0,IFERROR(VLOOKUP(IF(LEFT(C505,2)="13",DATE(RIGHT(C505,4),12,31),C505),IPCA!$A$3:$D$284,4,FALSE),1)*D505))</f>
        <v/>
      </c>
      <c r="F505" s="4" t="str">
        <f ca="1">IF(C505="","",IFERROR(AVERAGEIF(E$5:$E505,"&gt;"&amp;_xlfn.PERCENTILE.EXC(E$5:$E505,0.2)),0))</f>
        <v/>
      </c>
    </row>
    <row r="506" spans="2:6" x14ac:dyDescent="0.25">
      <c r="B506" s="18">
        <v>502</v>
      </c>
      <c r="C506" s="21" t="str">
        <f ca="1">IFERROR(IF(LEFT(C505,2)="13",DATE(RIGHT(C505,4),12,31),IF(EOMONTH(C505,1)&gt;PREMISSAS!$C$3,"",IF(MONTH(C505)=11,"13º "&amp;YEAR(C505),EOMONTH(C505,1)))),"")</f>
        <v/>
      </c>
      <c r="D506" s="22">
        <f ca="1">VLOOKUP(C506,'Histórico de Remunerações'!$D$7:$E$656,2,FALSE)</f>
        <v>0</v>
      </c>
      <c r="E506" s="4" t="str">
        <f ca="1">IF(D506=0,"",IF(IF(ISTEXT(C506),DATE(RIGHT(C506,4),12,31),C506)&lt;PREMISSAS!$D$7,0,IFERROR(VLOOKUP(IF(LEFT(C506,2)="13",DATE(RIGHT(C506,4),12,31),C506),IPCA!$A$3:$D$284,4,FALSE),1)*D506))</f>
        <v/>
      </c>
      <c r="F506" s="4" t="str">
        <f ca="1">IF(C506="","",IFERROR(AVERAGEIF(E$5:$E506,"&gt;"&amp;_xlfn.PERCENTILE.EXC(E$5:$E506,0.2)),0))</f>
        <v/>
      </c>
    </row>
    <row r="507" spans="2:6" x14ac:dyDescent="0.25">
      <c r="B507" s="18">
        <v>503</v>
      </c>
      <c r="C507" s="21" t="str">
        <f ca="1">IFERROR(IF(LEFT(C506,2)="13",DATE(RIGHT(C506,4),12,31),IF(EOMONTH(C506,1)&gt;PREMISSAS!$C$3,"",IF(MONTH(C506)=11,"13º "&amp;YEAR(C506),EOMONTH(C506,1)))),"")</f>
        <v/>
      </c>
      <c r="D507" s="22">
        <f ca="1">VLOOKUP(C507,'Histórico de Remunerações'!$D$7:$E$656,2,FALSE)</f>
        <v>0</v>
      </c>
      <c r="E507" s="4" t="str">
        <f ca="1">IF(D507=0,"",IF(IF(ISTEXT(C507),DATE(RIGHT(C507,4),12,31),C507)&lt;PREMISSAS!$D$7,0,IFERROR(VLOOKUP(IF(LEFT(C507,2)="13",DATE(RIGHT(C507,4),12,31),C507),IPCA!$A$3:$D$284,4,FALSE),1)*D507))</f>
        <v/>
      </c>
      <c r="F507" s="4" t="str">
        <f ca="1">IF(C507="","",IFERROR(AVERAGEIF(E$5:$E507,"&gt;"&amp;_xlfn.PERCENTILE.EXC(E$5:$E507,0.2)),0))</f>
        <v/>
      </c>
    </row>
    <row r="508" spans="2:6" x14ac:dyDescent="0.25">
      <c r="B508" s="18">
        <v>504</v>
      </c>
      <c r="C508" s="21" t="str">
        <f ca="1">IFERROR(IF(LEFT(C507,2)="13",DATE(RIGHT(C507,4),12,31),IF(EOMONTH(C507,1)&gt;PREMISSAS!$C$3,"",IF(MONTH(C507)=11,"13º "&amp;YEAR(C507),EOMONTH(C507,1)))),"")</f>
        <v/>
      </c>
      <c r="D508" s="22">
        <f ca="1">VLOOKUP(C508,'Histórico de Remunerações'!$D$7:$E$656,2,FALSE)</f>
        <v>0</v>
      </c>
      <c r="E508" s="4" t="str">
        <f ca="1">IF(D508=0,"",IF(IF(ISTEXT(C508),DATE(RIGHT(C508,4),12,31),C508)&lt;PREMISSAS!$D$7,0,IFERROR(VLOOKUP(IF(LEFT(C508,2)="13",DATE(RIGHT(C508,4),12,31),C508),IPCA!$A$3:$D$284,4,FALSE),1)*D508))</f>
        <v/>
      </c>
      <c r="F508" s="4" t="str">
        <f ca="1">IF(C508="","",IFERROR(AVERAGEIF(E$5:$E508,"&gt;"&amp;_xlfn.PERCENTILE.EXC(E$5:$E508,0.2)),0))</f>
        <v/>
      </c>
    </row>
    <row r="509" spans="2:6" x14ac:dyDescent="0.25">
      <c r="B509" s="18">
        <v>505</v>
      </c>
      <c r="C509" s="21" t="str">
        <f ca="1">IFERROR(IF(LEFT(C508,2)="13",DATE(RIGHT(C508,4),12,31),IF(EOMONTH(C508,1)&gt;PREMISSAS!$C$3,"",IF(MONTH(C508)=11,"13º "&amp;YEAR(C508),EOMONTH(C508,1)))),"")</f>
        <v/>
      </c>
      <c r="D509" s="22">
        <f ca="1">VLOOKUP(C509,'Histórico de Remunerações'!$D$7:$E$656,2,FALSE)</f>
        <v>0</v>
      </c>
      <c r="E509" s="4" t="str">
        <f ca="1">IF(D509=0,"",IF(IF(ISTEXT(C509),DATE(RIGHT(C509,4),12,31),C509)&lt;PREMISSAS!$D$7,0,IFERROR(VLOOKUP(IF(LEFT(C509,2)="13",DATE(RIGHT(C509,4),12,31),C509),IPCA!$A$3:$D$284,4,FALSE),1)*D509))</f>
        <v/>
      </c>
      <c r="F509" s="4" t="str">
        <f ca="1">IF(C509="","",IFERROR(AVERAGEIF(E$5:$E509,"&gt;"&amp;_xlfn.PERCENTILE.EXC(E$5:$E509,0.2)),0))</f>
        <v/>
      </c>
    </row>
    <row r="510" spans="2:6" x14ac:dyDescent="0.25">
      <c r="B510" s="18">
        <v>506</v>
      </c>
      <c r="C510" s="21" t="str">
        <f ca="1">IFERROR(IF(LEFT(C509,2)="13",DATE(RIGHT(C509,4),12,31),IF(EOMONTH(C509,1)&gt;PREMISSAS!$C$3,"",IF(MONTH(C509)=11,"13º "&amp;YEAR(C509),EOMONTH(C509,1)))),"")</f>
        <v/>
      </c>
      <c r="D510" s="22">
        <f ca="1">VLOOKUP(C510,'Histórico de Remunerações'!$D$7:$E$656,2,FALSE)</f>
        <v>0</v>
      </c>
      <c r="E510" s="4" t="str">
        <f ca="1">IF(D510=0,"",IF(IF(ISTEXT(C510),DATE(RIGHT(C510,4),12,31),C510)&lt;PREMISSAS!$D$7,0,IFERROR(VLOOKUP(IF(LEFT(C510,2)="13",DATE(RIGHT(C510,4),12,31),C510),IPCA!$A$3:$D$284,4,FALSE),1)*D510))</f>
        <v/>
      </c>
      <c r="F510" s="4" t="str">
        <f ca="1">IF(C510="","",IFERROR(AVERAGEIF(E$5:$E510,"&gt;"&amp;_xlfn.PERCENTILE.EXC(E$5:$E510,0.2)),0))</f>
        <v/>
      </c>
    </row>
    <row r="511" spans="2:6" x14ac:dyDescent="0.25">
      <c r="B511" s="18">
        <v>507</v>
      </c>
      <c r="C511" s="21" t="str">
        <f ca="1">IFERROR(IF(LEFT(C510,2)="13",DATE(RIGHT(C510,4),12,31),IF(EOMONTH(C510,1)&gt;PREMISSAS!$C$3,"",IF(MONTH(C510)=11,"13º "&amp;YEAR(C510),EOMONTH(C510,1)))),"")</f>
        <v/>
      </c>
      <c r="D511" s="22">
        <f ca="1">VLOOKUP(C511,'Histórico de Remunerações'!$D$7:$E$656,2,FALSE)</f>
        <v>0</v>
      </c>
      <c r="E511" s="4" t="str">
        <f ca="1">IF(D511=0,"",IF(IF(ISTEXT(C511),DATE(RIGHT(C511,4),12,31),C511)&lt;PREMISSAS!$D$7,0,IFERROR(VLOOKUP(IF(LEFT(C511,2)="13",DATE(RIGHT(C511,4),12,31),C511),IPCA!$A$3:$D$284,4,FALSE),1)*D511))</f>
        <v/>
      </c>
      <c r="F511" s="4" t="str">
        <f ca="1">IF(C511="","",IFERROR(AVERAGEIF(E$5:$E511,"&gt;"&amp;_xlfn.PERCENTILE.EXC(E$5:$E511,0.2)),0))</f>
        <v/>
      </c>
    </row>
    <row r="512" spans="2:6" x14ac:dyDescent="0.25">
      <c r="B512" s="18">
        <v>508</v>
      </c>
      <c r="C512" s="21" t="str">
        <f ca="1">IFERROR(IF(LEFT(C511,2)="13",DATE(RIGHT(C511,4),12,31),IF(EOMONTH(C511,1)&gt;PREMISSAS!$C$3,"",IF(MONTH(C511)=11,"13º "&amp;YEAR(C511),EOMONTH(C511,1)))),"")</f>
        <v/>
      </c>
      <c r="D512" s="22">
        <f ca="1">VLOOKUP(C512,'Histórico de Remunerações'!$D$7:$E$656,2,FALSE)</f>
        <v>0</v>
      </c>
      <c r="E512" s="4" t="str">
        <f ca="1">IF(D512=0,"",IF(IF(ISTEXT(C512),DATE(RIGHT(C512,4),12,31),C512)&lt;PREMISSAS!$D$7,0,IFERROR(VLOOKUP(IF(LEFT(C512,2)="13",DATE(RIGHT(C512,4),12,31),C512),IPCA!$A$3:$D$284,4,FALSE),1)*D512))</f>
        <v/>
      </c>
      <c r="F512" s="4" t="str">
        <f ca="1">IF(C512="","",IFERROR(AVERAGEIF(E$5:$E512,"&gt;"&amp;_xlfn.PERCENTILE.EXC(E$5:$E512,0.2)),0))</f>
        <v/>
      </c>
    </row>
    <row r="513" spans="2:6" x14ac:dyDescent="0.25">
      <c r="B513" s="18">
        <v>509</v>
      </c>
      <c r="C513" s="21" t="str">
        <f ca="1">IFERROR(IF(LEFT(C512,2)="13",DATE(RIGHT(C512,4),12,31),IF(EOMONTH(C512,1)&gt;PREMISSAS!$C$3,"",IF(MONTH(C512)=11,"13º "&amp;YEAR(C512),EOMONTH(C512,1)))),"")</f>
        <v/>
      </c>
      <c r="D513" s="22">
        <f ca="1">VLOOKUP(C513,'Histórico de Remunerações'!$D$7:$E$656,2,FALSE)</f>
        <v>0</v>
      </c>
      <c r="E513" s="4" t="str">
        <f ca="1">IF(D513=0,"",IF(IF(ISTEXT(C513),DATE(RIGHT(C513,4),12,31),C513)&lt;PREMISSAS!$D$7,0,IFERROR(VLOOKUP(IF(LEFT(C513,2)="13",DATE(RIGHT(C513,4),12,31),C513),IPCA!$A$3:$D$284,4,FALSE),1)*D513))</f>
        <v/>
      </c>
      <c r="F513" s="4" t="str">
        <f ca="1">IF(C513="","",IFERROR(AVERAGEIF(E$5:$E513,"&gt;"&amp;_xlfn.PERCENTILE.EXC(E$5:$E513,0.2)),0))</f>
        <v/>
      </c>
    </row>
    <row r="514" spans="2:6" x14ac:dyDescent="0.25">
      <c r="B514" s="18">
        <v>510</v>
      </c>
      <c r="C514" s="21" t="str">
        <f ca="1">IFERROR(IF(LEFT(C513,2)="13",DATE(RIGHT(C513,4),12,31),IF(EOMONTH(C513,1)&gt;PREMISSAS!$C$3,"",IF(MONTH(C513)=11,"13º "&amp;YEAR(C513),EOMONTH(C513,1)))),"")</f>
        <v/>
      </c>
      <c r="D514" s="22">
        <f ca="1">VLOOKUP(C514,'Histórico de Remunerações'!$D$7:$E$656,2,FALSE)</f>
        <v>0</v>
      </c>
      <c r="E514" s="4" t="str">
        <f ca="1">IF(D514=0,"",IF(IF(ISTEXT(C514),DATE(RIGHT(C514,4),12,31),C514)&lt;PREMISSAS!$D$7,0,IFERROR(VLOOKUP(IF(LEFT(C514,2)="13",DATE(RIGHT(C514,4),12,31),C514),IPCA!$A$3:$D$284,4,FALSE),1)*D514))</f>
        <v/>
      </c>
      <c r="F514" s="4" t="str">
        <f ca="1">IF(C514="","",IFERROR(AVERAGEIF(E$5:$E514,"&gt;"&amp;_xlfn.PERCENTILE.EXC(E$5:$E514,0.2)),0))</f>
        <v/>
      </c>
    </row>
    <row r="515" spans="2:6" x14ac:dyDescent="0.25">
      <c r="B515" s="18">
        <v>511</v>
      </c>
      <c r="C515" s="21" t="str">
        <f ca="1">IFERROR(IF(LEFT(C514,2)="13",DATE(RIGHT(C514,4),12,31),IF(EOMONTH(C514,1)&gt;PREMISSAS!$C$3,"",IF(MONTH(C514)=11,"13º "&amp;YEAR(C514),EOMONTH(C514,1)))),"")</f>
        <v/>
      </c>
      <c r="D515" s="22">
        <f ca="1">VLOOKUP(C515,'Histórico de Remunerações'!$D$7:$E$656,2,FALSE)</f>
        <v>0</v>
      </c>
      <c r="E515" s="4" t="str">
        <f ca="1">IF(D515=0,"",IF(IF(ISTEXT(C515),DATE(RIGHT(C515,4),12,31),C515)&lt;PREMISSAS!$D$7,0,IFERROR(VLOOKUP(IF(LEFT(C515,2)="13",DATE(RIGHT(C515,4),12,31),C515),IPCA!$A$3:$D$284,4,FALSE),1)*D515))</f>
        <v/>
      </c>
      <c r="F515" s="4" t="str">
        <f ca="1">IF(C515="","",IFERROR(AVERAGEIF(E$5:$E515,"&gt;"&amp;_xlfn.PERCENTILE.EXC(E$5:$E515,0.2)),0))</f>
        <v/>
      </c>
    </row>
    <row r="516" spans="2:6" x14ac:dyDescent="0.25">
      <c r="B516" s="18">
        <v>512</v>
      </c>
      <c r="C516" s="21" t="str">
        <f ca="1">IFERROR(IF(LEFT(C515,2)="13",DATE(RIGHT(C515,4),12,31),IF(EOMONTH(C515,1)&gt;PREMISSAS!$C$3,"",IF(MONTH(C515)=11,"13º "&amp;YEAR(C515),EOMONTH(C515,1)))),"")</f>
        <v/>
      </c>
      <c r="D516" s="22">
        <f ca="1">VLOOKUP(C516,'Histórico de Remunerações'!$D$7:$E$656,2,FALSE)</f>
        <v>0</v>
      </c>
      <c r="E516" s="4" t="str">
        <f ca="1">IF(D516=0,"",IF(IF(ISTEXT(C516),DATE(RIGHT(C516,4),12,31),C516)&lt;PREMISSAS!$D$7,0,IFERROR(VLOOKUP(IF(LEFT(C516,2)="13",DATE(RIGHT(C516,4),12,31),C516),IPCA!$A$3:$D$284,4,FALSE),1)*D516))</f>
        <v/>
      </c>
      <c r="F516" s="4" t="str">
        <f ca="1">IF(C516="","",IFERROR(AVERAGEIF(E$5:$E516,"&gt;"&amp;_xlfn.PERCENTILE.EXC(E$5:$E516,0.2)),0))</f>
        <v/>
      </c>
    </row>
    <row r="517" spans="2:6" x14ac:dyDescent="0.25">
      <c r="B517" s="18">
        <v>513</v>
      </c>
      <c r="C517" s="21" t="str">
        <f ca="1">IFERROR(IF(LEFT(C516,2)="13",DATE(RIGHT(C516,4),12,31),IF(EOMONTH(C516,1)&gt;PREMISSAS!$C$3,"",IF(MONTH(C516)=11,"13º "&amp;YEAR(C516),EOMONTH(C516,1)))),"")</f>
        <v/>
      </c>
      <c r="D517" s="22">
        <f ca="1">VLOOKUP(C517,'Histórico de Remunerações'!$D$7:$E$656,2,FALSE)</f>
        <v>0</v>
      </c>
      <c r="E517" s="4" t="str">
        <f ca="1">IF(D517=0,"",IF(IF(ISTEXT(C517),DATE(RIGHT(C517,4),12,31),C517)&lt;PREMISSAS!$D$7,0,IFERROR(VLOOKUP(IF(LEFT(C517,2)="13",DATE(RIGHT(C517,4),12,31),C517),IPCA!$A$3:$D$284,4,FALSE),1)*D517))</f>
        <v/>
      </c>
      <c r="F517" s="4" t="str">
        <f ca="1">IF(C517="","",IFERROR(AVERAGEIF(E$5:$E517,"&gt;"&amp;_xlfn.PERCENTILE.EXC(E$5:$E517,0.2)),0))</f>
        <v/>
      </c>
    </row>
    <row r="518" spans="2:6" x14ac:dyDescent="0.25">
      <c r="B518" s="18">
        <v>514</v>
      </c>
      <c r="C518" s="21" t="str">
        <f ca="1">IFERROR(IF(LEFT(C517,2)="13",DATE(RIGHT(C517,4),12,31),IF(EOMONTH(C517,1)&gt;PREMISSAS!$C$3,"",IF(MONTH(C517)=11,"13º "&amp;YEAR(C517),EOMONTH(C517,1)))),"")</f>
        <v/>
      </c>
      <c r="D518" s="22">
        <f ca="1">VLOOKUP(C518,'Histórico de Remunerações'!$D$7:$E$656,2,FALSE)</f>
        <v>0</v>
      </c>
      <c r="E518" s="4" t="str">
        <f ca="1">IF(D518=0,"",IF(IF(ISTEXT(C518),DATE(RIGHT(C518,4),12,31),C518)&lt;PREMISSAS!$D$7,0,IFERROR(VLOOKUP(IF(LEFT(C518,2)="13",DATE(RIGHT(C518,4),12,31),C518),IPCA!$A$3:$D$284,4,FALSE),1)*D518))</f>
        <v/>
      </c>
      <c r="F518" s="4" t="str">
        <f ca="1">IF(C518="","",IFERROR(AVERAGEIF(E$5:$E518,"&gt;"&amp;_xlfn.PERCENTILE.EXC(E$5:$E518,0.2)),0))</f>
        <v/>
      </c>
    </row>
    <row r="519" spans="2:6" x14ac:dyDescent="0.25">
      <c r="B519" s="18">
        <v>515</v>
      </c>
      <c r="C519" s="21" t="str">
        <f ca="1">IFERROR(IF(LEFT(C518,2)="13",DATE(RIGHT(C518,4),12,31),IF(EOMONTH(C518,1)&gt;PREMISSAS!$C$3,"",IF(MONTH(C518)=11,"13º "&amp;YEAR(C518),EOMONTH(C518,1)))),"")</f>
        <v/>
      </c>
      <c r="D519" s="22">
        <f ca="1">VLOOKUP(C519,'Histórico de Remunerações'!$D$7:$E$656,2,FALSE)</f>
        <v>0</v>
      </c>
      <c r="E519" s="4" t="str">
        <f ca="1">IF(D519=0,"",IF(IF(ISTEXT(C519),DATE(RIGHT(C519,4),12,31),C519)&lt;PREMISSAS!$D$7,0,IFERROR(VLOOKUP(IF(LEFT(C519,2)="13",DATE(RIGHT(C519,4),12,31),C519),IPCA!$A$3:$D$284,4,FALSE),1)*D519))</f>
        <v/>
      </c>
      <c r="F519" s="4" t="str">
        <f ca="1">IF(C519="","",IFERROR(AVERAGEIF(E$5:$E519,"&gt;"&amp;_xlfn.PERCENTILE.EXC(E$5:$E519,0.2)),0))</f>
        <v/>
      </c>
    </row>
    <row r="520" spans="2:6" x14ac:dyDescent="0.25">
      <c r="B520" s="18">
        <v>516</v>
      </c>
      <c r="C520" s="21" t="str">
        <f ca="1">IFERROR(IF(LEFT(C519,2)="13",DATE(RIGHT(C519,4),12,31),IF(EOMONTH(C519,1)&gt;PREMISSAS!$C$3,"",IF(MONTH(C519)=11,"13º "&amp;YEAR(C519),EOMONTH(C519,1)))),"")</f>
        <v/>
      </c>
      <c r="D520" s="22">
        <f ca="1">VLOOKUP(C520,'Histórico de Remunerações'!$D$7:$E$656,2,FALSE)</f>
        <v>0</v>
      </c>
      <c r="E520" s="4" t="str">
        <f ca="1">IF(D520=0,"",IF(IF(ISTEXT(C520),DATE(RIGHT(C520,4),12,31),C520)&lt;PREMISSAS!$D$7,0,IFERROR(VLOOKUP(IF(LEFT(C520,2)="13",DATE(RIGHT(C520,4),12,31),C520),IPCA!$A$3:$D$284,4,FALSE),1)*D520))</f>
        <v/>
      </c>
      <c r="F520" s="4" t="str">
        <f ca="1">IF(C520="","",IFERROR(AVERAGEIF(E$5:$E520,"&gt;"&amp;_xlfn.PERCENTILE.EXC(E$5:$E520,0.2)),0))</f>
        <v/>
      </c>
    </row>
    <row r="521" spans="2:6" x14ac:dyDescent="0.25">
      <c r="B521" s="18">
        <v>517</v>
      </c>
      <c r="C521" s="21" t="str">
        <f ca="1">IFERROR(IF(LEFT(C520,2)="13",DATE(RIGHT(C520,4),12,31),IF(EOMONTH(C520,1)&gt;PREMISSAS!$C$3,"",IF(MONTH(C520)=11,"13º "&amp;YEAR(C520),EOMONTH(C520,1)))),"")</f>
        <v/>
      </c>
      <c r="D521" s="22">
        <f ca="1">VLOOKUP(C521,'Histórico de Remunerações'!$D$7:$E$656,2,FALSE)</f>
        <v>0</v>
      </c>
      <c r="E521" s="4" t="str">
        <f ca="1">IF(D521=0,"",IF(IF(ISTEXT(C521),DATE(RIGHT(C521,4),12,31),C521)&lt;PREMISSAS!$D$7,0,IFERROR(VLOOKUP(IF(LEFT(C521,2)="13",DATE(RIGHT(C521,4),12,31),C521),IPCA!$A$3:$D$284,4,FALSE),1)*D521))</f>
        <v/>
      </c>
      <c r="F521" s="4" t="str">
        <f ca="1">IF(C521="","",IFERROR(AVERAGEIF(E$5:$E521,"&gt;"&amp;_xlfn.PERCENTILE.EXC(E$5:$E521,0.2)),0))</f>
        <v/>
      </c>
    </row>
    <row r="522" spans="2:6" x14ac:dyDescent="0.25">
      <c r="B522" s="18">
        <v>518</v>
      </c>
      <c r="C522" s="21" t="str">
        <f ca="1">IFERROR(IF(LEFT(C521,2)="13",DATE(RIGHT(C521,4),12,31),IF(EOMONTH(C521,1)&gt;PREMISSAS!$C$3,"",IF(MONTH(C521)=11,"13º "&amp;YEAR(C521),EOMONTH(C521,1)))),"")</f>
        <v/>
      </c>
      <c r="D522" s="22">
        <f ca="1">VLOOKUP(C522,'Histórico de Remunerações'!$D$7:$E$656,2,FALSE)</f>
        <v>0</v>
      </c>
      <c r="E522" s="4" t="str">
        <f ca="1">IF(D522=0,"",IF(IF(ISTEXT(C522),DATE(RIGHT(C522,4),12,31),C522)&lt;PREMISSAS!$D$7,0,IFERROR(VLOOKUP(IF(LEFT(C522,2)="13",DATE(RIGHT(C522,4),12,31),C522),IPCA!$A$3:$D$284,4,FALSE),1)*D522))</f>
        <v/>
      </c>
      <c r="F522" s="4" t="str">
        <f ca="1">IF(C522="","",IFERROR(AVERAGEIF(E$5:$E522,"&gt;"&amp;_xlfn.PERCENTILE.EXC(E$5:$E522,0.2)),0))</f>
        <v/>
      </c>
    </row>
    <row r="523" spans="2:6" x14ac:dyDescent="0.25">
      <c r="B523" s="18">
        <v>519</v>
      </c>
      <c r="C523" s="21" t="str">
        <f ca="1">IFERROR(IF(LEFT(C522,2)="13",DATE(RIGHT(C522,4),12,31),IF(EOMONTH(C522,1)&gt;PREMISSAS!$C$3,"",IF(MONTH(C522)=11,"13º "&amp;YEAR(C522),EOMONTH(C522,1)))),"")</f>
        <v/>
      </c>
      <c r="D523" s="22">
        <f ca="1">VLOOKUP(C523,'Histórico de Remunerações'!$D$7:$E$656,2,FALSE)</f>
        <v>0</v>
      </c>
      <c r="E523" s="4" t="str">
        <f ca="1">IF(D523=0,"",IF(IF(ISTEXT(C523),DATE(RIGHT(C523,4),12,31),C523)&lt;PREMISSAS!$D$7,0,IFERROR(VLOOKUP(IF(LEFT(C523,2)="13",DATE(RIGHT(C523,4),12,31),C523),IPCA!$A$3:$D$284,4,FALSE),1)*D523))</f>
        <v/>
      </c>
      <c r="F523" s="4" t="str">
        <f ca="1">IF(C523="","",IFERROR(AVERAGEIF(E$5:$E523,"&gt;"&amp;_xlfn.PERCENTILE.EXC(E$5:$E523,0.2)),0))</f>
        <v/>
      </c>
    </row>
    <row r="524" spans="2:6" x14ac:dyDescent="0.25">
      <c r="B524" s="18">
        <v>520</v>
      </c>
      <c r="C524" s="21" t="str">
        <f ca="1">IFERROR(IF(LEFT(C523,2)="13",DATE(RIGHT(C523,4),12,31),IF(EOMONTH(C523,1)&gt;PREMISSAS!$C$3,"",IF(MONTH(C523)=11,"13º "&amp;YEAR(C523),EOMONTH(C523,1)))),"")</f>
        <v/>
      </c>
      <c r="D524" s="22">
        <f ca="1">VLOOKUP(C524,'Histórico de Remunerações'!$D$7:$E$656,2,FALSE)</f>
        <v>0</v>
      </c>
      <c r="E524" s="4" t="str">
        <f ca="1">IF(D524=0,"",IF(IF(ISTEXT(C524),DATE(RIGHT(C524,4),12,31),C524)&lt;PREMISSAS!$D$7,0,IFERROR(VLOOKUP(IF(LEFT(C524,2)="13",DATE(RIGHT(C524,4),12,31),C524),IPCA!$A$3:$D$284,4,FALSE),1)*D524))</f>
        <v/>
      </c>
      <c r="F524" s="4" t="str">
        <f ca="1">IF(C524="","",IFERROR(AVERAGEIF(E$5:$E524,"&gt;"&amp;_xlfn.PERCENTILE.EXC(E$5:$E524,0.2)),0))</f>
        <v/>
      </c>
    </row>
    <row r="525" spans="2:6" x14ac:dyDescent="0.25">
      <c r="B525" s="18">
        <v>521</v>
      </c>
      <c r="C525" s="21" t="str">
        <f ca="1">IFERROR(IF(LEFT(C524,2)="13",DATE(RIGHT(C524,4),12,31),IF(EOMONTH(C524,1)&gt;PREMISSAS!$C$3,"",IF(MONTH(C524)=11,"13º "&amp;YEAR(C524),EOMONTH(C524,1)))),"")</f>
        <v/>
      </c>
      <c r="D525" s="22">
        <f ca="1">VLOOKUP(C525,'Histórico de Remunerações'!$D$7:$E$656,2,FALSE)</f>
        <v>0</v>
      </c>
      <c r="E525" s="4" t="str">
        <f ca="1">IF(D525=0,"",IF(IF(ISTEXT(C525),DATE(RIGHT(C525,4),12,31),C525)&lt;PREMISSAS!$D$7,0,IFERROR(VLOOKUP(IF(LEFT(C525,2)="13",DATE(RIGHT(C525,4),12,31),C525),IPCA!$A$3:$D$284,4,FALSE),1)*D525))</f>
        <v/>
      </c>
      <c r="F525" s="4" t="str">
        <f ca="1">IF(C525="","",IFERROR(AVERAGEIF(E$5:$E525,"&gt;"&amp;_xlfn.PERCENTILE.EXC(E$5:$E525,0.2)),0))</f>
        <v/>
      </c>
    </row>
    <row r="526" spans="2:6" x14ac:dyDescent="0.25">
      <c r="B526" s="18">
        <v>522</v>
      </c>
      <c r="C526" s="21" t="str">
        <f ca="1">IFERROR(IF(LEFT(C525,2)="13",DATE(RIGHT(C525,4),12,31),IF(EOMONTH(C525,1)&gt;PREMISSAS!$C$3,"",IF(MONTH(C525)=11,"13º "&amp;YEAR(C525),EOMONTH(C525,1)))),"")</f>
        <v/>
      </c>
      <c r="D526" s="22">
        <f ca="1">VLOOKUP(C526,'Histórico de Remunerações'!$D$7:$E$656,2,FALSE)</f>
        <v>0</v>
      </c>
      <c r="E526" s="4" t="str">
        <f ca="1">IF(D526=0,"",IF(IF(ISTEXT(C526),DATE(RIGHT(C526,4),12,31),C526)&lt;PREMISSAS!$D$7,0,IFERROR(VLOOKUP(IF(LEFT(C526,2)="13",DATE(RIGHT(C526,4),12,31),C526),IPCA!$A$3:$D$284,4,FALSE),1)*D526))</f>
        <v/>
      </c>
      <c r="F526" s="4" t="str">
        <f ca="1">IF(C526="","",IFERROR(AVERAGEIF(E$5:$E526,"&gt;"&amp;_xlfn.PERCENTILE.EXC(E$5:$E526,0.2)),0))</f>
        <v/>
      </c>
    </row>
    <row r="527" spans="2:6" x14ac:dyDescent="0.25">
      <c r="B527" s="18">
        <v>523</v>
      </c>
      <c r="C527" s="21" t="str">
        <f ca="1">IFERROR(IF(LEFT(C526,2)="13",DATE(RIGHT(C526,4),12,31),IF(EOMONTH(C526,1)&gt;PREMISSAS!$C$3,"",IF(MONTH(C526)=11,"13º "&amp;YEAR(C526),EOMONTH(C526,1)))),"")</f>
        <v/>
      </c>
      <c r="D527" s="22">
        <f ca="1">VLOOKUP(C527,'Histórico de Remunerações'!$D$7:$E$656,2,FALSE)</f>
        <v>0</v>
      </c>
      <c r="E527" s="4" t="str">
        <f ca="1">IF(D527=0,"",IF(IF(ISTEXT(C527),DATE(RIGHT(C527,4),12,31),C527)&lt;PREMISSAS!$D$7,0,IFERROR(VLOOKUP(IF(LEFT(C527,2)="13",DATE(RIGHT(C527,4),12,31),C527),IPCA!$A$3:$D$284,4,FALSE),1)*D527))</f>
        <v/>
      </c>
      <c r="F527" s="4" t="str">
        <f ca="1">IF(C527="","",IFERROR(AVERAGEIF(E$5:$E527,"&gt;"&amp;_xlfn.PERCENTILE.EXC(E$5:$E527,0.2)),0))</f>
        <v/>
      </c>
    </row>
    <row r="528" spans="2:6" x14ac:dyDescent="0.25">
      <c r="B528" s="18">
        <v>524</v>
      </c>
      <c r="C528" s="21" t="str">
        <f ca="1">IFERROR(IF(LEFT(C527,2)="13",DATE(RIGHT(C527,4),12,31),IF(EOMONTH(C527,1)&gt;PREMISSAS!$C$3,"",IF(MONTH(C527)=11,"13º "&amp;YEAR(C527),EOMONTH(C527,1)))),"")</f>
        <v/>
      </c>
      <c r="D528" s="22">
        <f ca="1">VLOOKUP(C528,'Histórico de Remunerações'!$D$7:$E$656,2,FALSE)</f>
        <v>0</v>
      </c>
      <c r="E528" s="4" t="str">
        <f ca="1">IF(D528=0,"",IF(IF(ISTEXT(C528),DATE(RIGHT(C528,4),12,31),C528)&lt;PREMISSAS!$D$7,0,IFERROR(VLOOKUP(IF(LEFT(C528,2)="13",DATE(RIGHT(C528,4),12,31),C528),IPCA!$A$3:$D$284,4,FALSE),1)*D528))</f>
        <v/>
      </c>
      <c r="F528" s="4" t="str">
        <f ca="1">IF(C528="","",IFERROR(AVERAGEIF(E$5:$E528,"&gt;"&amp;_xlfn.PERCENTILE.EXC(E$5:$E528,0.2)),0))</f>
        <v/>
      </c>
    </row>
    <row r="529" spans="2:6" x14ac:dyDescent="0.25">
      <c r="B529" s="18">
        <v>525</v>
      </c>
      <c r="C529" s="21" t="str">
        <f ca="1">IFERROR(IF(LEFT(C528,2)="13",DATE(RIGHT(C528,4),12,31),IF(EOMONTH(C528,1)&gt;PREMISSAS!$C$3,"",IF(MONTH(C528)=11,"13º "&amp;YEAR(C528),EOMONTH(C528,1)))),"")</f>
        <v/>
      </c>
      <c r="D529" s="22">
        <f ca="1">VLOOKUP(C529,'Histórico de Remunerações'!$D$7:$E$656,2,FALSE)</f>
        <v>0</v>
      </c>
      <c r="E529" s="4" t="str">
        <f ca="1">IF(D529=0,"",IF(IF(ISTEXT(C529),DATE(RIGHT(C529,4),12,31),C529)&lt;PREMISSAS!$D$7,0,IFERROR(VLOOKUP(IF(LEFT(C529,2)="13",DATE(RIGHT(C529,4),12,31),C529),IPCA!$A$3:$D$284,4,FALSE),1)*D529))</f>
        <v/>
      </c>
      <c r="F529" s="4" t="str">
        <f ca="1">IF(C529="","",IFERROR(AVERAGEIF(E$5:$E529,"&gt;"&amp;_xlfn.PERCENTILE.EXC(E$5:$E529,0.2)),0))</f>
        <v/>
      </c>
    </row>
    <row r="530" spans="2:6" x14ac:dyDescent="0.25">
      <c r="B530" s="18">
        <v>526</v>
      </c>
      <c r="C530" s="21" t="str">
        <f ca="1">IFERROR(IF(LEFT(C529,2)="13",DATE(RIGHT(C529,4),12,31),IF(EOMONTH(C529,1)&gt;PREMISSAS!$C$3,"",IF(MONTH(C529)=11,"13º "&amp;YEAR(C529),EOMONTH(C529,1)))),"")</f>
        <v/>
      </c>
      <c r="D530" s="22">
        <f ca="1">VLOOKUP(C530,'Histórico de Remunerações'!$D$7:$E$656,2,FALSE)</f>
        <v>0</v>
      </c>
      <c r="E530" s="4" t="str">
        <f ca="1">IF(D530=0,"",IF(IF(ISTEXT(C530),DATE(RIGHT(C530,4),12,31),C530)&lt;PREMISSAS!$D$7,0,IFERROR(VLOOKUP(IF(LEFT(C530,2)="13",DATE(RIGHT(C530,4),12,31),C530),IPCA!$A$3:$D$284,4,FALSE),1)*D530))</f>
        <v/>
      </c>
      <c r="F530" s="4" t="str">
        <f ca="1">IF(C530="","",IFERROR(AVERAGEIF(E$5:$E530,"&gt;"&amp;_xlfn.PERCENTILE.EXC(E$5:$E530,0.2)),0))</f>
        <v/>
      </c>
    </row>
    <row r="531" spans="2:6" x14ac:dyDescent="0.25">
      <c r="B531" s="18">
        <v>527</v>
      </c>
      <c r="C531" s="21" t="str">
        <f ca="1">IFERROR(IF(LEFT(C530,2)="13",DATE(RIGHT(C530,4),12,31),IF(EOMONTH(C530,1)&gt;PREMISSAS!$C$3,"",IF(MONTH(C530)=11,"13º "&amp;YEAR(C530),EOMONTH(C530,1)))),"")</f>
        <v/>
      </c>
      <c r="D531" s="22">
        <f ca="1">VLOOKUP(C531,'Histórico de Remunerações'!$D$7:$E$656,2,FALSE)</f>
        <v>0</v>
      </c>
      <c r="E531" s="4" t="str">
        <f ca="1">IF(D531=0,"",IF(IF(ISTEXT(C531),DATE(RIGHT(C531,4),12,31),C531)&lt;PREMISSAS!$D$7,0,IFERROR(VLOOKUP(IF(LEFT(C531,2)="13",DATE(RIGHT(C531,4),12,31),C531),IPCA!$A$3:$D$284,4,FALSE),1)*D531))</f>
        <v/>
      </c>
      <c r="F531" s="4" t="str">
        <f ca="1">IF(C531="","",IFERROR(AVERAGEIF(E$5:$E531,"&gt;"&amp;_xlfn.PERCENTILE.EXC(E$5:$E531,0.2)),0))</f>
        <v/>
      </c>
    </row>
    <row r="532" spans="2:6" x14ac:dyDescent="0.25">
      <c r="B532" s="18">
        <v>528</v>
      </c>
      <c r="C532" s="21" t="str">
        <f ca="1">IFERROR(IF(LEFT(C531,2)="13",DATE(RIGHT(C531,4),12,31),IF(EOMONTH(C531,1)&gt;PREMISSAS!$C$3,"",IF(MONTH(C531)=11,"13º "&amp;YEAR(C531),EOMONTH(C531,1)))),"")</f>
        <v/>
      </c>
      <c r="D532" s="22">
        <f ca="1">VLOOKUP(C532,'Histórico de Remunerações'!$D$7:$E$656,2,FALSE)</f>
        <v>0</v>
      </c>
      <c r="E532" s="4" t="str">
        <f ca="1">IF(D532=0,"",IF(IF(ISTEXT(C532),DATE(RIGHT(C532,4),12,31),C532)&lt;PREMISSAS!$D$7,0,IFERROR(VLOOKUP(IF(LEFT(C532,2)="13",DATE(RIGHT(C532,4),12,31),C532),IPCA!$A$3:$D$284,4,FALSE),1)*D532))</f>
        <v/>
      </c>
      <c r="F532" s="4" t="str">
        <f ca="1">IF(C532="","",IFERROR(AVERAGEIF(E$5:$E532,"&gt;"&amp;_xlfn.PERCENTILE.EXC(E$5:$E532,0.2)),0))</f>
        <v/>
      </c>
    </row>
    <row r="533" spans="2:6" x14ac:dyDescent="0.25">
      <c r="B533" s="18">
        <v>529</v>
      </c>
      <c r="C533" s="21" t="str">
        <f ca="1">IFERROR(IF(LEFT(C532,2)="13",DATE(RIGHT(C532,4),12,31),IF(EOMONTH(C532,1)&gt;PREMISSAS!$C$3,"",IF(MONTH(C532)=11,"13º "&amp;YEAR(C532),EOMONTH(C532,1)))),"")</f>
        <v/>
      </c>
      <c r="D533" s="22">
        <f ca="1">VLOOKUP(C533,'Histórico de Remunerações'!$D$7:$E$656,2,FALSE)</f>
        <v>0</v>
      </c>
      <c r="E533" s="4" t="str">
        <f ca="1">IF(D533=0,"",IF(IF(ISTEXT(C533),DATE(RIGHT(C533,4),12,31),C533)&lt;PREMISSAS!$D$7,0,IFERROR(VLOOKUP(IF(LEFT(C533,2)="13",DATE(RIGHT(C533,4),12,31),C533),IPCA!$A$3:$D$284,4,FALSE),1)*D533))</f>
        <v/>
      </c>
      <c r="F533" s="4" t="str">
        <f ca="1">IF(C533="","",IFERROR(AVERAGEIF(E$5:$E533,"&gt;"&amp;_xlfn.PERCENTILE.EXC(E$5:$E533,0.2)),0))</f>
        <v/>
      </c>
    </row>
    <row r="534" spans="2:6" x14ac:dyDescent="0.25">
      <c r="B534" s="18">
        <v>530</v>
      </c>
      <c r="C534" s="21" t="str">
        <f ca="1">IFERROR(IF(LEFT(C533,2)="13",DATE(RIGHT(C533,4),12,31),IF(EOMONTH(C533,1)&gt;PREMISSAS!$C$3,"",IF(MONTH(C533)=11,"13º "&amp;YEAR(C533),EOMONTH(C533,1)))),"")</f>
        <v/>
      </c>
      <c r="D534" s="22">
        <f ca="1">VLOOKUP(C534,'Histórico de Remunerações'!$D$7:$E$656,2,FALSE)</f>
        <v>0</v>
      </c>
      <c r="E534" s="4" t="str">
        <f ca="1">IF(D534=0,"",IF(IF(ISTEXT(C534),DATE(RIGHT(C534,4),12,31),C534)&lt;PREMISSAS!$D$7,0,IFERROR(VLOOKUP(IF(LEFT(C534,2)="13",DATE(RIGHT(C534,4),12,31),C534),IPCA!$A$3:$D$284,4,FALSE),1)*D534))</f>
        <v/>
      </c>
      <c r="F534" s="4" t="str">
        <f ca="1">IF(C534="","",IFERROR(AVERAGEIF(E$5:$E534,"&gt;"&amp;_xlfn.PERCENTILE.EXC(E$5:$E534,0.2)),0))</f>
        <v/>
      </c>
    </row>
    <row r="535" spans="2:6" x14ac:dyDescent="0.25">
      <c r="B535" s="18">
        <v>531</v>
      </c>
      <c r="C535" s="21" t="str">
        <f ca="1">IFERROR(IF(LEFT(C534,2)="13",DATE(RIGHT(C534,4),12,31),IF(EOMONTH(C534,1)&gt;PREMISSAS!$C$3,"",IF(MONTH(C534)=11,"13º "&amp;YEAR(C534),EOMONTH(C534,1)))),"")</f>
        <v/>
      </c>
      <c r="D535" s="22">
        <f ca="1">VLOOKUP(C535,'Histórico de Remunerações'!$D$7:$E$656,2,FALSE)</f>
        <v>0</v>
      </c>
      <c r="E535" s="4" t="str">
        <f ca="1">IF(D535=0,"",IF(IF(ISTEXT(C535),DATE(RIGHT(C535,4),12,31),C535)&lt;PREMISSAS!$D$7,0,IFERROR(VLOOKUP(IF(LEFT(C535,2)="13",DATE(RIGHT(C535,4),12,31),C535),IPCA!$A$3:$D$284,4,FALSE),1)*D535))</f>
        <v/>
      </c>
      <c r="F535" s="4" t="str">
        <f ca="1">IF(C535="","",IFERROR(AVERAGEIF(E$5:$E535,"&gt;"&amp;_xlfn.PERCENTILE.EXC(E$5:$E535,0.2)),0))</f>
        <v/>
      </c>
    </row>
    <row r="536" spans="2:6" x14ac:dyDescent="0.25">
      <c r="B536" s="18">
        <v>532</v>
      </c>
      <c r="C536" s="21" t="str">
        <f ca="1">IFERROR(IF(LEFT(C535,2)="13",DATE(RIGHT(C535,4),12,31),IF(EOMONTH(C535,1)&gt;PREMISSAS!$C$3,"",IF(MONTH(C535)=11,"13º "&amp;YEAR(C535),EOMONTH(C535,1)))),"")</f>
        <v/>
      </c>
      <c r="D536" s="22">
        <f ca="1">VLOOKUP(C536,'Histórico de Remunerações'!$D$7:$E$656,2,FALSE)</f>
        <v>0</v>
      </c>
      <c r="E536" s="4" t="str">
        <f ca="1">IF(D536=0,"",IF(IF(ISTEXT(C536),DATE(RIGHT(C536,4),12,31),C536)&lt;PREMISSAS!$D$7,0,IFERROR(VLOOKUP(IF(LEFT(C536,2)="13",DATE(RIGHT(C536,4),12,31),C536),IPCA!$A$3:$D$284,4,FALSE),1)*D536))</f>
        <v/>
      </c>
      <c r="F536" s="4" t="str">
        <f ca="1">IF(C536="","",IFERROR(AVERAGEIF(E$5:$E536,"&gt;"&amp;_xlfn.PERCENTILE.EXC(E$5:$E536,0.2)),0))</f>
        <v/>
      </c>
    </row>
    <row r="537" spans="2:6" x14ac:dyDescent="0.25">
      <c r="B537" s="18">
        <v>533</v>
      </c>
      <c r="C537" s="21" t="str">
        <f ca="1">IFERROR(IF(LEFT(C536,2)="13",DATE(RIGHT(C536,4),12,31),IF(EOMONTH(C536,1)&gt;PREMISSAS!$C$3,"",IF(MONTH(C536)=11,"13º "&amp;YEAR(C536),EOMONTH(C536,1)))),"")</f>
        <v/>
      </c>
      <c r="D537" s="22">
        <f ca="1">VLOOKUP(C537,'Histórico de Remunerações'!$D$7:$E$656,2,FALSE)</f>
        <v>0</v>
      </c>
      <c r="E537" s="4" t="str">
        <f ca="1">IF(D537=0,"",IF(IF(ISTEXT(C537),DATE(RIGHT(C537,4),12,31),C537)&lt;PREMISSAS!$D$7,0,IFERROR(VLOOKUP(IF(LEFT(C537,2)="13",DATE(RIGHT(C537,4),12,31),C537),IPCA!$A$3:$D$284,4,FALSE),1)*D537))</f>
        <v/>
      </c>
      <c r="F537" s="4" t="str">
        <f ca="1">IF(C537="","",IFERROR(AVERAGEIF(E$5:$E537,"&gt;"&amp;_xlfn.PERCENTILE.EXC(E$5:$E537,0.2)),0))</f>
        <v/>
      </c>
    </row>
    <row r="538" spans="2:6" x14ac:dyDescent="0.25">
      <c r="B538" s="18">
        <v>534</v>
      </c>
      <c r="C538" s="21" t="str">
        <f ca="1">IFERROR(IF(LEFT(C537,2)="13",DATE(RIGHT(C537,4),12,31),IF(EOMONTH(C537,1)&gt;PREMISSAS!$C$3,"",IF(MONTH(C537)=11,"13º "&amp;YEAR(C537),EOMONTH(C537,1)))),"")</f>
        <v/>
      </c>
      <c r="D538" s="22">
        <f ca="1">VLOOKUP(C538,'Histórico de Remunerações'!$D$7:$E$656,2,FALSE)</f>
        <v>0</v>
      </c>
      <c r="E538" s="4" t="str">
        <f ca="1">IF(D538=0,"",IF(IF(ISTEXT(C538),DATE(RIGHT(C538,4),12,31),C538)&lt;PREMISSAS!$D$7,0,IFERROR(VLOOKUP(IF(LEFT(C538,2)="13",DATE(RIGHT(C538,4),12,31),C538),IPCA!$A$3:$D$284,4,FALSE),1)*D538))</f>
        <v/>
      </c>
      <c r="F538" s="4" t="str">
        <f ca="1">IF(C538="","",IFERROR(AVERAGEIF(E$5:$E538,"&gt;"&amp;_xlfn.PERCENTILE.EXC(E$5:$E538,0.2)),0))</f>
        <v/>
      </c>
    </row>
    <row r="539" spans="2:6" x14ac:dyDescent="0.25">
      <c r="B539" s="18">
        <v>535</v>
      </c>
      <c r="C539" s="21" t="str">
        <f ca="1">IFERROR(IF(LEFT(C538,2)="13",DATE(RIGHT(C538,4),12,31),IF(EOMONTH(C538,1)&gt;PREMISSAS!$C$3,"",IF(MONTH(C538)=11,"13º "&amp;YEAR(C538),EOMONTH(C538,1)))),"")</f>
        <v/>
      </c>
      <c r="D539" s="22">
        <f ca="1">VLOOKUP(C539,'Histórico de Remunerações'!$D$7:$E$656,2,FALSE)</f>
        <v>0</v>
      </c>
      <c r="E539" s="4" t="str">
        <f ca="1">IF(D539=0,"",IF(IF(ISTEXT(C539),DATE(RIGHT(C539,4),12,31),C539)&lt;PREMISSAS!$D$7,0,IFERROR(VLOOKUP(IF(LEFT(C539,2)="13",DATE(RIGHT(C539,4),12,31),C539),IPCA!$A$3:$D$284,4,FALSE),1)*D539))</f>
        <v/>
      </c>
      <c r="F539" s="4" t="str">
        <f ca="1">IF(C539="","",IFERROR(AVERAGEIF(E$5:$E539,"&gt;"&amp;_xlfn.PERCENTILE.EXC(E$5:$E539,0.2)),0))</f>
        <v/>
      </c>
    </row>
    <row r="540" spans="2:6" x14ac:dyDescent="0.25">
      <c r="B540" s="18">
        <v>536</v>
      </c>
      <c r="C540" s="21" t="str">
        <f ca="1">IFERROR(IF(LEFT(C539,2)="13",DATE(RIGHT(C539,4),12,31),IF(EOMONTH(C539,1)&gt;PREMISSAS!$C$3,"",IF(MONTH(C539)=11,"13º "&amp;YEAR(C539),EOMONTH(C539,1)))),"")</f>
        <v/>
      </c>
      <c r="D540" s="22">
        <f ca="1">VLOOKUP(C540,'Histórico de Remunerações'!$D$7:$E$656,2,FALSE)</f>
        <v>0</v>
      </c>
      <c r="E540" s="4" t="str">
        <f ca="1">IF(D540=0,"",IF(IF(ISTEXT(C540),DATE(RIGHT(C540,4),12,31),C540)&lt;PREMISSAS!$D$7,0,IFERROR(VLOOKUP(IF(LEFT(C540,2)="13",DATE(RIGHT(C540,4),12,31),C540),IPCA!$A$3:$D$284,4,FALSE),1)*D540))</f>
        <v/>
      </c>
      <c r="F540" s="4" t="str">
        <f ca="1">IF(C540="","",IFERROR(AVERAGEIF(E$5:$E540,"&gt;"&amp;_xlfn.PERCENTILE.EXC(E$5:$E540,0.2)),0))</f>
        <v/>
      </c>
    </row>
    <row r="541" spans="2:6" x14ac:dyDescent="0.25">
      <c r="B541" s="18">
        <v>537</v>
      </c>
      <c r="C541" s="21" t="str">
        <f ca="1">IFERROR(IF(LEFT(C540,2)="13",DATE(RIGHT(C540,4),12,31),IF(EOMONTH(C540,1)&gt;PREMISSAS!$C$3,"",IF(MONTH(C540)=11,"13º "&amp;YEAR(C540),EOMONTH(C540,1)))),"")</f>
        <v/>
      </c>
      <c r="D541" s="22">
        <f ca="1">VLOOKUP(C541,'Histórico de Remunerações'!$D$7:$E$656,2,FALSE)</f>
        <v>0</v>
      </c>
      <c r="E541" s="4" t="str">
        <f ca="1">IF(D541=0,"",IF(IF(ISTEXT(C541),DATE(RIGHT(C541,4),12,31),C541)&lt;PREMISSAS!$D$7,0,IFERROR(VLOOKUP(IF(LEFT(C541,2)="13",DATE(RIGHT(C541,4),12,31),C541),IPCA!$A$3:$D$284,4,FALSE),1)*D541))</f>
        <v/>
      </c>
      <c r="F541" s="4" t="str">
        <f ca="1">IF(C541="","",IFERROR(AVERAGEIF(E$5:$E541,"&gt;"&amp;_xlfn.PERCENTILE.EXC(E$5:$E541,0.2)),0))</f>
        <v/>
      </c>
    </row>
    <row r="542" spans="2:6" x14ac:dyDescent="0.25">
      <c r="B542" s="18">
        <v>538</v>
      </c>
      <c r="C542" s="21" t="str">
        <f ca="1">IFERROR(IF(LEFT(C541,2)="13",DATE(RIGHT(C541,4),12,31),IF(EOMONTH(C541,1)&gt;PREMISSAS!$C$3,"",IF(MONTH(C541)=11,"13º "&amp;YEAR(C541),EOMONTH(C541,1)))),"")</f>
        <v/>
      </c>
      <c r="D542" s="22">
        <f ca="1">VLOOKUP(C542,'Histórico de Remunerações'!$D$7:$E$656,2,FALSE)</f>
        <v>0</v>
      </c>
      <c r="E542" s="4" t="str">
        <f ca="1">IF(D542=0,"",IF(IF(ISTEXT(C542),DATE(RIGHT(C542,4),12,31),C542)&lt;PREMISSAS!$D$7,0,IFERROR(VLOOKUP(IF(LEFT(C542,2)="13",DATE(RIGHT(C542,4),12,31),C542),IPCA!$A$3:$D$284,4,FALSE),1)*D542))</f>
        <v/>
      </c>
      <c r="F542" s="4" t="str">
        <f ca="1">IF(C542="","",IFERROR(AVERAGEIF(E$5:$E542,"&gt;"&amp;_xlfn.PERCENTILE.EXC(E$5:$E542,0.2)),0))</f>
        <v/>
      </c>
    </row>
    <row r="543" spans="2:6" x14ac:dyDescent="0.25">
      <c r="B543" s="18">
        <v>539</v>
      </c>
      <c r="C543" s="21" t="str">
        <f ca="1">IFERROR(IF(LEFT(C542,2)="13",DATE(RIGHT(C542,4),12,31),IF(EOMONTH(C542,1)&gt;PREMISSAS!$C$3,"",IF(MONTH(C542)=11,"13º "&amp;YEAR(C542),EOMONTH(C542,1)))),"")</f>
        <v/>
      </c>
      <c r="D543" s="22">
        <f ca="1">VLOOKUP(C543,'Histórico de Remunerações'!$D$7:$E$656,2,FALSE)</f>
        <v>0</v>
      </c>
      <c r="E543" s="4" t="str">
        <f ca="1">IF(D543=0,"",IF(IF(ISTEXT(C543),DATE(RIGHT(C543,4),12,31),C543)&lt;PREMISSAS!$D$7,0,IFERROR(VLOOKUP(IF(LEFT(C543,2)="13",DATE(RIGHT(C543,4),12,31),C543),IPCA!$A$3:$D$284,4,FALSE),1)*D543))</f>
        <v/>
      </c>
      <c r="F543" s="4" t="str">
        <f ca="1">IF(C543="","",IFERROR(AVERAGEIF(E$5:$E543,"&gt;"&amp;_xlfn.PERCENTILE.EXC(E$5:$E543,0.2)),0))</f>
        <v/>
      </c>
    </row>
    <row r="544" spans="2:6" x14ac:dyDescent="0.25">
      <c r="B544" s="18">
        <v>540</v>
      </c>
      <c r="C544" s="21" t="str">
        <f ca="1">IFERROR(IF(LEFT(C543,2)="13",DATE(RIGHT(C543,4),12,31),IF(EOMONTH(C543,1)&gt;PREMISSAS!$C$3,"",IF(MONTH(C543)=11,"13º "&amp;YEAR(C543),EOMONTH(C543,1)))),"")</f>
        <v/>
      </c>
      <c r="D544" s="22">
        <f ca="1">VLOOKUP(C544,'Histórico de Remunerações'!$D$7:$E$656,2,FALSE)</f>
        <v>0</v>
      </c>
      <c r="E544" s="4" t="str">
        <f ca="1">IF(D544=0,"",IF(IF(ISTEXT(C544),DATE(RIGHT(C544,4),12,31),C544)&lt;PREMISSAS!$D$7,0,IFERROR(VLOOKUP(IF(LEFT(C544,2)="13",DATE(RIGHT(C544,4),12,31),C544),IPCA!$A$3:$D$284,4,FALSE),1)*D544))</f>
        <v/>
      </c>
      <c r="F544" s="4" t="str">
        <f ca="1">IF(C544="","",IFERROR(AVERAGEIF(E$5:$E544,"&gt;"&amp;_xlfn.PERCENTILE.EXC(E$5:$E544,0.2)),0))</f>
        <v/>
      </c>
    </row>
    <row r="545" spans="2:6" x14ac:dyDescent="0.25">
      <c r="B545" s="18">
        <v>541</v>
      </c>
      <c r="C545" s="21" t="str">
        <f ca="1">IFERROR(IF(LEFT(C544,2)="13",DATE(RIGHT(C544,4),12,31),IF(EOMONTH(C544,1)&gt;PREMISSAS!$C$3,"",IF(MONTH(C544)=11,"13º "&amp;YEAR(C544),EOMONTH(C544,1)))),"")</f>
        <v/>
      </c>
      <c r="D545" s="22">
        <f ca="1">VLOOKUP(C545,'Histórico de Remunerações'!$D$7:$E$656,2,FALSE)</f>
        <v>0</v>
      </c>
      <c r="E545" s="4" t="str">
        <f ca="1">IF(D545=0,"",IF(IF(ISTEXT(C545),DATE(RIGHT(C545,4),12,31),C545)&lt;PREMISSAS!$D$7,0,IFERROR(VLOOKUP(IF(LEFT(C545,2)="13",DATE(RIGHT(C545,4),12,31),C545),IPCA!$A$3:$D$284,4,FALSE),1)*D545))</f>
        <v/>
      </c>
      <c r="F545" s="4" t="str">
        <f ca="1">IF(C545="","",IFERROR(AVERAGEIF(E$5:$E545,"&gt;"&amp;_xlfn.PERCENTILE.EXC(E$5:$E545,0.2)),0))</f>
        <v/>
      </c>
    </row>
    <row r="546" spans="2:6" x14ac:dyDescent="0.25">
      <c r="B546" s="18">
        <v>542</v>
      </c>
      <c r="C546" s="21" t="str">
        <f ca="1">IFERROR(IF(LEFT(C545,2)="13",DATE(RIGHT(C545,4),12,31),IF(EOMONTH(C545,1)&gt;PREMISSAS!$C$3,"",IF(MONTH(C545)=11,"13º "&amp;YEAR(C545),EOMONTH(C545,1)))),"")</f>
        <v/>
      </c>
      <c r="D546" s="22">
        <f ca="1">VLOOKUP(C546,'Histórico de Remunerações'!$D$7:$E$656,2,FALSE)</f>
        <v>0</v>
      </c>
      <c r="E546" s="4" t="str">
        <f ca="1">IF(D546=0,"",IF(IF(ISTEXT(C546),DATE(RIGHT(C546,4),12,31),C546)&lt;PREMISSAS!$D$7,0,IFERROR(VLOOKUP(IF(LEFT(C546,2)="13",DATE(RIGHT(C546,4),12,31),C546),IPCA!$A$3:$D$284,4,FALSE),1)*D546))</f>
        <v/>
      </c>
      <c r="F546" s="4" t="str">
        <f ca="1">IF(C546="","",IFERROR(AVERAGEIF(E$5:$E546,"&gt;"&amp;_xlfn.PERCENTILE.EXC(E$5:$E546,0.2)),0))</f>
        <v/>
      </c>
    </row>
    <row r="547" spans="2:6" x14ac:dyDescent="0.25">
      <c r="B547" s="18">
        <v>543</v>
      </c>
      <c r="C547" s="21" t="str">
        <f ca="1">IFERROR(IF(LEFT(C546,2)="13",DATE(RIGHT(C546,4),12,31),IF(EOMONTH(C546,1)&gt;PREMISSAS!$C$3,"",IF(MONTH(C546)=11,"13º "&amp;YEAR(C546),EOMONTH(C546,1)))),"")</f>
        <v/>
      </c>
      <c r="D547" s="22">
        <f ca="1">VLOOKUP(C547,'Histórico de Remunerações'!$D$7:$E$656,2,FALSE)</f>
        <v>0</v>
      </c>
      <c r="E547" s="4" t="str">
        <f ca="1">IF(D547=0,"",IF(IF(ISTEXT(C547),DATE(RIGHT(C547,4),12,31),C547)&lt;PREMISSAS!$D$7,0,IFERROR(VLOOKUP(IF(LEFT(C547,2)="13",DATE(RIGHT(C547,4),12,31),C547),IPCA!$A$3:$D$284,4,FALSE),1)*D547))</f>
        <v/>
      </c>
      <c r="F547" s="4" t="str">
        <f ca="1">IF(C547="","",IFERROR(AVERAGEIF(E$5:$E547,"&gt;"&amp;_xlfn.PERCENTILE.EXC(E$5:$E547,0.2)),0))</f>
        <v/>
      </c>
    </row>
    <row r="548" spans="2:6" x14ac:dyDescent="0.25">
      <c r="B548" s="18">
        <v>544</v>
      </c>
      <c r="C548" s="21" t="str">
        <f ca="1">IFERROR(IF(LEFT(C547,2)="13",DATE(RIGHT(C547,4),12,31),IF(EOMONTH(C547,1)&gt;PREMISSAS!$C$3,"",IF(MONTH(C547)=11,"13º "&amp;YEAR(C547),EOMONTH(C547,1)))),"")</f>
        <v/>
      </c>
      <c r="D548" s="22">
        <f ca="1">VLOOKUP(C548,'Histórico de Remunerações'!$D$7:$E$656,2,FALSE)</f>
        <v>0</v>
      </c>
      <c r="E548" s="4" t="str">
        <f ca="1">IF(D548=0,"",IF(IF(ISTEXT(C548),DATE(RIGHT(C548,4),12,31),C548)&lt;PREMISSAS!$D$7,0,IFERROR(VLOOKUP(IF(LEFT(C548,2)="13",DATE(RIGHT(C548,4),12,31),C548),IPCA!$A$3:$D$284,4,FALSE),1)*D548))</f>
        <v/>
      </c>
      <c r="F548" s="4" t="str">
        <f ca="1">IF(C548="","",IFERROR(AVERAGEIF(E$5:$E548,"&gt;"&amp;_xlfn.PERCENTILE.EXC(E$5:$E548,0.2)),0))</f>
        <v/>
      </c>
    </row>
    <row r="549" spans="2:6" x14ac:dyDescent="0.25">
      <c r="B549" s="18">
        <v>545</v>
      </c>
      <c r="C549" s="21" t="str">
        <f ca="1">IFERROR(IF(LEFT(C548,2)="13",DATE(RIGHT(C548,4),12,31),IF(EOMONTH(C548,1)&gt;PREMISSAS!$C$3,"",IF(MONTH(C548)=11,"13º "&amp;YEAR(C548),EOMONTH(C548,1)))),"")</f>
        <v/>
      </c>
      <c r="D549" s="22">
        <f ca="1">VLOOKUP(C549,'Histórico de Remunerações'!$D$7:$E$656,2,FALSE)</f>
        <v>0</v>
      </c>
      <c r="E549" s="4" t="str">
        <f ca="1">IF(D549=0,"",IF(IF(ISTEXT(C549),DATE(RIGHT(C549,4),12,31),C549)&lt;PREMISSAS!$D$7,0,IFERROR(VLOOKUP(IF(LEFT(C549,2)="13",DATE(RIGHT(C549,4),12,31),C549),IPCA!$A$3:$D$284,4,FALSE),1)*D549))</f>
        <v/>
      </c>
      <c r="F549" s="4" t="str">
        <f ca="1">IF(C549="","",IFERROR(AVERAGEIF(E$5:$E549,"&gt;"&amp;_xlfn.PERCENTILE.EXC(E$5:$E549,0.2)),0))</f>
        <v/>
      </c>
    </row>
    <row r="550" spans="2:6" x14ac:dyDescent="0.25">
      <c r="B550" s="18">
        <v>546</v>
      </c>
      <c r="C550" s="21" t="str">
        <f ca="1">IFERROR(IF(LEFT(C549,2)="13",DATE(RIGHT(C549,4),12,31),IF(EOMONTH(C549,1)&gt;PREMISSAS!$C$3,"",IF(MONTH(C549)=11,"13º "&amp;YEAR(C549),EOMONTH(C549,1)))),"")</f>
        <v/>
      </c>
      <c r="D550" s="22">
        <f ca="1">VLOOKUP(C550,'Histórico de Remunerações'!$D$7:$E$656,2,FALSE)</f>
        <v>0</v>
      </c>
      <c r="E550" s="4" t="str">
        <f ca="1">IF(D550=0,"",IF(IF(ISTEXT(C550),DATE(RIGHT(C550,4),12,31),C550)&lt;PREMISSAS!$D$7,0,IFERROR(VLOOKUP(IF(LEFT(C550,2)="13",DATE(RIGHT(C550,4),12,31),C550),IPCA!$A$3:$D$284,4,FALSE),1)*D550))</f>
        <v/>
      </c>
      <c r="F550" s="4" t="str">
        <f ca="1">IF(C550="","",IFERROR(AVERAGEIF(E$5:$E550,"&gt;"&amp;_xlfn.PERCENTILE.EXC(E$5:$E550,0.2)),0))</f>
        <v/>
      </c>
    </row>
    <row r="551" spans="2:6" x14ac:dyDescent="0.25">
      <c r="B551" s="18">
        <v>547</v>
      </c>
      <c r="C551" s="21" t="str">
        <f ca="1">IFERROR(IF(LEFT(C550,2)="13",DATE(RIGHT(C550,4),12,31),IF(EOMONTH(C550,1)&gt;PREMISSAS!$C$3,"",IF(MONTH(C550)=11,"13º "&amp;YEAR(C550),EOMONTH(C550,1)))),"")</f>
        <v/>
      </c>
      <c r="D551" s="22">
        <f ca="1">VLOOKUP(C551,'Histórico de Remunerações'!$D$7:$E$656,2,FALSE)</f>
        <v>0</v>
      </c>
      <c r="E551" s="4" t="str">
        <f ca="1">IF(D551=0,"",IF(IF(ISTEXT(C551),DATE(RIGHT(C551,4),12,31),C551)&lt;PREMISSAS!$D$7,0,IFERROR(VLOOKUP(IF(LEFT(C551,2)="13",DATE(RIGHT(C551,4),12,31),C551),IPCA!$A$3:$D$284,4,FALSE),1)*D551))</f>
        <v/>
      </c>
      <c r="F551" s="4" t="str">
        <f ca="1">IF(C551="","",IFERROR(AVERAGEIF(E$5:$E551,"&gt;"&amp;_xlfn.PERCENTILE.EXC(E$5:$E551,0.2)),0))</f>
        <v/>
      </c>
    </row>
    <row r="552" spans="2:6" x14ac:dyDescent="0.25">
      <c r="B552" s="18">
        <v>548</v>
      </c>
      <c r="C552" s="21" t="str">
        <f ca="1">IFERROR(IF(LEFT(C551,2)="13",DATE(RIGHT(C551,4),12,31),IF(EOMONTH(C551,1)&gt;PREMISSAS!$C$3,"",IF(MONTH(C551)=11,"13º "&amp;YEAR(C551),EOMONTH(C551,1)))),"")</f>
        <v/>
      </c>
      <c r="D552" s="22">
        <f ca="1">VLOOKUP(C552,'Histórico de Remunerações'!$D$7:$E$656,2,FALSE)</f>
        <v>0</v>
      </c>
      <c r="E552" s="4" t="str">
        <f ca="1">IF(D552=0,"",IF(IF(ISTEXT(C552),DATE(RIGHT(C552,4),12,31),C552)&lt;PREMISSAS!$D$7,0,IFERROR(VLOOKUP(IF(LEFT(C552,2)="13",DATE(RIGHT(C552,4),12,31),C552),IPCA!$A$3:$D$284,4,FALSE),1)*D552))</f>
        <v/>
      </c>
      <c r="F552" s="4" t="str">
        <f ca="1">IF(C552="","",IFERROR(AVERAGEIF(E$5:$E552,"&gt;"&amp;_xlfn.PERCENTILE.EXC(E$5:$E552,0.2)),0))</f>
        <v/>
      </c>
    </row>
    <row r="553" spans="2:6" x14ac:dyDescent="0.25">
      <c r="B553" s="18">
        <v>549</v>
      </c>
      <c r="C553" s="21" t="str">
        <f ca="1">IFERROR(IF(LEFT(C552,2)="13",DATE(RIGHT(C552,4),12,31),IF(EOMONTH(C552,1)&gt;PREMISSAS!$C$3,"",IF(MONTH(C552)=11,"13º "&amp;YEAR(C552),EOMONTH(C552,1)))),"")</f>
        <v/>
      </c>
      <c r="D553" s="22">
        <f ca="1">VLOOKUP(C553,'Histórico de Remunerações'!$D$7:$E$656,2,FALSE)</f>
        <v>0</v>
      </c>
      <c r="E553" s="4" t="str">
        <f ca="1">IF(D553=0,"",IF(IF(ISTEXT(C553),DATE(RIGHT(C553,4),12,31),C553)&lt;PREMISSAS!$D$7,0,IFERROR(VLOOKUP(IF(LEFT(C553,2)="13",DATE(RIGHT(C553,4),12,31),C553),IPCA!$A$3:$D$284,4,FALSE),1)*D553))</f>
        <v/>
      </c>
      <c r="F553" s="4" t="str">
        <f ca="1">IF(C553="","",IFERROR(AVERAGEIF(E$5:$E553,"&gt;"&amp;_xlfn.PERCENTILE.EXC(E$5:$E553,0.2)),0))</f>
        <v/>
      </c>
    </row>
    <row r="554" spans="2:6" x14ac:dyDescent="0.25">
      <c r="B554" s="18">
        <v>550</v>
      </c>
      <c r="C554" s="21" t="str">
        <f ca="1">IFERROR(IF(LEFT(C553,2)="13",DATE(RIGHT(C553,4),12,31),IF(EOMONTH(C553,1)&gt;PREMISSAS!$C$3,"",IF(MONTH(C553)=11,"13º "&amp;YEAR(C553),EOMONTH(C553,1)))),"")</f>
        <v/>
      </c>
      <c r="D554" s="22">
        <f ca="1">VLOOKUP(C554,'Histórico de Remunerações'!$D$7:$E$656,2,FALSE)</f>
        <v>0</v>
      </c>
      <c r="E554" s="4" t="str">
        <f ca="1">IF(D554=0,"",IF(IF(ISTEXT(C554),DATE(RIGHT(C554,4),12,31),C554)&lt;PREMISSAS!$D$7,0,IFERROR(VLOOKUP(IF(LEFT(C554,2)="13",DATE(RIGHT(C554,4),12,31),C554),IPCA!$A$3:$D$284,4,FALSE),1)*D554))</f>
        <v/>
      </c>
      <c r="F554" s="4" t="str">
        <f ca="1">IF(C554="","",IFERROR(AVERAGEIF(E$5:$E554,"&gt;"&amp;_xlfn.PERCENTILE.EXC(E$5:$E554,0.2)),0))</f>
        <v/>
      </c>
    </row>
    <row r="555" spans="2:6" x14ac:dyDescent="0.25">
      <c r="B555" s="18">
        <v>551</v>
      </c>
      <c r="C555" s="21" t="str">
        <f ca="1">IFERROR(IF(LEFT(C554,2)="13",DATE(RIGHT(C554,4),12,31),IF(EOMONTH(C554,1)&gt;PREMISSAS!$C$3,"",IF(MONTH(C554)=11,"13º "&amp;YEAR(C554),EOMONTH(C554,1)))),"")</f>
        <v/>
      </c>
      <c r="D555" s="22">
        <f ca="1">VLOOKUP(C555,'Histórico de Remunerações'!$D$7:$E$656,2,FALSE)</f>
        <v>0</v>
      </c>
      <c r="E555" s="4" t="str">
        <f ca="1">IF(D555=0,"",IF(IF(ISTEXT(C555),DATE(RIGHT(C555,4),12,31),C555)&lt;PREMISSAS!$D$7,0,IFERROR(VLOOKUP(IF(LEFT(C555,2)="13",DATE(RIGHT(C555,4),12,31),C555),IPCA!$A$3:$D$284,4,FALSE),1)*D555))</f>
        <v/>
      </c>
      <c r="F555" s="4" t="str">
        <f ca="1">IF(C555="","",IFERROR(AVERAGEIF(E$5:$E555,"&gt;"&amp;_xlfn.PERCENTILE.EXC(E$5:$E555,0.2)),0))</f>
        <v/>
      </c>
    </row>
    <row r="556" spans="2:6" x14ac:dyDescent="0.25">
      <c r="B556" s="18">
        <v>552</v>
      </c>
      <c r="C556" s="21" t="str">
        <f ca="1">IFERROR(IF(LEFT(C555,2)="13",DATE(RIGHT(C555,4),12,31),IF(EOMONTH(C555,1)&gt;PREMISSAS!$C$3,"",IF(MONTH(C555)=11,"13º "&amp;YEAR(C555),EOMONTH(C555,1)))),"")</f>
        <v/>
      </c>
      <c r="D556" s="22">
        <f ca="1">VLOOKUP(C556,'Histórico de Remunerações'!$D$7:$E$656,2,FALSE)</f>
        <v>0</v>
      </c>
      <c r="E556" s="4" t="str">
        <f ca="1">IF(D556=0,"",IF(IF(ISTEXT(C556),DATE(RIGHT(C556,4),12,31),C556)&lt;PREMISSAS!$D$7,0,IFERROR(VLOOKUP(IF(LEFT(C556,2)="13",DATE(RIGHT(C556,4),12,31),C556),IPCA!$A$3:$D$284,4,FALSE),1)*D556))</f>
        <v/>
      </c>
      <c r="F556" s="4" t="str">
        <f ca="1">IF(C556="","",IFERROR(AVERAGEIF(E$5:$E556,"&gt;"&amp;_xlfn.PERCENTILE.EXC(E$5:$E556,0.2)),0))</f>
        <v/>
      </c>
    </row>
    <row r="557" spans="2:6" x14ac:dyDescent="0.25">
      <c r="B557" s="18">
        <v>553</v>
      </c>
      <c r="C557" s="21" t="str">
        <f ca="1">IFERROR(IF(LEFT(C556,2)="13",DATE(RIGHT(C556,4),12,31),IF(EOMONTH(C556,1)&gt;PREMISSAS!$C$3,"",IF(MONTH(C556)=11,"13º "&amp;YEAR(C556),EOMONTH(C556,1)))),"")</f>
        <v/>
      </c>
      <c r="D557" s="22">
        <f ca="1">VLOOKUP(C557,'Histórico de Remunerações'!$D$7:$E$656,2,FALSE)</f>
        <v>0</v>
      </c>
      <c r="E557" s="4" t="str">
        <f ca="1">IF(D557=0,"",IF(IF(ISTEXT(C557),DATE(RIGHT(C557,4),12,31),C557)&lt;PREMISSAS!$D$7,0,IFERROR(VLOOKUP(IF(LEFT(C557,2)="13",DATE(RIGHT(C557,4),12,31),C557),IPCA!$A$3:$D$284,4,FALSE),1)*D557))</f>
        <v/>
      </c>
      <c r="F557" s="4" t="str">
        <f ca="1">IF(C557="","",IFERROR(AVERAGEIF(E$5:$E557,"&gt;"&amp;_xlfn.PERCENTILE.EXC(E$5:$E557,0.2)),0))</f>
        <v/>
      </c>
    </row>
    <row r="558" spans="2:6" x14ac:dyDescent="0.25">
      <c r="B558" s="18">
        <v>554</v>
      </c>
      <c r="C558" s="21" t="str">
        <f ca="1">IFERROR(IF(LEFT(C557,2)="13",DATE(RIGHT(C557,4),12,31),IF(EOMONTH(C557,1)&gt;PREMISSAS!$C$3,"",IF(MONTH(C557)=11,"13º "&amp;YEAR(C557),EOMONTH(C557,1)))),"")</f>
        <v/>
      </c>
      <c r="D558" s="22">
        <f ca="1">VLOOKUP(C558,'Histórico de Remunerações'!$D$7:$E$656,2,FALSE)</f>
        <v>0</v>
      </c>
      <c r="E558" s="4" t="str">
        <f ca="1">IF(D558=0,"",IF(IF(ISTEXT(C558),DATE(RIGHT(C558,4),12,31),C558)&lt;PREMISSAS!$D$7,0,IFERROR(VLOOKUP(IF(LEFT(C558,2)="13",DATE(RIGHT(C558,4),12,31),C558),IPCA!$A$3:$D$284,4,FALSE),1)*D558))</f>
        <v/>
      </c>
      <c r="F558" s="4" t="str">
        <f ca="1">IF(C558="","",IFERROR(AVERAGEIF(E$5:$E558,"&gt;"&amp;_xlfn.PERCENTILE.EXC(E$5:$E558,0.2)),0))</f>
        <v/>
      </c>
    </row>
    <row r="559" spans="2:6" x14ac:dyDescent="0.25">
      <c r="B559" s="18">
        <v>555</v>
      </c>
      <c r="C559" s="21" t="str">
        <f ca="1">IFERROR(IF(LEFT(C558,2)="13",DATE(RIGHT(C558,4),12,31),IF(EOMONTH(C558,1)&gt;PREMISSAS!$C$3,"",IF(MONTH(C558)=11,"13º "&amp;YEAR(C558),EOMONTH(C558,1)))),"")</f>
        <v/>
      </c>
      <c r="D559" s="22">
        <f ca="1">VLOOKUP(C559,'Histórico de Remunerações'!$D$7:$E$656,2,FALSE)</f>
        <v>0</v>
      </c>
      <c r="E559" s="4" t="str">
        <f ca="1">IF(D559=0,"",IF(IF(ISTEXT(C559),DATE(RIGHT(C559,4),12,31),C559)&lt;PREMISSAS!$D$7,0,IFERROR(VLOOKUP(IF(LEFT(C559,2)="13",DATE(RIGHT(C559,4),12,31),C559),IPCA!$A$3:$D$284,4,FALSE),1)*D559))</f>
        <v/>
      </c>
      <c r="F559" s="4" t="str">
        <f ca="1">IF(C559="","",IFERROR(AVERAGEIF(E$5:$E559,"&gt;"&amp;_xlfn.PERCENTILE.EXC(E$5:$E559,0.2)),0))</f>
        <v/>
      </c>
    </row>
    <row r="560" spans="2:6" x14ac:dyDescent="0.25">
      <c r="B560" s="18">
        <v>556</v>
      </c>
      <c r="C560" s="21" t="str">
        <f ca="1">IFERROR(IF(LEFT(C559,2)="13",DATE(RIGHT(C559,4),12,31),IF(EOMONTH(C559,1)&gt;PREMISSAS!$C$3,"",IF(MONTH(C559)=11,"13º "&amp;YEAR(C559),EOMONTH(C559,1)))),"")</f>
        <v/>
      </c>
      <c r="D560" s="22">
        <f ca="1">VLOOKUP(C560,'Histórico de Remunerações'!$D$7:$E$656,2,FALSE)</f>
        <v>0</v>
      </c>
      <c r="E560" s="4" t="str">
        <f ca="1">IF(D560=0,"",IF(IF(ISTEXT(C560),DATE(RIGHT(C560,4),12,31),C560)&lt;PREMISSAS!$D$7,0,IFERROR(VLOOKUP(IF(LEFT(C560,2)="13",DATE(RIGHT(C560,4),12,31),C560),IPCA!$A$3:$D$284,4,FALSE),1)*D560))</f>
        <v/>
      </c>
      <c r="F560" s="4" t="str">
        <f ca="1">IF(C560="","",IFERROR(AVERAGEIF(E$5:$E560,"&gt;"&amp;_xlfn.PERCENTILE.EXC(E$5:$E560,0.2)),0))</f>
        <v/>
      </c>
    </row>
    <row r="561" spans="2:6" x14ac:dyDescent="0.25">
      <c r="B561" s="18">
        <v>557</v>
      </c>
      <c r="C561" s="21" t="str">
        <f ca="1">IFERROR(IF(LEFT(C560,2)="13",DATE(RIGHT(C560,4),12,31),IF(EOMONTH(C560,1)&gt;PREMISSAS!$C$3,"",IF(MONTH(C560)=11,"13º "&amp;YEAR(C560),EOMONTH(C560,1)))),"")</f>
        <v/>
      </c>
      <c r="D561" s="22">
        <f ca="1">VLOOKUP(C561,'Histórico de Remunerações'!$D$7:$E$656,2,FALSE)</f>
        <v>0</v>
      </c>
      <c r="E561" s="4" t="str">
        <f ca="1">IF(D561=0,"",IF(IF(ISTEXT(C561),DATE(RIGHT(C561,4),12,31),C561)&lt;PREMISSAS!$D$7,0,IFERROR(VLOOKUP(IF(LEFT(C561,2)="13",DATE(RIGHT(C561,4),12,31),C561),IPCA!$A$3:$D$284,4,FALSE),1)*D561))</f>
        <v/>
      </c>
      <c r="F561" s="4" t="str">
        <f ca="1">IF(C561="","",IFERROR(AVERAGEIF(E$5:$E561,"&gt;"&amp;_xlfn.PERCENTILE.EXC(E$5:$E561,0.2)),0))</f>
        <v/>
      </c>
    </row>
    <row r="562" spans="2:6" x14ac:dyDescent="0.25">
      <c r="B562" s="18">
        <v>558</v>
      </c>
      <c r="C562" s="21" t="str">
        <f ca="1">IFERROR(IF(LEFT(C561,2)="13",DATE(RIGHT(C561,4),12,31),IF(EOMONTH(C561,1)&gt;PREMISSAS!$C$3,"",IF(MONTH(C561)=11,"13º "&amp;YEAR(C561),EOMONTH(C561,1)))),"")</f>
        <v/>
      </c>
      <c r="D562" s="22">
        <f ca="1">VLOOKUP(C562,'Histórico de Remunerações'!$D$7:$E$656,2,FALSE)</f>
        <v>0</v>
      </c>
      <c r="E562" s="4" t="str">
        <f ca="1">IF(D562=0,"",IF(IF(ISTEXT(C562),DATE(RIGHT(C562,4),12,31),C562)&lt;PREMISSAS!$D$7,0,IFERROR(VLOOKUP(IF(LEFT(C562,2)="13",DATE(RIGHT(C562,4),12,31),C562),IPCA!$A$3:$D$284,4,FALSE),1)*D562))</f>
        <v/>
      </c>
      <c r="F562" s="4" t="str">
        <f ca="1">IF(C562="","",IFERROR(AVERAGEIF(E$5:$E562,"&gt;"&amp;_xlfn.PERCENTILE.EXC(E$5:$E562,0.2)),0))</f>
        <v/>
      </c>
    </row>
    <row r="563" spans="2:6" x14ac:dyDescent="0.25">
      <c r="B563" s="18">
        <v>559</v>
      </c>
      <c r="C563" s="21" t="str">
        <f ca="1">IFERROR(IF(LEFT(C562,2)="13",DATE(RIGHT(C562,4),12,31),IF(EOMONTH(C562,1)&gt;PREMISSAS!$C$3,"",IF(MONTH(C562)=11,"13º "&amp;YEAR(C562),EOMONTH(C562,1)))),"")</f>
        <v/>
      </c>
      <c r="D563" s="22">
        <f ca="1">VLOOKUP(C563,'Histórico de Remunerações'!$D$7:$E$656,2,FALSE)</f>
        <v>0</v>
      </c>
      <c r="E563" s="4" t="str">
        <f ca="1">IF(D563=0,"",IF(IF(ISTEXT(C563),DATE(RIGHT(C563,4),12,31),C563)&lt;PREMISSAS!$D$7,0,IFERROR(VLOOKUP(IF(LEFT(C563,2)="13",DATE(RIGHT(C563,4),12,31),C563),IPCA!$A$3:$D$284,4,FALSE),1)*D563))</f>
        <v/>
      </c>
      <c r="F563" s="4" t="str">
        <f ca="1">IF(C563="","",IFERROR(AVERAGEIF(E$5:$E563,"&gt;"&amp;_xlfn.PERCENTILE.EXC(E$5:$E563,0.2)),0))</f>
        <v/>
      </c>
    </row>
    <row r="564" spans="2:6" x14ac:dyDescent="0.25">
      <c r="B564" s="18">
        <v>560</v>
      </c>
      <c r="C564" s="21" t="str">
        <f ca="1">IFERROR(IF(LEFT(C563,2)="13",DATE(RIGHT(C563,4),12,31),IF(EOMONTH(C563,1)&gt;PREMISSAS!$C$3,"",IF(MONTH(C563)=11,"13º "&amp;YEAR(C563),EOMONTH(C563,1)))),"")</f>
        <v/>
      </c>
      <c r="D564" s="22">
        <f ca="1">VLOOKUP(C564,'Histórico de Remunerações'!$D$7:$E$656,2,FALSE)</f>
        <v>0</v>
      </c>
      <c r="E564" s="4" t="str">
        <f ca="1">IF(D564=0,"",IF(IF(ISTEXT(C564),DATE(RIGHT(C564,4),12,31),C564)&lt;PREMISSAS!$D$7,0,IFERROR(VLOOKUP(IF(LEFT(C564,2)="13",DATE(RIGHT(C564,4),12,31),C564),IPCA!$A$3:$D$284,4,FALSE),1)*D564))</f>
        <v/>
      </c>
      <c r="F564" s="4" t="str">
        <f ca="1">IF(C564="","",IFERROR(AVERAGEIF(E$5:$E564,"&gt;"&amp;_xlfn.PERCENTILE.EXC(E$5:$E564,0.2)),0))</f>
        <v/>
      </c>
    </row>
    <row r="565" spans="2:6" x14ac:dyDescent="0.25">
      <c r="B565" s="18">
        <v>561</v>
      </c>
      <c r="C565" s="21" t="str">
        <f ca="1">IFERROR(IF(LEFT(C564,2)="13",DATE(RIGHT(C564,4),12,31),IF(EOMONTH(C564,1)&gt;PREMISSAS!$C$3,"",IF(MONTH(C564)=11,"13º "&amp;YEAR(C564),EOMONTH(C564,1)))),"")</f>
        <v/>
      </c>
      <c r="D565" s="22">
        <f ca="1">VLOOKUP(C565,'Histórico de Remunerações'!$D$7:$E$656,2,FALSE)</f>
        <v>0</v>
      </c>
      <c r="E565" s="4" t="str">
        <f ca="1">IF(D565=0,"",IF(IF(ISTEXT(C565),DATE(RIGHT(C565,4),12,31),C565)&lt;PREMISSAS!$D$7,0,IFERROR(VLOOKUP(IF(LEFT(C565,2)="13",DATE(RIGHT(C565,4),12,31),C565),IPCA!$A$3:$D$284,4,FALSE),1)*D565))</f>
        <v/>
      </c>
      <c r="F565" s="4" t="str">
        <f ca="1">IF(C565="","",IFERROR(AVERAGEIF(E$5:$E565,"&gt;"&amp;_xlfn.PERCENTILE.EXC(E$5:$E565,0.2)),0))</f>
        <v/>
      </c>
    </row>
    <row r="566" spans="2:6" x14ac:dyDescent="0.25">
      <c r="B566" s="18">
        <v>562</v>
      </c>
      <c r="C566" s="21" t="str">
        <f ca="1">IFERROR(IF(LEFT(C565,2)="13",DATE(RIGHT(C565,4),12,31),IF(EOMONTH(C565,1)&gt;PREMISSAS!$C$3,"",IF(MONTH(C565)=11,"13º "&amp;YEAR(C565),EOMONTH(C565,1)))),"")</f>
        <v/>
      </c>
      <c r="D566" s="22">
        <f ca="1">VLOOKUP(C566,'Histórico de Remunerações'!$D$7:$E$656,2,FALSE)</f>
        <v>0</v>
      </c>
      <c r="E566" s="4" t="str">
        <f ca="1">IF(D566=0,"",IF(IF(ISTEXT(C566),DATE(RIGHT(C566,4),12,31),C566)&lt;PREMISSAS!$D$7,0,IFERROR(VLOOKUP(IF(LEFT(C566,2)="13",DATE(RIGHT(C566,4),12,31),C566),IPCA!$A$3:$D$284,4,FALSE),1)*D566))</f>
        <v/>
      </c>
      <c r="F566" s="4" t="str">
        <f ca="1">IF(C566="","",IFERROR(AVERAGEIF(E$5:$E566,"&gt;"&amp;_xlfn.PERCENTILE.EXC(E$5:$E566,0.2)),0))</f>
        <v/>
      </c>
    </row>
    <row r="567" spans="2:6" x14ac:dyDescent="0.25">
      <c r="B567" s="18">
        <v>563</v>
      </c>
      <c r="C567" s="21" t="str">
        <f ca="1">IFERROR(IF(LEFT(C566,2)="13",DATE(RIGHT(C566,4),12,31),IF(EOMONTH(C566,1)&gt;PREMISSAS!$C$3,"",IF(MONTH(C566)=11,"13º "&amp;YEAR(C566),EOMONTH(C566,1)))),"")</f>
        <v/>
      </c>
      <c r="D567" s="22">
        <f ca="1">VLOOKUP(C567,'Histórico de Remunerações'!$D$7:$E$656,2,FALSE)</f>
        <v>0</v>
      </c>
      <c r="E567" s="4" t="str">
        <f ca="1">IF(D567=0,"",IF(IF(ISTEXT(C567),DATE(RIGHT(C567,4),12,31),C567)&lt;PREMISSAS!$D$7,0,IFERROR(VLOOKUP(IF(LEFT(C567,2)="13",DATE(RIGHT(C567,4),12,31),C567),IPCA!$A$3:$D$284,4,FALSE),1)*D567))</f>
        <v/>
      </c>
      <c r="F567" s="4" t="str">
        <f ca="1">IF(C567="","",IFERROR(AVERAGEIF(E$5:$E567,"&gt;"&amp;_xlfn.PERCENTILE.EXC(E$5:$E567,0.2)),0))</f>
        <v/>
      </c>
    </row>
    <row r="568" spans="2:6" x14ac:dyDescent="0.25">
      <c r="B568" s="18">
        <v>564</v>
      </c>
      <c r="C568" s="21" t="str">
        <f ca="1">IFERROR(IF(LEFT(C567,2)="13",DATE(RIGHT(C567,4),12,31),IF(EOMONTH(C567,1)&gt;PREMISSAS!$C$3,"",IF(MONTH(C567)=11,"13º "&amp;YEAR(C567),EOMONTH(C567,1)))),"")</f>
        <v/>
      </c>
      <c r="D568" s="22">
        <f ca="1">VLOOKUP(C568,'Histórico de Remunerações'!$D$7:$E$656,2,FALSE)</f>
        <v>0</v>
      </c>
      <c r="E568" s="4" t="str">
        <f ca="1">IF(D568=0,"",IF(IF(ISTEXT(C568),DATE(RIGHT(C568,4),12,31),C568)&lt;PREMISSAS!$D$7,0,IFERROR(VLOOKUP(IF(LEFT(C568,2)="13",DATE(RIGHT(C568,4),12,31),C568),IPCA!$A$3:$D$284,4,FALSE),1)*D568))</f>
        <v/>
      </c>
      <c r="F568" s="4" t="str">
        <f ca="1">IF(C568="","",IFERROR(AVERAGEIF(E$5:$E568,"&gt;"&amp;_xlfn.PERCENTILE.EXC(E$5:$E568,0.2)),0))</f>
        <v/>
      </c>
    </row>
    <row r="569" spans="2:6" x14ac:dyDescent="0.25">
      <c r="B569" s="18">
        <v>565</v>
      </c>
      <c r="C569" s="21" t="str">
        <f ca="1">IFERROR(IF(LEFT(C568,2)="13",DATE(RIGHT(C568,4),12,31),IF(EOMONTH(C568,1)&gt;PREMISSAS!$C$3,"",IF(MONTH(C568)=11,"13º "&amp;YEAR(C568),EOMONTH(C568,1)))),"")</f>
        <v/>
      </c>
      <c r="D569" s="22">
        <f ca="1">VLOOKUP(C569,'Histórico de Remunerações'!$D$7:$E$656,2,FALSE)</f>
        <v>0</v>
      </c>
      <c r="E569" s="4" t="str">
        <f ca="1">IF(D569=0,"",IF(IF(ISTEXT(C569),DATE(RIGHT(C569,4),12,31),C569)&lt;PREMISSAS!$D$7,0,IFERROR(VLOOKUP(IF(LEFT(C569,2)="13",DATE(RIGHT(C569,4),12,31),C569),IPCA!$A$3:$D$284,4,FALSE),1)*D569))</f>
        <v/>
      </c>
      <c r="F569" s="4" t="str">
        <f ca="1">IF(C569="","",IFERROR(AVERAGEIF(E$5:$E569,"&gt;"&amp;_xlfn.PERCENTILE.EXC(E$5:$E569,0.2)),0))</f>
        <v/>
      </c>
    </row>
    <row r="570" spans="2:6" x14ac:dyDescent="0.25">
      <c r="B570" s="18">
        <v>566</v>
      </c>
      <c r="C570" s="21" t="str">
        <f ca="1">IFERROR(IF(LEFT(C569,2)="13",DATE(RIGHT(C569,4),12,31),IF(EOMONTH(C569,1)&gt;PREMISSAS!$C$3,"",IF(MONTH(C569)=11,"13º "&amp;YEAR(C569),EOMONTH(C569,1)))),"")</f>
        <v/>
      </c>
      <c r="D570" s="22">
        <f ca="1">VLOOKUP(C570,'Histórico de Remunerações'!$D$7:$E$656,2,FALSE)</f>
        <v>0</v>
      </c>
      <c r="E570" s="4" t="str">
        <f ca="1">IF(D570=0,"",IF(IF(ISTEXT(C570),DATE(RIGHT(C570,4),12,31),C570)&lt;PREMISSAS!$D$7,0,IFERROR(VLOOKUP(IF(LEFT(C570,2)="13",DATE(RIGHT(C570,4),12,31),C570),IPCA!$A$3:$D$284,4,FALSE),1)*D570))</f>
        <v/>
      </c>
      <c r="F570" s="4" t="str">
        <f ca="1">IF(C570="","",IFERROR(AVERAGEIF(E$5:$E570,"&gt;"&amp;_xlfn.PERCENTILE.EXC(E$5:$E570,0.2)),0))</f>
        <v/>
      </c>
    </row>
    <row r="571" spans="2:6" x14ac:dyDescent="0.25">
      <c r="B571" s="18">
        <v>567</v>
      </c>
      <c r="C571" s="21" t="str">
        <f ca="1">IFERROR(IF(LEFT(C570,2)="13",DATE(RIGHT(C570,4),12,31),IF(EOMONTH(C570,1)&gt;PREMISSAS!$C$3,"",IF(MONTH(C570)=11,"13º "&amp;YEAR(C570),EOMONTH(C570,1)))),"")</f>
        <v/>
      </c>
      <c r="D571" s="22">
        <f ca="1">VLOOKUP(C571,'Histórico de Remunerações'!$D$7:$E$656,2,FALSE)</f>
        <v>0</v>
      </c>
      <c r="E571" s="4" t="str">
        <f ca="1">IF(D571=0,"",IF(IF(ISTEXT(C571),DATE(RIGHT(C571,4),12,31),C571)&lt;PREMISSAS!$D$7,0,IFERROR(VLOOKUP(IF(LEFT(C571,2)="13",DATE(RIGHT(C571,4),12,31),C571),IPCA!$A$3:$D$284,4,FALSE),1)*D571))</f>
        <v/>
      </c>
      <c r="F571" s="4" t="str">
        <f ca="1">IF(C571="","",IFERROR(AVERAGEIF(E$5:$E571,"&gt;"&amp;_xlfn.PERCENTILE.EXC(E$5:$E571,0.2)),0))</f>
        <v/>
      </c>
    </row>
    <row r="572" spans="2:6" x14ac:dyDescent="0.25">
      <c r="B572" s="18">
        <v>568</v>
      </c>
      <c r="C572" s="21" t="str">
        <f ca="1">IFERROR(IF(LEFT(C571,2)="13",DATE(RIGHT(C571,4),12,31),IF(EOMONTH(C571,1)&gt;PREMISSAS!$C$3,"",IF(MONTH(C571)=11,"13º "&amp;YEAR(C571),EOMONTH(C571,1)))),"")</f>
        <v/>
      </c>
      <c r="D572" s="22">
        <f ca="1">VLOOKUP(C572,'Histórico de Remunerações'!$D$7:$E$656,2,FALSE)</f>
        <v>0</v>
      </c>
      <c r="E572" s="4" t="str">
        <f ca="1">IF(D572=0,"",IF(IF(ISTEXT(C572),DATE(RIGHT(C572,4),12,31),C572)&lt;PREMISSAS!$D$7,0,IFERROR(VLOOKUP(IF(LEFT(C572,2)="13",DATE(RIGHT(C572,4),12,31),C572),IPCA!$A$3:$D$284,4,FALSE),1)*D572))</f>
        <v/>
      </c>
      <c r="F572" s="4" t="str">
        <f ca="1">IF(C572="","",IFERROR(AVERAGEIF(E$5:$E572,"&gt;"&amp;_xlfn.PERCENTILE.EXC(E$5:$E572,0.2)),0))</f>
        <v/>
      </c>
    </row>
    <row r="573" spans="2:6" x14ac:dyDescent="0.25">
      <c r="B573" s="18">
        <v>569</v>
      </c>
      <c r="C573" s="21" t="str">
        <f ca="1">IFERROR(IF(LEFT(C572,2)="13",DATE(RIGHT(C572,4),12,31),IF(EOMONTH(C572,1)&gt;PREMISSAS!$C$3,"",IF(MONTH(C572)=11,"13º "&amp;YEAR(C572),EOMONTH(C572,1)))),"")</f>
        <v/>
      </c>
      <c r="D573" s="22">
        <f ca="1">VLOOKUP(C573,'Histórico de Remunerações'!$D$7:$E$656,2,FALSE)</f>
        <v>0</v>
      </c>
      <c r="E573" s="4" t="str">
        <f ca="1">IF(D573=0,"",IF(IF(ISTEXT(C573),DATE(RIGHT(C573,4),12,31),C573)&lt;PREMISSAS!$D$7,0,IFERROR(VLOOKUP(IF(LEFT(C573,2)="13",DATE(RIGHT(C573,4),12,31),C573),IPCA!$A$3:$D$284,4,FALSE),1)*D573))</f>
        <v/>
      </c>
      <c r="F573" s="4" t="str">
        <f ca="1">IF(C573="","",IFERROR(AVERAGEIF(E$5:$E573,"&gt;"&amp;_xlfn.PERCENTILE.EXC(E$5:$E573,0.2)),0))</f>
        <v/>
      </c>
    </row>
    <row r="574" spans="2:6" x14ac:dyDescent="0.25">
      <c r="B574" s="18">
        <v>570</v>
      </c>
      <c r="C574" s="21" t="str">
        <f ca="1">IFERROR(IF(LEFT(C573,2)="13",DATE(RIGHT(C573,4),12,31),IF(EOMONTH(C573,1)&gt;PREMISSAS!$C$3,"",IF(MONTH(C573)=11,"13º "&amp;YEAR(C573),EOMONTH(C573,1)))),"")</f>
        <v/>
      </c>
      <c r="D574" s="22">
        <f ca="1">VLOOKUP(C574,'Histórico de Remunerações'!$D$7:$E$656,2,FALSE)</f>
        <v>0</v>
      </c>
      <c r="E574" s="4" t="str">
        <f ca="1">IF(D574=0,"",IF(IF(ISTEXT(C574),DATE(RIGHT(C574,4),12,31),C574)&lt;PREMISSAS!$D$7,0,IFERROR(VLOOKUP(IF(LEFT(C574,2)="13",DATE(RIGHT(C574,4),12,31),C574),IPCA!$A$3:$D$284,4,FALSE),1)*D574))</f>
        <v/>
      </c>
      <c r="F574" s="4" t="str">
        <f ca="1">IF(C574="","",IFERROR(AVERAGEIF(E$5:$E574,"&gt;"&amp;_xlfn.PERCENTILE.EXC(E$5:$E574,0.2)),0))</f>
        <v/>
      </c>
    </row>
    <row r="575" spans="2:6" x14ac:dyDescent="0.25">
      <c r="B575" s="18">
        <v>571</v>
      </c>
      <c r="C575" s="21" t="str">
        <f ca="1">IFERROR(IF(LEFT(C574,2)="13",DATE(RIGHT(C574,4),12,31),IF(EOMONTH(C574,1)&gt;PREMISSAS!$C$3,"",IF(MONTH(C574)=11,"13º "&amp;YEAR(C574),EOMONTH(C574,1)))),"")</f>
        <v/>
      </c>
      <c r="D575" s="22">
        <f ca="1">VLOOKUP(C575,'Histórico de Remunerações'!$D$7:$E$656,2,FALSE)</f>
        <v>0</v>
      </c>
      <c r="E575" s="4" t="str">
        <f ca="1">IF(D575=0,"",IF(IF(ISTEXT(C575),DATE(RIGHT(C575,4),12,31),C575)&lt;PREMISSAS!$D$7,0,IFERROR(VLOOKUP(IF(LEFT(C575,2)="13",DATE(RIGHT(C575,4),12,31),C575),IPCA!$A$3:$D$284,4,FALSE),1)*D575))</f>
        <v/>
      </c>
      <c r="F575" s="4" t="str">
        <f ca="1">IF(C575="","",IFERROR(AVERAGEIF(E$5:$E575,"&gt;"&amp;_xlfn.PERCENTILE.EXC(E$5:$E575,0.2)),0))</f>
        <v/>
      </c>
    </row>
    <row r="576" spans="2:6" x14ac:dyDescent="0.25">
      <c r="B576" s="18">
        <v>572</v>
      </c>
      <c r="C576" s="21" t="str">
        <f ca="1">IFERROR(IF(LEFT(C575,2)="13",DATE(RIGHT(C575,4),12,31),IF(EOMONTH(C575,1)&gt;PREMISSAS!$C$3,"",IF(MONTH(C575)=11,"13º "&amp;YEAR(C575),EOMONTH(C575,1)))),"")</f>
        <v/>
      </c>
      <c r="D576" s="22">
        <f ca="1">VLOOKUP(C576,'Histórico de Remunerações'!$D$7:$E$656,2,FALSE)</f>
        <v>0</v>
      </c>
      <c r="E576" s="4" t="str">
        <f ca="1">IF(D576=0,"",IF(IF(ISTEXT(C576),DATE(RIGHT(C576,4),12,31),C576)&lt;PREMISSAS!$D$7,0,IFERROR(VLOOKUP(IF(LEFT(C576,2)="13",DATE(RIGHT(C576,4),12,31),C576),IPCA!$A$3:$D$284,4,FALSE),1)*D576))</f>
        <v/>
      </c>
      <c r="F576" s="4" t="str">
        <f ca="1">IF(C576="","",IFERROR(AVERAGEIF(E$5:$E576,"&gt;"&amp;_xlfn.PERCENTILE.EXC(E$5:$E576,0.2)),0))</f>
        <v/>
      </c>
    </row>
    <row r="577" spans="2:6" x14ac:dyDescent="0.25">
      <c r="B577" s="18">
        <v>573</v>
      </c>
      <c r="C577" s="21" t="str">
        <f ca="1">IFERROR(IF(LEFT(C576,2)="13",DATE(RIGHT(C576,4),12,31),IF(EOMONTH(C576,1)&gt;PREMISSAS!$C$3,"",IF(MONTH(C576)=11,"13º "&amp;YEAR(C576),EOMONTH(C576,1)))),"")</f>
        <v/>
      </c>
      <c r="D577" s="22">
        <f ca="1">VLOOKUP(C577,'Histórico de Remunerações'!$D$7:$E$656,2,FALSE)</f>
        <v>0</v>
      </c>
      <c r="E577" s="4" t="str">
        <f ca="1">IF(D577=0,"",IF(IF(ISTEXT(C577),DATE(RIGHT(C577,4),12,31),C577)&lt;PREMISSAS!$D$7,0,IFERROR(VLOOKUP(IF(LEFT(C577,2)="13",DATE(RIGHT(C577,4),12,31),C577),IPCA!$A$3:$D$284,4,FALSE),1)*D577))</f>
        <v/>
      </c>
      <c r="F577" s="4" t="str">
        <f ca="1">IF(C577="","",IFERROR(AVERAGEIF(E$5:$E577,"&gt;"&amp;_xlfn.PERCENTILE.EXC(E$5:$E577,0.2)),0))</f>
        <v/>
      </c>
    </row>
    <row r="578" spans="2:6" x14ac:dyDescent="0.25">
      <c r="B578" s="18">
        <v>574</v>
      </c>
      <c r="C578" s="21" t="str">
        <f ca="1">IFERROR(IF(LEFT(C577,2)="13",DATE(RIGHT(C577,4),12,31),IF(EOMONTH(C577,1)&gt;PREMISSAS!$C$3,"",IF(MONTH(C577)=11,"13º "&amp;YEAR(C577),EOMONTH(C577,1)))),"")</f>
        <v/>
      </c>
      <c r="D578" s="22">
        <f ca="1">VLOOKUP(C578,'Histórico de Remunerações'!$D$7:$E$656,2,FALSE)</f>
        <v>0</v>
      </c>
      <c r="E578" s="4" t="str">
        <f ca="1">IF(D578=0,"",IF(IF(ISTEXT(C578),DATE(RIGHT(C578,4),12,31),C578)&lt;PREMISSAS!$D$7,0,IFERROR(VLOOKUP(IF(LEFT(C578,2)="13",DATE(RIGHT(C578,4),12,31),C578),IPCA!$A$3:$D$284,4,FALSE),1)*D578))</f>
        <v/>
      </c>
      <c r="F578" s="4" t="str">
        <f ca="1">IF(C578="","",IFERROR(AVERAGEIF(E$5:$E578,"&gt;"&amp;_xlfn.PERCENTILE.EXC(E$5:$E578,0.2)),0))</f>
        <v/>
      </c>
    </row>
    <row r="579" spans="2:6" x14ac:dyDescent="0.25">
      <c r="B579" s="18">
        <v>575</v>
      </c>
      <c r="C579" s="21" t="str">
        <f ca="1">IFERROR(IF(LEFT(C578,2)="13",DATE(RIGHT(C578,4),12,31),IF(EOMONTH(C578,1)&gt;PREMISSAS!$C$3,"",IF(MONTH(C578)=11,"13º "&amp;YEAR(C578),EOMONTH(C578,1)))),"")</f>
        <v/>
      </c>
      <c r="D579" s="22">
        <f ca="1">VLOOKUP(C579,'Histórico de Remunerações'!$D$7:$E$656,2,FALSE)</f>
        <v>0</v>
      </c>
      <c r="E579" s="4" t="str">
        <f ca="1">IF(D579=0,"",IF(IF(ISTEXT(C579),DATE(RIGHT(C579,4),12,31),C579)&lt;PREMISSAS!$D$7,0,IFERROR(VLOOKUP(IF(LEFT(C579,2)="13",DATE(RIGHT(C579,4),12,31),C579),IPCA!$A$3:$D$284,4,FALSE),1)*D579))</f>
        <v/>
      </c>
      <c r="F579" s="4" t="str">
        <f ca="1">IF(C579="","",IFERROR(AVERAGEIF(E$5:$E579,"&gt;"&amp;_xlfn.PERCENTILE.EXC(E$5:$E579,0.2)),0))</f>
        <v/>
      </c>
    </row>
    <row r="580" spans="2:6" x14ac:dyDescent="0.25">
      <c r="B580" s="18">
        <v>576</v>
      </c>
      <c r="C580" s="21" t="str">
        <f ca="1">IFERROR(IF(LEFT(C579,2)="13",DATE(RIGHT(C579,4),12,31),IF(EOMONTH(C579,1)&gt;PREMISSAS!$C$3,"",IF(MONTH(C579)=11,"13º "&amp;YEAR(C579),EOMONTH(C579,1)))),"")</f>
        <v/>
      </c>
      <c r="D580" s="22">
        <f ca="1">VLOOKUP(C580,'Histórico de Remunerações'!$D$7:$E$656,2,FALSE)</f>
        <v>0</v>
      </c>
      <c r="E580" s="4" t="str">
        <f ca="1">IF(D580=0,"",IF(IF(ISTEXT(C580),DATE(RIGHT(C580,4),12,31),C580)&lt;PREMISSAS!$D$7,0,IFERROR(VLOOKUP(IF(LEFT(C580,2)="13",DATE(RIGHT(C580,4),12,31),C580),IPCA!$A$3:$D$284,4,FALSE),1)*D580))</f>
        <v/>
      </c>
      <c r="F580" s="4" t="str">
        <f ca="1">IF(C580="","",IFERROR(AVERAGEIF(E$5:$E580,"&gt;"&amp;_xlfn.PERCENTILE.EXC(E$5:$E580,0.2)),0))</f>
        <v/>
      </c>
    </row>
    <row r="581" spans="2:6" x14ac:dyDescent="0.25">
      <c r="B581" s="18">
        <v>577</v>
      </c>
      <c r="C581" s="21" t="str">
        <f ca="1">IFERROR(IF(LEFT(C580,2)="13",DATE(RIGHT(C580,4),12,31),IF(EOMONTH(C580,1)&gt;PREMISSAS!$C$3,"",IF(MONTH(C580)=11,"13º "&amp;YEAR(C580),EOMONTH(C580,1)))),"")</f>
        <v/>
      </c>
      <c r="D581" s="22">
        <f ca="1">VLOOKUP(C581,'Histórico de Remunerações'!$D$7:$E$656,2,FALSE)</f>
        <v>0</v>
      </c>
      <c r="E581" s="4" t="str">
        <f ca="1">IF(D581=0,"",IF(IF(ISTEXT(C581),DATE(RIGHT(C581,4),12,31),C581)&lt;PREMISSAS!$D$7,0,IFERROR(VLOOKUP(IF(LEFT(C581,2)="13",DATE(RIGHT(C581,4),12,31),C581),IPCA!$A$3:$D$284,4,FALSE),1)*D581))</f>
        <v/>
      </c>
      <c r="F581" s="4" t="str">
        <f ca="1">IF(C581="","",IFERROR(AVERAGEIF(E$5:$E581,"&gt;"&amp;_xlfn.PERCENTILE.EXC(E$5:$E581,0.2)),0))</f>
        <v/>
      </c>
    </row>
    <row r="582" spans="2:6" x14ac:dyDescent="0.25">
      <c r="B582" s="18">
        <v>578</v>
      </c>
      <c r="C582" s="21" t="str">
        <f ca="1">IFERROR(IF(LEFT(C581,2)="13",DATE(RIGHT(C581,4),12,31),IF(EOMONTH(C581,1)&gt;PREMISSAS!$C$3,"",IF(MONTH(C581)=11,"13º "&amp;YEAR(C581),EOMONTH(C581,1)))),"")</f>
        <v/>
      </c>
      <c r="D582" s="22">
        <f ca="1">VLOOKUP(C582,'Histórico de Remunerações'!$D$7:$E$656,2,FALSE)</f>
        <v>0</v>
      </c>
      <c r="E582" s="4" t="str">
        <f ca="1">IF(D582=0,"",IF(IF(ISTEXT(C582),DATE(RIGHT(C582,4),12,31),C582)&lt;PREMISSAS!$D$7,0,IFERROR(VLOOKUP(IF(LEFT(C582,2)="13",DATE(RIGHT(C582,4),12,31),C582),IPCA!$A$3:$D$284,4,FALSE),1)*D582))</f>
        <v/>
      </c>
      <c r="F582" s="4" t="str">
        <f ca="1">IF(C582="","",IFERROR(AVERAGEIF(E$5:$E582,"&gt;"&amp;_xlfn.PERCENTILE.EXC(E$5:$E582,0.2)),0))</f>
        <v/>
      </c>
    </row>
    <row r="583" spans="2:6" x14ac:dyDescent="0.25">
      <c r="B583" s="18">
        <v>579</v>
      </c>
      <c r="C583" s="21" t="str">
        <f ca="1">IFERROR(IF(LEFT(C582,2)="13",DATE(RIGHT(C582,4),12,31),IF(EOMONTH(C582,1)&gt;PREMISSAS!$C$3,"",IF(MONTH(C582)=11,"13º "&amp;YEAR(C582),EOMONTH(C582,1)))),"")</f>
        <v/>
      </c>
      <c r="D583" s="22">
        <f ca="1">VLOOKUP(C583,'Histórico de Remunerações'!$D$7:$E$656,2,FALSE)</f>
        <v>0</v>
      </c>
      <c r="E583" s="4" t="str">
        <f ca="1">IF(D583=0,"",IF(IF(ISTEXT(C583),DATE(RIGHT(C583,4),12,31),C583)&lt;PREMISSAS!$D$7,0,IFERROR(VLOOKUP(IF(LEFT(C583,2)="13",DATE(RIGHT(C583,4),12,31),C583),IPCA!$A$3:$D$284,4,FALSE),1)*D583))</f>
        <v/>
      </c>
      <c r="F583" s="4" t="str">
        <f ca="1">IF(C583="","",IFERROR(AVERAGEIF(E$5:$E583,"&gt;"&amp;_xlfn.PERCENTILE.EXC(E$5:$E583,0.2)),0))</f>
        <v/>
      </c>
    </row>
    <row r="584" spans="2:6" x14ac:dyDescent="0.25">
      <c r="B584" s="18">
        <v>580</v>
      </c>
      <c r="C584" s="21" t="str">
        <f ca="1">IFERROR(IF(LEFT(C583,2)="13",DATE(RIGHT(C583,4),12,31),IF(EOMONTH(C583,1)&gt;PREMISSAS!$C$3,"",IF(MONTH(C583)=11,"13º "&amp;YEAR(C583),EOMONTH(C583,1)))),"")</f>
        <v/>
      </c>
      <c r="D584" s="22">
        <f ca="1">VLOOKUP(C584,'Histórico de Remunerações'!$D$7:$E$656,2,FALSE)</f>
        <v>0</v>
      </c>
      <c r="E584" s="4" t="str">
        <f ca="1">IF(D584=0,"",IF(IF(ISTEXT(C584),DATE(RIGHT(C584,4),12,31),C584)&lt;PREMISSAS!$D$7,0,IFERROR(VLOOKUP(IF(LEFT(C584,2)="13",DATE(RIGHT(C584,4),12,31),C584),IPCA!$A$3:$D$284,4,FALSE),1)*D584))</f>
        <v/>
      </c>
      <c r="F584" s="4" t="str">
        <f ca="1">IF(C584="","",IFERROR(AVERAGEIF(E$5:$E584,"&gt;"&amp;_xlfn.PERCENTILE.EXC(E$5:$E584,0.2)),0))</f>
        <v/>
      </c>
    </row>
    <row r="585" spans="2:6" x14ac:dyDescent="0.25">
      <c r="B585" s="18">
        <v>581</v>
      </c>
      <c r="C585" s="21" t="str">
        <f ca="1">IFERROR(IF(LEFT(C584,2)="13",DATE(RIGHT(C584,4),12,31),IF(EOMONTH(C584,1)&gt;PREMISSAS!$C$3,"",IF(MONTH(C584)=11,"13º "&amp;YEAR(C584),EOMONTH(C584,1)))),"")</f>
        <v/>
      </c>
      <c r="D585" s="22">
        <f ca="1">VLOOKUP(C585,'Histórico de Remunerações'!$D$7:$E$656,2,FALSE)</f>
        <v>0</v>
      </c>
      <c r="E585" s="4" t="str">
        <f ca="1">IF(D585=0,"",IF(IF(ISTEXT(C585),DATE(RIGHT(C585,4),12,31),C585)&lt;PREMISSAS!$D$7,0,IFERROR(VLOOKUP(IF(LEFT(C585,2)="13",DATE(RIGHT(C585,4),12,31),C585),IPCA!$A$3:$D$284,4,FALSE),1)*D585))</f>
        <v/>
      </c>
      <c r="F585" s="4" t="str">
        <f ca="1">IF(C585="","",IFERROR(AVERAGEIF(E$5:$E585,"&gt;"&amp;_xlfn.PERCENTILE.EXC(E$5:$E585,0.2)),0))</f>
        <v/>
      </c>
    </row>
    <row r="586" spans="2:6" x14ac:dyDescent="0.25">
      <c r="B586" s="18">
        <v>582</v>
      </c>
      <c r="C586" s="21" t="str">
        <f ca="1">IFERROR(IF(LEFT(C585,2)="13",DATE(RIGHT(C585,4),12,31),IF(EOMONTH(C585,1)&gt;PREMISSAS!$C$3,"",IF(MONTH(C585)=11,"13º "&amp;YEAR(C585),EOMONTH(C585,1)))),"")</f>
        <v/>
      </c>
      <c r="D586" s="22">
        <f ca="1">VLOOKUP(C586,'Histórico de Remunerações'!$D$7:$E$656,2,FALSE)</f>
        <v>0</v>
      </c>
      <c r="E586" s="4" t="str">
        <f ca="1">IF(D586=0,"",IF(IF(ISTEXT(C586),DATE(RIGHT(C586,4),12,31),C586)&lt;PREMISSAS!$D$7,0,IFERROR(VLOOKUP(IF(LEFT(C586,2)="13",DATE(RIGHT(C586,4),12,31),C586),IPCA!$A$3:$D$284,4,FALSE),1)*D586))</f>
        <v/>
      </c>
      <c r="F586" s="4" t="str">
        <f ca="1">IF(C586="","",IFERROR(AVERAGEIF(E$5:$E586,"&gt;"&amp;_xlfn.PERCENTILE.EXC(E$5:$E586,0.2)),0))</f>
        <v/>
      </c>
    </row>
    <row r="587" spans="2:6" x14ac:dyDescent="0.25">
      <c r="B587" s="18">
        <v>583</v>
      </c>
      <c r="C587" s="21" t="str">
        <f ca="1">IFERROR(IF(LEFT(C586,2)="13",DATE(RIGHT(C586,4),12,31),IF(EOMONTH(C586,1)&gt;PREMISSAS!$C$3,"",IF(MONTH(C586)=11,"13º "&amp;YEAR(C586),EOMONTH(C586,1)))),"")</f>
        <v/>
      </c>
      <c r="D587" s="22">
        <f ca="1">VLOOKUP(C587,'Histórico de Remunerações'!$D$7:$E$656,2,FALSE)</f>
        <v>0</v>
      </c>
      <c r="E587" s="4" t="str">
        <f ca="1">IF(D587=0,"",IF(IF(ISTEXT(C587),DATE(RIGHT(C587,4),12,31),C587)&lt;PREMISSAS!$D$7,0,IFERROR(VLOOKUP(IF(LEFT(C587,2)="13",DATE(RIGHT(C587,4),12,31),C587),IPCA!$A$3:$D$284,4,FALSE),1)*D587))</f>
        <v/>
      </c>
      <c r="F587" s="4" t="str">
        <f ca="1">IF(C587="","",IFERROR(AVERAGEIF(E$5:$E587,"&gt;"&amp;_xlfn.PERCENTILE.EXC(E$5:$E587,0.2)),0))</f>
        <v/>
      </c>
    </row>
    <row r="588" spans="2:6" x14ac:dyDescent="0.25">
      <c r="B588" s="18">
        <v>584</v>
      </c>
      <c r="C588" s="21" t="str">
        <f ca="1">IFERROR(IF(LEFT(C587,2)="13",DATE(RIGHT(C587,4),12,31),IF(EOMONTH(C587,1)&gt;PREMISSAS!$C$3,"",IF(MONTH(C587)=11,"13º "&amp;YEAR(C587),EOMONTH(C587,1)))),"")</f>
        <v/>
      </c>
      <c r="D588" s="22">
        <f ca="1">VLOOKUP(C588,'Histórico de Remunerações'!$D$7:$E$656,2,FALSE)</f>
        <v>0</v>
      </c>
      <c r="E588" s="4" t="str">
        <f ca="1">IF(D588=0,"",IF(IF(ISTEXT(C588),DATE(RIGHT(C588,4),12,31),C588)&lt;PREMISSAS!$D$7,0,IFERROR(VLOOKUP(IF(LEFT(C588,2)="13",DATE(RIGHT(C588,4),12,31),C588),IPCA!$A$3:$D$284,4,FALSE),1)*D588))</f>
        <v/>
      </c>
      <c r="F588" s="4" t="str">
        <f ca="1">IF(C588="","",IFERROR(AVERAGEIF(E$5:$E588,"&gt;"&amp;_xlfn.PERCENTILE.EXC(E$5:$E588,0.2)),0))</f>
        <v/>
      </c>
    </row>
    <row r="589" spans="2:6" x14ac:dyDescent="0.25">
      <c r="B589" s="18">
        <v>585</v>
      </c>
      <c r="C589" s="21" t="str">
        <f ca="1">IFERROR(IF(LEFT(C588,2)="13",DATE(RIGHT(C588,4),12,31),IF(EOMONTH(C588,1)&gt;PREMISSAS!$C$3,"",IF(MONTH(C588)=11,"13º "&amp;YEAR(C588),EOMONTH(C588,1)))),"")</f>
        <v/>
      </c>
      <c r="D589" s="22">
        <f ca="1">VLOOKUP(C589,'Histórico de Remunerações'!$D$7:$E$656,2,FALSE)</f>
        <v>0</v>
      </c>
      <c r="E589" s="4" t="str">
        <f ca="1">IF(D589=0,"",IF(IF(ISTEXT(C589),DATE(RIGHT(C589,4),12,31),C589)&lt;PREMISSAS!$D$7,0,IFERROR(VLOOKUP(IF(LEFT(C589,2)="13",DATE(RIGHT(C589,4),12,31),C589),IPCA!$A$3:$D$284,4,FALSE),1)*D589))</f>
        <v/>
      </c>
      <c r="F589" s="4" t="str">
        <f ca="1">IF(C589="","",IFERROR(AVERAGEIF(E$5:$E589,"&gt;"&amp;_xlfn.PERCENTILE.EXC(E$5:$E589,0.2)),0))</f>
        <v/>
      </c>
    </row>
    <row r="590" spans="2:6" x14ac:dyDescent="0.25">
      <c r="B590" s="18">
        <v>586</v>
      </c>
      <c r="C590" s="21" t="str">
        <f ca="1">IFERROR(IF(LEFT(C589,2)="13",DATE(RIGHT(C589,4),12,31),IF(EOMONTH(C589,1)&gt;PREMISSAS!$C$3,"",IF(MONTH(C589)=11,"13º "&amp;YEAR(C589),EOMONTH(C589,1)))),"")</f>
        <v/>
      </c>
      <c r="D590" s="22">
        <f ca="1">VLOOKUP(C590,'Histórico de Remunerações'!$D$7:$E$656,2,FALSE)</f>
        <v>0</v>
      </c>
      <c r="E590" s="4" t="str">
        <f ca="1">IF(D590=0,"",IF(IF(ISTEXT(C590),DATE(RIGHT(C590,4),12,31),C590)&lt;PREMISSAS!$D$7,0,IFERROR(VLOOKUP(IF(LEFT(C590,2)="13",DATE(RIGHT(C590,4),12,31),C590),IPCA!$A$3:$D$284,4,FALSE),1)*D590))</f>
        <v/>
      </c>
      <c r="F590" s="4" t="str">
        <f ca="1">IF(C590="","",IFERROR(AVERAGEIF(E$5:$E590,"&gt;"&amp;_xlfn.PERCENTILE.EXC(E$5:$E590,0.2)),0))</f>
        <v/>
      </c>
    </row>
    <row r="591" spans="2:6" x14ac:dyDescent="0.25">
      <c r="B591" s="18">
        <v>587</v>
      </c>
      <c r="C591" s="21" t="str">
        <f ca="1">IFERROR(IF(LEFT(C590,2)="13",DATE(RIGHT(C590,4),12,31),IF(EOMONTH(C590,1)&gt;PREMISSAS!$C$3,"",IF(MONTH(C590)=11,"13º "&amp;YEAR(C590),EOMONTH(C590,1)))),"")</f>
        <v/>
      </c>
      <c r="D591" s="22">
        <f ca="1">VLOOKUP(C591,'Histórico de Remunerações'!$D$7:$E$656,2,FALSE)</f>
        <v>0</v>
      </c>
      <c r="E591" s="4" t="str">
        <f ca="1">IF(D591=0,"",IF(IF(ISTEXT(C591),DATE(RIGHT(C591,4),12,31),C591)&lt;PREMISSAS!$D$7,0,IFERROR(VLOOKUP(IF(LEFT(C591,2)="13",DATE(RIGHT(C591,4),12,31),C591),IPCA!$A$3:$D$284,4,FALSE),1)*D591))</f>
        <v/>
      </c>
      <c r="F591" s="4" t="str">
        <f ca="1">IF(C591="","",IFERROR(AVERAGEIF(E$5:$E591,"&gt;"&amp;_xlfn.PERCENTILE.EXC(E$5:$E591,0.2)),0))</f>
        <v/>
      </c>
    </row>
    <row r="592" spans="2:6" x14ac:dyDescent="0.25">
      <c r="B592" s="18">
        <v>588</v>
      </c>
      <c r="C592" s="21" t="str">
        <f ca="1">IFERROR(IF(LEFT(C591,2)="13",DATE(RIGHT(C591,4),12,31),IF(EOMONTH(C591,1)&gt;PREMISSAS!$C$3,"",IF(MONTH(C591)=11,"13º "&amp;YEAR(C591),EOMONTH(C591,1)))),"")</f>
        <v/>
      </c>
      <c r="D592" s="22">
        <f ca="1">VLOOKUP(C592,'Histórico de Remunerações'!$D$7:$E$656,2,FALSE)</f>
        <v>0</v>
      </c>
      <c r="E592" s="4" t="str">
        <f ca="1">IF(D592=0,"",IF(IF(ISTEXT(C592),DATE(RIGHT(C592,4),12,31),C592)&lt;PREMISSAS!$D$7,0,IFERROR(VLOOKUP(IF(LEFT(C592,2)="13",DATE(RIGHT(C592,4),12,31),C592),IPCA!$A$3:$D$284,4,FALSE),1)*D592))</f>
        <v/>
      </c>
      <c r="F592" s="4" t="str">
        <f ca="1">IF(C592="","",IFERROR(AVERAGEIF(E$5:$E592,"&gt;"&amp;_xlfn.PERCENTILE.EXC(E$5:$E592,0.2)),0))</f>
        <v/>
      </c>
    </row>
    <row r="593" spans="2:6" x14ac:dyDescent="0.25">
      <c r="B593" s="18">
        <v>589</v>
      </c>
      <c r="C593" s="21" t="str">
        <f ca="1">IFERROR(IF(LEFT(C592,2)="13",DATE(RIGHT(C592,4),12,31),IF(EOMONTH(C592,1)&gt;PREMISSAS!$C$3,"",IF(MONTH(C592)=11,"13º "&amp;YEAR(C592),EOMONTH(C592,1)))),"")</f>
        <v/>
      </c>
      <c r="D593" s="22">
        <f ca="1">VLOOKUP(C593,'Histórico de Remunerações'!$D$7:$E$656,2,FALSE)</f>
        <v>0</v>
      </c>
      <c r="E593" s="4" t="str">
        <f ca="1">IF(D593=0,"",IF(IF(ISTEXT(C593),DATE(RIGHT(C593,4),12,31),C593)&lt;PREMISSAS!$D$7,0,IFERROR(VLOOKUP(IF(LEFT(C593,2)="13",DATE(RIGHT(C593,4),12,31),C593),IPCA!$A$3:$D$284,4,FALSE),1)*D593))</f>
        <v/>
      </c>
      <c r="F593" s="4" t="str">
        <f ca="1">IF(C593="","",IFERROR(AVERAGEIF(E$5:$E593,"&gt;"&amp;_xlfn.PERCENTILE.EXC(E$5:$E593,0.2)),0))</f>
        <v/>
      </c>
    </row>
    <row r="594" spans="2:6" x14ac:dyDescent="0.25">
      <c r="B594" s="18">
        <v>590</v>
      </c>
      <c r="C594" s="21" t="str">
        <f ca="1">IFERROR(IF(LEFT(C593,2)="13",DATE(RIGHT(C593,4),12,31),IF(EOMONTH(C593,1)&gt;PREMISSAS!$C$3,"",IF(MONTH(C593)=11,"13º "&amp;YEAR(C593),EOMONTH(C593,1)))),"")</f>
        <v/>
      </c>
      <c r="D594" s="22">
        <f ca="1">VLOOKUP(C594,'Histórico de Remunerações'!$D$7:$E$656,2,FALSE)</f>
        <v>0</v>
      </c>
      <c r="E594" s="4" t="str">
        <f ca="1">IF(D594=0,"",IF(IF(ISTEXT(C594),DATE(RIGHT(C594,4),12,31),C594)&lt;PREMISSAS!$D$7,0,IFERROR(VLOOKUP(IF(LEFT(C594,2)="13",DATE(RIGHT(C594,4),12,31),C594),IPCA!$A$3:$D$284,4,FALSE),1)*D594))</f>
        <v/>
      </c>
      <c r="F594" s="4" t="str">
        <f ca="1">IF(C594="","",IFERROR(AVERAGEIF(E$5:$E594,"&gt;"&amp;_xlfn.PERCENTILE.EXC(E$5:$E594,0.2)),0))</f>
        <v/>
      </c>
    </row>
    <row r="595" spans="2:6" x14ac:dyDescent="0.25">
      <c r="B595" s="18">
        <v>591</v>
      </c>
      <c r="C595" s="21" t="str">
        <f ca="1">IFERROR(IF(LEFT(C594,2)="13",DATE(RIGHT(C594,4),12,31),IF(EOMONTH(C594,1)&gt;PREMISSAS!$C$3,"",IF(MONTH(C594)=11,"13º "&amp;YEAR(C594),EOMONTH(C594,1)))),"")</f>
        <v/>
      </c>
      <c r="D595" s="22">
        <f ca="1">VLOOKUP(C595,'Histórico de Remunerações'!$D$7:$E$656,2,FALSE)</f>
        <v>0</v>
      </c>
      <c r="E595" s="4" t="str">
        <f ca="1">IF(D595=0,"",IF(IF(ISTEXT(C595),DATE(RIGHT(C595,4),12,31),C595)&lt;PREMISSAS!$D$7,0,IFERROR(VLOOKUP(IF(LEFT(C595,2)="13",DATE(RIGHT(C595,4),12,31),C595),IPCA!$A$3:$D$284,4,FALSE),1)*D595))</f>
        <v/>
      </c>
      <c r="F595" s="4" t="str">
        <f ca="1">IF(C595="","",IFERROR(AVERAGEIF(E$5:$E595,"&gt;"&amp;_xlfn.PERCENTILE.EXC(E$5:$E595,0.2)),0))</f>
        <v/>
      </c>
    </row>
    <row r="596" spans="2:6" x14ac:dyDescent="0.25">
      <c r="B596" s="18">
        <v>592</v>
      </c>
      <c r="C596" s="21" t="str">
        <f ca="1">IFERROR(IF(LEFT(C595,2)="13",DATE(RIGHT(C595,4),12,31),IF(EOMONTH(C595,1)&gt;PREMISSAS!$C$3,"",IF(MONTH(C595)=11,"13º "&amp;YEAR(C595),EOMONTH(C595,1)))),"")</f>
        <v/>
      </c>
      <c r="D596" s="22">
        <f ca="1">VLOOKUP(C596,'Histórico de Remunerações'!$D$7:$E$656,2,FALSE)</f>
        <v>0</v>
      </c>
      <c r="E596" s="4" t="str">
        <f ca="1">IF(D596=0,"",IF(IF(ISTEXT(C596),DATE(RIGHT(C596,4),12,31),C596)&lt;PREMISSAS!$D$7,0,IFERROR(VLOOKUP(IF(LEFT(C596,2)="13",DATE(RIGHT(C596,4),12,31),C596),IPCA!$A$3:$D$284,4,FALSE),1)*D596))</f>
        <v/>
      </c>
      <c r="F596" s="4" t="str">
        <f ca="1">IF(C596="","",IFERROR(AVERAGEIF(E$5:$E596,"&gt;"&amp;_xlfn.PERCENTILE.EXC(E$5:$E596,0.2)),0))</f>
        <v/>
      </c>
    </row>
    <row r="597" spans="2:6" x14ac:dyDescent="0.25">
      <c r="B597" s="18">
        <v>593</v>
      </c>
      <c r="C597" s="21" t="str">
        <f ca="1">IFERROR(IF(LEFT(C596,2)="13",DATE(RIGHT(C596,4),12,31),IF(EOMONTH(C596,1)&gt;PREMISSAS!$C$3,"",IF(MONTH(C596)=11,"13º "&amp;YEAR(C596),EOMONTH(C596,1)))),"")</f>
        <v/>
      </c>
      <c r="D597" s="22">
        <f ca="1">VLOOKUP(C597,'Histórico de Remunerações'!$D$7:$E$656,2,FALSE)</f>
        <v>0</v>
      </c>
      <c r="E597" s="4" t="str">
        <f ca="1">IF(D597=0,"",IF(IF(ISTEXT(C597),DATE(RIGHT(C597,4),12,31),C597)&lt;PREMISSAS!$D$7,0,IFERROR(VLOOKUP(IF(LEFT(C597,2)="13",DATE(RIGHT(C597,4),12,31),C597),IPCA!$A$3:$D$284,4,FALSE),1)*D597))</f>
        <v/>
      </c>
      <c r="F597" s="4" t="str">
        <f ca="1">IF(C597="","",IFERROR(AVERAGEIF(E$5:$E597,"&gt;"&amp;_xlfn.PERCENTILE.EXC(E$5:$E597,0.2)),0))</f>
        <v/>
      </c>
    </row>
    <row r="598" spans="2:6" x14ac:dyDescent="0.25">
      <c r="B598" s="18">
        <v>594</v>
      </c>
      <c r="C598" s="21" t="str">
        <f ca="1">IFERROR(IF(LEFT(C597,2)="13",DATE(RIGHT(C597,4),12,31),IF(EOMONTH(C597,1)&gt;PREMISSAS!$C$3,"",IF(MONTH(C597)=11,"13º "&amp;YEAR(C597),EOMONTH(C597,1)))),"")</f>
        <v/>
      </c>
      <c r="D598" s="22">
        <f ca="1">VLOOKUP(C598,'Histórico de Remunerações'!$D$7:$E$656,2,FALSE)</f>
        <v>0</v>
      </c>
      <c r="E598" s="4" t="str">
        <f ca="1">IF(D598=0,"",IF(IF(ISTEXT(C598),DATE(RIGHT(C598,4),12,31),C598)&lt;PREMISSAS!$D$7,0,IFERROR(VLOOKUP(IF(LEFT(C598,2)="13",DATE(RIGHT(C598,4),12,31),C598),IPCA!$A$3:$D$284,4,FALSE),1)*D598))</f>
        <v/>
      </c>
      <c r="F598" s="4" t="str">
        <f ca="1">IF(C598="","",IFERROR(AVERAGEIF(E$5:$E598,"&gt;"&amp;_xlfn.PERCENTILE.EXC(E$5:$E598,0.2)),0))</f>
        <v/>
      </c>
    </row>
    <row r="599" spans="2:6" x14ac:dyDescent="0.25">
      <c r="B599" s="18">
        <v>595</v>
      </c>
      <c r="C599" s="21" t="str">
        <f ca="1">IFERROR(IF(LEFT(C598,2)="13",DATE(RIGHT(C598,4),12,31),IF(EOMONTH(C598,1)&gt;PREMISSAS!$C$3,"",IF(MONTH(C598)=11,"13º "&amp;YEAR(C598),EOMONTH(C598,1)))),"")</f>
        <v/>
      </c>
      <c r="D599" s="22">
        <f ca="1">VLOOKUP(C599,'Histórico de Remunerações'!$D$7:$E$656,2,FALSE)</f>
        <v>0</v>
      </c>
      <c r="E599" s="4" t="str">
        <f ca="1">IF(D599=0,"",IF(IF(ISTEXT(C599),DATE(RIGHT(C599,4),12,31),C599)&lt;PREMISSAS!$D$7,0,IFERROR(VLOOKUP(IF(LEFT(C599,2)="13",DATE(RIGHT(C599,4),12,31),C599),IPCA!$A$3:$D$284,4,FALSE),1)*D599))</f>
        <v/>
      </c>
      <c r="F599" s="4" t="str">
        <f ca="1">IF(C599="","",IFERROR(AVERAGEIF(E$5:$E599,"&gt;"&amp;_xlfn.PERCENTILE.EXC(E$5:$E599,0.2)),0))</f>
        <v/>
      </c>
    </row>
    <row r="600" spans="2:6" x14ac:dyDescent="0.25">
      <c r="B600" s="18">
        <v>596</v>
      </c>
      <c r="C600" s="21" t="str">
        <f ca="1">IFERROR(IF(LEFT(C599,2)="13",DATE(RIGHT(C599,4),12,31),IF(EOMONTH(C599,1)&gt;PREMISSAS!$C$3,"",IF(MONTH(C599)=11,"13º "&amp;YEAR(C599),EOMONTH(C599,1)))),"")</f>
        <v/>
      </c>
      <c r="D600" s="22">
        <f ca="1">VLOOKUP(C600,'Histórico de Remunerações'!$D$7:$E$656,2,FALSE)</f>
        <v>0</v>
      </c>
      <c r="E600" s="4" t="str">
        <f ca="1">IF(D600=0,"",IF(IF(ISTEXT(C600),DATE(RIGHT(C600,4),12,31),C600)&lt;PREMISSAS!$D$7,0,IFERROR(VLOOKUP(IF(LEFT(C600,2)="13",DATE(RIGHT(C600,4),12,31),C600),IPCA!$A$3:$D$284,4,FALSE),1)*D600))</f>
        <v/>
      </c>
      <c r="F600" s="4" t="str">
        <f ca="1">IF(C600="","",IFERROR(AVERAGEIF(E$5:$E600,"&gt;"&amp;_xlfn.PERCENTILE.EXC(E$5:$E600,0.2)),0))</f>
        <v/>
      </c>
    </row>
    <row r="601" spans="2:6" x14ac:dyDescent="0.25">
      <c r="B601" s="18">
        <v>597</v>
      </c>
      <c r="C601" s="21" t="str">
        <f ca="1">IFERROR(IF(LEFT(C600,2)="13",DATE(RIGHT(C600,4),12,31),IF(EOMONTH(C600,1)&gt;PREMISSAS!$C$3,"",IF(MONTH(C600)=11,"13º "&amp;YEAR(C600),EOMONTH(C600,1)))),"")</f>
        <v/>
      </c>
      <c r="D601" s="22">
        <f ca="1">VLOOKUP(C601,'Histórico de Remunerações'!$D$7:$E$656,2,FALSE)</f>
        <v>0</v>
      </c>
      <c r="E601" s="4" t="str">
        <f ca="1">IF(D601=0,"",IF(IF(ISTEXT(C601),DATE(RIGHT(C601,4),12,31),C601)&lt;PREMISSAS!$D$7,0,IFERROR(VLOOKUP(IF(LEFT(C601,2)="13",DATE(RIGHT(C601,4),12,31),C601),IPCA!$A$3:$D$284,4,FALSE),1)*D601))</f>
        <v/>
      </c>
      <c r="F601" s="4" t="str">
        <f ca="1">IF(C601="","",IFERROR(AVERAGEIF(E$5:$E601,"&gt;"&amp;_xlfn.PERCENTILE.EXC(E$5:$E601,0.2)),0))</f>
        <v/>
      </c>
    </row>
    <row r="602" spans="2:6" x14ac:dyDescent="0.25">
      <c r="B602" s="18">
        <v>598</v>
      </c>
      <c r="C602" s="21" t="str">
        <f ca="1">IFERROR(IF(LEFT(C601,2)="13",DATE(RIGHT(C601,4),12,31),IF(EOMONTH(C601,1)&gt;PREMISSAS!$C$3,"",IF(MONTH(C601)=11,"13º "&amp;YEAR(C601),EOMONTH(C601,1)))),"")</f>
        <v/>
      </c>
      <c r="D602" s="22">
        <f ca="1">VLOOKUP(C602,'Histórico de Remunerações'!$D$7:$E$656,2,FALSE)</f>
        <v>0</v>
      </c>
      <c r="E602" s="4" t="str">
        <f ca="1">IF(D602=0,"",IF(IF(ISTEXT(C602),DATE(RIGHT(C602,4),12,31),C602)&lt;PREMISSAS!$D$7,0,IFERROR(VLOOKUP(IF(LEFT(C602,2)="13",DATE(RIGHT(C602,4),12,31),C602),IPCA!$A$3:$D$284,4,FALSE),1)*D602))</f>
        <v/>
      </c>
      <c r="F602" s="4" t="str">
        <f ca="1">IF(C602="","",IFERROR(AVERAGEIF(E$5:$E602,"&gt;"&amp;_xlfn.PERCENTILE.EXC(E$5:$E602,0.2)),0))</f>
        <v/>
      </c>
    </row>
    <row r="603" spans="2:6" x14ac:dyDescent="0.25">
      <c r="B603" s="18">
        <v>599</v>
      </c>
      <c r="C603" s="21" t="str">
        <f ca="1">IFERROR(IF(LEFT(C602,2)="13",DATE(RIGHT(C602,4),12,31),IF(EOMONTH(C602,1)&gt;PREMISSAS!$C$3,"",IF(MONTH(C602)=11,"13º "&amp;YEAR(C602),EOMONTH(C602,1)))),"")</f>
        <v/>
      </c>
      <c r="D603" s="22">
        <f ca="1">VLOOKUP(C603,'Histórico de Remunerações'!$D$7:$E$656,2,FALSE)</f>
        <v>0</v>
      </c>
      <c r="E603" s="4" t="str">
        <f ca="1">IF(D603=0,"",IF(IF(ISTEXT(C603),DATE(RIGHT(C603,4),12,31),C603)&lt;PREMISSAS!$D$7,0,IFERROR(VLOOKUP(IF(LEFT(C603,2)="13",DATE(RIGHT(C603,4),12,31),C603),IPCA!$A$3:$D$284,4,FALSE),1)*D603))</f>
        <v/>
      </c>
      <c r="F603" s="4" t="str">
        <f ca="1">IF(C603="","",IFERROR(AVERAGEIF(E$5:$E603,"&gt;"&amp;_xlfn.PERCENTILE.EXC(E$5:$E603,0.2)),0))</f>
        <v/>
      </c>
    </row>
    <row r="604" spans="2:6" x14ac:dyDescent="0.25">
      <c r="B604" s="18">
        <v>600</v>
      </c>
      <c r="C604" s="21" t="str">
        <f ca="1">IFERROR(IF(LEFT(C603,2)="13",DATE(RIGHT(C603,4),12,31),IF(EOMONTH(C603,1)&gt;PREMISSAS!$C$3,"",IF(MONTH(C603)=11,"13º "&amp;YEAR(C603),EOMONTH(C603,1)))),"")</f>
        <v/>
      </c>
      <c r="D604" s="22">
        <f ca="1">VLOOKUP(C604,'Histórico de Remunerações'!$D$7:$E$656,2,FALSE)</f>
        <v>0</v>
      </c>
      <c r="E604" s="4" t="str">
        <f ca="1">IF(D604=0,"",IF(IF(ISTEXT(C604),DATE(RIGHT(C604,4),12,31),C604)&lt;PREMISSAS!$D$7,0,IFERROR(VLOOKUP(IF(LEFT(C604,2)="13",DATE(RIGHT(C604,4),12,31),C604),IPCA!$A$3:$D$284,4,FALSE),1)*D604))</f>
        <v/>
      </c>
      <c r="F604" s="4" t="str">
        <f ca="1">IF(C604="","",IFERROR(AVERAGEIF(E$5:$E604,"&gt;"&amp;_xlfn.PERCENTILE.EXC(E$5:$E604,0.2)),0))</f>
        <v/>
      </c>
    </row>
    <row r="605" spans="2:6" x14ac:dyDescent="0.25">
      <c r="B605" s="18">
        <v>601</v>
      </c>
      <c r="C605" s="21" t="str">
        <f ca="1">IFERROR(IF(LEFT(C604,2)="13",DATE(RIGHT(C604,4),12,31),IF(EOMONTH(C604,1)&gt;PREMISSAS!$C$3,"",IF(MONTH(C604)=11,"13º "&amp;YEAR(C604),EOMONTH(C604,1)))),"")</f>
        <v/>
      </c>
      <c r="D605" s="22">
        <f ca="1">VLOOKUP(C605,'Histórico de Remunerações'!$D$7:$E$656,2,FALSE)</f>
        <v>0</v>
      </c>
      <c r="E605" s="4" t="str">
        <f ca="1">IF(D605=0,"",IF(IF(ISTEXT(C605),DATE(RIGHT(C605,4),12,31),C605)&lt;PREMISSAS!$D$7,0,IFERROR(VLOOKUP(IF(LEFT(C605,2)="13",DATE(RIGHT(C605,4),12,31),C605),IPCA!$A$3:$D$284,4,FALSE),1)*D605))</f>
        <v/>
      </c>
      <c r="F605" s="4" t="str">
        <f ca="1">IF(C605="","",IFERROR(AVERAGEIF(E$5:$E605,"&gt;"&amp;_xlfn.PERCENTILE.EXC(E$5:$E605,0.2)),0))</f>
        <v/>
      </c>
    </row>
    <row r="606" spans="2:6" x14ac:dyDescent="0.25">
      <c r="B606" s="18">
        <v>602</v>
      </c>
      <c r="C606" s="21" t="str">
        <f ca="1">IFERROR(IF(LEFT(C605,2)="13",DATE(RIGHT(C605,4),12,31),IF(EOMONTH(C605,1)&gt;PREMISSAS!$C$3,"",IF(MONTH(C605)=11,"13º "&amp;YEAR(C605),EOMONTH(C605,1)))),"")</f>
        <v/>
      </c>
      <c r="D606" s="22">
        <f ca="1">VLOOKUP(C606,'Histórico de Remunerações'!$D$7:$E$656,2,FALSE)</f>
        <v>0</v>
      </c>
      <c r="E606" s="4" t="str">
        <f ca="1">IF(D606=0,"",IF(IF(ISTEXT(C606),DATE(RIGHT(C606,4),12,31),C606)&lt;PREMISSAS!$D$7,0,IFERROR(VLOOKUP(IF(LEFT(C606,2)="13",DATE(RIGHT(C606,4),12,31),C606),IPCA!$A$3:$D$284,4,FALSE),1)*D606))</f>
        <v/>
      </c>
      <c r="F606" s="4" t="str">
        <f ca="1">IF(C606="","",IFERROR(AVERAGEIF(E$5:$E606,"&gt;"&amp;_xlfn.PERCENTILE.EXC(E$5:$E606,0.2)),0))</f>
        <v/>
      </c>
    </row>
    <row r="607" spans="2:6" x14ac:dyDescent="0.25">
      <c r="B607" s="18">
        <v>603</v>
      </c>
      <c r="C607" s="21" t="str">
        <f ca="1">IFERROR(IF(LEFT(C606,2)="13",DATE(RIGHT(C606,4),12,31),IF(EOMONTH(C606,1)&gt;PREMISSAS!$C$3,"",IF(MONTH(C606)=11,"13º "&amp;YEAR(C606),EOMONTH(C606,1)))),"")</f>
        <v/>
      </c>
      <c r="D607" s="22">
        <f ca="1">VLOOKUP(C607,'Histórico de Remunerações'!$D$7:$E$656,2,FALSE)</f>
        <v>0</v>
      </c>
      <c r="E607" s="4" t="str">
        <f ca="1">IF(D607=0,"",IF(IF(ISTEXT(C607),DATE(RIGHT(C607,4),12,31),C607)&lt;PREMISSAS!$D$7,0,IFERROR(VLOOKUP(IF(LEFT(C607,2)="13",DATE(RIGHT(C607,4),12,31),C607),IPCA!$A$3:$D$284,4,FALSE),1)*D607))</f>
        <v/>
      </c>
      <c r="F607" s="4" t="str">
        <f ca="1">IF(C607="","",IFERROR(AVERAGEIF(E$5:$E607,"&gt;"&amp;_xlfn.PERCENTILE.EXC(E$5:$E607,0.2)),0))</f>
        <v/>
      </c>
    </row>
    <row r="608" spans="2:6" x14ac:dyDescent="0.25">
      <c r="B608" s="18">
        <v>604</v>
      </c>
      <c r="C608" s="21" t="str">
        <f ca="1">IFERROR(IF(LEFT(C607,2)="13",DATE(RIGHT(C607,4),12,31),IF(EOMONTH(C607,1)&gt;PREMISSAS!$C$3,"",IF(MONTH(C607)=11,"13º "&amp;YEAR(C607),EOMONTH(C607,1)))),"")</f>
        <v/>
      </c>
      <c r="D608" s="22">
        <f ca="1">VLOOKUP(C608,'Histórico de Remunerações'!$D$7:$E$656,2,FALSE)</f>
        <v>0</v>
      </c>
      <c r="E608" s="4" t="str">
        <f ca="1">IF(D608=0,"",IF(IF(ISTEXT(C608),DATE(RIGHT(C608,4),12,31),C608)&lt;PREMISSAS!$D$7,0,IFERROR(VLOOKUP(IF(LEFT(C608,2)="13",DATE(RIGHT(C608,4),12,31),C608),IPCA!$A$3:$D$284,4,FALSE),1)*D608))</f>
        <v/>
      </c>
      <c r="F608" s="4" t="str">
        <f ca="1">IF(C608="","",IFERROR(AVERAGEIF(E$5:$E608,"&gt;"&amp;_xlfn.PERCENTILE.EXC(E$5:$E608,0.2)),0))</f>
        <v/>
      </c>
    </row>
    <row r="609" spans="2:6" x14ac:dyDescent="0.25">
      <c r="B609" s="18">
        <v>605</v>
      </c>
      <c r="C609" s="21" t="str">
        <f ca="1">IFERROR(IF(LEFT(C608,2)="13",DATE(RIGHT(C608,4),12,31),IF(EOMONTH(C608,1)&gt;PREMISSAS!$C$3,"",IF(MONTH(C608)=11,"13º "&amp;YEAR(C608),EOMONTH(C608,1)))),"")</f>
        <v/>
      </c>
      <c r="D609" s="22">
        <f ca="1">VLOOKUP(C609,'Histórico de Remunerações'!$D$7:$E$656,2,FALSE)</f>
        <v>0</v>
      </c>
      <c r="E609" s="4" t="str">
        <f ca="1">IF(D609=0,"",IF(IF(ISTEXT(C609),DATE(RIGHT(C609,4),12,31),C609)&lt;PREMISSAS!$D$7,0,IFERROR(VLOOKUP(IF(LEFT(C609,2)="13",DATE(RIGHT(C609,4),12,31),C609),IPCA!$A$3:$D$284,4,FALSE),1)*D609))</f>
        <v/>
      </c>
      <c r="F609" s="4" t="str">
        <f ca="1">IF(C609="","",IFERROR(AVERAGEIF(E$5:$E609,"&gt;"&amp;_xlfn.PERCENTILE.EXC(E$5:$E609,0.2)),0))</f>
        <v/>
      </c>
    </row>
    <row r="610" spans="2:6" x14ac:dyDescent="0.25">
      <c r="B610" s="18">
        <v>606</v>
      </c>
      <c r="C610" s="21" t="str">
        <f ca="1">IFERROR(IF(LEFT(C609,2)="13",DATE(RIGHT(C609,4),12,31),IF(EOMONTH(C609,1)&gt;PREMISSAS!$C$3,"",IF(MONTH(C609)=11,"13º "&amp;YEAR(C609),EOMONTH(C609,1)))),"")</f>
        <v/>
      </c>
      <c r="D610" s="22">
        <f ca="1">VLOOKUP(C610,'Histórico de Remunerações'!$D$7:$E$656,2,FALSE)</f>
        <v>0</v>
      </c>
      <c r="E610" s="4" t="str">
        <f ca="1">IF(D610=0,"",IF(IF(ISTEXT(C610),DATE(RIGHT(C610,4),12,31),C610)&lt;PREMISSAS!$D$7,0,IFERROR(VLOOKUP(IF(LEFT(C610,2)="13",DATE(RIGHT(C610,4),12,31),C610),IPCA!$A$3:$D$284,4,FALSE),1)*D610))</f>
        <v/>
      </c>
      <c r="F610" s="4" t="str">
        <f ca="1">IF(C610="","",IFERROR(AVERAGEIF(E$5:$E610,"&gt;"&amp;_xlfn.PERCENTILE.EXC(E$5:$E610,0.2)),0))</f>
        <v/>
      </c>
    </row>
    <row r="611" spans="2:6" x14ac:dyDescent="0.25">
      <c r="B611" s="18">
        <v>607</v>
      </c>
      <c r="C611" s="21" t="str">
        <f ca="1">IFERROR(IF(LEFT(C610,2)="13",DATE(RIGHT(C610,4),12,31),IF(EOMONTH(C610,1)&gt;PREMISSAS!$C$3,"",IF(MONTH(C610)=11,"13º "&amp;YEAR(C610),EOMONTH(C610,1)))),"")</f>
        <v/>
      </c>
      <c r="D611" s="22">
        <f ca="1">VLOOKUP(C611,'Histórico de Remunerações'!$D$7:$E$656,2,FALSE)</f>
        <v>0</v>
      </c>
      <c r="E611" s="4" t="str">
        <f ca="1">IF(D611=0,"",IF(IF(ISTEXT(C611),DATE(RIGHT(C611,4),12,31),C611)&lt;PREMISSAS!$D$7,0,IFERROR(VLOOKUP(IF(LEFT(C611,2)="13",DATE(RIGHT(C611,4),12,31),C611),IPCA!$A$3:$D$284,4,FALSE),1)*D611))</f>
        <v/>
      </c>
      <c r="F611" s="4" t="str">
        <f ca="1">IF(C611="","",IFERROR(AVERAGEIF(E$5:$E611,"&gt;"&amp;_xlfn.PERCENTILE.EXC(E$5:$E611,0.2)),0))</f>
        <v/>
      </c>
    </row>
    <row r="612" spans="2:6" x14ac:dyDescent="0.25">
      <c r="B612" s="18">
        <v>608</v>
      </c>
      <c r="C612" s="21" t="str">
        <f ca="1">IFERROR(IF(LEFT(C611,2)="13",DATE(RIGHT(C611,4),12,31),IF(EOMONTH(C611,1)&gt;PREMISSAS!$C$3,"",IF(MONTH(C611)=11,"13º "&amp;YEAR(C611),EOMONTH(C611,1)))),"")</f>
        <v/>
      </c>
      <c r="D612" s="22">
        <f ca="1">VLOOKUP(C612,'Histórico de Remunerações'!$D$7:$E$656,2,FALSE)</f>
        <v>0</v>
      </c>
      <c r="E612" s="4" t="str">
        <f ca="1">IF(D612=0,"",IF(IF(ISTEXT(C612),DATE(RIGHT(C612,4),12,31),C612)&lt;PREMISSAS!$D$7,0,IFERROR(VLOOKUP(IF(LEFT(C612,2)="13",DATE(RIGHT(C612,4),12,31),C612),IPCA!$A$3:$D$284,4,FALSE),1)*D612))</f>
        <v/>
      </c>
      <c r="F612" s="4" t="str">
        <f ca="1">IF(C612="","",IFERROR(AVERAGEIF(E$5:$E612,"&gt;"&amp;_xlfn.PERCENTILE.EXC(E$5:$E612,0.2)),0))</f>
        <v/>
      </c>
    </row>
    <row r="613" spans="2:6" x14ac:dyDescent="0.25">
      <c r="B613" s="18">
        <v>609</v>
      </c>
      <c r="C613" s="21" t="str">
        <f ca="1">IFERROR(IF(LEFT(C612,2)="13",DATE(RIGHT(C612,4),12,31),IF(EOMONTH(C612,1)&gt;PREMISSAS!$C$3,"",IF(MONTH(C612)=11,"13º "&amp;YEAR(C612),EOMONTH(C612,1)))),"")</f>
        <v/>
      </c>
      <c r="D613" s="22">
        <f ca="1">VLOOKUP(C613,'Histórico de Remunerações'!$D$7:$E$656,2,FALSE)</f>
        <v>0</v>
      </c>
      <c r="E613" s="4" t="str">
        <f ca="1">IF(D613=0,"",IF(IF(ISTEXT(C613),DATE(RIGHT(C613,4),12,31),C613)&lt;PREMISSAS!$D$7,0,IFERROR(VLOOKUP(IF(LEFT(C613,2)="13",DATE(RIGHT(C613,4),12,31),C613),IPCA!$A$3:$D$284,4,FALSE),1)*D613))</f>
        <v/>
      </c>
      <c r="F613" s="4" t="str">
        <f ca="1">IF(C613="","",IFERROR(AVERAGEIF(E$5:$E613,"&gt;"&amp;_xlfn.PERCENTILE.EXC(E$5:$E613,0.2)),0))</f>
        <v/>
      </c>
    </row>
    <row r="614" spans="2:6" x14ac:dyDescent="0.25">
      <c r="B614" s="18">
        <v>610</v>
      </c>
      <c r="C614" s="21" t="str">
        <f ca="1">IFERROR(IF(LEFT(C613,2)="13",DATE(RIGHT(C613,4),12,31),IF(EOMONTH(C613,1)&gt;PREMISSAS!$C$3,"",IF(MONTH(C613)=11,"13º "&amp;YEAR(C613),EOMONTH(C613,1)))),"")</f>
        <v/>
      </c>
      <c r="D614" s="22">
        <f ca="1">VLOOKUP(C614,'Histórico de Remunerações'!$D$7:$E$656,2,FALSE)</f>
        <v>0</v>
      </c>
      <c r="E614" s="4" t="str">
        <f ca="1">IF(D614=0,"",IF(IF(ISTEXT(C614),DATE(RIGHT(C614,4),12,31),C614)&lt;PREMISSAS!$D$7,0,IFERROR(VLOOKUP(IF(LEFT(C614,2)="13",DATE(RIGHT(C614,4),12,31),C614),IPCA!$A$3:$D$284,4,FALSE),1)*D614))</f>
        <v/>
      </c>
      <c r="F614" s="4" t="str">
        <f ca="1">IF(C614="","",IFERROR(AVERAGEIF(E$5:$E614,"&gt;"&amp;_xlfn.PERCENTILE.EXC(E$5:$E614,0.2)),0))</f>
        <v/>
      </c>
    </row>
    <row r="615" spans="2:6" x14ac:dyDescent="0.25">
      <c r="B615" s="18">
        <v>611</v>
      </c>
      <c r="C615" s="21" t="str">
        <f ca="1">IFERROR(IF(LEFT(C614,2)="13",DATE(RIGHT(C614,4),12,31),IF(EOMONTH(C614,1)&gt;PREMISSAS!$C$3,"",IF(MONTH(C614)=11,"13º "&amp;YEAR(C614),EOMONTH(C614,1)))),"")</f>
        <v/>
      </c>
      <c r="D615" s="22">
        <f ca="1">VLOOKUP(C615,'Histórico de Remunerações'!$D$7:$E$656,2,FALSE)</f>
        <v>0</v>
      </c>
      <c r="E615" s="4" t="str">
        <f ca="1">IF(D615=0,"",IF(IF(ISTEXT(C615),DATE(RIGHT(C615,4),12,31),C615)&lt;PREMISSAS!$D$7,0,IFERROR(VLOOKUP(IF(LEFT(C615,2)="13",DATE(RIGHT(C615,4),12,31),C615),IPCA!$A$3:$D$284,4,FALSE),1)*D615))</f>
        <v/>
      </c>
      <c r="F615" s="4" t="str">
        <f ca="1">IF(C615="","",IFERROR(AVERAGEIF(E$5:$E615,"&gt;"&amp;_xlfn.PERCENTILE.EXC(E$5:$E615,0.2)),0))</f>
        <v/>
      </c>
    </row>
    <row r="616" spans="2:6" x14ac:dyDescent="0.25">
      <c r="B616" s="18">
        <v>612</v>
      </c>
      <c r="C616" s="21" t="str">
        <f ca="1">IFERROR(IF(LEFT(C615,2)="13",DATE(RIGHT(C615,4),12,31),IF(EOMONTH(C615,1)&gt;PREMISSAS!$C$3,"",IF(MONTH(C615)=11,"13º "&amp;YEAR(C615),EOMONTH(C615,1)))),"")</f>
        <v/>
      </c>
      <c r="D616" s="22">
        <f ca="1">VLOOKUP(C616,'Histórico de Remunerações'!$D$7:$E$656,2,FALSE)</f>
        <v>0</v>
      </c>
      <c r="E616" s="4" t="str">
        <f ca="1">IF(D616=0,"",IF(IF(ISTEXT(C616),DATE(RIGHT(C616,4),12,31),C616)&lt;PREMISSAS!$D$7,0,IFERROR(VLOOKUP(IF(LEFT(C616,2)="13",DATE(RIGHT(C616,4),12,31),C616),IPCA!$A$3:$D$284,4,FALSE),1)*D616))</f>
        <v/>
      </c>
      <c r="F616" s="4" t="str">
        <f ca="1">IF(C616="","",IFERROR(AVERAGEIF(E$5:$E616,"&gt;"&amp;_xlfn.PERCENTILE.EXC(E$5:$E616,0.2)),0))</f>
        <v/>
      </c>
    </row>
    <row r="617" spans="2:6" x14ac:dyDescent="0.25">
      <c r="B617" s="18">
        <v>613</v>
      </c>
      <c r="C617" s="21" t="str">
        <f ca="1">IFERROR(IF(LEFT(C616,2)="13",DATE(RIGHT(C616,4),12,31),IF(EOMONTH(C616,1)&gt;PREMISSAS!$C$3,"",IF(MONTH(C616)=11,"13º "&amp;YEAR(C616),EOMONTH(C616,1)))),"")</f>
        <v/>
      </c>
      <c r="D617" s="22">
        <f ca="1">VLOOKUP(C617,'Histórico de Remunerações'!$D$7:$E$656,2,FALSE)</f>
        <v>0</v>
      </c>
      <c r="E617" s="4" t="str">
        <f ca="1">IF(D617=0,"",IF(IF(ISTEXT(C617),DATE(RIGHT(C617,4),12,31),C617)&lt;PREMISSAS!$D$7,0,IFERROR(VLOOKUP(IF(LEFT(C617,2)="13",DATE(RIGHT(C617,4),12,31),C617),IPCA!$A$3:$D$284,4,FALSE),1)*D617))</f>
        <v/>
      </c>
      <c r="F617" s="4" t="str">
        <f ca="1">IF(C617="","",IFERROR(AVERAGEIF(E$5:$E617,"&gt;"&amp;_xlfn.PERCENTILE.EXC(E$5:$E617,0.2)),0))</f>
        <v/>
      </c>
    </row>
    <row r="618" spans="2:6" x14ac:dyDescent="0.25">
      <c r="B618" s="18">
        <v>614</v>
      </c>
      <c r="C618" s="21" t="str">
        <f ca="1">IFERROR(IF(LEFT(C617,2)="13",DATE(RIGHT(C617,4),12,31),IF(EOMONTH(C617,1)&gt;PREMISSAS!$C$3,"",IF(MONTH(C617)=11,"13º "&amp;YEAR(C617),EOMONTH(C617,1)))),"")</f>
        <v/>
      </c>
      <c r="D618" s="22">
        <f ca="1">VLOOKUP(C618,'Histórico de Remunerações'!$D$7:$E$656,2,FALSE)</f>
        <v>0</v>
      </c>
      <c r="E618" s="4" t="str">
        <f ca="1">IF(D618=0,"",IF(IF(ISTEXT(C618),DATE(RIGHT(C618,4),12,31),C618)&lt;PREMISSAS!$D$7,0,IFERROR(VLOOKUP(IF(LEFT(C618,2)="13",DATE(RIGHT(C618,4),12,31),C618),IPCA!$A$3:$D$284,4,FALSE),1)*D618))</f>
        <v/>
      </c>
      <c r="F618" s="4" t="str">
        <f ca="1">IF(C618="","",IFERROR(AVERAGEIF(E$5:$E618,"&gt;"&amp;_xlfn.PERCENTILE.EXC(E$5:$E618,0.2)),0))</f>
        <v/>
      </c>
    </row>
    <row r="619" spans="2:6" x14ac:dyDescent="0.25">
      <c r="B619" s="18">
        <v>615</v>
      </c>
      <c r="C619" s="21" t="str">
        <f ca="1">IFERROR(IF(LEFT(C618,2)="13",DATE(RIGHT(C618,4),12,31),IF(EOMONTH(C618,1)&gt;PREMISSAS!$C$3,"",IF(MONTH(C618)=11,"13º "&amp;YEAR(C618),EOMONTH(C618,1)))),"")</f>
        <v/>
      </c>
      <c r="D619" s="22">
        <f ca="1">VLOOKUP(C619,'Histórico de Remunerações'!$D$7:$E$656,2,FALSE)</f>
        <v>0</v>
      </c>
      <c r="E619" s="4" t="str">
        <f ca="1">IF(D619=0,"",IF(IF(ISTEXT(C619),DATE(RIGHT(C619,4),12,31),C619)&lt;PREMISSAS!$D$7,0,IFERROR(VLOOKUP(IF(LEFT(C619,2)="13",DATE(RIGHT(C619,4),12,31),C619),IPCA!$A$3:$D$284,4,FALSE),1)*D619))</f>
        <v/>
      </c>
      <c r="F619" s="4" t="str">
        <f ca="1">IF(C619="","",IFERROR(AVERAGEIF(E$5:$E619,"&gt;"&amp;_xlfn.PERCENTILE.EXC(E$5:$E619,0.2)),0))</f>
        <v/>
      </c>
    </row>
    <row r="620" spans="2:6" x14ac:dyDescent="0.25">
      <c r="B620" s="18">
        <v>616</v>
      </c>
      <c r="C620" s="21" t="str">
        <f ca="1">IFERROR(IF(LEFT(C619,2)="13",DATE(RIGHT(C619,4),12,31),IF(EOMONTH(C619,1)&gt;PREMISSAS!$C$3,"",IF(MONTH(C619)=11,"13º "&amp;YEAR(C619),EOMONTH(C619,1)))),"")</f>
        <v/>
      </c>
      <c r="D620" s="22">
        <f ca="1">VLOOKUP(C620,'Histórico de Remunerações'!$D$7:$E$656,2,FALSE)</f>
        <v>0</v>
      </c>
      <c r="E620" s="4" t="str">
        <f ca="1">IF(D620=0,"",IF(IF(ISTEXT(C620),DATE(RIGHT(C620,4),12,31),C620)&lt;PREMISSAS!$D$7,0,IFERROR(VLOOKUP(IF(LEFT(C620,2)="13",DATE(RIGHT(C620,4),12,31),C620),IPCA!$A$3:$D$284,4,FALSE),1)*D620))</f>
        <v/>
      </c>
      <c r="F620" s="4" t="str">
        <f ca="1">IF(C620="","",IFERROR(AVERAGEIF(E$5:$E620,"&gt;"&amp;_xlfn.PERCENTILE.EXC(E$5:$E620,0.2)),0))</f>
        <v/>
      </c>
    </row>
    <row r="621" spans="2:6" x14ac:dyDescent="0.25">
      <c r="B621" s="18">
        <v>617</v>
      </c>
      <c r="C621" s="21" t="str">
        <f ca="1">IFERROR(IF(LEFT(C620,2)="13",DATE(RIGHT(C620,4),12,31),IF(EOMONTH(C620,1)&gt;PREMISSAS!$C$3,"",IF(MONTH(C620)=11,"13º "&amp;YEAR(C620),EOMONTH(C620,1)))),"")</f>
        <v/>
      </c>
      <c r="D621" s="22">
        <f ca="1">VLOOKUP(C621,'Histórico de Remunerações'!$D$7:$E$656,2,FALSE)</f>
        <v>0</v>
      </c>
      <c r="E621" s="4" t="str">
        <f ca="1">IF(D621=0,"",IF(IF(ISTEXT(C621),DATE(RIGHT(C621,4),12,31),C621)&lt;PREMISSAS!$D$7,0,IFERROR(VLOOKUP(IF(LEFT(C621,2)="13",DATE(RIGHT(C621,4),12,31),C621),IPCA!$A$3:$D$284,4,FALSE),1)*D621))</f>
        <v/>
      </c>
      <c r="F621" s="4" t="str">
        <f ca="1">IF(C621="","",IFERROR(AVERAGEIF(E$5:$E621,"&gt;"&amp;_xlfn.PERCENTILE.EXC(E$5:$E621,0.2)),0))</f>
        <v/>
      </c>
    </row>
    <row r="622" spans="2:6" x14ac:dyDescent="0.25">
      <c r="B622" s="18">
        <v>618</v>
      </c>
      <c r="C622" s="21" t="str">
        <f ca="1">IFERROR(IF(LEFT(C621,2)="13",DATE(RIGHT(C621,4),12,31),IF(EOMONTH(C621,1)&gt;PREMISSAS!$C$3,"",IF(MONTH(C621)=11,"13º "&amp;YEAR(C621),EOMONTH(C621,1)))),"")</f>
        <v/>
      </c>
      <c r="D622" s="22">
        <f ca="1">VLOOKUP(C622,'Histórico de Remunerações'!$D$7:$E$656,2,FALSE)</f>
        <v>0</v>
      </c>
      <c r="E622" s="4" t="str">
        <f ca="1">IF(D622=0,"",IF(IF(ISTEXT(C622),DATE(RIGHT(C622,4),12,31),C622)&lt;PREMISSAS!$D$7,0,IFERROR(VLOOKUP(IF(LEFT(C622,2)="13",DATE(RIGHT(C622,4),12,31),C622),IPCA!$A$3:$D$284,4,FALSE),1)*D622))</f>
        <v/>
      </c>
      <c r="F622" s="4" t="str">
        <f ca="1">IF(C622="","",IFERROR(AVERAGEIF(E$5:$E622,"&gt;"&amp;_xlfn.PERCENTILE.EXC(E$5:$E622,0.2)),0))</f>
        <v/>
      </c>
    </row>
    <row r="623" spans="2:6" x14ac:dyDescent="0.25">
      <c r="B623" s="18">
        <v>619</v>
      </c>
      <c r="C623" s="21" t="str">
        <f ca="1">IFERROR(IF(LEFT(C622,2)="13",DATE(RIGHT(C622,4),12,31),IF(EOMONTH(C622,1)&gt;PREMISSAS!$C$3,"",IF(MONTH(C622)=11,"13º "&amp;YEAR(C622),EOMONTH(C622,1)))),"")</f>
        <v/>
      </c>
      <c r="D623" s="22">
        <f ca="1">VLOOKUP(C623,'Histórico de Remunerações'!$D$7:$E$656,2,FALSE)</f>
        <v>0</v>
      </c>
      <c r="E623" s="4" t="str">
        <f ca="1">IF(D623=0,"",IF(IF(ISTEXT(C623),DATE(RIGHT(C623,4),12,31),C623)&lt;PREMISSAS!$D$7,0,IFERROR(VLOOKUP(IF(LEFT(C623,2)="13",DATE(RIGHT(C623,4),12,31),C623),IPCA!$A$3:$D$284,4,FALSE),1)*D623))</f>
        <v/>
      </c>
      <c r="F623" s="4" t="str">
        <f ca="1">IF(C623="","",IFERROR(AVERAGEIF(E$5:$E623,"&gt;"&amp;_xlfn.PERCENTILE.EXC(E$5:$E623,0.2)),0))</f>
        <v/>
      </c>
    </row>
    <row r="624" spans="2:6" x14ac:dyDescent="0.25">
      <c r="B624" s="18">
        <v>620</v>
      </c>
      <c r="C624" s="21" t="str">
        <f ca="1">IFERROR(IF(LEFT(C623,2)="13",DATE(RIGHT(C623,4),12,31),IF(EOMONTH(C623,1)&gt;PREMISSAS!$C$3,"",IF(MONTH(C623)=11,"13º "&amp;YEAR(C623),EOMONTH(C623,1)))),"")</f>
        <v/>
      </c>
      <c r="D624" s="22">
        <f ca="1">VLOOKUP(C624,'Histórico de Remunerações'!$D$7:$E$656,2,FALSE)</f>
        <v>0</v>
      </c>
      <c r="E624" s="4" t="str">
        <f ca="1">IF(D624=0,"",IF(IF(ISTEXT(C624),DATE(RIGHT(C624,4),12,31),C624)&lt;PREMISSAS!$D$7,0,IFERROR(VLOOKUP(IF(LEFT(C624,2)="13",DATE(RIGHT(C624,4),12,31),C624),IPCA!$A$3:$D$284,4,FALSE),1)*D624))</f>
        <v/>
      </c>
      <c r="F624" s="4" t="str">
        <f ca="1">IF(C624="","",IFERROR(AVERAGEIF(E$5:$E624,"&gt;"&amp;_xlfn.PERCENTILE.EXC(E$5:$E624,0.2)),0))</f>
        <v/>
      </c>
    </row>
    <row r="625" spans="2:6" x14ac:dyDescent="0.25">
      <c r="B625" s="18">
        <v>621</v>
      </c>
      <c r="C625" s="21" t="str">
        <f ca="1">IFERROR(IF(LEFT(C624,2)="13",DATE(RIGHT(C624,4),12,31),IF(EOMONTH(C624,1)&gt;PREMISSAS!$C$3,"",IF(MONTH(C624)=11,"13º "&amp;YEAR(C624),EOMONTH(C624,1)))),"")</f>
        <v/>
      </c>
      <c r="D625" s="22">
        <f ca="1">VLOOKUP(C625,'Histórico de Remunerações'!$D$7:$E$656,2,FALSE)</f>
        <v>0</v>
      </c>
      <c r="E625" s="4" t="str">
        <f ca="1">IF(D625=0,"",IF(IF(ISTEXT(C625),DATE(RIGHT(C625,4),12,31),C625)&lt;PREMISSAS!$D$7,0,IFERROR(VLOOKUP(IF(LEFT(C625,2)="13",DATE(RIGHT(C625,4),12,31),C625),IPCA!$A$3:$D$284,4,FALSE),1)*D625))</f>
        <v/>
      </c>
      <c r="F625" s="4" t="str">
        <f ca="1">IF(C625="","",IFERROR(AVERAGEIF(E$5:$E625,"&gt;"&amp;_xlfn.PERCENTILE.EXC(E$5:$E625,0.2)),0))</f>
        <v/>
      </c>
    </row>
    <row r="626" spans="2:6" x14ac:dyDescent="0.25">
      <c r="B626" s="18">
        <v>622</v>
      </c>
      <c r="C626" s="21" t="str">
        <f ca="1">IFERROR(IF(LEFT(C625,2)="13",DATE(RIGHT(C625,4),12,31),IF(EOMONTH(C625,1)&gt;PREMISSAS!$C$3,"",IF(MONTH(C625)=11,"13º "&amp;YEAR(C625),EOMONTH(C625,1)))),"")</f>
        <v/>
      </c>
      <c r="D626" s="22">
        <f ca="1">VLOOKUP(C626,'Histórico de Remunerações'!$D$7:$E$656,2,FALSE)</f>
        <v>0</v>
      </c>
      <c r="E626" s="4" t="str">
        <f ca="1">IF(D626=0,"",IF(IF(ISTEXT(C626),DATE(RIGHT(C626,4),12,31),C626)&lt;PREMISSAS!$D$7,0,IFERROR(VLOOKUP(IF(LEFT(C626,2)="13",DATE(RIGHT(C626,4),12,31),C626),IPCA!$A$3:$D$284,4,FALSE),1)*D626))</f>
        <v/>
      </c>
      <c r="F626" s="4" t="str">
        <f ca="1">IF(C626="","",IFERROR(AVERAGEIF(E$5:$E626,"&gt;"&amp;_xlfn.PERCENTILE.EXC(E$5:$E626,0.2)),0))</f>
        <v/>
      </c>
    </row>
    <row r="627" spans="2:6" x14ac:dyDescent="0.25">
      <c r="B627" s="18">
        <v>623</v>
      </c>
      <c r="C627" s="21" t="str">
        <f ca="1">IFERROR(IF(LEFT(C626,2)="13",DATE(RIGHT(C626,4),12,31),IF(EOMONTH(C626,1)&gt;PREMISSAS!$C$3,"",IF(MONTH(C626)=11,"13º "&amp;YEAR(C626),EOMONTH(C626,1)))),"")</f>
        <v/>
      </c>
      <c r="D627" s="22">
        <f ca="1">VLOOKUP(C627,'Histórico de Remunerações'!$D$7:$E$656,2,FALSE)</f>
        <v>0</v>
      </c>
      <c r="E627" s="4" t="str">
        <f ca="1">IF(D627=0,"",IF(IF(ISTEXT(C627),DATE(RIGHT(C627,4),12,31),C627)&lt;PREMISSAS!$D$7,0,IFERROR(VLOOKUP(IF(LEFT(C627,2)="13",DATE(RIGHT(C627,4),12,31),C627),IPCA!$A$3:$D$284,4,FALSE),1)*D627))</f>
        <v/>
      </c>
      <c r="F627" s="4" t="str">
        <f ca="1">IF(C627="","",IFERROR(AVERAGEIF(E$5:$E627,"&gt;"&amp;_xlfn.PERCENTILE.EXC(E$5:$E627,0.2)),0))</f>
        <v/>
      </c>
    </row>
    <row r="628" spans="2:6" x14ac:dyDescent="0.25">
      <c r="B628" s="18">
        <v>624</v>
      </c>
      <c r="C628" s="21" t="str">
        <f ca="1">IFERROR(IF(LEFT(C627,2)="13",DATE(RIGHT(C627,4),12,31),IF(EOMONTH(C627,1)&gt;PREMISSAS!$C$3,"",IF(MONTH(C627)=11,"13º "&amp;YEAR(C627),EOMONTH(C627,1)))),"")</f>
        <v/>
      </c>
      <c r="D628" s="22">
        <f ca="1">VLOOKUP(C628,'Histórico de Remunerações'!$D$7:$E$656,2,FALSE)</f>
        <v>0</v>
      </c>
      <c r="E628" s="4" t="str">
        <f ca="1">IF(D628=0,"",IF(IF(ISTEXT(C628),DATE(RIGHT(C628,4),12,31),C628)&lt;PREMISSAS!$D$7,0,IFERROR(VLOOKUP(IF(LEFT(C628,2)="13",DATE(RIGHT(C628,4),12,31),C628),IPCA!$A$3:$D$284,4,FALSE),1)*D628))</f>
        <v/>
      </c>
      <c r="F628" s="4" t="str">
        <f ca="1">IF(C628="","",IFERROR(AVERAGEIF(E$5:$E628,"&gt;"&amp;_xlfn.PERCENTILE.EXC(E$5:$E628,0.2)),0))</f>
        <v/>
      </c>
    </row>
    <row r="629" spans="2:6" x14ac:dyDescent="0.25">
      <c r="B629" s="18">
        <v>625</v>
      </c>
      <c r="C629" s="21" t="str">
        <f ca="1">IFERROR(IF(LEFT(C628,2)="13",DATE(RIGHT(C628,4),12,31),IF(EOMONTH(C628,1)&gt;PREMISSAS!$C$3,"",IF(MONTH(C628)=11,"13º "&amp;YEAR(C628),EOMONTH(C628,1)))),"")</f>
        <v/>
      </c>
      <c r="D629" s="22">
        <f ca="1">VLOOKUP(C629,'Histórico de Remunerações'!$D$7:$E$656,2,FALSE)</f>
        <v>0</v>
      </c>
      <c r="E629" s="4" t="str">
        <f ca="1">IF(D629=0,"",IF(IF(ISTEXT(C629),DATE(RIGHT(C629,4),12,31),C629)&lt;PREMISSAS!$D$7,0,IFERROR(VLOOKUP(IF(LEFT(C629,2)="13",DATE(RIGHT(C629,4),12,31),C629),IPCA!$A$3:$D$284,4,FALSE),1)*D629))</f>
        <v/>
      </c>
      <c r="F629" s="4" t="str">
        <f ca="1">IF(C629="","",IFERROR(AVERAGEIF(E$5:$E629,"&gt;"&amp;_xlfn.PERCENTILE.EXC(E$5:$E629,0.2)),0))</f>
        <v/>
      </c>
    </row>
    <row r="630" spans="2:6" x14ac:dyDescent="0.25">
      <c r="B630" s="18">
        <v>626</v>
      </c>
      <c r="C630" s="21" t="str">
        <f ca="1">IFERROR(IF(LEFT(C629,2)="13",DATE(RIGHT(C629,4),12,31),IF(EOMONTH(C629,1)&gt;PREMISSAS!$C$3,"",IF(MONTH(C629)=11,"13º "&amp;YEAR(C629),EOMONTH(C629,1)))),"")</f>
        <v/>
      </c>
      <c r="D630" s="22">
        <f ca="1">VLOOKUP(C630,'Histórico de Remunerações'!$D$7:$E$656,2,FALSE)</f>
        <v>0</v>
      </c>
      <c r="E630" s="4" t="str">
        <f ca="1">IF(D630=0,"",IF(IF(ISTEXT(C630),DATE(RIGHT(C630,4),12,31),C630)&lt;PREMISSAS!$D$7,0,IFERROR(VLOOKUP(IF(LEFT(C630,2)="13",DATE(RIGHT(C630,4),12,31),C630),IPCA!$A$3:$D$284,4,FALSE),1)*D630))</f>
        <v/>
      </c>
      <c r="F630" s="4" t="str">
        <f ca="1">IF(C630="","",IFERROR(AVERAGEIF(E$5:$E630,"&gt;"&amp;_xlfn.PERCENTILE.EXC(E$5:$E630,0.2)),0))</f>
        <v/>
      </c>
    </row>
    <row r="631" spans="2:6" x14ac:dyDescent="0.25">
      <c r="B631" s="18">
        <v>627</v>
      </c>
      <c r="C631" s="21" t="str">
        <f ca="1">IFERROR(IF(LEFT(C630,2)="13",DATE(RIGHT(C630,4),12,31),IF(EOMONTH(C630,1)&gt;PREMISSAS!$C$3,"",IF(MONTH(C630)=11,"13º "&amp;YEAR(C630),EOMONTH(C630,1)))),"")</f>
        <v/>
      </c>
      <c r="D631" s="22">
        <f ca="1">VLOOKUP(C631,'Histórico de Remunerações'!$D$7:$E$656,2,FALSE)</f>
        <v>0</v>
      </c>
      <c r="E631" s="4" t="str">
        <f ca="1">IF(D631=0,"",IF(IF(ISTEXT(C631),DATE(RIGHT(C631,4),12,31),C631)&lt;PREMISSAS!$D$7,0,IFERROR(VLOOKUP(IF(LEFT(C631,2)="13",DATE(RIGHT(C631,4),12,31),C631),IPCA!$A$3:$D$284,4,FALSE),1)*D631))</f>
        <v/>
      </c>
      <c r="F631" s="4" t="str">
        <f ca="1">IF(C631="","",IFERROR(AVERAGEIF(E$5:$E631,"&gt;"&amp;_xlfn.PERCENTILE.EXC(E$5:$E631,0.2)),0))</f>
        <v/>
      </c>
    </row>
    <row r="632" spans="2:6" x14ac:dyDescent="0.25">
      <c r="B632" s="18">
        <v>628</v>
      </c>
      <c r="C632" s="21" t="str">
        <f ca="1">IFERROR(IF(LEFT(C631,2)="13",DATE(RIGHT(C631,4),12,31),IF(EOMONTH(C631,1)&gt;PREMISSAS!$C$3,"",IF(MONTH(C631)=11,"13º "&amp;YEAR(C631),EOMONTH(C631,1)))),"")</f>
        <v/>
      </c>
      <c r="D632" s="22">
        <f ca="1">VLOOKUP(C632,'Histórico de Remunerações'!$D$7:$E$656,2,FALSE)</f>
        <v>0</v>
      </c>
      <c r="E632" s="4" t="str">
        <f ca="1">IF(D632=0,"",IF(IF(ISTEXT(C632),DATE(RIGHT(C632,4),12,31),C632)&lt;PREMISSAS!$D$7,0,IFERROR(VLOOKUP(IF(LEFT(C632,2)="13",DATE(RIGHT(C632,4),12,31),C632),IPCA!$A$3:$D$284,4,FALSE),1)*D632))</f>
        <v/>
      </c>
      <c r="F632" s="4" t="str">
        <f ca="1">IF(C632="","",IFERROR(AVERAGEIF(E$5:$E632,"&gt;"&amp;_xlfn.PERCENTILE.EXC(E$5:$E632,0.2)),0))</f>
        <v/>
      </c>
    </row>
    <row r="633" spans="2:6" x14ac:dyDescent="0.25">
      <c r="B633" s="18">
        <v>629</v>
      </c>
      <c r="C633" s="21" t="str">
        <f ca="1">IFERROR(IF(LEFT(C632,2)="13",DATE(RIGHT(C632,4),12,31),IF(EOMONTH(C632,1)&gt;PREMISSAS!$C$3,"",IF(MONTH(C632)=11,"13º "&amp;YEAR(C632),EOMONTH(C632,1)))),"")</f>
        <v/>
      </c>
      <c r="D633" s="22">
        <f ca="1">VLOOKUP(C633,'Histórico de Remunerações'!$D$7:$E$656,2,FALSE)</f>
        <v>0</v>
      </c>
      <c r="E633" s="4" t="str">
        <f ca="1">IF(D633=0,"",IF(IF(ISTEXT(C633),DATE(RIGHT(C633,4),12,31),C633)&lt;PREMISSAS!$D$7,0,IFERROR(VLOOKUP(IF(LEFT(C633,2)="13",DATE(RIGHT(C633,4),12,31),C633),IPCA!$A$3:$D$284,4,FALSE),1)*D633))</f>
        <v/>
      </c>
      <c r="F633" s="4" t="str">
        <f ca="1">IF(C633="","",IFERROR(AVERAGEIF(E$5:$E633,"&gt;"&amp;_xlfn.PERCENTILE.EXC(E$5:$E633,0.2)),0))</f>
        <v/>
      </c>
    </row>
    <row r="634" spans="2:6" x14ac:dyDescent="0.25">
      <c r="B634" s="18">
        <v>630</v>
      </c>
      <c r="C634" s="21" t="str">
        <f ca="1">IFERROR(IF(LEFT(C633,2)="13",DATE(RIGHT(C633,4),12,31),IF(EOMONTH(C633,1)&gt;PREMISSAS!$C$3,"",IF(MONTH(C633)=11,"13º "&amp;YEAR(C633),EOMONTH(C633,1)))),"")</f>
        <v/>
      </c>
      <c r="D634" s="22">
        <f ca="1">VLOOKUP(C634,'Histórico de Remunerações'!$D$7:$E$656,2,FALSE)</f>
        <v>0</v>
      </c>
      <c r="E634" s="4" t="str">
        <f ca="1">IF(D634=0,"",IF(IF(ISTEXT(C634),DATE(RIGHT(C634,4),12,31),C634)&lt;PREMISSAS!$D$7,0,IFERROR(VLOOKUP(IF(LEFT(C634,2)="13",DATE(RIGHT(C634,4),12,31),C634),IPCA!$A$3:$D$284,4,FALSE),1)*D634))</f>
        <v/>
      </c>
      <c r="F634" s="4" t="str">
        <f ca="1">IF(C634="","",IFERROR(AVERAGEIF(E$5:$E634,"&gt;"&amp;_xlfn.PERCENTILE.EXC(E$5:$E634,0.2)),0))</f>
        <v/>
      </c>
    </row>
    <row r="635" spans="2:6" x14ac:dyDescent="0.25">
      <c r="B635" s="18">
        <v>631</v>
      </c>
      <c r="C635" s="21" t="str">
        <f ca="1">IFERROR(IF(LEFT(C634,2)="13",DATE(RIGHT(C634,4),12,31),IF(EOMONTH(C634,1)&gt;PREMISSAS!$C$3,"",IF(MONTH(C634)=11,"13º "&amp;YEAR(C634),EOMONTH(C634,1)))),"")</f>
        <v/>
      </c>
      <c r="D635" s="22">
        <f ca="1">VLOOKUP(C635,'Histórico de Remunerações'!$D$7:$E$656,2,FALSE)</f>
        <v>0</v>
      </c>
      <c r="E635" s="4" t="str">
        <f ca="1">IF(D635=0,"",IF(IF(ISTEXT(C635),DATE(RIGHT(C635,4),12,31),C635)&lt;PREMISSAS!$D$7,0,IFERROR(VLOOKUP(IF(LEFT(C635,2)="13",DATE(RIGHT(C635,4),12,31),C635),IPCA!$A$3:$D$284,4,FALSE),1)*D635))</f>
        <v/>
      </c>
      <c r="F635" s="4" t="str">
        <f ca="1">IF(C635="","",IFERROR(AVERAGEIF(E$5:$E635,"&gt;"&amp;_xlfn.PERCENTILE.EXC(E$5:$E635,0.2)),0))</f>
        <v/>
      </c>
    </row>
    <row r="636" spans="2:6" x14ac:dyDescent="0.25">
      <c r="B636" s="18">
        <v>632</v>
      </c>
      <c r="C636" s="21" t="str">
        <f ca="1">IFERROR(IF(LEFT(C635,2)="13",DATE(RIGHT(C635,4),12,31),IF(EOMONTH(C635,1)&gt;PREMISSAS!$C$3,"",IF(MONTH(C635)=11,"13º "&amp;YEAR(C635),EOMONTH(C635,1)))),"")</f>
        <v/>
      </c>
      <c r="D636" s="22">
        <f ca="1">VLOOKUP(C636,'Histórico de Remunerações'!$D$7:$E$656,2,FALSE)</f>
        <v>0</v>
      </c>
      <c r="E636" s="4" t="str">
        <f ca="1">IF(D636=0,"",IF(IF(ISTEXT(C636),DATE(RIGHT(C636,4),12,31),C636)&lt;PREMISSAS!$D$7,0,IFERROR(VLOOKUP(IF(LEFT(C636,2)="13",DATE(RIGHT(C636,4),12,31),C636),IPCA!$A$3:$D$284,4,FALSE),1)*D636))</f>
        <v/>
      </c>
      <c r="F636" s="4" t="str">
        <f ca="1">IF(C636="","",IFERROR(AVERAGEIF(E$5:$E636,"&gt;"&amp;_xlfn.PERCENTILE.EXC(E$5:$E636,0.2)),0))</f>
        <v/>
      </c>
    </row>
    <row r="637" spans="2:6" x14ac:dyDescent="0.25">
      <c r="B637" s="18">
        <v>633</v>
      </c>
      <c r="C637" s="21" t="str">
        <f ca="1">IFERROR(IF(LEFT(C636,2)="13",DATE(RIGHT(C636,4),12,31),IF(EOMONTH(C636,1)&gt;PREMISSAS!$C$3,"",IF(MONTH(C636)=11,"13º "&amp;YEAR(C636),EOMONTH(C636,1)))),"")</f>
        <v/>
      </c>
      <c r="D637" s="22">
        <f ca="1">VLOOKUP(C637,'Histórico de Remunerações'!$D$7:$E$656,2,FALSE)</f>
        <v>0</v>
      </c>
      <c r="E637" s="4" t="str">
        <f ca="1">IF(D637=0,"",IF(IF(ISTEXT(C637),DATE(RIGHT(C637,4),12,31),C637)&lt;PREMISSAS!$D$7,0,IFERROR(VLOOKUP(IF(LEFT(C637,2)="13",DATE(RIGHT(C637,4),12,31),C637),IPCA!$A$3:$D$284,4,FALSE),1)*D637))</f>
        <v/>
      </c>
      <c r="F637" s="4" t="str">
        <f ca="1">IF(C637="","",IFERROR(AVERAGEIF(E$5:$E637,"&gt;"&amp;_xlfn.PERCENTILE.EXC(E$5:$E637,0.2)),0))</f>
        <v/>
      </c>
    </row>
    <row r="638" spans="2:6" x14ac:dyDescent="0.25">
      <c r="B638" s="18">
        <v>634</v>
      </c>
      <c r="C638" s="21" t="str">
        <f ca="1">IFERROR(IF(LEFT(C637,2)="13",DATE(RIGHT(C637,4),12,31),IF(EOMONTH(C637,1)&gt;PREMISSAS!$C$3,"",IF(MONTH(C637)=11,"13º "&amp;YEAR(C637),EOMONTH(C637,1)))),"")</f>
        <v/>
      </c>
      <c r="D638" s="22">
        <f ca="1">VLOOKUP(C638,'Histórico de Remunerações'!$D$7:$E$656,2,FALSE)</f>
        <v>0</v>
      </c>
      <c r="E638" s="4" t="str">
        <f ca="1">IF(D638=0,"",IF(IF(ISTEXT(C638),DATE(RIGHT(C638,4),12,31),C638)&lt;PREMISSAS!$D$7,0,IFERROR(VLOOKUP(IF(LEFT(C638,2)="13",DATE(RIGHT(C638,4),12,31),C638),IPCA!$A$3:$D$284,4,FALSE),1)*D638))</f>
        <v/>
      </c>
      <c r="F638" s="4" t="str">
        <f ca="1">IF(C638="","",IFERROR(AVERAGEIF(E$5:$E638,"&gt;"&amp;_xlfn.PERCENTILE.EXC(E$5:$E638,0.2)),0))</f>
        <v/>
      </c>
    </row>
    <row r="639" spans="2:6" x14ac:dyDescent="0.25">
      <c r="B639" s="18">
        <v>635</v>
      </c>
      <c r="C639" s="21" t="str">
        <f ca="1">IFERROR(IF(LEFT(C638,2)="13",DATE(RIGHT(C638,4),12,31),IF(EOMONTH(C638,1)&gt;PREMISSAS!$C$3,"",IF(MONTH(C638)=11,"13º "&amp;YEAR(C638),EOMONTH(C638,1)))),"")</f>
        <v/>
      </c>
      <c r="D639" s="22">
        <f ca="1">VLOOKUP(C639,'Histórico de Remunerações'!$D$7:$E$656,2,FALSE)</f>
        <v>0</v>
      </c>
      <c r="E639" s="4" t="str">
        <f ca="1">IF(D639=0,"",IF(IF(ISTEXT(C639),DATE(RIGHT(C639,4),12,31),C639)&lt;PREMISSAS!$D$7,0,IFERROR(VLOOKUP(IF(LEFT(C639,2)="13",DATE(RIGHT(C639,4),12,31),C639),IPCA!$A$3:$D$284,4,FALSE),1)*D639))</f>
        <v/>
      </c>
      <c r="F639" s="4" t="str">
        <f ca="1">IF(C639="","",IFERROR(AVERAGEIF(E$5:$E639,"&gt;"&amp;_xlfn.PERCENTILE.EXC(E$5:$E639,0.2)),0))</f>
        <v/>
      </c>
    </row>
    <row r="640" spans="2:6" x14ac:dyDescent="0.25">
      <c r="B640" s="18">
        <v>636</v>
      </c>
      <c r="C640" s="21" t="str">
        <f ca="1">IFERROR(IF(LEFT(C639,2)="13",DATE(RIGHT(C639,4),12,31),IF(EOMONTH(C639,1)&gt;PREMISSAS!$C$3,"",IF(MONTH(C639)=11,"13º "&amp;YEAR(C639),EOMONTH(C639,1)))),"")</f>
        <v/>
      </c>
      <c r="D640" s="22">
        <f ca="1">VLOOKUP(C640,'Histórico de Remunerações'!$D$7:$E$656,2,FALSE)</f>
        <v>0</v>
      </c>
      <c r="E640" s="4" t="str">
        <f ca="1">IF(D640=0,"",IF(IF(ISTEXT(C640),DATE(RIGHT(C640,4),12,31),C640)&lt;PREMISSAS!$D$7,0,IFERROR(VLOOKUP(IF(LEFT(C640,2)="13",DATE(RIGHT(C640,4),12,31),C640),IPCA!$A$3:$D$284,4,FALSE),1)*D640))</f>
        <v/>
      </c>
      <c r="F640" s="4" t="str">
        <f ca="1">IF(C640="","",IFERROR(AVERAGEIF(E$5:$E640,"&gt;"&amp;_xlfn.PERCENTILE.EXC(E$5:$E640,0.2)),0))</f>
        <v/>
      </c>
    </row>
    <row r="641" spans="2:6" x14ac:dyDescent="0.25">
      <c r="B641" s="18">
        <v>637</v>
      </c>
      <c r="C641" s="21" t="str">
        <f ca="1">IFERROR(IF(LEFT(C640,2)="13",DATE(RIGHT(C640,4),12,31),IF(EOMONTH(C640,1)&gt;PREMISSAS!$C$3,"",IF(MONTH(C640)=11,"13º "&amp;YEAR(C640),EOMONTH(C640,1)))),"")</f>
        <v/>
      </c>
      <c r="D641" s="22">
        <f ca="1">VLOOKUP(C641,'Histórico de Remunerações'!$D$7:$E$656,2,FALSE)</f>
        <v>0</v>
      </c>
      <c r="E641" s="4" t="str">
        <f ca="1">IF(D641=0,"",IF(IF(ISTEXT(C641),DATE(RIGHT(C641,4),12,31),C641)&lt;PREMISSAS!$D$7,0,IFERROR(VLOOKUP(IF(LEFT(C641,2)="13",DATE(RIGHT(C641,4),12,31),C641),IPCA!$A$3:$D$284,4,FALSE),1)*D641))</f>
        <v/>
      </c>
      <c r="F641" s="4" t="str">
        <f ca="1">IF(C641="","",IFERROR(AVERAGEIF(E$5:$E641,"&gt;"&amp;_xlfn.PERCENTILE.EXC(E$5:$E641,0.2)),0))</f>
        <v/>
      </c>
    </row>
    <row r="642" spans="2:6" x14ac:dyDescent="0.25">
      <c r="B642" s="18">
        <v>638</v>
      </c>
      <c r="C642" s="21" t="str">
        <f ca="1">IFERROR(IF(LEFT(C641,2)="13",DATE(RIGHT(C641,4),12,31),IF(EOMONTH(C641,1)&gt;PREMISSAS!$C$3,"",IF(MONTH(C641)=11,"13º "&amp;YEAR(C641),EOMONTH(C641,1)))),"")</f>
        <v/>
      </c>
      <c r="D642" s="22">
        <f ca="1">VLOOKUP(C642,'Histórico de Remunerações'!$D$7:$E$656,2,FALSE)</f>
        <v>0</v>
      </c>
      <c r="E642" s="4" t="str">
        <f ca="1">IF(D642=0,"",IF(IF(ISTEXT(C642),DATE(RIGHT(C642,4),12,31),C642)&lt;PREMISSAS!$D$7,0,IFERROR(VLOOKUP(IF(LEFT(C642,2)="13",DATE(RIGHT(C642,4),12,31),C642),IPCA!$A$3:$D$284,4,FALSE),1)*D642))</f>
        <v/>
      </c>
      <c r="F642" s="4" t="str">
        <f ca="1">IF(C642="","",IFERROR(AVERAGEIF(E$5:$E642,"&gt;"&amp;_xlfn.PERCENTILE.EXC(E$5:$E642,0.2)),0))</f>
        <v/>
      </c>
    </row>
    <row r="643" spans="2:6" x14ac:dyDescent="0.25">
      <c r="B643" s="18">
        <v>639</v>
      </c>
      <c r="C643" s="21" t="str">
        <f ca="1">IFERROR(IF(LEFT(C642,2)="13",DATE(RIGHT(C642,4),12,31),IF(EOMONTH(C642,1)&gt;PREMISSAS!$C$3,"",IF(MONTH(C642)=11,"13º "&amp;YEAR(C642),EOMONTH(C642,1)))),"")</f>
        <v/>
      </c>
      <c r="D643" s="22">
        <f ca="1">VLOOKUP(C643,'Histórico de Remunerações'!$D$7:$E$656,2,FALSE)</f>
        <v>0</v>
      </c>
      <c r="E643" s="4" t="str">
        <f ca="1">IF(D643=0,"",IF(IF(ISTEXT(C643),DATE(RIGHT(C643,4),12,31),C643)&lt;PREMISSAS!$D$7,0,IFERROR(VLOOKUP(IF(LEFT(C643,2)="13",DATE(RIGHT(C643,4),12,31),C643),IPCA!$A$3:$D$284,4,FALSE),1)*D643))</f>
        <v/>
      </c>
      <c r="F643" s="4" t="str">
        <f ca="1">IF(C643="","",IFERROR(AVERAGEIF(E$5:$E643,"&gt;"&amp;_xlfn.PERCENTILE.EXC(E$5:$E643,0.2)),0))</f>
        <v/>
      </c>
    </row>
    <row r="644" spans="2:6" x14ac:dyDescent="0.25">
      <c r="B644" s="18">
        <v>640</v>
      </c>
      <c r="C644" s="21" t="str">
        <f ca="1">IFERROR(IF(LEFT(C643,2)="13",DATE(RIGHT(C643,4),12,31),IF(EOMONTH(C643,1)&gt;PREMISSAS!$C$3,"",IF(MONTH(C643)=11,"13º "&amp;YEAR(C643),EOMONTH(C643,1)))),"")</f>
        <v/>
      </c>
      <c r="D644" s="22">
        <f ca="1">VLOOKUP(C644,'Histórico de Remunerações'!$D$7:$E$656,2,FALSE)</f>
        <v>0</v>
      </c>
      <c r="E644" s="4" t="str">
        <f ca="1">IF(D644=0,"",IF(IF(ISTEXT(C644),DATE(RIGHT(C644,4),12,31),C644)&lt;PREMISSAS!$D$7,0,IFERROR(VLOOKUP(IF(LEFT(C644,2)="13",DATE(RIGHT(C644,4),12,31),C644),IPCA!$A$3:$D$284,4,FALSE),1)*D644))</f>
        <v/>
      </c>
      <c r="F644" s="4" t="str">
        <f ca="1">IF(C644="","",IFERROR(AVERAGEIF(E$5:$E644,"&gt;"&amp;_xlfn.PERCENTILE.EXC(E$5:$E644,0.2)),0))</f>
        <v/>
      </c>
    </row>
    <row r="645" spans="2:6" x14ac:dyDescent="0.25">
      <c r="B645" s="18">
        <v>641</v>
      </c>
      <c r="C645" s="21" t="str">
        <f ca="1">IFERROR(IF(LEFT(C644,2)="13",DATE(RIGHT(C644,4),12,31),IF(EOMONTH(C644,1)&gt;PREMISSAS!$C$3,"",IF(MONTH(C644)=11,"13º "&amp;YEAR(C644),EOMONTH(C644,1)))),"")</f>
        <v/>
      </c>
      <c r="D645" s="22">
        <f ca="1">VLOOKUP(C645,'Histórico de Remunerações'!$D$7:$E$656,2,FALSE)</f>
        <v>0</v>
      </c>
      <c r="E645" s="4" t="str">
        <f ca="1">IF(D645=0,"",IF(IF(ISTEXT(C645),DATE(RIGHT(C645,4),12,31),C645)&lt;PREMISSAS!$D$7,0,IFERROR(VLOOKUP(IF(LEFT(C645,2)="13",DATE(RIGHT(C645,4),12,31),C645),IPCA!$A$3:$D$284,4,FALSE),1)*D645))</f>
        <v/>
      </c>
      <c r="F645" s="4" t="str">
        <f ca="1">IF(C645="","",IFERROR(AVERAGEIF(E$5:$E645,"&gt;"&amp;_xlfn.PERCENTILE.EXC(E$5:$E645,0.2)),0))</f>
        <v/>
      </c>
    </row>
    <row r="646" spans="2:6" x14ac:dyDescent="0.25">
      <c r="B646" s="18">
        <v>642</v>
      </c>
      <c r="C646" s="21" t="str">
        <f ca="1">IFERROR(IF(LEFT(C645,2)="13",DATE(RIGHT(C645,4),12,31),IF(EOMONTH(C645,1)&gt;PREMISSAS!$C$3,"",IF(MONTH(C645)=11,"13º "&amp;YEAR(C645),EOMONTH(C645,1)))),"")</f>
        <v/>
      </c>
      <c r="D646" s="22">
        <f ca="1">VLOOKUP(C646,'Histórico de Remunerações'!$D$7:$E$656,2,FALSE)</f>
        <v>0</v>
      </c>
      <c r="E646" s="4" t="str">
        <f ca="1">IF(D646=0,"",IF(IF(ISTEXT(C646),DATE(RIGHT(C646,4),12,31),C646)&lt;PREMISSAS!$D$7,0,IFERROR(VLOOKUP(IF(LEFT(C646,2)="13",DATE(RIGHT(C646,4),12,31),C646),IPCA!$A$3:$D$284,4,FALSE),1)*D646))</f>
        <v/>
      </c>
      <c r="F646" s="4" t="str">
        <f ca="1">IF(C646="","",IFERROR(AVERAGEIF(E$5:$E646,"&gt;"&amp;_xlfn.PERCENTILE.EXC(E$5:$E646,0.2)),0))</f>
        <v/>
      </c>
    </row>
    <row r="647" spans="2:6" x14ac:dyDescent="0.25">
      <c r="B647" s="18">
        <v>643</v>
      </c>
      <c r="C647" s="21" t="str">
        <f ca="1">IFERROR(IF(LEFT(C646,2)="13",DATE(RIGHT(C646,4),12,31),IF(EOMONTH(C646,1)&gt;PREMISSAS!$C$3,"",IF(MONTH(C646)=11,"13º "&amp;YEAR(C646),EOMONTH(C646,1)))),"")</f>
        <v/>
      </c>
      <c r="D647" s="22">
        <f ca="1">VLOOKUP(C647,'Histórico de Remunerações'!$D$7:$E$656,2,FALSE)</f>
        <v>0</v>
      </c>
      <c r="E647" s="4" t="str">
        <f ca="1">IF(D647=0,"",IF(IF(ISTEXT(C647),DATE(RIGHT(C647,4),12,31),C647)&lt;PREMISSAS!$D$7,0,IFERROR(VLOOKUP(IF(LEFT(C647,2)="13",DATE(RIGHT(C647,4),12,31),C647),IPCA!$A$3:$D$284,4,FALSE),1)*D647))</f>
        <v/>
      </c>
      <c r="F647" s="4" t="str">
        <f ca="1">IF(C647="","",IFERROR(AVERAGEIF(E$5:$E647,"&gt;"&amp;_xlfn.PERCENTILE.EXC(E$5:$E647,0.2)),0))</f>
        <v/>
      </c>
    </row>
    <row r="648" spans="2:6" x14ac:dyDescent="0.25">
      <c r="B648" s="18">
        <v>644</v>
      </c>
      <c r="C648" s="21" t="str">
        <f ca="1">IFERROR(IF(LEFT(C647,2)="13",DATE(RIGHT(C647,4),12,31),IF(EOMONTH(C647,1)&gt;PREMISSAS!$C$3,"",IF(MONTH(C647)=11,"13º "&amp;YEAR(C647),EOMONTH(C647,1)))),"")</f>
        <v/>
      </c>
      <c r="D648" s="22">
        <f ca="1">VLOOKUP(C648,'Histórico de Remunerações'!$D$7:$E$656,2,FALSE)</f>
        <v>0</v>
      </c>
      <c r="E648" s="4" t="str">
        <f ca="1">IF(D648=0,"",IF(IF(ISTEXT(C648),DATE(RIGHT(C648,4),12,31),C648)&lt;PREMISSAS!$D$7,0,IFERROR(VLOOKUP(IF(LEFT(C648,2)="13",DATE(RIGHT(C648,4),12,31),C648),IPCA!$A$3:$D$284,4,FALSE),1)*D648))</f>
        <v/>
      </c>
      <c r="F648" s="4" t="str">
        <f ca="1">IF(C648="","",IFERROR(AVERAGEIF(E$5:$E648,"&gt;"&amp;_xlfn.PERCENTILE.EXC(E$5:$E648,0.2)),0))</f>
        <v/>
      </c>
    </row>
    <row r="649" spans="2:6" x14ac:dyDescent="0.25">
      <c r="B649" s="18">
        <v>645</v>
      </c>
      <c r="C649" s="21" t="str">
        <f ca="1">IFERROR(IF(LEFT(C648,2)="13",DATE(RIGHT(C648,4),12,31),IF(EOMONTH(C648,1)&gt;PREMISSAS!$C$3,"",IF(MONTH(C648)=11,"13º "&amp;YEAR(C648),EOMONTH(C648,1)))),"")</f>
        <v/>
      </c>
      <c r="D649" s="22">
        <f ca="1">VLOOKUP(C649,'Histórico de Remunerações'!$D$7:$E$656,2,FALSE)</f>
        <v>0</v>
      </c>
      <c r="E649" s="4" t="str">
        <f ca="1">IF(D649=0,"",IF(IF(ISTEXT(C649),DATE(RIGHT(C649,4),12,31),C649)&lt;PREMISSAS!$D$7,0,IFERROR(VLOOKUP(IF(LEFT(C649,2)="13",DATE(RIGHT(C649,4),12,31),C649),IPCA!$A$3:$D$284,4,FALSE),1)*D649))</f>
        <v/>
      </c>
      <c r="F649" s="4" t="str">
        <f ca="1">IF(C649="","",IFERROR(AVERAGEIF(E$5:$E649,"&gt;"&amp;_xlfn.PERCENTILE.EXC(E$5:$E649,0.2)),0))</f>
        <v/>
      </c>
    </row>
    <row r="650" spans="2:6" x14ac:dyDescent="0.25">
      <c r="B650" s="18">
        <v>646</v>
      </c>
      <c r="C650" s="21" t="str">
        <f ca="1">IFERROR(IF(LEFT(C649,2)="13",DATE(RIGHT(C649,4),12,31),IF(EOMONTH(C649,1)&gt;PREMISSAS!$C$3,"",IF(MONTH(C649)=11,"13º "&amp;YEAR(C649),EOMONTH(C649,1)))),"")</f>
        <v/>
      </c>
      <c r="D650" s="22">
        <f ca="1">VLOOKUP(C650,'Histórico de Remunerações'!$D$7:$E$656,2,FALSE)</f>
        <v>0</v>
      </c>
      <c r="E650" s="4" t="str">
        <f ca="1">IF(D650=0,"",IF(IF(ISTEXT(C650),DATE(RIGHT(C650,4),12,31),C650)&lt;PREMISSAS!$D$7,0,IFERROR(VLOOKUP(IF(LEFT(C650,2)="13",DATE(RIGHT(C650,4),12,31),C650),IPCA!$A$3:$D$284,4,FALSE),1)*D650))</f>
        <v/>
      </c>
      <c r="F650" s="4" t="str">
        <f ca="1">IF(C650="","",IFERROR(AVERAGEIF(E$5:$E650,"&gt;"&amp;_xlfn.PERCENTILE.EXC(E$5:$E650,0.2)),0))</f>
        <v/>
      </c>
    </row>
    <row r="651" spans="2:6" x14ac:dyDescent="0.25">
      <c r="B651" s="18">
        <v>647</v>
      </c>
      <c r="C651" s="21" t="str">
        <f ca="1">IFERROR(IF(LEFT(C650,2)="13",DATE(RIGHT(C650,4),12,31),IF(EOMONTH(C650,1)&gt;PREMISSAS!$C$3,"",IF(MONTH(C650)=11,"13º "&amp;YEAR(C650),EOMONTH(C650,1)))),"")</f>
        <v/>
      </c>
      <c r="D651" s="22">
        <f ca="1">VLOOKUP(C651,'Histórico de Remunerações'!$D$7:$E$656,2,FALSE)</f>
        <v>0</v>
      </c>
      <c r="E651" s="4" t="str">
        <f ca="1">IF(D651=0,"",IF(IF(ISTEXT(C651),DATE(RIGHT(C651,4),12,31),C651)&lt;PREMISSAS!$D$7,0,IFERROR(VLOOKUP(IF(LEFT(C651,2)="13",DATE(RIGHT(C651,4),12,31),C651),IPCA!$A$3:$D$284,4,FALSE),1)*D651))</f>
        <v/>
      </c>
      <c r="F651" s="4" t="str">
        <f ca="1">IF(C651="","",IFERROR(AVERAGEIF(E$5:$E651,"&gt;"&amp;_xlfn.PERCENTILE.EXC(E$5:$E651,0.2)),0))</f>
        <v/>
      </c>
    </row>
    <row r="652" spans="2:6" x14ac:dyDescent="0.25">
      <c r="B652" s="18">
        <v>648</v>
      </c>
      <c r="C652" s="21" t="str">
        <f ca="1">IFERROR(IF(LEFT(C651,2)="13",DATE(RIGHT(C651,4),12,31),IF(EOMONTH(C651,1)&gt;PREMISSAS!$C$3,"",IF(MONTH(C651)=11,"13º "&amp;YEAR(C651),EOMONTH(C651,1)))),"")</f>
        <v/>
      </c>
      <c r="D652" s="22">
        <f ca="1">VLOOKUP(C652,'Histórico de Remunerações'!$D$7:$E$656,2,FALSE)</f>
        <v>0</v>
      </c>
      <c r="E652" s="4" t="str">
        <f ca="1">IF(D652=0,"",IF(IF(ISTEXT(C652),DATE(RIGHT(C652,4),12,31),C652)&lt;PREMISSAS!$D$7,0,IFERROR(VLOOKUP(IF(LEFT(C652,2)="13",DATE(RIGHT(C652,4),12,31),C652),IPCA!$A$3:$D$284,4,FALSE),1)*D652))</f>
        <v/>
      </c>
      <c r="F652" s="4" t="str">
        <f ca="1">IF(C652="","",IFERROR(AVERAGEIF(E$5:$E652,"&gt;"&amp;_xlfn.PERCENTILE.EXC(E$5:$E652,0.2)),0))</f>
        <v/>
      </c>
    </row>
    <row r="653" spans="2:6" x14ac:dyDescent="0.25">
      <c r="B653" s="18">
        <v>649</v>
      </c>
      <c r="C653" s="21" t="str">
        <f ca="1">IFERROR(IF(LEFT(C652,2)="13",DATE(RIGHT(C652,4),12,31),IF(EOMONTH(C652,1)&gt;PREMISSAS!$C$3,"",IF(MONTH(C652)=11,"13º "&amp;YEAR(C652),EOMONTH(C652,1)))),"")</f>
        <v/>
      </c>
      <c r="D653" s="22">
        <f ca="1">VLOOKUP(C653,'Histórico de Remunerações'!$D$7:$E$656,2,FALSE)</f>
        <v>0</v>
      </c>
      <c r="E653" s="4" t="str">
        <f ca="1">IF(D653=0,"",IF(IF(ISTEXT(C653),DATE(RIGHT(C653,4),12,31),C653)&lt;PREMISSAS!$D$7,0,IFERROR(VLOOKUP(IF(LEFT(C653,2)="13",DATE(RIGHT(C653,4),12,31),C653),IPCA!$A$3:$D$284,4,FALSE),1)*D653))</f>
        <v/>
      </c>
      <c r="F653" s="4" t="str">
        <f ca="1">IF(C653="","",IFERROR(AVERAGEIF(E$5:$E653,"&gt;"&amp;_xlfn.PERCENTILE.EXC(E$5:$E653,0.2)),0))</f>
        <v/>
      </c>
    </row>
    <row r="654" spans="2:6" x14ac:dyDescent="0.25">
      <c r="B654" s="18">
        <v>650</v>
      </c>
      <c r="C654" s="21" t="str">
        <f ca="1">IFERROR(IF(LEFT(C653,2)="13",DATE(RIGHT(C653,4),12,31),IF(EOMONTH(C653,1)&gt;PREMISSAS!$C$3,"",IF(MONTH(C653)=11,"13º "&amp;YEAR(C653),EOMONTH(C653,1)))),"")</f>
        <v/>
      </c>
      <c r="D654" s="22">
        <f ca="1">VLOOKUP(C654,'Histórico de Remunerações'!$D$7:$E$656,2,FALSE)</f>
        <v>0</v>
      </c>
      <c r="E654" s="4" t="str">
        <f ca="1">IF(D654=0,"",IF(IF(ISTEXT(C654),DATE(RIGHT(C654,4),12,31),C654)&lt;PREMISSAS!$D$7,0,IFERROR(VLOOKUP(IF(LEFT(C654,2)="13",DATE(RIGHT(C654,4),12,31),C654),IPCA!$A$3:$D$284,4,FALSE),1)*D654))</f>
        <v/>
      </c>
      <c r="F654" s="4" t="str">
        <f ca="1">IF(C654="","",IFERROR(AVERAGEIF(E$5:$E654,"&gt;"&amp;_xlfn.PERCENTILE.EXC(E$5:$E654,0.2)),0))</f>
        <v/>
      </c>
    </row>
  </sheetData>
  <mergeCells count="1">
    <mergeCell ref="B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2:AA700"/>
  <sheetViews>
    <sheetView topLeftCell="B1" workbookViewId="0">
      <selection activeCell="L32" sqref="L32"/>
    </sheetView>
  </sheetViews>
  <sheetFormatPr defaultRowHeight="15" x14ac:dyDescent="0.25"/>
  <cols>
    <col min="2" max="2" width="12.42578125" customWidth="1"/>
    <col min="3" max="3" width="17.5703125" customWidth="1"/>
    <col min="4" max="4" width="15.7109375" customWidth="1"/>
    <col min="5" max="5" width="16.42578125" bestFit="1" customWidth="1"/>
    <col min="6" max="6" width="22.42578125" bestFit="1" customWidth="1"/>
    <col min="7" max="7" width="22.42578125" customWidth="1"/>
    <col min="8" max="8" width="18.140625" customWidth="1"/>
    <col min="9" max="9" width="13.28515625" bestFit="1" customWidth="1"/>
    <col min="10" max="10" width="13.140625" bestFit="1" customWidth="1"/>
    <col min="11" max="11" width="13.28515625" bestFit="1" customWidth="1"/>
    <col min="12" max="12" width="11.5703125" bestFit="1" customWidth="1"/>
    <col min="13" max="13" width="2.28515625" customWidth="1"/>
    <col min="14" max="14" width="27.5703125" bestFit="1" customWidth="1"/>
    <col min="16" max="16" width="10.7109375" bestFit="1" customWidth="1"/>
    <col min="17" max="19" width="19.5703125" customWidth="1"/>
    <col min="21" max="21" width="10.7109375" bestFit="1" customWidth="1"/>
    <col min="22" max="22" width="17.85546875" bestFit="1" customWidth="1"/>
    <col min="23" max="23" width="13.28515625" bestFit="1" customWidth="1"/>
    <col min="24" max="24" width="11.5703125" bestFit="1" customWidth="1"/>
    <col min="25" max="25" width="13.28515625" bestFit="1" customWidth="1"/>
    <col min="26" max="27" width="15.140625" customWidth="1"/>
  </cols>
  <sheetData>
    <row r="2" spans="2:27" x14ac:dyDescent="0.25">
      <c r="P2" s="277" t="s">
        <v>258</v>
      </c>
      <c r="Q2" s="277"/>
      <c r="R2" s="277"/>
      <c r="S2" s="277"/>
      <c r="U2" s="278" t="s">
        <v>259</v>
      </c>
      <c r="V2" s="278"/>
      <c r="W2" s="278"/>
      <c r="X2" s="278"/>
      <c r="Y2" s="278"/>
      <c r="Z2" s="278"/>
      <c r="AA2" s="278"/>
    </row>
    <row r="3" spans="2:27" x14ac:dyDescent="0.25">
      <c r="B3" s="268" t="s">
        <v>40</v>
      </c>
      <c r="C3" s="268"/>
      <c r="D3" s="273" t="s">
        <v>129</v>
      </c>
      <c r="E3" s="274" t="s">
        <v>137</v>
      </c>
      <c r="F3" s="275"/>
      <c r="G3" s="276"/>
      <c r="H3" s="84" t="s">
        <v>138</v>
      </c>
      <c r="AA3" s="168">
        <f ca="1">NPV(PREMISSAS!C16,'CÁLCULO FUNPRESP'!AA5:AA700)</f>
        <v>0</v>
      </c>
    </row>
    <row r="4" spans="2:27" ht="30" x14ac:dyDescent="0.25">
      <c r="B4" s="27" t="s">
        <v>24</v>
      </c>
      <c r="C4" s="27" t="s">
        <v>3</v>
      </c>
      <c r="D4" s="273"/>
      <c r="E4" s="27" t="s">
        <v>136</v>
      </c>
      <c r="F4" s="27" t="s">
        <v>139</v>
      </c>
      <c r="G4" s="27" t="s">
        <v>183</v>
      </c>
      <c r="H4" s="27" t="s">
        <v>136</v>
      </c>
      <c r="I4" s="27" t="s">
        <v>145</v>
      </c>
      <c r="J4" s="27" t="s">
        <v>146</v>
      </c>
      <c r="K4" s="27" t="s">
        <v>143</v>
      </c>
      <c r="L4" s="27" t="s">
        <v>144</v>
      </c>
      <c r="N4" s="27" t="s">
        <v>168</v>
      </c>
      <c r="P4" s="165" t="s">
        <v>24</v>
      </c>
      <c r="Q4" s="162" t="s">
        <v>249</v>
      </c>
      <c r="R4" s="162" t="s">
        <v>248</v>
      </c>
      <c r="S4" s="162" t="s">
        <v>247</v>
      </c>
      <c r="U4" s="165" t="s">
        <v>24</v>
      </c>
      <c r="V4" s="165" t="s">
        <v>263</v>
      </c>
      <c r="W4" s="165" t="s">
        <v>143</v>
      </c>
      <c r="X4" s="165" t="s">
        <v>144</v>
      </c>
      <c r="Y4" s="166" t="s">
        <v>260</v>
      </c>
      <c r="Z4" s="166" t="s">
        <v>261</v>
      </c>
      <c r="AA4" s="166" t="s">
        <v>262</v>
      </c>
    </row>
    <row r="5" spans="2:27" x14ac:dyDescent="0.25">
      <c r="B5" s="21">
        <f ca="1">EOMONTH(PREMISSAS!C3,0)</f>
        <v>43555</v>
      </c>
      <c r="C5" s="22">
        <f ca="1">RESULTADOS!C7</f>
        <v>0</v>
      </c>
      <c r="D5" s="22">
        <f ca="1">IF(RESULTADOS!$C$17="Normal",IFERROR(MAX(C5-PREMISSAS!$C$13,0),0),IF(Painel!$I$23=0,0,MAX(10*PREMISSAS!$C$38,RESULTADOS!$F$17)))</f>
        <v>0</v>
      </c>
      <c r="E5" s="4">
        <f ca="1">D5*IF(RESULTADOS!$C$17="Normal",RESULTADOS!$C$16,0)</f>
        <v>0</v>
      </c>
      <c r="F5" s="4">
        <f ca="1">IFERROR(IF(RESULTADOS!$C$17="Normal",D5,C5)*RESULTADOS!$C$18,0)</f>
        <v>0</v>
      </c>
      <c r="G5" s="4">
        <f ca="1">IFERROR(IF(RESULTADOS!$C$17="Normal",0,D5)*IF(RESULTADOS!$C$17="Normal",RESULTADOS!$C$18,RESULTADOS!$C$16),0)</f>
        <v>0</v>
      </c>
      <c r="H5" s="4">
        <f ca="1">IF(RESULTADOS!$C$17="Normal",E5,0)</f>
        <v>0</v>
      </c>
      <c r="I5" s="4">
        <f ca="1">(E5+H5+G5)*PREMISSAS!$C$60</f>
        <v>0</v>
      </c>
      <c r="J5" s="4">
        <f ca="1">D5*IF(RESULTADOS!$C$17="Normal",PREMISSAS!$C$62,0)</f>
        <v>0</v>
      </c>
      <c r="K5" s="116">
        <f ca="1">(E5+H5-IF(RESULTADOS!$C$17="Normal",I5,0)-J5)*IF(MONTH(B5)=12,2,1)</f>
        <v>0</v>
      </c>
      <c r="L5" s="116">
        <f ca="1">F5+(G5-IF(RESULTADOS!$C$17="Normal",0,I5))*IF(MONTH(B5)=12,2,1)+Painel!I81</f>
        <v>0</v>
      </c>
      <c r="N5" s="73">
        <f ca="1">IFERROR((E5+F5+G5)/C5,0)</f>
        <v>0</v>
      </c>
      <c r="P5" s="164">
        <f ca="1">IF(C5="","",B5)</f>
        <v>43555</v>
      </c>
      <c r="Q5" s="140">
        <f ca="1">IF(C5="","",(E5+H5-IF(RESULTADOS!$C$17="Normal",I5,0)-J5)/2+(F5+G5-IF(RESULTADOS!$C$17="Normal",0,I5)))</f>
        <v>0</v>
      </c>
      <c r="R5" s="140">
        <f ca="1">IF(C5="","",(E5+H5-IF(RESULTADOS!$C$17="Normal",I5,0)-J5)/2)</f>
        <v>0</v>
      </c>
      <c r="S5" s="140">
        <f ca="1">SUM(K5:L5)-SUM(Q5:R5)</f>
        <v>0</v>
      </c>
      <c r="U5" s="164">
        <f ca="1">EOMONTH(MAX($P$5:$P$700),0)</f>
        <v>50252</v>
      </c>
      <c r="V5" s="164">
        <f ca="1">IF(AA5&lt;&gt;"",U5,"")</f>
        <v>50252</v>
      </c>
      <c r="W5" s="140">
        <f ca="1">VLOOKUP(U5,$B$5:$L$700,10,FALSE)</f>
        <v>0</v>
      </c>
      <c r="X5" s="140">
        <f ca="1">VLOOKUP(U5,$B$5:$L$700,11,FALSE)</f>
        <v>0</v>
      </c>
      <c r="Y5" s="140">
        <f ca="1">SUM(W5:X5)</f>
        <v>0</v>
      </c>
      <c r="Z5" s="167">
        <f ca="1">RESULTADOS!L32</f>
        <v>0</v>
      </c>
      <c r="AA5" s="140">
        <f ca="1">IF(COUNTA($U$5:U5)/12&lt;=RESULTADOS!$C$19,RESULTADOS!$L$35,"")</f>
        <v>0</v>
      </c>
    </row>
    <row r="6" spans="2:27" x14ac:dyDescent="0.25">
      <c r="B6" s="21">
        <f ca="1">IF(B5="","",IF(EOMONTH(B5,1)&gt;EOMONTH(ELEGIBILIDADE!$J$17,0),"",EOMONTH(B5,1)))</f>
        <v>43585</v>
      </c>
      <c r="C6" s="22">
        <f ca="1">IF(B6="","",IF(MONTH(B6)=1,C5*(1+PREMISSAS!$C$57),C5))</f>
        <v>0</v>
      </c>
      <c r="D6" s="22">
        <f ca="1">IF(RESULTADOS!$C$17="Normal",IFERROR(MAX(C6-PREMISSAS!$C$13,0),0),IF(Painel!$I$23=0,0,MAX(10*PREMISSAS!$C$38,RESULTADOS!$F$17)))</f>
        <v>0</v>
      </c>
      <c r="E6" s="4">
        <f ca="1">D6*IF(RESULTADOS!$C$17="Normal",RESULTADOS!$C$16,0)</f>
        <v>0</v>
      </c>
      <c r="F6" s="4">
        <f ca="1">IFERROR(IF(RESULTADOS!$C$17="Normal",D6,C6)*RESULTADOS!$C$18,0)</f>
        <v>0</v>
      </c>
      <c r="G6" s="4">
        <f ca="1">IFERROR(IF(RESULTADOS!$C$17="Normal",0,D6)*IF(RESULTADOS!$C$17="Normal",RESULTADOS!$C$18,RESULTADOS!$C$16),0)</f>
        <v>0</v>
      </c>
      <c r="H6" s="4">
        <f ca="1">IF(RESULTADOS!$C$17="Normal",E6,0)</f>
        <v>0</v>
      </c>
      <c r="I6" s="4">
        <f ca="1">(E6+H6+G6)*PREMISSAS!$C$60</f>
        <v>0</v>
      </c>
      <c r="J6" s="4">
        <f ca="1">D6*IF(RESULTADOS!$C$17="Normal",PREMISSAS!$C$62,0)</f>
        <v>0</v>
      </c>
      <c r="K6" s="116">
        <f ca="1">IFERROR(K5*(1+PREMISSAS!$C$18)+(E6+H6-IF(RESULTADOS!$C$17="Normal",I6,0)-J6)*IF(MONTH(B6)=12,2,1),0)</f>
        <v>0</v>
      </c>
      <c r="L6" s="116">
        <f ca="1">IFERROR((L5+G6-IF(RESULTADOS!$C$17="Normal",0,I6))*(1+PREMISSAS!$C$18)+F6,0)</f>
        <v>0</v>
      </c>
      <c r="N6" s="73">
        <f t="shared" ref="N6:N69" ca="1" si="0">IFERROR((E6+F6+G6)/C6,0)</f>
        <v>0</v>
      </c>
      <c r="P6" s="164">
        <f t="shared" ref="P6:P69" ca="1" si="1">IF(C6="","",B6)</f>
        <v>43585</v>
      </c>
      <c r="Q6" s="140">
        <f ca="1">IF(C6="","",Q5+(E6+H6-IF(RESULTADOS!$C$17="Normal",I6,0)-J6)/2+(F6+G6-IF(RESULTADOS!$C$17="Normal",0,I6)))</f>
        <v>0</v>
      </c>
      <c r="R6" s="140">
        <f ca="1">IF(C6="","",R5+(E6+H6-IF(RESULTADOS!$C$17="Normal",I6,0)-J6)/2)</f>
        <v>0</v>
      </c>
      <c r="S6" s="140">
        <f ca="1">SUM(K6:L6)-SUM(Q6:R6)</f>
        <v>0</v>
      </c>
      <c r="U6" s="164" t="str">
        <f ca="1">IF(Y6=0,"",EOMONTH(U5,1))</f>
        <v/>
      </c>
      <c r="V6" s="164" t="str">
        <f t="shared" ref="V6:V69" ca="1" si="2">IF(AA6&lt;&gt;"",U6,"")</f>
        <v/>
      </c>
      <c r="W6" s="140">
        <f ca="1">IF(OR((W5-13/12*Z5)*(1+PREMISSAS!$C$16)&lt;0,W5=""),0,(W5-13/12*Z5)*(1+PREMISSAS!$C$16))</f>
        <v>0</v>
      </c>
      <c r="X6" s="140">
        <f ca="1">IF(OR((X5-13/12*AA5)*(1+PREMISSAS!$C$16)&lt;0,X5=""),0,(X5-13/12*AA5)*(1+PREMISSAS!$C$16))</f>
        <v>0</v>
      </c>
      <c r="Y6" s="140">
        <f t="shared" ref="Y6:Y69" ca="1" si="3">SUM(W6:X6)</f>
        <v>0</v>
      </c>
      <c r="Z6" s="167">
        <f ca="1">IF(W6&lt;&gt;0,Z5,0)</f>
        <v>0</v>
      </c>
      <c r="AA6" s="167">
        <f ca="1">IF(X6&lt;&gt;0,AA5,0)</f>
        <v>0</v>
      </c>
    </row>
    <row r="7" spans="2:27" x14ac:dyDescent="0.25">
      <c r="B7" s="21">
        <f ca="1">IF(B6="","",IF(EOMONTH(B6,1)&gt;EOMONTH(ELEGIBILIDADE!$J$17,0),"",EOMONTH(B6,1)))</f>
        <v>43616</v>
      </c>
      <c r="C7" s="22">
        <f ca="1">IF(B7="","",IF(MONTH(B7)=1,C6*(1+PREMISSAS!$C$57),C6))</f>
        <v>0</v>
      </c>
      <c r="D7" s="22">
        <f ca="1">IF(RESULTADOS!$C$17="Normal",IFERROR(MAX(C7-PREMISSAS!$C$13,0),0),IF(Painel!$I$23=0,0,MAX(10*PREMISSAS!$C$38,RESULTADOS!$F$17)))</f>
        <v>0</v>
      </c>
      <c r="E7" s="4">
        <f ca="1">D7*IF(RESULTADOS!$C$17="Normal",RESULTADOS!$C$16,0)</f>
        <v>0</v>
      </c>
      <c r="F7" s="4">
        <f ca="1">IFERROR(IF(RESULTADOS!$C$17="Normal",D7,C7)*RESULTADOS!$C$18,0)</f>
        <v>0</v>
      </c>
      <c r="G7" s="4">
        <f ca="1">IFERROR(IF(RESULTADOS!$C$17="Normal",0,D7)*IF(RESULTADOS!$C$17="Normal",RESULTADOS!$C$18,RESULTADOS!$C$16),0)</f>
        <v>0</v>
      </c>
      <c r="H7" s="4">
        <f ca="1">IF(RESULTADOS!$C$17="Normal",E7,0)</f>
        <v>0</v>
      </c>
      <c r="I7" s="4">
        <f ca="1">(E7+H7+G7)*PREMISSAS!$C$60</f>
        <v>0</v>
      </c>
      <c r="J7" s="4">
        <f ca="1">D7*IF(RESULTADOS!$C$17="Normal",PREMISSAS!$C$62,0)</f>
        <v>0</v>
      </c>
      <c r="K7" s="116">
        <f ca="1">IFERROR(K6*(1+PREMISSAS!$C$18)+(E7+H7-IF(RESULTADOS!$C$17="Normal",I7,0)-J7)*IF(MONTH(B7)=12,2,1),0)</f>
        <v>0</v>
      </c>
      <c r="L7" s="116">
        <f ca="1">IFERROR((L6+G7-IF(RESULTADOS!$C$17="Normal",0,I7))*(1+PREMISSAS!$C$18)+F7,0)</f>
        <v>0</v>
      </c>
      <c r="N7" s="73">
        <f t="shared" ca="1" si="0"/>
        <v>0</v>
      </c>
      <c r="P7" s="164">
        <f t="shared" ca="1" si="1"/>
        <v>43616</v>
      </c>
      <c r="Q7" s="140">
        <f ca="1">IF(C7="","",Q6+(E7+H7-IF(RESULTADOS!$C$17="Normal",I7,0)-J7)/2+(F7+G7-IF(RESULTADOS!$C$17="Normal",0,I7)))</f>
        <v>0</v>
      </c>
      <c r="R7" s="140">
        <f ca="1">IF(C7="","",R6+(E7+H7-IF(RESULTADOS!$C$17="Normal",I7,0)-J7)/2)</f>
        <v>0</v>
      </c>
      <c r="S7" s="140">
        <f t="shared" ref="S7:S70" ca="1" si="4">SUM(K7:L7)-SUM(Q7:R7)</f>
        <v>0</v>
      </c>
      <c r="U7" s="164" t="str">
        <f t="shared" ref="U7:U70" ca="1" si="5">IF(Y7=0,"",EOMONTH(U6,1))</f>
        <v/>
      </c>
      <c r="V7" s="164" t="str">
        <f t="shared" ca="1" si="2"/>
        <v/>
      </c>
      <c r="W7" s="140">
        <f ca="1">IF(OR((W6-13/12*Z6)*(1+PREMISSAS!$C$16)&lt;0,W6=""),0,(W6-13/12*Z6)*(1+PREMISSAS!$C$16))</f>
        <v>0</v>
      </c>
      <c r="X7" s="140">
        <f ca="1">IF(OR((X6-13/12*AA6)*(1+PREMISSAS!$C$16)&lt;0,X6=""),0,(X6-13/12*AA6)*(1+PREMISSAS!$C$16))</f>
        <v>0</v>
      </c>
      <c r="Y7" s="140">
        <f t="shared" ca="1" si="3"/>
        <v>0</v>
      </c>
      <c r="Z7" s="167">
        <f t="shared" ref="Z7:Z70" ca="1" si="6">IF(W7&lt;&gt;0,Z6,0)</f>
        <v>0</v>
      </c>
      <c r="AA7" s="167">
        <f t="shared" ref="AA7:AA70" ca="1" si="7">IF(X7&lt;&gt;0,AA6,0)</f>
        <v>0</v>
      </c>
    </row>
    <row r="8" spans="2:27" x14ac:dyDescent="0.25">
      <c r="B8" s="21">
        <f ca="1">IF(B7="","",IF(EOMONTH(B7,1)&gt;EOMONTH(ELEGIBILIDADE!$J$17,0),"",EOMONTH(B7,1)))</f>
        <v>43646</v>
      </c>
      <c r="C8" s="22">
        <f ca="1">IF(B8="","",IF(MONTH(B8)=1,C7*(1+PREMISSAS!$C$57),C7))</f>
        <v>0</v>
      </c>
      <c r="D8" s="22">
        <f ca="1">IF(RESULTADOS!$C$17="Normal",IFERROR(MAX(C8-PREMISSAS!$C$13,0),0),IF(Painel!$I$23=0,0,MAX(10*PREMISSAS!$C$38,RESULTADOS!$F$17)))</f>
        <v>0</v>
      </c>
      <c r="E8" s="4">
        <f ca="1">D8*IF(RESULTADOS!$C$17="Normal",RESULTADOS!$C$16,0)</f>
        <v>0</v>
      </c>
      <c r="F8" s="4">
        <f ca="1">IFERROR(IF(RESULTADOS!$C$17="Normal",D8,C8)*RESULTADOS!$C$18,0)</f>
        <v>0</v>
      </c>
      <c r="G8" s="4">
        <f ca="1">IFERROR(IF(RESULTADOS!$C$17="Normal",0,D8)*IF(RESULTADOS!$C$17="Normal",RESULTADOS!$C$18,RESULTADOS!$C$16),0)</f>
        <v>0</v>
      </c>
      <c r="H8" s="4">
        <f ca="1">IF(RESULTADOS!$C$17="Normal",E8,0)</f>
        <v>0</v>
      </c>
      <c r="I8" s="4">
        <f ca="1">(E8+H8+G8)*PREMISSAS!$C$60</f>
        <v>0</v>
      </c>
      <c r="J8" s="4">
        <f ca="1">D8*IF(RESULTADOS!$C$17="Normal",PREMISSAS!$C$62,0)</f>
        <v>0</v>
      </c>
      <c r="K8" s="116">
        <f ca="1">IFERROR(K7*(1+PREMISSAS!$C$18)+(E8+H8-IF(RESULTADOS!$C$17="Normal",I8,0)-J8)*IF(MONTH(B8)=12,2,1),0)</f>
        <v>0</v>
      </c>
      <c r="L8" s="116">
        <f ca="1">IFERROR((L7+G8-IF(RESULTADOS!$C$17="Normal",0,I8))*(1+PREMISSAS!$C$18)+F8,0)</f>
        <v>0</v>
      </c>
      <c r="N8" s="73">
        <f t="shared" ca="1" si="0"/>
        <v>0</v>
      </c>
      <c r="P8" s="164">
        <f t="shared" ca="1" si="1"/>
        <v>43646</v>
      </c>
      <c r="Q8" s="140">
        <f ca="1">IF(C8="","",Q7+(E8+H8-IF(RESULTADOS!$C$17="Normal",I8,0)-J8)/2+(F8+G8-IF(RESULTADOS!$C$17="Normal",0,I8)))</f>
        <v>0</v>
      </c>
      <c r="R8" s="140">
        <f ca="1">IF(C8="","",R7+(E8+H8-IF(RESULTADOS!$C$17="Normal",I8,0)-J8)/2)</f>
        <v>0</v>
      </c>
      <c r="S8" s="140">
        <f t="shared" ca="1" si="4"/>
        <v>0</v>
      </c>
      <c r="U8" s="164" t="str">
        <f t="shared" ca="1" si="5"/>
        <v/>
      </c>
      <c r="V8" s="164" t="str">
        <f t="shared" ca="1" si="2"/>
        <v/>
      </c>
      <c r="W8" s="140">
        <f ca="1">IF(OR((W7-13/12*Z7)*(1+PREMISSAS!$C$16)&lt;0,W7=""),0,(W7-13/12*Z7)*(1+PREMISSAS!$C$16))</f>
        <v>0</v>
      </c>
      <c r="X8" s="140">
        <f ca="1">IF(OR((X7-13/12*AA7)*(1+PREMISSAS!$C$16)&lt;0,X7=""),0,(X7-13/12*AA7)*(1+PREMISSAS!$C$16))</f>
        <v>0</v>
      </c>
      <c r="Y8" s="140">
        <f t="shared" ca="1" si="3"/>
        <v>0</v>
      </c>
      <c r="Z8" s="167">
        <f t="shared" ca="1" si="6"/>
        <v>0</v>
      </c>
      <c r="AA8" s="167">
        <f t="shared" ca="1" si="7"/>
        <v>0</v>
      </c>
    </row>
    <row r="9" spans="2:27" x14ac:dyDescent="0.25">
      <c r="B9" s="21">
        <f ca="1">IF(B8="","",IF(EOMONTH(B8,1)&gt;EOMONTH(ELEGIBILIDADE!$J$17,0),"",EOMONTH(B8,1)))</f>
        <v>43677</v>
      </c>
      <c r="C9" s="22">
        <f ca="1">IF(B9="","",IF(MONTH(B9)=1,C8*(1+PREMISSAS!$C$57),C8))</f>
        <v>0</v>
      </c>
      <c r="D9" s="22">
        <f ca="1">IF(RESULTADOS!$C$17="Normal",IFERROR(MAX(C9-PREMISSAS!$C$13,0),0),IF(Painel!$I$23=0,0,MAX(10*PREMISSAS!$C$38,RESULTADOS!$F$17)))</f>
        <v>0</v>
      </c>
      <c r="E9" s="4">
        <f ca="1">D9*IF(RESULTADOS!$C$17="Normal",RESULTADOS!$C$16,0)</f>
        <v>0</v>
      </c>
      <c r="F9" s="4">
        <f ca="1">IFERROR(IF(RESULTADOS!$C$17="Normal",D9,C9)*RESULTADOS!$C$18,0)</f>
        <v>0</v>
      </c>
      <c r="G9" s="4">
        <f ca="1">IFERROR(IF(RESULTADOS!$C$17="Normal",0,D9)*IF(RESULTADOS!$C$17="Normal",RESULTADOS!$C$18,RESULTADOS!$C$16),0)</f>
        <v>0</v>
      </c>
      <c r="H9" s="4">
        <f ca="1">IF(RESULTADOS!$C$17="Normal",E9,0)</f>
        <v>0</v>
      </c>
      <c r="I9" s="4">
        <f ca="1">(E9+H9+G9)*PREMISSAS!$C$60</f>
        <v>0</v>
      </c>
      <c r="J9" s="4">
        <f ca="1">D9*IF(RESULTADOS!$C$17="Normal",PREMISSAS!$C$62,0)</f>
        <v>0</v>
      </c>
      <c r="K9" s="116">
        <f ca="1">IFERROR(K8*(1+PREMISSAS!$C$18)+(E9+H9-IF(RESULTADOS!$C$17="Normal",I9,0)-J9)*IF(MONTH(B9)=12,2,1),0)</f>
        <v>0</v>
      </c>
      <c r="L9" s="116">
        <f ca="1">IFERROR((L8+G9-IF(RESULTADOS!$C$17="Normal",0,I9))*(1+PREMISSAS!$C$18)+F9,0)</f>
        <v>0</v>
      </c>
      <c r="N9" s="73">
        <f t="shared" ca="1" si="0"/>
        <v>0</v>
      </c>
      <c r="P9" s="164">
        <f t="shared" ca="1" si="1"/>
        <v>43677</v>
      </c>
      <c r="Q9" s="140">
        <f ca="1">IF(C9="","",Q8+(E9+H9-IF(RESULTADOS!$C$17="Normal",I9,0)-J9)/2+(F9+G9-IF(RESULTADOS!$C$17="Normal",0,I9)))</f>
        <v>0</v>
      </c>
      <c r="R9" s="140">
        <f ca="1">IF(C9="","",R8+(E9+H9-IF(RESULTADOS!$C$17="Normal",I9,0)-J9)/2)</f>
        <v>0</v>
      </c>
      <c r="S9" s="140">
        <f t="shared" ca="1" si="4"/>
        <v>0</v>
      </c>
      <c r="U9" s="164" t="str">
        <f t="shared" ca="1" si="5"/>
        <v/>
      </c>
      <c r="V9" s="164" t="str">
        <f t="shared" ca="1" si="2"/>
        <v/>
      </c>
      <c r="W9" s="140">
        <f ca="1">IF(OR((W8-13/12*Z8)*(1+PREMISSAS!$C$16)&lt;0,W8=""),0,(W8-13/12*Z8)*(1+PREMISSAS!$C$16))</f>
        <v>0</v>
      </c>
      <c r="X9" s="140">
        <f ca="1">IF(OR((X8-13/12*AA8)*(1+PREMISSAS!$C$16)&lt;0,X8=""),0,(X8-13/12*AA8)*(1+PREMISSAS!$C$16))</f>
        <v>0</v>
      </c>
      <c r="Y9" s="140">
        <f t="shared" ca="1" si="3"/>
        <v>0</v>
      </c>
      <c r="Z9" s="167">
        <f t="shared" ca="1" si="6"/>
        <v>0</v>
      </c>
      <c r="AA9" s="167">
        <f t="shared" ca="1" si="7"/>
        <v>0</v>
      </c>
    </row>
    <row r="10" spans="2:27" x14ac:dyDescent="0.25">
      <c r="B10" s="21">
        <f ca="1">IF(B9="","",IF(EOMONTH(B9,1)&gt;EOMONTH(ELEGIBILIDADE!$J$17,0),"",EOMONTH(B9,1)))</f>
        <v>43708</v>
      </c>
      <c r="C10" s="22">
        <f ca="1">IF(B10="","",IF(MONTH(B10)=1,C9*(1+PREMISSAS!$C$57),C9))</f>
        <v>0</v>
      </c>
      <c r="D10" s="22">
        <f ca="1">IF(RESULTADOS!$C$17="Normal",IFERROR(MAX(C10-PREMISSAS!$C$13,0),0),IF(Painel!$I$23=0,0,MAX(10*PREMISSAS!$C$38,RESULTADOS!$F$17)))</f>
        <v>0</v>
      </c>
      <c r="E10" s="4">
        <f ca="1">D10*IF(RESULTADOS!$C$17="Normal",RESULTADOS!$C$16,0)</f>
        <v>0</v>
      </c>
      <c r="F10" s="4">
        <f ca="1">IFERROR(IF(RESULTADOS!$C$17="Normal",D10,C10)*RESULTADOS!$C$18,0)</f>
        <v>0</v>
      </c>
      <c r="G10" s="4">
        <f ca="1">IFERROR(IF(RESULTADOS!$C$17="Normal",0,D10)*IF(RESULTADOS!$C$17="Normal",RESULTADOS!$C$18,RESULTADOS!$C$16),0)</f>
        <v>0</v>
      </c>
      <c r="H10" s="4">
        <f ca="1">IF(RESULTADOS!$C$17="Normal",E10,0)</f>
        <v>0</v>
      </c>
      <c r="I10" s="4">
        <f ca="1">(E10+H10+G10)*PREMISSAS!$C$60</f>
        <v>0</v>
      </c>
      <c r="J10" s="4">
        <f ca="1">D10*IF(RESULTADOS!$C$17="Normal",PREMISSAS!$C$62,0)</f>
        <v>0</v>
      </c>
      <c r="K10" s="116">
        <f ca="1">IFERROR(K9*(1+PREMISSAS!$C$18)+(E10+H10-IF(RESULTADOS!$C$17="Normal",I10,0)-J10)*IF(MONTH(B10)=12,2,1),0)</f>
        <v>0</v>
      </c>
      <c r="L10" s="116">
        <f ca="1">IFERROR((L9+G10-IF(RESULTADOS!$C$17="Normal",0,I10))*(1+PREMISSAS!$C$18)+F10,0)</f>
        <v>0</v>
      </c>
      <c r="N10" s="73">
        <f t="shared" ca="1" si="0"/>
        <v>0</v>
      </c>
      <c r="P10" s="164">
        <f t="shared" ca="1" si="1"/>
        <v>43708</v>
      </c>
      <c r="Q10" s="140">
        <f ca="1">IF(C10="","",Q9+(E10+H10-IF(RESULTADOS!$C$17="Normal",I10,0)-J10)/2+(F10+G10-IF(RESULTADOS!$C$17="Normal",0,I10)))</f>
        <v>0</v>
      </c>
      <c r="R10" s="140">
        <f ca="1">IF(C10="","",R9+(E10+H10-IF(RESULTADOS!$C$17="Normal",I10,0)-J10)/2)</f>
        <v>0</v>
      </c>
      <c r="S10" s="140">
        <f t="shared" ca="1" si="4"/>
        <v>0</v>
      </c>
      <c r="U10" s="164" t="str">
        <f t="shared" ca="1" si="5"/>
        <v/>
      </c>
      <c r="V10" s="164" t="str">
        <f t="shared" ca="1" si="2"/>
        <v/>
      </c>
      <c r="W10" s="140">
        <f ca="1">IF(OR((W9-13/12*Z9)*(1+PREMISSAS!$C$16)&lt;0,W9=""),0,(W9-13/12*Z9)*(1+PREMISSAS!$C$16))</f>
        <v>0</v>
      </c>
      <c r="X10" s="140">
        <f ca="1">IF(OR((X9-13/12*AA9)*(1+PREMISSAS!$C$16)&lt;0,X9=""),0,(X9-13/12*AA9)*(1+PREMISSAS!$C$16))</f>
        <v>0</v>
      </c>
      <c r="Y10" s="140">
        <f t="shared" ca="1" si="3"/>
        <v>0</v>
      </c>
      <c r="Z10" s="167">
        <f t="shared" ca="1" si="6"/>
        <v>0</v>
      </c>
      <c r="AA10" s="167">
        <f t="shared" ca="1" si="7"/>
        <v>0</v>
      </c>
    </row>
    <row r="11" spans="2:27" x14ac:dyDescent="0.25">
      <c r="B11" s="21">
        <f ca="1">IF(B10="","",IF(EOMONTH(B10,1)&gt;EOMONTH(ELEGIBILIDADE!$J$17,0),"",EOMONTH(B10,1)))</f>
        <v>43738</v>
      </c>
      <c r="C11" s="22">
        <f ca="1">IF(B11="","",IF(MONTH(B11)=1,C10*(1+PREMISSAS!$C$57),C10))</f>
        <v>0</v>
      </c>
      <c r="D11" s="22">
        <f ca="1">IF(RESULTADOS!$C$17="Normal",IFERROR(MAX(C11-PREMISSAS!$C$13,0),0),IF(Painel!$I$23=0,0,MAX(10*PREMISSAS!$C$38,RESULTADOS!$F$17)))</f>
        <v>0</v>
      </c>
      <c r="E11" s="4">
        <f ca="1">D11*IF(RESULTADOS!$C$17="Normal",RESULTADOS!$C$16,0)</f>
        <v>0</v>
      </c>
      <c r="F11" s="4">
        <f ca="1">IFERROR(IF(RESULTADOS!$C$17="Normal",D11,C11)*RESULTADOS!$C$18,0)</f>
        <v>0</v>
      </c>
      <c r="G11" s="4">
        <f ca="1">IFERROR(IF(RESULTADOS!$C$17="Normal",0,D11)*IF(RESULTADOS!$C$17="Normal",RESULTADOS!$C$18,RESULTADOS!$C$16),0)</f>
        <v>0</v>
      </c>
      <c r="H11" s="4">
        <f ca="1">IF(RESULTADOS!$C$17="Normal",E11,0)</f>
        <v>0</v>
      </c>
      <c r="I11" s="4">
        <f ca="1">(E11+H11+G11)*PREMISSAS!$C$60</f>
        <v>0</v>
      </c>
      <c r="J11" s="4">
        <f ca="1">D11*IF(RESULTADOS!$C$17="Normal",PREMISSAS!$C$62,0)</f>
        <v>0</v>
      </c>
      <c r="K11" s="116">
        <f ca="1">IFERROR(K10*(1+PREMISSAS!$C$18)+(E11+H11-IF(RESULTADOS!$C$17="Normal",I11,0)-J11)*IF(MONTH(B11)=12,2,1),0)</f>
        <v>0</v>
      </c>
      <c r="L11" s="116">
        <f ca="1">IFERROR((L10+G11-IF(RESULTADOS!$C$17="Normal",0,I11))*(1+PREMISSAS!$C$18)+F11,0)</f>
        <v>0</v>
      </c>
      <c r="N11" s="73">
        <f t="shared" ca="1" si="0"/>
        <v>0</v>
      </c>
      <c r="P11" s="164">
        <f t="shared" ca="1" si="1"/>
        <v>43738</v>
      </c>
      <c r="Q11" s="140">
        <f ca="1">IF(C11="","",Q10+(E11+H11-IF(RESULTADOS!$C$17="Normal",I11,0)-J11)/2+(F11+G11-IF(RESULTADOS!$C$17="Normal",0,I11)))</f>
        <v>0</v>
      </c>
      <c r="R11" s="140">
        <f ca="1">IF(C11="","",R10+(E11+H11-IF(RESULTADOS!$C$17="Normal",I11,0)-J11)/2)</f>
        <v>0</v>
      </c>
      <c r="S11" s="140">
        <f t="shared" ca="1" si="4"/>
        <v>0</v>
      </c>
      <c r="U11" s="164" t="str">
        <f t="shared" ca="1" si="5"/>
        <v/>
      </c>
      <c r="V11" s="164" t="str">
        <f t="shared" ca="1" si="2"/>
        <v/>
      </c>
      <c r="W11" s="140">
        <f ca="1">IF(OR((W10-13/12*Z10)*(1+PREMISSAS!$C$16)&lt;0,W10=""),0,(W10-13/12*Z10)*(1+PREMISSAS!$C$16))</f>
        <v>0</v>
      </c>
      <c r="X11" s="140">
        <f ca="1">IF(OR((X10-13/12*AA10)*(1+PREMISSAS!$C$16)&lt;0,X10=""),0,(X10-13/12*AA10)*(1+PREMISSAS!$C$16))</f>
        <v>0</v>
      </c>
      <c r="Y11" s="140">
        <f t="shared" ca="1" si="3"/>
        <v>0</v>
      </c>
      <c r="Z11" s="167">
        <f t="shared" ca="1" si="6"/>
        <v>0</v>
      </c>
      <c r="AA11" s="167">
        <f t="shared" ca="1" si="7"/>
        <v>0</v>
      </c>
    </row>
    <row r="12" spans="2:27" x14ac:dyDescent="0.25">
      <c r="B12" s="21">
        <f ca="1">IF(B11="","",IF(EOMONTH(B11,1)&gt;EOMONTH(ELEGIBILIDADE!$J$17,0),"",EOMONTH(B11,1)))</f>
        <v>43769</v>
      </c>
      <c r="C12" s="22">
        <f ca="1">IF(B12="","",IF(MONTH(B12)=1,C11*(1+PREMISSAS!$C$57),C11))</f>
        <v>0</v>
      </c>
      <c r="D12" s="22">
        <f ca="1">IF(RESULTADOS!$C$17="Normal",IFERROR(MAX(C12-PREMISSAS!$C$13,0),0),IF(Painel!$I$23=0,0,MAX(10*PREMISSAS!$C$38,RESULTADOS!$F$17)))</f>
        <v>0</v>
      </c>
      <c r="E12" s="4">
        <f ca="1">D12*IF(RESULTADOS!$C$17="Normal",RESULTADOS!$C$16,0)</f>
        <v>0</v>
      </c>
      <c r="F12" s="4">
        <f ca="1">IFERROR(IF(RESULTADOS!$C$17="Normal",D12,C12)*RESULTADOS!$C$18,0)</f>
        <v>0</v>
      </c>
      <c r="G12" s="4">
        <f ca="1">IFERROR(IF(RESULTADOS!$C$17="Normal",0,D12)*IF(RESULTADOS!$C$17="Normal",RESULTADOS!$C$18,RESULTADOS!$C$16),0)</f>
        <v>0</v>
      </c>
      <c r="H12" s="4">
        <f ca="1">IF(RESULTADOS!$C$17="Normal",E12,0)</f>
        <v>0</v>
      </c>
      <c r="I12" s="4">
        <f ca="1">(E12+H12+G12)*PREMISSAS!$C$60</f>
        <v>0</v>
      </c>
      <c r="J12" s="4">
        <f ca="1">D12*IF(RESULTADOS!$C$17="Normal",PREMISSAS!$C$62,0)</f>
        <v>0</v>
      </c>
      <c r="K12" s="116">
        <f ca="1">IFERROR(K11*(1+PREMISSAS!$C$18)+(E12+H12-IF(RESULTADOS!$C$17="Normal",I12,0)-J12)*IF(MONTH(B12)=12,2,1),0)</f>
        <v>0</v>
      </c>
      <c r="L12" s="116">
        <f ca="1">IFERROR((L11+G12-IF(RESULTADOS!$C$17="Normal",0,I12))*(1+PREMISSAS!$C$18)+F12,0)</f>
        <v>0</v>
      </c>
      <c r="N12" s="73">
        <f t="shared" ca="1" si="0"/>
        <v>0</v>
      </c>
      <c r="P12" s="164">
        <f t="shared" ca="1" si="1"/>
        <v>43769</v>
      </c>
      <c r="Q12" s="140">
        <f ca="1">IF(C12="","",Q11+(E12+H12-IF(RESULTADOS!$C$17="Normal",I12,0)-J12)/2+(F12+G12-IF(RESULTADOS!$C$17="Normal",0,I12)))</f>
        <v>0</v>
      </c>
      <c r="R12" s="140">
        <f ca="1">IF(C12="","",R11+(E12+H12-IF(RESULTADOS!$C$17="Normal",I12,0)-J12)/2)</f>
        <v>0</v>
      </c>
      <c r="S12" s="140">
        <f t="shared" ca="1" si="4"/>
        <v>0</v>
      </c>
      <c r="U12" s="164" t="str">
        <f t="shared" ca="1" si="5"/>
        <v/>
      </c>
      <c r="V12" s="164" t="str">
        <f t="shared" ca="1" si="2"/>
        <v/>
      </c>
      <c r="W12" s="140">
        <f ca="1">IF(OR((W11-13/12*Z11)*(1+PREMISSAS!$C$16)&lt;0,W11=""),0,(W11-13/12*Z11)*(1+PREMISSAS!$C$16))</f>
        <v>0</v>
      </c>
      <c r="X12" s="140">
        <f ca="1">IF(OR((X11-13/12*AA11)*(1+PREMISSAS!$C$16)&lt;0,X11=""),0,(X11-13/12*AA11)*(1+PREMISSAS!$C$16))</f>
        <v>0</v>
      </c>
      <c r="Y12" s="140">
        <f t="shared" ca="1" si="3"/>
        <v>0</v>
      </c>
      <c r="Z12" s="167">
        <f t="shared" ca="1" si="6"/>
        <v>0</v>
      </c>
      <c r="AA12" s="167">
        <f t="shared" ca="1" si="7"/>
        <v>0</v>
      </c>
    </row>
    <row r="13" spans="2:27" x14ac:dyDescent="0.25">
      <c r="B13" s="21">
        <f ca="1">IF(B12="","",IF(EOMONTH(B12,1)&gt;EOMONTH(ELEGIBILIDADE!$J$17,0),"",EOMONTH(B12,1)))</f>
        <v>43799</v>
      </c>
      <c r="C13" s="22">
        <f ca="1">IF(B13="","",IF(MONTH(B13)=1,C12*(1+PREMISSAS!$C$57),C12))</f>
        <v>0</v>
      </c>
      <c r="D13" s="22">
        <f ca="1">IF(RESULTADOS!$C$17="Normal",IFERROR(MAX(C13-PREMISSAS!$C$13,0),0),IF(Painel!$I$23=0,0,MAX(10*PREMISSAS!$C$38,RESULTADOS!$F$17)))</f>
        <v>0</v>
      </c>
      <c r="E13" s="4">
        <f ca="1">D13*IF(RESULTADOS!$C$17="Normal",RESULTADOS!$C$16,0)</f>
        <v>0</v>
      </c>
      <c r="F13" s="4">
        <f ca="1">IFERROR(IF(RESULTADOS!$C$17="Normal",D13,C13)*RESULTADOS!$C$18,0)</f>
        <v>0</v>
      </c>
      <c r="G13" s="4">
        <f ca="1">IFERROR(IF(RESULTADOS!$C$17="Normal",0,D13)*IF(RESULTADOS!$C$17="Normal",RESULTADOS!$C$18,RESULTADOS!$C$16),0)</f>
        <v>0</v>
      </c>
      <c r="H13" s="4">
        <f ca="1">IF(RESULTADOS!$C$17="Normal",E13,0)</f>
        <v>0</v>
      </c>
      <c r="I13" s="4">
        <f ca="1">(E13+H13+G13)*PREMISSAS!$C$60</f>
        <v>0</v>
      </c>
      <c r="J13" s="4">
        <f ca="1">D13*IF(RESULTADOS!$C$17="Normal",PREMISSAS!$C$62,0)</f>
        <v>0</v>
      </c>
      <c r="K13" s="116">
        <f ca="1">IFERROR(K12*(1+PREMISSAS!$C$18)+(E13+H13-IF(RESULTADOS!$C$17="Normal",I13,0)-J13)*IF(MONTH(B13)=12,2,1),0)</f>
        <v>0</v>
      </c>
      <c r="L13" s="116">
        <f ca="1">IFERROR((L12+G13-IF(RESULTADOS!$C$17="Normal",0,I13))*(1+PREMISSAS!$C$18)+F13,0)</f>
        <v>0</v>
      </c>
      <c r="N13" s="73">
        <f t="shared" ca="1" si="0"/>
        <v>0</v>
      </c>
      <c r="P13" s="164">
        <f t="shared" ca="1" si="1"/>
        <v>43799</v>
      </c>
      <c r="Q13" s="140">
        <f ca="1">IF(C13="","",Q12+(E13+H13-IF(RESULTADOS!$C$17="Normal",I13,0)-J13)/2+(F13+G13-IF(RESULTADOS!$C$17="Normal",0,I13)))</f>
        <v>0</v>
      </c>
      <c r="R13" s="140">
        <f ca="1">IF(C13="","",R12+(E13+H13-IF(RESULTADOS!$C$17="Normal",I13,0)-J13)/2)</f>
        <v>0</v>
      </c>
      <c r="S13" s="140">
        <f t="shared" ca="1" si="4"/>
        <v>0</v>
      </c>
      <c r="U13" s="164" t="str">
        <f t="shared" ca="1" si="5"/>
        <v/>
      </c>
      <c r="V13" s="164" t="str">
        <f t="shared" ca="1" si="2"/>
        <v/>
      </c>
      <c r="W13" s="140">
        <f ca="1">IF(OR((W12-13/12*Z12)*(1+PREMISSAS!$C$16)&lt;0,W12=""),0,(W12-13/12*Z12)*(1+PREMISSAS!$C$16))</f>
        <v>0</v>
      </c>
      <c r="X13" s="140">
        <f ca="1">IF(OR((X12-13/12*AA12)*(1+PREMISSAS!$C$16)&lt;0,X12=""),0,(X12-13/12*AA12)*(1+PREMISSAS!$C$16))</f>
        <v>0</v>
      </c>
      <c r="Y13" s="140">
        <f t="shared" ca="1" si="3"/>
        <v>0</v>
      </c>
      <c r="Z13" s="167">
        <f t="shared" ca="1" si="6"/>
        <v>0</v>
      </c>
      <c r="AA13" s="167">
        <f t="shared" ca="1" si="7"/>
        <v>0</v>
      </c>
    </row>
    <row r="14" spans="2:27" x14ac:dyDescent="0.25">
      <c r="B14" s="21">
        <f ca="1">IF(B13="","",IF(EOMONTH(B13,1)&gt;EOMONTH(ELEGIBILIDADE!$J$17,0),"",EOMONTH(B13,1)))</f>
        <v>43830</v>
      </c>
      <c r="C14" s="22">
        <f ca="1">IF(B14="","",IF(MONTH(B14)=1,C13*(1+PREMISSAS!$C$57),C13))</f>
        <v>0</v>
      </c>
      <c r="D14" s="22">
        <f ca="1">IF(RESULTADOS!$C$17="Normal",IFERROR(MAX(C14-PREMISSAS!$C$13,0),0),IF(Painel!$I$23=0,0,MAX(10*PREMISSAS!$C$38,RESULTADOS!$F$17)))</f>
        <v>0</v>
      </c>
      <c r="E14" s="4">
        <f ca="1">D14*IF(RESULTADOS!$C$17="Normal",RESULTADOS!$C$16,0)</f>
        <v>0</v>
      </c>
      <c r="F14" s="4">
        <f ca="1">IFERROR(IF(RESULTADOS!$C$17="Normal",D14,C14)*RESULTADOS!$C$18,0)</f>
        <v>0</v>
      </c>
      <c r="G14" s="4">
        <f ca="1">IFERROR(IF(RESULTADOS!$C$17="Normal",0,D14)*IF(RESULTADOS!$C$17="Normal",RESULTADOS!$C$18,RESULTADOS!$C$16),0)</f>
        <v>0</v>
      </c>
      <c r="H14" s="4">
        <f ca="1">IF(RESULTADOS!$C$17="Normal",E14,0)</f>
        <v>0</v>
      </c>
      <c r="I14" s="4">
        <f ca="1">(E14+H14+G14)*PREMISSAS!$C$60</f>
        <v>0</v>
      </c>
      <c r="J14" s="4">
        <f ca="1">D14*IF(RESULTADOS!$C$17="Normal",PREMISSAS!$C$62,0)</f>
        <v>0</v>
      </c>
      <c r="K14" s="116">
        <f ca="1">IFERROR(K13*(1+PREMISSAS!$C$18)+(E14+H14-IF(RESULTADOS!$C$17="Normal",I14,0)-J14)*IF(MONTH(B14)=12,2,1),0)</f>
        <v>0</v>
      </c>
      <c r="L14" s="116">
        <f ca="1">IFERROR((L13+G14-IF(RESULTADOS!$C$17="Normal",0,I14))*(1+PREMISSAS!$C$18)+F14,0)</f>
        <v>0</v>
      </c>
      <c r="N14" s="73">
        <f t="shared" ca="1" si="0"/>
        <v>0</v>
      </c>
      <c r="P14" s="164">
        <f t="shared" ca="1" si="1"/>
        <v>43830</v>
      </c>
      <c r="Q14" s="140">
        <f ca="1">IF(C14="","",Q13+(E14+H14-IF(RESULTADOS!$C$17="Normal",I14,0)-J14)/2+(F14+G14-IF(RESULTADOS!$C$17="Normal",0,I14)))</f>
        <v>0</v>
      </c>
      <c r="R14" s="140">
        <f ca="1">IF(C14="","",R13+(E14+H14-IF(RESULTADOS!$C$17="Normal",I14,0)-J14)/2)</f>
        <v>0</v>
      </c>
      <c r="S14" s="140">
        <f t="shared" ca="1" si="4"/>
        <v>0</v>
      </c>
      <c r="U14" s="164" t="str">
        <f t="shared" ca="1" si="5"/>
        <v/>
      </c>
      <c r="V14" s="164" t="str">
        <f t="shared" ca="1" si="2"/>
        <v/>
      </c>
      <c r="W14" s="140">
        <f ca="1">IF(OR((W13-13/12*Z13)*(1+PREMISSAS!$C$16)&lt;0,W13=""),0,(W13-13/12*Z13)*(1+PREMISSAS!$C$16))</f>
        <v>0</v>
      </c>
      <c r="X14" s="140">
        <f ca="1">IF(OR((X13-13/12*AA13)*(1+PREMISSAS!$C$16)&lt;0,X13=""),0,(X13-13/12*AA13)*(1+PREMISSAS!$C$16))</f>
        <v>0</v>
      </c>
      <c r="Y14" s="140">
        <f t="shared" ca="1" si="3"/>
        <v>0</v>
      </c>
      <c r="Z14" s="167">
        <f t="shared" ca="1" si="6"/>
        <v>0</v>
      </c>
      <c r="AA14" s="167">
        <f t="shared" ca="1" si="7"/>
        <v>0</v>
      </c>
    </row>
    <row r="15" spans="2:27" x14ac:dyDescent="0.25">
      <c r="B15" s="21">
        <f ca="1">IF(B14="","",IF(EOMONTH(B14,1)&gt;EOMONTH(ELEGIBILIDADE!$J$17,0),"",EOMONTH(B14,1)))</f>
        <v>43861</v>
      </c>
      <c r="C15" s="22">
        <f ca="1">IF(B15="","",IF(MONTH(B15)=1,C14*(1+PREMISSAS!$C$57),C14))</f>
        <v>0</v>
      </c>
      <c r="D15" s="22">
        <f ca="1">IF(RESULTADOS!$C$17="Normal",IFERROR(MAX(C15-PREMISSAS!$C$13,0),0),IF(Painel!$I$23=0,0,MAX(10*PREMISSAS!$C$38,RESULTADOS!$F$17)))</f>
        <v>0</v>
      </c>
      <c r="E15" s="4">
        <f ca="1">D15*IF(RESULTADOS!$C$17="Normal",RESULTADOS!$C$16,0)</f>
        <v>0</v>
      </c>
      <c r="F15" s="4">
        <f ca="1">IFERROR(IF(RESULTADOS!$C$17="Normal",D15,C15)*RESULTADOS!$C$18,0)</f>
        <v>0</v>
      </c>
      <c r="G15" s="4">
        <f ca="1">IFERROR(IF(RESULTADOS!$C$17="Normal",0,D15)*IF(RESULTADOS!$C$17="Normal",RESULTADOS!$C$18,RESULTADOS!$C$16),0)</f>
        <v>0</v>
      </c>
      <c r="H15" s="4">
        <f ca="1">IF(RESULTADOS!$C$17="Normal",E15,0)</f>
        <v>0</v>
      </c>
      <c r="I15" s="4">
        <f ca="1">(E15+H15+G15)*PREMISSAS!$C$60</f>
        <v>0</v>
      </c>
      <c r="J15" s="4">
        <f ca="1">D15*IF(RESULTADOS!$C$17="Normal",PREMISSAS!$C$62,0)</f>
        <v>0</v>
      </c>
      <c r="K15" s="116">
        <f ca="1">IFERROR(K14*(1+PREMISSAS!$C$18)+(E15+H15-IF(RESULTADOS!$C$17="Normal",I15,0)-J15)*IF(MONTH(B15)=12,2,1),0)</f>
        <v>0</v>
      </c>
      <c r="L15" s="116">
        <f ca="1">IFERROR((L14+G15-IF(RESULTADOS!$C$17="Normal",0,I15))*(1+PREMISSAS!$C$18)+F15,0)</f>
        <v>0</v>
      </c>
      <c r="N15" s="73">
        <f t="shared" ca="1" si="0"/>
        <v>0</v>
      </c>
      <c r="P15" s="164">
        <f t="shared" ca="1" si="1"/>
        <v>43861</v>
      </c>
      <c r="Q15" s="140">
        <f ca="1">IF(C15="","",Q14+(E15+H15-IF(RESULTADOS!$C$17="Normal",I15,0)-J15)/2+(F15+G15-IF(RESULTADOS!$C$17="Normal",0,I15)))</f>
        <v>0</v>
      </c>
      <c r="R15" s="140">
        <f ca="1">IF(C15="","",R14+(E15+H15-IF(RESULTADOS!$C$17="Normal",I15,0)-J15)/2)</f>
        <v>0</v>
      </c>
      <c r="S15" s="140">
        <f t="shared" ca="1" si="4"/>
        <v>0</v>
      </c>
      <c r="U15" s="164" t="str">
        <f t="shared" ca="1" si="5"/>
        <v/>
      </c>
      <c r="V15" s="164" t="str">
        <f t="shared" ca="1" si="2"/>
        <v/>
      </c>
      <c r="W15" s="140">
        <f ca="1">IF(OR((W14-13/12*Z14)*(1+PREMISSAS!$C$16)&lt;0,W14=""),0,(W14-13/12*Z14)*(1+PREMISSAS!$C$16))</f>
        <v>0</v>
      </c>
      <c r="X15" s="140">
        <f ca="1">IF(OR((X14-13/12*AA14)*(1+PREMISSAS!$C$16)&lt;0,X14=""),0,(X14-13/12*AA14)*(1+PREMISSAS!$C$16))</f>
        <v>0</v>
      </c>
      <c r="Y15" s="140">
        <f t="shared" ca="1" si="3"/>
        <v>0</v>
      </c>
      <c r="Z15" s="167">
        <f t="shared" ca="1" si="6"/>
        <v>0</v>
      </c>
      <c r="AA15" s="167">
        <f t="shared" ca="1" si="7"/>
        <v>0</v>
      </c>
    </row>
    <row r="16" spans="2:27" x14ac:dyDescent="0.25">
      <c r="B16" s="21">
        <f ca="1">IF(B15="","",IF(EOMONTH(B15,1)&gt;EOMONTH(ELEGIBILIDADE!$J$17,0),"",EOMONTH(B15,1)))</f>
        <v>43890</v>
      </c>
      <c r="C16" s="22">
        <f ca="1">IF(B16="","",IF(MONTH(B16)=1,C15*(1+PREMISSAS!$C$57),C15))</f>
        <v>0</v>
      </c>
      <c r="D16" s="22">
        <f ca="1">IF(RESULTADOS!$C$17="Normal",IFERROR(MAX(C16-PREMISSAS!$C$13,0),0),IF(Painel!$I$23=0,0,MAX(10*PREMISSAS!$C$38,RESULTADOS!$F$17)))</f>
        <v>0</v>
      </c>
      <c r="E16" s="4">
        <f ca="1">D16*IF(RESULTADOS!$C$17="Normal",RESULTADOS!$C$16,0)</f>
        <v>0</v>
      </c>
      <c r="F16" s="4">
        <f ca="1">IFERROR(IF(RESULTADOS!$C$17="Normal",D16,C16)*RESULTADOS!$C$18,0)</f>
        <v>0</v>
      </c>
      <c r="G16" s="4">
        <f ca="1">IFERROR(IF(RESULTADOS!$C$17="Normal",0,D16)*IF(RESULTADOS!$C$17="Normal",RESULTADOS!$C$18,RESULTADOS!$C$16),0)</f>
        <v>0</v>
      </c>
      <c r="H16" s="4">
        <f ca="1">IF(RESULTADOS!$C$17="Normal",E16,0)</f>
        <v>0</v>
      </c>
      <c r="I16" s="4">
        <f ca="1">(E16+H16+G16)*PREMISSAS!$C$60</f>
        <v>0</v>
      </c>
      <c r="J16" s="4">
        <f ca="1">D16*IF(RESULTADOS!$C$17="Normal",PREMISSAS!$C$62,0)</f>
        <v>0</v>
      </c>
      <c r="K16" s="116">
        <f ca="1">IFERROR(K15*(1+PREMISSAS!$C$18)+(E16+H16-IF(RESULTADOS!$C$17="Normal",I16,0)-J16)*IF(MONTH(B16)=12,2,1),0)</f>
        <v>0</v>
      </c>
      <c r="L16" s="116">
        <f ca="1">IFERROR((L15+G16-IF(RESULTADOS!$C$17="Normal",0,I16))*(1+PREMISSAS!$C$18)+F16,0)</f>
        <v>0</v>
      </c>
      <c r="N16" s="73">
        <f t="shared" ca="1" si="0"/>
        <v>0</v>
      </c>
      <c r="P16" s="164">
        <f t="shared" ca="1" si="1"/>
        <v>43890</v>
      </c>
      <c r="Q16" s="140">
        <f ca="1">IF(C16="","",Q15+(E16+H16-IF(RESULTADOS!$C$17="Normal",I16,0)-J16)/2+(F16+G16-IF(RESULTADOS!$C$17="Normal",0,I16)))</f>
        <v>0</v>
      </c>
      <c r="R16" s="140">
        <f ca="1">IF(C16="","",R15+(E16+H16-IF(RESULTADOS!$C$17="Normal",I16,0)-J16)/2)</f>
        <v>0</v>
      </c>
      <c r="S16" s="140">
        <f t="shared" ca="1" si="4"/>
        <v>0</v>
      </c>
      <c r="U16" s="164" t="str">
        <f t="shared" ca="1" si="5"/>
        <v/>
      </c>
      <c r="V16" s="164" t="str">
        <f t="shared" ca="1" si="2"/>
        <v/>
      </c>
      <c r="W16" s="140">
        <f ca="1">IF(OR((W15-13/12*Z15)*(1+PREMISSAS!$C$16)&lt;0,W15=""),0,(W15-13/12*Z15)*(1+PREMISSAS!$C$16))</f>
        <v>0</v>
      </c>
      <c r="X16" s="140">
        <f ca="1">IF(OR((X15-13/12*AA15)*(1+PREMISSAS!$C$16)&lt;0,X15=""),0,(X15-13/12*AA15)*(1+PREMISSAS!$C$16))</f>
        <v>0</v>
      </c>
      <c r="Y16" s="140">
        <f t="shared" ca="1" si="3"/>
        <v>0</v>
      </c>
      <c r="Z16" s="167">
        <f t="shared" ca="1" si="6"/>
        <v>0</v>
      </c>
      <c r="AA16" s="167">
        <f t="shared" ca="1" si="7"/>
        <v>0</v>
      </c>
    </row>
    <row r="17" spans="2:27" x14ac:dyDescent="0.25">
      <c r="B17" s="21">
        <f ca="1">IF(B16="","",IF(EOMONTH(B16,1)&gt;EOMONTH(ELEGIBILIDADE!$J$17,0),"",EOMONTH(B16,1)))</f>
        <v>43921</v>
      </c>
      <c r="C17" s="22">
        <f ca="1">IF(B17="","",IF(MONTH(B17)=1,C16*(1+PREMISSAS!$C$57),C16))</f>
        <v>0</v>
      </c>
      <c r="D17" s="22">
        <f ca="1">IF(RESULTADOS!$C$17="Normal",IFERROR(MAX(C17-PREMISSAS!$C$13,0),0),IF(Painel!$I$23=0,0,MAX(10*PREMISSAS!$C$38,RESULTADOS!$F$17)))</f>
        <v>0</v>
      </c>
      <c r="E17" s="4">
        <f ca="1">D17*IF(RESULTADOS!$C$17="Normal",RESULTADOS!$C$16,0)</f>
        <v>0</v>
      </c>
      <c r="F17" s="4">
        <f ca="1">IFERROR(IF(RESULTADOS!$C$17="Normal",D17,C17)*RESULTADOS!$C$18,0)</f>
        <v>0</v>
      </c>
      <c r="G17" s="4">
        <f ca="1">IFERROR(IF(RESULTADOS!$C$17="Normal",0,D17)*IF(RESULTADOS!$C$17="Normal",RESULTADOS!$C$18,RESULTADOS!$C$16),0)</f>
        <v>0</v>
      </c>
      <c r="H17" s="4">
        <f ca="1">IF(RESULTADOS!$C$17="Normal",E17,0)</f>
        <v>0</v>
      </c>
      <c r="I17" s="4">
        <f ca="1">(E17+H17+G17)*PREMISSAS!$C$60</f>
        <v>0</v>
      </c>
      <c r="J17" s="4">
        <f ca="1">D17*IF(RESULTADOS!$C$17="Normal",PREMISSAS!$C$62,0)</f>
        <v>0</v>
      </c>
      <c r="K17" s="116">
        <f ca="1">IFERROR(K16*(1+PREMISSAS!$C$18)+(E17+H17-IF(RESULTADOS!$C$17="Normal",I17,0)-J17)*IF(MONTH(B17)=12,2,1),0)</f>
        <v>0</v>
      </c>
      <c r="L17" s="116">
        <f ca="1">IFERROR((L16+G17-IF(RESULTADOS!$C$17="Normal",0,I17))*(1+PREMISSAS!$C$18)+F17,0)</f>
        <v>0</v>
      </c>
      <c r="N17" s="73">
        <f t="shared" ca="1" si="0"/>
        <v>0</v>
      </c>
      <c r="P17" s="164">
        <f t="shared" ca="1" si="1"/>
        <v>43921</v>
      </c>
      <c r="Q17" s="140">
        <f ca="1">IF(C17="","",Q16+(E17+H17-IF(RESULTADOS!$C$17="Normal",I17,0)-J17)/2+(F17+G17-IF(RESULTADOS!$C$17="Normal",0,I17)))</f>
        <v>0</v>
      </c>
      <c r="R17" s="140">
        <f ca="1">IF(C17="","",R16+(E17+H17-IF(RESULTADOS!$C$17="Normal",I17,0)-J17)/2)</f>
        <v>0</v>
      </c>
      <c r="S17" s="140">
        <f t="shared" ca="1" si="4"/>
        <v>0</v>
      </c>
      <c r="U17" s="164" t="str">
        <f t="shared" ca="1" si="5"/>
        <v/>
      </c>
      <c r="V17" s="164" t="str">
        <f t="shared" ca="1" si="2"/>
        <v/>
      </c>
      <c r="W17" s="140">
        <f ca="1">IF(OR((W16-13/12*Z16)*(1+PREMISSAS!$C$16)&lt;0,W16=""),0,(W16-13/12*Z16)*(1+PREMISSAS!$C$16))</f>
        <v>0</v>
      </c>
      <c r="X17" s="140">
        <f ca="1">IF(OR((X16-13/12*AA16)*(1+PREMISSAS!$C$16)&lt;0,X16=""),0,(X16-13/12*AA16)*(1+PREMISSAS!$C$16))</f>
        <v>0</v>
      </c>
      <c r="Y17" s="140">
        <f t="shared" ca="1" si="3"/>
        <v>0</v>
      </c>
      <c r="Z17" s="167">
        <f t="shared" ca="1" si="6"/>
        <v>0</v>
      </c>
      <c r="AA17" s="167">
        <f t="shared" ca="1" si="7"/>
        <v>0</v>
      </c>
    </row>
    <row r="18" spans="2:27" x14ac:dyDescent="0.25">
      <c r="B18" s="21">
        <f ca="1">IF(B17="","",IF(EOMONTH(B17,1)&gt;EOMONTH(ELEGIBILIDADE!$J$17,0),"",EOMONTH(B17,1)))</f>
        <v>43951</v>
      </c>
      <c r="C18" s="22">
        <f ca="1">IF(B18="","",IF(MONTH(B18)=1,C17*(1+PREMISSAS!$C$57),C17))</f>
        <v>0</v>
      </c>
      <c r="D18" s="22">
        <f ca="1">IF(RESULTADOS!$C$17="Normal",IFERROR(MAX(C18-PREMISSAS!$C$13,0),0),IF(Painel!$I$23=0,0,MAX(10*PREMISSAS!$C$38,RESULTADOS!$F$17)))</f>
        <v>0</v>
      </c>
      <c r="E18" s="4">
        <f ca="1">D18*IF(RESULTADOS!$C$17="Normal",RESULTADOS!$C$16,0)</f>
        <v>0</v>
      </c>
      <c r="F18" s="4">
        <f ca="1">IFERROR(IF(RESULTADOS!$C$17="Normal",D18,C18)*RESULTADOS!$C$18,0)</f>
        <v>0</v>
      </c>
      <c r="G18" s="4">
        <f ca="1">IFERROR(IF(RESULTADOS!$C$17="Normal",0,D18)*IF(RESULTADOS!$C$17="Normal",RESULTADOS!$C$18,RESULTADOS!$C$16),0)</f>
        <v>0</v>
      </c>
      <c r="H18" s="4">
        <f ca="1">IF(RESULTADOS!$C$17="Normal",E18,0)</f>
        <v>0</v>
      </c>
      <c r="I18" s="4">
        <f ca="1">(E18+H18+G18)*PREMISSAS!$C$60</f>
        <v>0</v>
      </c>
      <c r="J18" s="4">
        <f ca="1">D18*IF(RESULTADOS!$C$17="Normal",PREMISSAS!$C$62,0)</f>
        <v>0</v>
      </c>
      <c r="K18" s="116">
        <f ca="1">IFERROR(K17*(1+PREMISSAS!$C$18)+(E18+H18-IF(RESULTADOS!$C$17="Normal",I18,0)-J18)*IF(MONTH(B18)=12,2,1),0)</f>
        <v>0</v>
      </c>
      <c r="L18" s="116">
        <f ca="1">IFERROR((L17+G18-IF(RESULTADOS!$C$17="Normal",0,I18))*(1+PREMISSAS!$C$18)+F18,0)</f>
        <v>0</v>
      </c>
      <c r="N18" s="73">
        <f t="shared" ca="1" si="0"/>
        <v>0</v>
      </c>
      <c r="P18" s="164">
        <f t="shared" ca="1" si="1"/>
        <v>43951</v>
      </c>
      <c r="Q18" s="140">
        <f ca="1">IF(C18="","",Q17+(E18+H18-IF(RESULTADOS!$C$17="Normal",I18,0)-J18)/2+(F18+G18-IF(RESULTADOS!$C$17="Normal",0,I18)))</f>
        <v>0</v>
      </c>
      <c r="R18" s="140">
        <f ca="1">IF(C18="","",R17+(E18+H18-IF(RESULTADOS!$C$17="Normal",I18,0)-J18)/2)</f>
        <v>0</v>
      </c>
      <c r="S18" s="140">
        <f t="shared" ca="1" si="4"/>
        <v>0</v>
      </c>
      <c r="U18" s="164" t="str">
        <f t="shared" ca="1" si="5"/>
        <v/>
      </c>
      <c r="V18" s="164" t="str">
        <f t="shared" ca="1" si="2"/>
        <v/>
      </c>
      <c r="W18" s="140">
        <f ca="1">IF(OR((W17-13/12*Z17)*(1+PREMISSAS!$C$16)&lt;0,W17=""),0,(W17-13/12*Z17)*(1+PREMISSAS!$C$16))</f>
        <v>0</v>
      </c>
      <c r="X18" s="140">
        <f ca="1">IF(OR((X17-13/12*AA17)*(1+PREMISSAS!$C$16)&lt;0,X17=""),0,(X17-13/12*AA17)*(1+PREMISSAS!$C$16))</f>
        <v>0</v>
      </c>
      <c r="Y18" s="140">
        <f t="shared" ca="1" si="3"/>
        <v>0</v>
      </c>
      <c r="Z18" s="167">
        <f t="shared" ca="1" si="6"/>
        <v>0</v>
      </c>
      <c r="AA18" s="167">
        <f t="shared" ca="1" si="7"/>
        <v>0</v>
      </c>
    </row>
    <row r="19" spans="2:27" x14ac:dyDescent="0.25">
      <c r="B19" s="21">
        <f ca="1">IF(B18="","",IF(EOMONTH(B18,1)&gt;EOMONTH(ELEGIBILIDADE!$J$17,0),"",EOMONTH(B18,1)))</f>
        <v>43982</v>
      </c>
      <c r="C19" s="22">
        <f ca="1">IF(B19="","",IF(MONTH(B19)=1,C18*(1+PREMISSAS!$C$57),C18))</f>
        <v>0</v>
      </c>
      <c r="D19" s="22">
        <f ca="1">IF(RESULTADOS!$C$17="Normal",IFERROR(MAX(C19-PREMISSAS!$C$13,0),0),IF(Painel!$I$23=0,0,MAX(10*PREMISSAS!$C$38,RESULTADOS!$F$17)))</f>
        <v>0</v>
      </c>
      <c r="E19" s="4">
        <f ca="1">D19*IF(RESULTADOS!$C$17="Normal",RESULTADOS!$C$16,0)</f>
        <v>0</v>
      </c>
      <c r="F19" s="4">
        <f ca="1">IFERROR(IF(RESULTADOS!$C$17="Normal",D19,C19)*RESULTADOS!$C$18,0)</f>
        <v>0</v>
      </c>
      <c r="G19" s="4">
        <f ca="1">IFERROR(IF(RESULTADOS!$C$17="Normal",0,D19)*IF(RESULTADOS!$C$17="Normal",RESULTADOS!$C$18,RESULTADOS!$C$16),0)</f>
        <v>0</v>
      </c>
      <c r="H19" s="4">
        <f ca="1">IF(RESULTADOS!$C$17="Normal",E19,0)</f>
        <v>0</v>
      </c>
      <c r="I19" s="4">
        <f ca="1">(E19+H19+G19)*PREMISSAS!$C$60</f>
        <v>0</v>
      </c>
      <c r="J19" s="4">
        <f ca="1">D19*IF(RESULTADOS!$C$17="Normal",PREMISSAS!$C$62,0)</f>
        <v>0</v>
      </c>
      <c r="K19" s="116">
        <f ca="1">IFERROR(K18*(1+PREMISSAS!$C$18)+(E19+H19-IF(RESULTADOS!$C$17="Normal",I19,0)-J19)*IF(MONTH(B19)=12,2,1),0)</f>
        <v>0</v>
      </c>
      <c r="L19" s="116">
        <f ca="1">IFERROR((L18+G19-IF(RESULTADOS!$C$17="Normal",0,I19))*(1+PREMISSAS!$C$18)+F19,0)</f>
        <v>0</v>
      </c>
      <c r="N19" s="73">
        <f t="shared" ca="1" si="0"/>
        <v>0</v>
      </c>
      <c r="P19" s="164">
        <f t="shared" ca="1" si="1"/>
        <v>43982</v>
      </c>
      <c r="Q19" s="140">
        <f ca="1">IF(C19="","",Q18+(E19+H19-IF(RESULTADOS!$C$17="Normal",I19,0)-J19)/2+(F19+G19-IF(RESULTADOS!$C$17="Normal",0,I19)))</f>
        <v>0</v>
      </c>
      <c r="R19" s="140">
        <f ca="1">IF(C19="","",R18+(E19+H19-IF(RESULTADOS!$C$17="Normal",I19,0)-J19)/2)</f>
        <v>0</v>
      </c>
      <c r="S19" s="140">
        <f t="shared" ca="1" si="4"/>
        <v>0</v>
      </c>
      <c r="U19" s="164" t="str">
        <f t="shared" ca="1" si="5"/>
        <v/>
      </c>
      <c r="V19" s="164" t="str">
        <f t="shared" ca="1" si="2"/>
        <v/>
      </c>
      <c r="W19" s="140">
        <f ca="1">IF(OR((W18-13/12*Z18)*(1+PREMISSAS!$C$16)&lt;0,W18=""),0,(W18-13/12*Z18)*(1+PREMISSAS!$C$16))</f>
        <v>0</v>
      </c>
      <c r="X19" s="140">
        <f ca="1">IF(OR((X18-13/12*AA18)*(1+PREMISSAS!$C$16)&lt;0,X18=""),0,(X18-13/12*AA18)*(1+PREMISSAS!$C$16))</f>
        <v>0</v>
      </c>
      <c r="Y19" s="140">
        <f t="shared" ca="1" si="3"/>
        <v>0</v>
      </c>
      <c r="Z19" s="167">
        <f t="shared" ca="1" si="6"/>
        <v>0</v>
      </c>
      <c r="AA19" s="167">
        <f t="shared" ca="1" si="7"/>
        <v>0</v>
      </c>
    </row>
    <row r="20" spans="2:27" x14ac:dyDescent="0.25">
      <c r="B20" s="21">
        <f ca="1">IF(B19="","",IF(EOMONTH(B19,1)&gt;EOMONTH(ELEGIBILIDADE!$J$17,0),"",EOMONTH(B19,1)))</f>
        <v>44012</v>
      </c>
      <c r="C20" s="22">
        <f ca="1">IF(B20="","",IF(MONTH(B20)=1,C19*(1+PREMISSAS!$C$57),C19))</f>
        <v>0</v>
      </c>
      <c r="D20" s="22">
        <f ca="1">IF(RESULTADOS!$C$17="Normal",IFERROR(MAX(C20-PREMISSAS!$C$13,0),0),IF(Painel!$I$23=0,0,MAX(10*PREMISSAS!$C$38,RESULTADOS!$F$17)))</f>
        <v>0</v>
      </c>
      <c r="E20" s="4">
        <f ca="1">D20*IF(RESULTADOS!$C$17="Normal",RESULTADOS!$C$16,0)</f>
        <v>0</v>
      </c>
      <c r="F20" s="4">
        <f ca="1">IFERROR(IF(RESULTADOS!$C$17="Normal",D20,C20)*RESULTADOS!$C$18,0)</f>
        <v>0</v>
      </c>
      <c r="G20" s="4">
        <f ca="1">IFERROR(IF(RESULTADOS!$C$17="Normal",0,D20)*IF(RESULTADOS!$C$17="Normal",RESULTADOS!$C$18,RESULTADOS!$C$16),0)</f>
        <v>0</v>
      </c>
      <c r="H20" s="4">
        <f ca="1">IF(RESULTADOS!$C$17="Normal",E20,0)</f>
        <v>0</v>
      </c>
      <c r="I20" s="4">
        <f ca="1">(E20+H20+G20)*PREMISSAS!$C$60</f>
        <v>0</v>
      </c>
      <c r="J20" s="4">
        <f ca="1">D20*IF(RESULTADOS!$C$17="Normal",PREMISSAS!$C$62,0)</f>
        <v>0</v>
      </c>
      <c r="K20" s="116">
        <f ca="1">IFERROR(K19*(1+PREMISSAS!$C$18)+(E20+H20-IF(RESULTADOS!$C$17="Normal",I20,0)-J20)*IF(MONTH(B20)=12,2,1),0)</f>
        <v>0</v>
      </c>
      <c r="L20" s="116">
        <f ca="1">IFERROR((L19+G20-IF(RESULTADOS!$C$17="Normal",0,I20))*(1+PREMISSAS!$C$18)+F20,0)</f>
        <v>0</v>
      </c>
      <c r="N20" s="73">
        <f t="shared" ca="1" si="0"/>
        <v>0</v>
      </c>
      <c r="P20" s="164">
        <f t="shared" ca="1" si="1"/>
        <v>44012</v>
      </c>
      <c r="Q20" s="140">
        <f ca="1">IF(C20="","",Q19+(E20+H20-IF(RESULTADOS!$C$17="Normal",I20,0)-J20)/2+(F20+G20-IF(RESULTADOS!$C$17="Normal",0,I20)))</f>
        <v>0</v>
      </c>
      <c r="R20" s="140">
        <f ca="1">IF(C20="","",R19+(E20+H20-IF(RESULTADOS!$C$17="Normal",I20,0)-J20)/2)</f>
        <v>0</v>
      </c>
      <c r="S20" s="140">
        <f t="shared" ca="1" si="4"/>
        <v>0</v>
      </c>
      <c r="U20" s="164" t="str">
        <f t="shared" ca="1" si="5"/>
        <v/>
      </c>
      <c r="V20" s="164" t="str">
        <f t="shared" ca="1" si="2"/>
        <v/>
      </c>
      <c r="W20" s="140">
        <f ca="1">IF(OR((W19-13/12*Z19)*(1+PREMISSAS!$C$16)&lt;0,W19=""),0,(W19-13/12*Z19)*(1+PREMISSAS!$C$16))</f>
        <v>0</v>
      </c>
      <c r="X20" s="140">
        <f ca="1">IF(OR((X19-13/12*AA19)*(1+PREMISSAS!$C$16)&lt;0,X19=""),0,(X19-13/12*AA19)*(1+PREMISSAS!$C$16))</f>
        <v>0</v>
      </c>
      <c r="Y20" s="140">
        <f t="shared" ca="1" si="3"/>
        <v>0</v>
      </c>
      <c r="Z20" s="167">
        <f t="shared" ca="1" si="6"/>
        <v>0</v>
      </c>
      <c r="AA20" s="167">
        <f t="shared" ca="1" si="7"/>
        <v>0</v>
      </c>
    </row>
    <row r="21" spans="2:27" x14ac:dyDescent="0.25">
      <c r="B21" s="21">
        <f ca="1">IF(B20="","",IF(EOMONTH(B20,1)&gt;EOMONTH(ELEGIBILIDADE!$J$17,0),"",EOMONTH(B20,1)))</f>
        <v>44043</v>
      </c>
      <c r="C21" s="22">
        <f ca="1">IF(B21="","",IF(MONTH(B21)=1,C20*(1+PREMISSAS!$C$57),C20))</f>
        <v>0</v>
      </c>
      <c r="D21" s="22">
        <f ca="1">IF(RESULTADOS!$C$17="Normal",IFERROR(MAX(C21-PREMISSAS!$C$13,0),0),IF(Painel!$I$23=0,0,MAX(10*PREMISSAS!$C$38,RESULTADOS!$F$17)))</f>
        <v>0</v>
      </c>
      <c r="E21" s="4">
        <f ca="1">D21*IF(RESULTADOS!$C$17="Normal",RESULTADOS!$C$16,0)</f>
        <v>0</v>
      </c>
      <c r="F21" s="4">
        <f ca="1">IFERROR(IF(RESULTADOS!$C$17="Normal",D21,C21)*RESULTADOS!$C$18,0)</f>
        <v>0</v>
      </c>
      <c r="G21" s="4">
        <f ca="1">IFERROR(IF(RESULTADOS!$C$17="Normal",0,D21)*IF(RESULTADOS!$C$17="Normal",RESULTADOS!$C$18,RESULTADOS!$C$16),0)</f>
        <v>0</v>
      </c>
      <c r="H21" s="4">
        <f ca="1">IF(RESULTADOS!$C$17="Normal",E21,0)</f>
        <v>0</v>
      </c>
      <c r="I21" s="4">
        <f ca="1">(E21+H21+G21)*PREMISSAS!$C$60</f>
        <v>0</v>
      </c>
      <c r="J21" s="4">
        <f ca="1">D21*IF(RESULTADOS!$C$17="Normal",PREMISSAS!$C$62,0)</f>
        <v>0</v>
      </c>
      <c r="K21" s="116">
        <f ca="1">IFERROR(K20*(1+PREMISSAS!$C$18)+(E21+H21-IF(RESULTADOS!$C$17="Normal",I21,0)-J21)*IF(MONTH(B21)=12,2,1),0)</f>
        <v>0</v>
      </c>
      <c r="L21" s="116">
        <f ca="1">IFERROR((L20+G21-IF(RESULTADOS!$C$17="Normal",0,I21))*(1+PREMISSAS!$C$18)+F21,0)</f>
        <v>0</v>
      </c>
      <c r="N21" s="73">
        <f t="shared" ca="1" si="0"/>
        <v>0</v>
      </c>
      <c r="P21" s="164">
        <f t="shared" ca="1" si="1"/>
        <v>44043</v>
      </c>
      <c r="Q21" s="140">
        <f ca="1">IF(C21="","",Q20+(E21+H21-IF(RESULTADOS!$C$17="Normal",I21,0)-J21)/2+(F21+G21-IF(RESULTADOS!$C$17="Normal",0,I21)))</f>
        <v>0</v>
      </c>
      <c r="R21" s="140">
        <f ca="1">IF(C21="","",R20+(E21+H21-IF(RESULTADOS!$C$17="Normal",I21,0)-J21)/2)</f>
        <v>0</v>
      </c>
      <c r="S21" s="140">
        <f t="shared" ca="1" si="4"/>
        <v>0</v>
      </c>
      <c r="U21" s="164" t="str">
        <f t="shared" ca="1" si="5"/>
        <v/>
      </c>
      <c r="V21" s="164" t="str">
        <f t="shared" ca="1" si="2"/>
        <v/>
      </c>
      <c r="W21" s="140">
        <f ca="1">IF(OR((W20-13/12*Z20)*(1+PREMISSAS!$C$16)&lt;0,W20=""),0,(W20-13/12*Z20)*(1+PREMISSAS!$C$16))</f>
        <v>0</v>
      </c>
      <c r="X21" s="140">
        <f ca="1">IF(OR((X20-13/12*AA20)*(1+PREMISSAS!$C$16)&lt;0,X20=""),0,(X20-13/12*AA20)*(1+PREMISSAS!$C$16))</f>
        <v>0</v>
      </c>
      <c r="Y21" s="140">
        <f t="shared" ca="1" si="3"/>
        <v>0</v>
      </c>
      <c r="Z21" s="167">
        <f t="shared" ca="1" si="6"/>
        <v>0</v>
      </c>
      <c r="AA21" s="167">
        <f t="shared" ca="1" si="7"/>
        <v>0</v>
      </c>
    </row>
    <row r="22" spans="2:27" x14ac:dyDescent="0.25">
      <c r="B22" s="21">
        <f ca="1">IF(B21="","",IF(EOMONTH(B21,1)&gt;EOMONTH(ELEGIBILIDADE!$J$17,0),"",EOMONTH(B21,1)))</f>
        <v>44074</v>
      </c>
      <c r="C22" s="22">
        <f ca="1">IF(B22="","",IF(MONTH(B22)=1,C21*(1+PREMISSAS!$C$57),C21))</f>
        <v>0</v>
      </c>
      <c r="D22" s="22">
        <f ca="1">IF(RESULTADOS!$C$17="Normal",IFERROR(MAX(C22-PREMISSAS!$C$13,0),0),IF(Painel!$I$23=0,0,MAX(10*PREMISSAS!$C$38,RESULTADOS!$F$17)))</f>
        <v>0</v>
      </c>
      <c r="E22" s="4">
        <f ca="1">D22*IF(RESULTADOS!$C$17="Normal",RESULTADOS!$C$16,0)</f>
        <v>0</v>
      </c>
      <c r="F22" s="4">
        <f ca="1">IFERROR(IF(RESULTADOS!$C$17="Normal",D22,C22)*RESULTADOS!$C$18,0)</f>
        <v>0</v>
      </c>
      <c r="G22" s="4">
        <f ca="1">IFERROR(IF(RESULTADOS!$C$17="Normal",0,D22)*IF(RESULTADOS!$C$17="Normal",RESULTADOS!$C$18,RESULTADOS!$C$16),0)</f>
        <v>0</v>
      </c>
      <c r="H22" s="4">
        <f ca="1">IF(RESULTADOS!$C$17="Normal",E22,0)</f>
        <v>0</v>
      </c>
      <c r="I22" s="4">
        <f ca="1">(E22+H22+G22)*PREMISSAS!$C$60</f>
        <v>0</v>
      </c>
      <c r="J22" s="4">
        <f ca="1">D22*IF(RESULTADOS!$C$17="Normal",PREMISSAS!$C$62,0)</f>
        <v>0</v>
      </c>
      <c r="K22" s="116">
        <f ca="1">IFERROR(K21*(1+PREMISSAS!$C$18)+(E22+H22-IF(RESULTADOS!$C$17="Normal",I22,0)-J22)*IF(MONTH(B22)=12,2,1),0)</f>
        <v>0</v>
      </c>
      <c r="L22" s="116">
        <f ca="1">IFERROR((L21+G22-IF(RESULTADOS!$C$17="Normal",0,I22))*(1+PREMISSAS!$C$18)+F22,0)</f>
        <v>0</v>
      </c>
      <c r="N22" s="73">
        <f t="shared" ca="1" si="0"/>
        <v>0</v>
      </c>
      <c r="P22" s="164">
        <f t="shared" ca="1" si="1"/>
        <v>44074</v>
      </c>
      <c r="Q22" s="140">
        <f ca="1">IF(C22="","",Q21+(E22+H22-IF(RESULTADOS!$C$17="Normal",I22,0)-J22)/2+(F22+G22-IF(RESULTADOS!$C$17="Normal",0,I22)))</f>
        <v>0</v>
      </c>
      <c r="R22" s="140">
        <f ca="1">IF(C22="","",R21+(E22+H22-IF(RESULTADOS!$C$17="Normal",I22,0)-J22)/2)</f>
        <v>0</v>
      </c>
      <c r="S22" s="140">
        <f t="shared" ca="1" si="4"/>
        <v>0</v>
      </c>
      <c r="U22" s="164" t="str">
        <f t="shared" ca="1" si="5"/>
        <v/>
      </c>
      <c r="V22" s="164" t="str">
        <f t="shared" ca="1" si="2"/>
        <v/>
      </c>
      <c r="W22" s="140">
        <f ca="1">IF(OR((W21-13/12*Z21)*(1+PREMISSAS!$C$16)&lt;0,W21=""),0,(W21-13/12*Z21)*(1+PREMISSAS!$C$16))</f>
        <v>0</v>
      </c>
      <c r="X22" s="140">
        <f ca="1">IF(OR((X21-13/12*AA21)*(1+PREMISSAS!$C$16)&lt;0,X21=""),0,(X21-13/12*AA21)*(1+PREMISSAS!$C$16))</f>
        <v>0</v>
      </c>
      <c r="Y22" s="140">
        <f t="shared" ca="1" si="3"/>
        <v>0</v>
      </c>
      <c r="Z22" s="167">
        <f t="shared" ca="1" si="6"/>
        <v>0</v>
      </c>
      <c r="AA22" s="167">
        <f t="shared" ca="1" si="7"/>
        <v>0</v>
      </c>
    </row>
    <row r="23" spans="2:27" x14ac:dyDescent="0.25">
      <c r="B23" s="21">
        <f ca="1">IF(B22="","",IF(EOMONTH(B22,1)&gt;EOMONTH(ELEGIBILIDADE!$J$17,0),"",EOMONTH(B22,1)))</f>
        <v>44104</v>
      </c>
      <c r="C23" s="22">
        <f ca="1">IF(B23="","",IF(MONTH(B23)=1,C22*(1+PREMISSAS!$C$57),C22))</f>
        <v>0</v>
      </c>
      <c r="D23" s="22">
        <f ca="1">IF(RESULTADOS!$C$17="Normal",IFERROR(MAX(C23-PREMISSAS!$C$13,0),0),IF(Painel!$I$23=0,0,MAX(10*PREMISSAS!$C$38,RESULTADOS!$F$17)))</f>
        <v>0</v>
      </c>
      <c r="E23" s="4">
        <f ca="1">D23*IF(RESULTADOS!$C$17="Normal",RESULTADOS!$C$16,0)</f>
        <v>0</v>
      </c>
      <c r="F23" s="4">
        <f ca="1">IFERROR(IF(RESULTADOS!$C$17="Normal",D23,C23)*RESULTADOS!$C$18,0)</f>
        <v>0</v>
      </c>
      <c r="G23" s="4">
        <f ca="1">IFERROR(IF(RESULTADOS!$C$17="Normal",0,D23)*IF(RESULTADOS!$C$17="Normal",RESULTADOS!$C$18,RESULTADOS!$C$16),0)</f>
        <v>0</v>
      </c>
      <c r="H23" s="4">
        <f ca="1">IF(RESULTADOS!$C$17="Normal",E23,0)</f>
        <v>0</v>
      </c>
      <c r="I23" s="4">
        <f ca="1">(E23+H23+G23)*PREMISSAS!$C$60</f>
        <v>0</v>
      </c>
      <c r="J23" s="4">
        <f ca="1">D23*IF(RESULTADOS!$C$17="Normal",PREMISSAS!$C$62,0)</f>
        <v>0</v>
      </c>
      <c r="K23" s="116">
        <f ca="1">IFERROR(K22*(1+PREMISSAS!$C$18)+(E23+H23-IF(RESULTADOS!$C$17="Normal",I23,0)-J23)*IF(MONTH(B23)=12,2,1),0)</f>
        <v>0</v>
      </c>
      <c r="L23" s="116">
        <f ca="1">IFERROR((L22+G23-IF(RESULTADOS!$C$17="Normal",0,I23))*(1+PREMISSAS!$C$18)+F23,0)</f>
        <v>0</v>
      </c>
      <c r="N23" s="73">
        <f t="shared" ca="1" si="0"/>
        <v>0</v>
      </c>
      <c r="P23" s="164">
        <f t="shared" ca="1" si="1"/>
        <v>44104</v>
      </c>
      <c r="Q23" s="140">
        <f ca="1">IF(C23="","",Q22+(E23+H23-IF(RESULTADOS!$C$17="Normal",I23,0)-J23)/2+(F23+G23-IF(RESULTADOS!$C$17="Normal",0,I23)))</f>
        <v>0</v>
      </c>
      <c r="R23" s="140">
        <f ca="1">IF(C23="","",R22+(E23+H23-IF(RESULTADOS!$C$17="Normal",I23,0)-J23)/2)</f>
        <v>0</v>
      </c>
      <c r="S23" s="140">
        <f t="shared" ca="1" si="4"/>
        <v>0</v>
      </c>
      <c r="U23" s="164" t="str">
        <f t="shared" ca="1" si="5"/>
        <v/>
      </c>
      <c r="V23" s="164" t="str">
        <f t="shared" ca="1" si="2"/>
        <v/>
      </c>
      <c r="W23" s="140">
        <f ca="1">IF(OR((W22-13/12*Z22)*(1+PREMISSAS!$C$16)&lt;0,W22=""),0,(W22-13/12*Z22)*(1+PREMISSAS!$C$16))</f>
        <v>0</v>
      </c>
      <c r="X23" s="140">
        <f ca="1">IF(OR((X22-13/12*AA22)*(1+PREMISSAS!$C$16)&lt;0,X22=""),0,(X22-13/12*AA22)*(1+PREMISSAS!$C$16))</f>
        <v>0</v>
      </c>
      <c r="Y23" s="140">
        <f t="shared" ca="1" si="3"/>
        <v>0</v>
      </c>
      <c r="Z23" s="167">
        <f t="shared" ca="1" si="6"/>
        <v>0</v>
      </c>
      <c r="AA23" s="167">
        <f t="shared" ca="1" si="7"/>
        <v>0</v>
      </c>
    </row>
    <row r="24" spans="2:27" x14ac:dyDescent="0.25">
      <c r="B24" s="21">
        <f ca="1">IF(B23="","",IF(EOMONTH(B23,1)&gt;EOMONTH(ELEGIBILIDADE!$J$17,0),"",EOMONTH(B23,1)))</f>
        <v>44135</v>
      </c>
      <c r="C24" s="22">
        <f ca="1">IF(B24="","",IF(MONTH(B24)=1,C23*(1+PREMISSAS!$C$57),C23))</f>
        <v>0</v>
      </c>
      <c r="D24" s="22">
        <f ca="1">IF(RESULTADOS!$C$17="Normal",IFERROR(MAX(C24-PREMISSAS!$C$13,0),0),IF(Painel!$I$23=0,0,MAX(10*PREMISSAS!$C$38,RESULTADOS!$F$17)))</f>
        <v>0</v>
      </c>
      <c r="E24" s="4">
        <f ca="1">D24*IF(RESULTADOS!$C$17="Normal",RESULTADOS!$C$16,0)</f>
        <v>0</v>
      </c>
      <c r="F24" s="4">
        <f ca="1">IFERROR(IF(RESULTADOS!$C$17="Normal",D24,C24)*RESULTADOS!$C$18,0)</f>
        <v>0</v>
      </c>
      <c r="G24" s="4">
        <f ca="1">IFERROR(IF(RESULTADOS!$C$17="Normal",0,D24)*IF(RESULTADOS!$C$17="Normal",RESULTADOS!$C$18,RESULTADOS!$C$16),0)</f>
        <v>0</v>
      </c>
      <c r="H24" s="4">
        <f ca="1">IF(RESULTADOS!$C$17="Normal",E24,0)</f>
        <v>0</v>
      </c>
      <c r="I24" s="4">
        <f ca="1">(E24+H24+G24)*PREMISSAS!$C$60</f>
        <v>0</v>
      </c>
      <c r="J24" s="4">
        <f ca="1">D24*IF(RESULTADOS!$C$17="Normal",PREMISSAS!$C$62,0)</f>
        <v>0</v>
      </c>
      <c r="K24" s="116">
        <f ca="1">IFERROR(K23*(1+PREMISSAS!$C$18)+(E24+H24-IF(RESULTADOS!$C$17="Normal",I24,0)-J24)*IF(MONTH(B24)=12,2,1),0)</f>
        <v>0</v>
      </c>
      <c r="L24" s="116">
        <f ca="1">IFERROR((L23+G24-IF(RESULTADOS!$C$17="Normal",0,I24))*(1+PREMISSAS!$C$18)+F24,0)</f>
        <v>0</v>
      </c>
      <c r="N24" s="73">
        <f t="shared" ca="1" si="0"/>
        <v>0</v>
      </c>
      <c r="P24" s="164">
        <f t="shared" ca="1" si="1"/>
        <v>44135</v>
      </c>
      <c r="Q24" s="140">
        <f ca="1">IF(C24="","",Q23+(E24+H24-IF(RESULTADOS!$C$17="Normal",I24,0)-J24)/2+(F24+G24-IF(RESULTADOS!$C$17="Normal",0,I24)))</f>
        <v>0</v>
      </c>
      <c r="R24" s="140">
        <f ca="1">IF(C24="","",R23+(E24+H24-IF(RESULTADOS!$C$17="Normal",I24,0)-J24)/2)</f>
        <v>0</v>
      </c>
      <c r="S24" s="140">
        <f t="shared" ca="1" si="4"/>
        <v>0</v>
      </c>
      <c r="U24" s="164" t="str">
        <f t="shared" ca="1" si="5"/>
        <v/>
      </c>
      <c r="V24" s="164" t="str">
        <f t="shared" ca="1" si="2"/>
        <v/>
      </c>
      <c r="W24" s="140">
        <f ca="1">IF(OR((W23-13/12*Z23)*(1+PREMISSAS!$C$16)&lt;0,W23=""),0,(W23-13/12*Z23)*(1+PREMISSAS!$C$16))</f>
        <v>0</v>
      </c>
      <c r="X24" s="140">
        <f ca="1">IF(OR((X23-13/12*AA23)*(1+PREMISSAS!$C$16)&lt;0,X23=""),0,(X23-13/12*AA23)*(1+PREMISSAS!$C$16))</f>
        <v>0</v>
      </c>
      <c r="Y24" s="140">
        <f t="shared" ca="1" si="3"/>
        <v>0</v>
      </c>
      <c r="Z24" s="167">
        <f t="shared" ca="1" si="6"/>
        <v>0</v>
      </c>
      <c r="AA24" s="167">
        <f t="shared" ca="1" si="7"/>
        <v>0</v>
      </c>
    </row>
    <row r="25" spans="2:27" x14ac:dyDescent="0.25">
      <c r="B25" s="21">
        <f ca="1">IF(B24="","",IF(EOMONTH(B24,1)&gt;EOMONTH(ELEGIBILIDADE!$J$17,0),"",EOMONTH(B24,1)))</f>
        <v>44165</v>
      </c>
      <c r="C25" s="22">
        <f ca="1">IF(B25="","",IF(MONTH(B25)=1,C24*(1+PREMISSAS!$C$57),C24))</f>
        <v>0</v>
      </c>
      <c r="D25" s="22">
        <f ca="1">IF(RESULTADOS!$C$17="Normal",IFERROR(MAX(C25-PREMISSAS!$C$13,0),0),IF(Painel!$I$23=0,0,MAX(10*PREMISSAS!$C$38,RESULTADOS!$F$17)))</f>
        <v>0</v>
      </c>
      <c r="E25" s="4">
        <f ca="1">D25*IF(RESULTADOS!$C$17="Normal",RESULTADOS!$C$16,0)</f>
        <v>0</v>
      </c>
      <c r="F25" s="4">
        <f ca="1">IFERROR(IF(RESULTADOS!$C$17="Normal",D25,C25)*RESULTADOS!$C$18,0)</f>
        <v>0</v>
      </c>
      <c r="G25" s="4">
        <f ca="1">IFERROR(IF(RESULTADOS!$C$17="Normal",0,D25)*IF(RESULTADOS!$C$17="Normal",RESULTADOS!$C$18,RESULTADOS!$C$16),0)</f>
        <v>0</v>
      </c>
      <c r="H25" s="4">
        <f ca="1">IF(RESULTADOS!$C$17="Normal",E25,0)</f>
        <v>0</v>
      </c>
      <c r="I25" s="4">
        <f ca="1">(E25+H25+G25)*PREMISSAS!$C$60</f>
        <v>0</v>
      </c>
      <c r="J25" s="4">
        <f ca="1">D25*IF(RESULTADOS!$C$17="Normal",PREMISSAS!$C$62,0)</f>
        <v>0</v>
      </c>
      <c r="K25" s="116">
        <f ca="1">IFERROR(K24*(1+PREMISSAS!$C$18)+(E25+H25-IF(RESULTADOS!$C$17="Normal",I25,0)-J25)*IF(MONTH(B25)=12,2,1),0)</f>
        <v>0</v>
      </c>
      <c r="L25" s="116">
        <f ca="1">IFERROR((L24+G25-IF(RESULTADOS!$C$17="Normal",0,I25))*(1+PREMISSAS!$C$18)+F25,0)</f>
        <v>0</v>
      </c>
      <c r="N25" s="73">
        <f t="shared" ca="1" si="0"/>
        <v>0</v>
      </c>
      <c r="P25" s="164">
        <f t="shared" ca="1" si="1"/>
        <v>44165</v>
      </c>
      <c r="Q25" s="140">
        <f ca="1">IF(C25="","",Q24+(E25+H25-IF(RESULTADOS!$C$17="Normal",I25,0)-J25)/2+(F25+G25-IF(RESULTADOS!$C$17="Normal",0,I25)))</f>
        <v>0</v>
      </c>
      <c r="R25" s="140">
        <f ca="1">IF(C25="","",R24+(E25+H25-IF(RESULTADOS!$C$17="Normal",I25,0)-J25)/2)</f>
        <v>0</v>
      </c>
      <c r="S25" s="140">
        <f t="shared" ca="1" si="4"/>
        <v>0</v>
      </c>
      <c r="U25" s="164" t="str">
        <f t="shared" ca="1" si="5"/>
        <v/>
      </c>
      <c r="V25" s="164" t="str">
        <f t="shared" ca="1" si="2"/>
        <v/>
      </c>
      <c r="W25" s="140">
        <f ca="1">IF(OR((W24-13/12*Z24)*(1+PREMISSAS!$C$16)&lt;0,W24=""),0,(W24-13/12*Z24)*(1+PREMISSAS!$C$16))</f>
        <v>0</v>
      </c>
      <c r="X25" s="140">
        <f ca="1">IF(OR((X24-13/12*AA24)*(1+PREMISSAS!$C$16)&lt;0,X24=""),0,(X24-13/12*AA24)*(1+PREMISSAS!$C$16))</f>
        <v>0</v>
      </c>
      <c r="Y25" s="140">
        <f t="shared" ca="1" si="3"/>
        <v>0</v>
      </c>
      <c r="Z25" s="167">
        <f t="shared" ca="1" si="6"/>
        <v>0</v>
      </c>
      <c r="AA25" s="167">
        <f t="shared" ca="1" si="7"/>
        <v>0</v>
      </c>
    </row>
    <row r="26" spans="2:27" x14ac:dyDescent="0.25">
      <c r="B26" s="21">
        <f ca="1">IF(B25="","",IF(EOMONTH(B25,1)&gt;EOMONTH(ELEGIBILIDADE!$J$17,0),"",EOMONTH(B25,1)))</f>
        <v>44196</v>
      </c>
      <c r="C26" s="22">
        <f ca="1">IF(B26="","",IF(MONTH(B26)=1,C25*(1+PREMISSAS!$C$57),C25))</f>
        <v>0</v>
      </c>
      <c r="D26" s="22">
        <f ca="1">IF(RESULTADOS!$C$17="Normal",IFERROR(MAX(C26-PREMISSAS!$C$13,0),0),IF(Painel!$I$23=0,0,MAX(10*PREMISSAS!$C$38,RESULTADOS!$F$17)))</f>
        <v>0</v>
      </c>
      <c r="E26" s="4">
        <f ca="1">D26*IF(RESULTADOS!$C$17="Normal",RESULTADOS!$C$16,0)</f>
        <v>0</v>
      </c>
      <c r="F26" s="4">
        <f ca="1">IFERROR(IF(RESULTADOS!$C$17="Normal",D26,C26)*RESULTADOS!$C$18,0)</f>
        <v>0</v>
      </c>
      <c r="G26" s="4">
        <f ca="1">IFERROR(IF(RESULTADOS!$C$17="Normal",0,D26)*IF(RESULTADOS!$C$17="Normal",RESULTADOS!$C$18,RESULTADOS!$C$16),0)</f>
        <v>0</v>
      </c>
      <c r="H26" s="4">
        <f ca="1">IF(RESULTADOS!$C$17="Normal",E26,0)</f>
        <v>0</v>
      </c>
      <c r="I26" s="4">
        <f ca="1">(E26+H26+G26)*PREMISSAS!$C$60</f>
        <v>0</v>
      </c>
      <c r="J26" s="4">
        <f ca="1">D26*IF(RESULTADOS!$C$17="Normal",PREMISSAS!$C$62,0)</f>
        <v>0</v>
      </c>
      <c r="K26" s="116">
        <f ca="1">IFERROR(K25*(1+PREMISSAS!$C$18)+(E26+H26-IF(RESULTADOS!$C$17="Normal",I26,0)-J26)*IF(MONTH(B26)=12,2,1),0)</f>
        <v>0</v>
      </c>
      <c r="L26" s="116">
        <f ca="1">IFERROR((L25+G26-IF(RESULTADOS!$C$17="Normal",0,I26))*(1+PREMISSAS!$C$18)+F26,0)</f>
        <v>0</v>
      </c>
      <c r="N26" s="73">
        <f t="shared" ca="1" si="0"/>
        <v>0</v>
      </c>
      <c r="P26" s="164">
        <f t="shared" ca="1" si="1"/>
        <v>44196</v>
      </c>
      <c r="Q26" s="140">
        <f ca="1">IF(C26="","",Q25+(E26+H26-IF(RESULTADOS!$C$17="Normal",I26,0)-J26)/2+(F26+G26-IF(RESULTADOS!$C$17="Normal",0,I26)))</f>
        <v>0</v>
      </c>
      <c r="R26" s="140">
        <f ca="1">IF(C26="","",R25+(E26+H26-IF(RESULTADOS!$C$17="Normal",I26,0)-J26)/2)</f>
        <v>0</v>
      </c>
      <c r="S26" s="140">
        <f t="shared" ca="1" si="4"/>
        <v>0</v>
      </c>
      <c r="U26" s="164" t="str">
        <f t="shared" ca="1" si="5"/>
        <v/>
      </c>
      <c r="V26" s="164" t="str">
        <f t="shared" ca="1" si="2"/>
        <v/>
      </c>
      <c r="W26" s="140">
        <f ca="1">IF(OR((W25-13/12*Z25)*(1+PREMISSAS!$C$16)&lt;0,W25=""),0,(W25-13/12*Z25)*(1+PREMISSAS!$C$16))</f>
        <v>0</v>
      </c>
      <c r="X26" s="140">
        <f ca="1">IF(OR((X25-13/12*AA25)*(1+PREMISSAS!$C$16)&lt;0,X25=""),0,(X25-13/12*AA25)*(1+PREMISSAS!$C$16))</f>
        <v>0</v>
      </c>
      <c r="Y26" s="140">
        <f t="shared" ca="1" si="3"/>
        <v>0</v>
      </c>
      <c r="Z26" s="167">
        <f t="shared" ca="1" si="6"/>
        <v>0</v>
      </c>
      <c r="AA26" s="167">
        <f t="shared" ca="1" si="7"/>
        <v>0</v>
      </c>
    </row>
    <row r="27" spans="2:27" x14ac:dyDescent="0.25">
      <c r="B27" s="21">
        <f ca="1">IF(B26="","",IF(EOMONTH(B26,1)&gt;EOMONTH(ELEGIBILIDADE!$J$17,0),"",EOMONTH(B26,1)))</f>
        <v>44227</v>
      </c>
      <c r="C27" s="22">
        <f ca="1">IF(B27="","",IF(MONTH(B27)=1,C26*(1+PREMISSAS!$C$57),C26))</f>
        <v>0</v>
      </c>
      <c r="D27" s="22">
        <f ca="1">IF(RESULTADOS!$C$17="Normal",IFERROR(MAX(C27-PREMISSAS!$C$13,0),0),IF(Painel!$I$23=0,0,MAX(10*PREMISSAS!$C$38,RESULTADOS!$F$17)))</f>
        <v>0</v>
      </c>
      <c r="E27" s="4">
        <f ca="1">D27*IF(RESULTADOS!$C$17="Normal",RESULTADOS!$C$16,0)</f>
        <v>0</v>
      </c>
      <c r="F27" s="4">
        <f ca="1">IFERROR(IF(RESULTADOS!$C$17="Normal",D27,C27)*RESULTADOS!$C$18,0)</f>
        <v>0</v>
      </c>
      <c r="G27" s="4">
        <f ca="1">IFERROR(IF(RESULTADOS!$C$17="Normal",0,D27)*IF(RESULTADOS!$C$17="Normal",RESULTADOS!$C$18,RESULTADOS!$C$16),0)</f>
        <v>0</v>
      </c>
      <c r="H27" s="4">
        <f ca="1">IF(RESULTADOS!$C$17="Normal",E27,0)</f>
        <v>0</v>
      </c>
      <c r="I27" s="4">
        <f ca="1">(E27+H27+G27)*PREMISSAS!$C$60</f>
        <v>0</v>
      </c>
      <c r="J27" s="4">
        <f ca="1">D27*IF(RESULTADOS!$C$17="Normal",PREMISSAS!$C$62,0)</f>
        <v>0</v>
      </c>
      <c r="K27" s="116">
        <f ca="1">IFERROR(K26*(1+PREMISSAS!$C$18)+(E27+H27-IF(RESULTADOS!$C$17="Normal",I27,0)-J27)*IF(MONTH(B27)=12,2,1),0)</f>
        <v>0</v>
      </c>
      <c r="L27" s="116">
        <f ca="1">IFERROR((L26+G27-IF(RESULTADOS!$C$17="Normal",0,I27))*(1+PREMISSAS!$C$18)+F27,0)</f>
        <v>0</v>
      </c>
      <c r="N27" s="73">
        <f t="shared" ca="1" si="0"/>
        <v>0</v>
      </c>
      <c r="P27" s="164">
        <f t="shared" ca="1" si="1"/>
        <v>44227</v>
      </c>
      <c r="Q27" s="140">
        <f ca="1">IF(C27="","",Q26+(E27+H27-IF(RESULTADOS!$C$17="Normal",I27,0)-J27)/2+(F27+G27-IF(RESULTADOS!$C$17="Normal",0,I27)))</f>
        <v>0</v>
      </c>
      <c r="R27" s="140">
        <f ca="1">IF(C27="","",R26+(E27+H27-IF(RESULTADOS!$C$17="Normal",I27,0)-J27)/2)</f>
        <v>0</v>
      </c>
      <c r="S27" s="140">
        <f t="shared" ca="1" si="4"/>
        <v>0</v>
      </c>
      <c r="U27" s="164" t="str">
        <f t="shared" ca="1" si="5"/>
        <v/>
      </c>
      <c r="V27" s="164" t="str">
        <f t="shared" ca="1" si="2"/>
        <v/>
      </c>
      <c r="W27" s="140">
        <f ca="1">IF(OR((W26-13/12*Z26)*(1+PREMISSAS!$C$16)&lt;0,W26=""),0,(W26-13/12*Z26)*(1+PREMISSAS!$C$16))</f>
        <v>0</v>
      </c>
      <c r="X27" s="140">
        <f ca="1">IF(OR((X26-13/12*AA26)*(1+PREMISSAS!$C$16)&lt;0,X26=""),0,(X26-13/12*AA26)*(1+PREMISSAS!$C$16))</f>
        <v>0</v>
      </c>
      <c r="Y27" s="140">
        <f t="shared" ca="1" si="3"/>
        <v>0</v>
      </c>
      <c r="Z27" s="167">
        <f t="shared" ca="1" si="6"/>
        <v>0</v>
      </c>
      <c r="AA27" s="167">
        <f t="shared" ca="1" si="7"/>
        <v>0</v>
      </c>
    </row>
    <row r="28" spans="2:27" x14ac:dyDescent="0.25">
      <c r="B28" s="21">
        <f ca="1">IF(B27="","",IF(EOMONTH(B27,1)&gt;EOMONTH(ELEGIBILIDADE!$J$17,0),"",EOMONTH(B27,1)))</f>
        <v>44255</v>
      </c>
      <c r="C28" s="22">
        <f ca="1">IF(B28="","",IF(MONTH(B28)=1,C27*(1+PREMISSAS!$C$57),C27))</f>
        <v>0</v>
      </c>
      <c r="D28" s="22">
        <f ca="1">IF(RESULTADOS!$C$17="Normal",IFERROR(MAX(C28-PREMISSAS!$C$13,0),0),IF(Painel!$I$23=0,0,MAX(10*PREMISSAS!$C$38,RESULTADOS!$F$17)))</f>
        <v>0</v>
      </c>
      <c r="E28" s="4">
        <f ca="1">D28*IF(RESULTADOS!$C$17="Normal",RESULTADOS!$C$16,0)</f>
        <v>0</v>
      </c>
      <c r="F28" s="4">
        <f ca="1">IFERROR(IF(RESULTADOS!$C$17="Normal",D28,C28)*RESULTADOS!$C$18,0)</f>
        <v>0</v>
      </c>
      <c r="G28" s="4">
        <f ca="1">IFERROR(IF(RESULTADOS!$C$17="Normal",0,D28)*IF(RESULTADOS!$C$17="Normal",RESULTADOS!$C$18,RESULTADOS!$C$16),0)</f>
        <v>0</v>
      </c>
      <c r="H28" s="4">
        <f ca="1">IF(RESULTADOS!$C$17="Normal",E28,0)</f>
        <v>0</v>
      </c>
      <c r="I28" s="4">
        <f ca="1">(E28+H28+G28)*PREMISSAS!$C$60</f>
        <v>0</v>
      </c>
      <c r="J28" s="4">
        <f ca="1">D28*IF(RESULTADOS!$C$17="Normal",PREMISSAS!$C$62,0)</f>
        <v>0</v>
      </c>
      <c r="K28" s="116">
        <f ca="1">IFERROR(K27*(1+PREMISSAS!$C$18)+(E28+H28-IF(RESULTADOS!$C$17="Normal",I28,0)-J28)*IF(MONTH(B28)=12,2,1),0)</f>
        <v>0</v>
      </c>
      <c r="L28" s="116">
        <f ca="1">IFERROR((L27+G28-IF(RESULTADOS!$C$17="Normal",0,I28))*(1+PREMISSAS!$C$18)+F28,0)</f>
        <v>0</v>
      </c>
      <c r="N28" s="73">
        <f t="shared" ca="1" si="0"/>
        <v>0</v>
      </c>
      <c r="P28" s="164">
        <f t="shared" ca="1" si="1"/>
        <v>44255</v>
      </c>
      <c r="Q28" s="140">
        <f ca="1">IF(C28="","",Q27+(E28+H28-IF(RESULTADOS!$C$17="Normal",I28,0)-J28)/2+(F28+G28-IF(RESULTADOS!$C$17="Normal",0,I28)))</f>
        <v>0</v>
      </c>
      <c r="R28" s="140">
        <f ca="1">IF(C28="","",R27+(E28+H28-IF(RESULTADOS!$C$17="Normal",I28,0)-J28)/2)</f>
        <v>0</v>
      </c>
      <c r="S28" s="140">
        <f t="shared" ca="1" si="4"/>
        <v>0</v>
      </c>
      <c r="U28" s="164" t="str">
        <f t="shared" ca="1" si="5"/>
        <v/>
      </c>
      <c r="V28" s="164" t="str">
        <f t="shared" ca="1" si="2"/>
        <v/>
      </c>
      <c r="W28" s="140">
        <f ca="1">IF(OR((W27-13/12*Z27)*(1+PREMISSAS!$C$16)&lt;0,W27=""),0,(W27-13/12*Z27)*(1+PREMISSAS!$C$16))</f>
        <v>0</v>
      </c>
      <c r="X28" s="140">
        <f ca="1">IF(OR((X27-13/12*AA27)*(1+PREMISSAS!$C$16)&lt;0,X27=""),0,(X27-13/12*AA27)*(1+PREMISSAS!$C$16))</f>
        <v>0</v>
      </c>
      <c r="Y28" s="140">
        <f t="shared" ca="1" si="3"/>
        <v>0</v>
      </c>
      <c r="Z28" s="167">
        <f t="shared" ca="1" si="6"/>
        <v>0</v>
      </c>
      <c r="AA28" s="167">
        <f t="shared" ca="1" si="7"/>
        <v>0</v>
      </c>
    </row>
    <row r="29" spans="2:27" x14ac:dyDescent="0.25">
      <c r="B29" s="21">
        <f ca="1">IF(B28="","",IF(EOMONTH(B28,1)&gt;EOMONTH(ELEGIBILIDADE!$J$17,0),"",EOMONTH(B28,1)))</f>
        <v>44286</v>
      </c>
      <c r="C29" s="22">
        <f ca="1">IF(B29="","",IF(MONTH(B29)=1,C28*(1+PREMISSAS!$C$57),C28))</f>
        <v>0</v>
      </c>
      <c r="D29" s="22">
        <f ca="1">IF(RESULTADOS!$C$17="Normal",IFERROR(MAX(C29-PREMISSAS!$C$13,0),0),IF(Painel!$I$23=0,0,MAX(10*PREMISSAS!$C$38,RESULTADOS!$F$17)))</f>
        <v>0</v>
      </c>
      <c r="E29" s="4">
        <f ca="1">D29*IF(RESULTADOS!$C$17="Normal",RESULTADOS!$C$16,0)</f>
        <v>0</v>
      </c>
      <c r="F29" s="4">
        <f ca="1">IFERROR(IF(RESULTADOS!$C$17="Normal",D29,C29)*RESULTADOS!$C$18,0)</f>
        <v>0</v>
      </c>
      <c r="G29" s="4">
        <f ca="1">IFERROR(IF(RESULTADOS!$C$17="Normal",0,D29)*IF(RESULTADOS!$C$17="Normal",RESULTADOS!$C$18,RESULTADOS!$C$16),0)</f>
        <v>0</v>
      </c>
      <c r="H29" s="4">
        <f ca="1">IF(RESULTADOS!$C$17="Normal",E29,0)</f>
        <v>0</v>
      </c>
      <c r="I29" s="4">
        <f ca="1">(E29+H29+G29)*PREMISSAS!$C$60</f>
        <v>0</v>
      </c>
      <c r="J29" s="4">
        <f ca="1">D29*IF(RESULTADOS!$C$17="Normal",PREMISSAS!$C$62,0)</f>
        <v>0</v>
      </c>
      <c r="K29" s="116">
        <f ca="1">IFERROR(K28*(1+PREMISSAS!$C$18)+(E29+H29-IF(RESULTADOS!$C$17="Normal",I29,0)-J29)*IF(MONTH(B29)=12,2,1),0)</f>
        <v>0</v>
      </c>
      <c r="L29" s="116">
        <f ca="1">IFERROR((L28+G29-IF(RESULTADOS!$C$17="Normal",0,I29))*(1+PREMISSAS!$C$18)+F29,0)</f>
        <v>0</v>
      </c>
      <c r="N29" s="73">
        <f t="shared" ca="1" si="0"/>
        <v>0</v>
      </c>
      <c r="P29" s="164">
        <f t="shared" ca="1" si="1"/>
        <v>44286</v>
      </c>
      <c r="Q29" s="140">
        <f ca="1">IF(C29="","",Q28+(E29+H29-IF(RESULTADOS!$C$17="Normal",I29,0)-J29)/2+(F29+G29-IF(RESULTADOS!$C$17="Normal",0,I29)))</f>
        <v>0</v>
      </c>
      <c r="R29" s="140">
        <f ca="1">IF(C29="","",R28+(E29+H29-IF(RESULTADOS!$C$17="Normal",I29,0)-J29)/2)</f>
        <v>0</v>
      </c>
      <c r="S29" s="140">
        <f t="shared" ca="1" si="4"/>
        <v>0</v>
      </c>
      <c r="U29" s="164" t="str">
        <f t="shared" ca="1" si="5"/>
        <v/>
      </c>
      <c r="V29" s="164" t="str">
        <f t="shared" ca="1" si="2"/>
        <v/>
      </c>
      <c r="W29" s="140">
        <f ca="1">IF(OR((W28-13/12*Z28)*(1+PREMISSAS!$C$16)&lt;0,W28=""),0,(W28-13/12*Z28)*(1+PREMISSAS!$C$16))</f>
        <v>0</v>
      </c>
      <c r="X29" s="140">
        <f ca="1">IF(OR((X28-13/12*AA28)*(1+PREMISSAS!$C$16)&lt;0,X28=""),0,(X28-13/12*AA28)*(1+PREMISSAS!$C$16))</f>
        <v>0</v>
      </c>
      <c r="Y29" s="140">
        <f t="shared" ca="1" si="3"/>
        <v>0</v>
      </c>
      <c r="Z29" s="167">
        <f t="shared" ca="1" si="6"/>
        <v>0</v>
      </c>
      <c r="AA29" s="167">
        <f t="shared" ca="1" si="7"/>
        <v>0</v>
      </c>
    </row>
    <row r="30" spans="2:27" x14ac:dyDescent="0.25">
      <c r="B30" s="21">
        <f ca="1">IF(B29="","",IF(EOMONTH(B29,1)&gt;EOMONTH(ELEGIBILIDADE!$J$17,0),"",EOMONTH(B29,1)))</f>
        <v>44316</v>
      </c>
      <c r="C30" s="22">
        <f ca="1">IF(B30="","",IF(MONTH(B30)=1,C29*(1+PREMISSAS!$C$57),C29))</f>
        <v>0</v>
      </c>
      <c r="D30" s="22">
        <f ca="1">IF(RESULTADOS!$C$17="Normal",IFERROR(MAX(C30-PREMISSAS!$C$13,0),0),IF(Painel!$I$23=0,0,MAX(10*PREMISSAS!$C$38,RESULTADOS!$F$17)))</f>
        <v>0</v>
      </c>
      <c r="E30" s="4">
        <f ca="1">D30*IF(RESULTADOS!$C$17="Normal",RESULTADOS!$C$16,0)</f>
        <v>0</v>
      </c>
      <c r="F30" s="4">
        <f ca="1">IFERROR(IF(RESULTADOS!$C$17="Normal",D30,C30)*RESULTADOS!$C$18,0)</f>
        <v>0</v>
      </c>
      <c r="G30" s="4">
        <f ca="1">IFERROR(IF(RESULTADOS!$C$17="Normal",0,D30)*IF(RESULTADOS!$C$17="Normal",RESULTADOS!$C$18,RESULTADOS!$C$16),0)</f>
        <v>0</v>
      </c>
      <c r="H30" s="4">
        <f ca="1">IF(RESULTADOS!$C$17="Normal",E30,0)</f>
        <v>0</v>
      </c>
      <c r="I30" s="4">
        <f ca="1">(E30+H30+G30)*PREMISSAS!$C$60</f>
        <v>0</v>
      </c>
      <c r="J30" s="4">
        <f ca="1">D30*IF(RESULTADOS!$C$17="Normal",PREMISSAS!$C$62,0)</f>
        <v>0</v>
      </c>
      <c r="K30" s="116">
        <f ca="1">IFERROR(K29*(1+PREMISSAS!$C$18)+(E30+H30-IF(RESULTADOS!$C$17="Normal",I30,0)-J30)*IF(MONTH(B30)=12,2,1),0)</f>
        <v>0</v>
      </c>
      <c r="L30" s="116">
        <f ca="1">IFERROR((L29+G30-IF(RESULTADOS!$C$17="Normal",0,I30))*(1+PREMISSAS!$C$18)+F30,0)</f>
        <v>0</v>
      </c>
      <c r="N30" s="73">
        <f t="shared" ca="1" si="0"/>
        <v>0</v>
      </c>
      <c r="P30" s="164">
        <f t="shared" ca="1" si="1"/>
        <v>44316</v>
      </c>
      <c r="Q30" s="140">
        <f ca="1">IF(C30="","",Q29+(E30+H30-IF(RESULTADOS!$C$17="Normal",I30,0)-J30)/2+(F30+G30-IF(RESULTADOS!$C$17="Normal",0,I30)))</f>
        <v>0</v>
      </c>
      <c r="R30" s="140">
        <f ca="1">IF(C30="","",R29+(E30+H30-IF(RESULTADOS!$C$17="Normal",I30,0)-J30)/2)</f>
        <v>0</v>
      </c>
      <c r="S30" s="140">
        <f t="shared" ca="1" si="4"/>
        <v>0</v>
      </c>
      <c r="U30" s="164" t="str">
        <f t="shared" ca="1" si="5"/>
        <v/>
      </c>
      <c r="V30" s="164" t="str">
        <f t="shared" ca="1" si="2"/>
        <v/>
      </c>
      <c r="W30" s="140">
        <f ca="1">IF(OR((W29-13/12*Z29)*(1+PREMISSAS!$C$16)&lt;0,W29=""),0,(W29-13/12*Z29)*(1+PREMISSAS!$C$16))</f>
        <v>0</v>
      </c>
      <c r="X30" s="140">
        <f ca="1">IF(OR((X29-13/12*AA29)*(1+PREMISSAS!$C$16)&lt;0,X29=""),0,(X29-13/12*AA29)*(1+PREMISSAS!$C$16))</f>
        <v>0</v>
      </c>
      <c r="Y30" s="140">
        <f t="shared" ca="1" si="3"/>
        <v>0</v>
      </c>
      <c r="Z30" s="167">
        <f t="shared" ca="1" si="6"/>
        <v>0</v>
      </c>
      <c r="AA30" s="167">
        <f t="shared" ca="1" si="7"/>
        <v>0</v>
      </c>
    </row>
    <row r="31" spans="2:27" x14ac:dyDescent="0.25">
      <c r="B31" s="21">
        <f ca="1">IF(B30="","",IF(EOMONTH(B30,1)&gt;EOMONTH(ELEGIBILIDADE!$J$17,0),"",EOMONTH(B30,1)))</f>
        <v>44347</v>
      </c>
      <c r="C31" s="22">
        <f ca="1">IF(B31="","",IF(MONTH(B31)=1,C30*(1+PREMISSAS!$C$57),C30))</f>
        <v>0</v>
      </c>
      <c r="D31" s="22">
        <f ca="1">IF(RESULTADOS!$C$17="Normal",IFERROR(MAX(C31-PREMISSAS!$C$13,0),0),IF(Painel!$I$23=0,0,MAX(10*PREMISSAS!$C$38,RESULTADOS!$F$17)))</f>
        <v>0</v>
      </c>
      <c r="E31" s="4">
        <f ca="1">D31*IF(RESULTADOS!$C$17="Normal",RESULTADOS!$C$16,0)</f>
        <v>0</v>
      </c>
      <c r="F31" s="4">
        <f ca="1">IFERROR(IF(RESULTADOS!$C$17="Normal",D31,C31)*RESULTADOS!$C$18,0)</f>
        <v>0</v>
      </c>
      <c r="G31" s="4">
        <f ca="1">IFERROR(IF(RESULTADOS!$C$17="Normal",0,D31)*IF(RESULTADOS!$C$17="Normal",RESULTADOS!$C$18,RESULTADOS!$C$16),0)</f>
        <v>0</v>
      </c>
      <c r="H31" s="4">
        <f ca="1">IF(RESULTADOS!$C$17="Normal",E31,0)</f>
        <v>0</v>
      </c>
      <c r="I31" s="4">
        <f ca="1">(E31+H31+G31)*PREMISSAS!$C$60</f>
        <v>0</v>
      </c>
      <c r="J31" s="4">
        <f ca="1">D31*IF(RESULTADOS!$C$17="Normal",PREMISSAS!$C$62,0)</f>
        <v>0</v>
      </c>
      <c r="K31" s="116">
        <f ca="1">IFERROR(K30*(1+PREMISSAS!$C$18)+(E31+H31-IF(RESULTADOS!$C$17="Normal",I31,0)-J31)*IF(MONTH(B31)=12,2,1),0)</f>
        <v>0</v>
      </c>
      <c r="L31" s="116">
        <f ca="1">IFERROR((L30+G31-IF(RESULTADOS!$C$17="Normal",0,I31))*(1+PREMISSAS!$C$18)+F31,0)</f>
        <v>0</v>
      </c>
      <c r="N31" s="73">
        <f t="shared" ca="1" si="0"/>
        <v>0</v>
      </c>
      <c r="P31" s="164">
        <f t="shared" ca="1" si="1"/>
        <v>44347</v>
      </c>
      <c r="Q31" s="140">
        <f ca="1">IF(C31="","",Q30+(E31+H31-IF(RESULTADOS!$C$17="Normal",I31,0)-J31)/2+(F31+G31-IF(RESULTADOS!$C$17="Normal",0,I31)))</f>
        <v>0</v>
      </c>
      <c r="R31" s="140">
        <f ca="1">IF(C31="","",R30+(E31+H31-IF(RESULTADOS!$C$17="Normal",I31,0)-J31)/2)</f>
        <v>0</v>
      </c>
      <c r="S31" s="140">
        <f t="shared" ca="1" si="4"/>
        <v>0</v>
      </c>
      <c r="U31" s="164" t="str">
        <f t="shared" ca="1" si="5"/>
        <v/>
      </c>
      <c r="V31" s="164" t="str">
        <f t="shared" ca="1" si="2"/>
        <v/>
      </c>
      <c r="W31" s="140">
        <f ca="1">IF(OR((W30-13/12*Z30)*(1+PREMISSAS!$C$16)&lt;0,W30=""),0,(W30-13/12*Z30)*(1+PREMISSAS!$C$16))</f>
        <v>0</v>
      </c>
      <c r="X31" s="140">
        <f ca="1">IF(OR((X30-13/12*AA30)*(1+PREMISSAS!$C$16)&lt;0,X30=""),0,(X30-13/12*AA30)*(1+PREMISSAS!$C$16))</f>
        <v>0</v>
      </c>
      <c r="Y31" s="140">
        <f t="shared" ca="1" si="3"/>
        <v>0</v>
      </c>
      <c r="Z31" s="167">
        <f t="shared" ca="1" si="6"/>
        <v>0</v>
      </c>
      <c r="AA31" s="167">
        <f t="shared" ca="1" si="7"/>
        <v>0</v>
      </c>
    </row>
    <row r="32" spans="2:27" x14ac:dyDescent="0.25">
      <c r="B32" s="21">
        <f ca="1">IF(B31="","",IF(EOMONTH(B31,1)&gt;EOMONTH(ELEGIBILIDADE!$J$17,0),"",EOMONTH(B31,1)))</f>
        <v>44377</v>
      </c>
      <c r="C32" s="22">
        <f ca="1">IF(B32="","",IF(MONTH(B32)=1,C31*(1+PREMISSAS!$C$57),C31))</f>
        <v>0</v>
      </c>
      <c r="D32" s="22">
        <f ca="1">IF(RESULTADOS!$C$17="Normal",IFERROR(MAX(C32-PREMISSAS!$C$13,0),0),IF(Painel!$I$23=0,0,MAX(10*PREMISSAS!$C$38,RESULTADOS!$F$17)))</f>
        <v>0</v>
      </c>
      <c r="E32" s="4">
        <f ca="1">D32*IF(RESULTADOS!$C$17="Normal",RESULTADOS!$C$16,0)</f>
        <v>0</v>
      </c>
      <c r="F32" s="4">
        <f ca="1">IFERROR(IF(RESULTADOS!$C$17="Normal",D32,C32)*RESULTADOS!$C$18,0)</f>
        <v>0</v>
      </c>
      <c r="G32" s="4">
        <f ca="1">IFERROR(IF(RESULTADOS!$C$17="Normal",0,D32)*IF(RESULTADOS!$C$17="Normal",RESULTADOS!$C$18,RESULTADOS!$C$16),0)</f>
        <v>0</v>
      </c>
      <c r="H32" s="4">
        <f ca="1">IF(RESULTADOS!$C$17="Normal",E32,0)</f>
        <v>0</v>
      </c>
      <c r="I32" s="4">
        <f ca="1">(E32+H32+G32)*PREMISSAS!$C$60</f>
        <v>0</v>
      </c>
      <c r="J32" s="4">
        <f ca="1">D32*IF(RESULTADOS!$C$17="Normal",PREMISSAS!$C$62,0)</f>
        <v>0</v>
      </c>
      <c r="K32" s="116">
        <f ca="1">IFERROR(K31*(1+PREMISSAS!$C$18)+(E32+H32-IF(RESULTADOS!$C$17="Normal",I32,0)-J32)*IF(MONTH(B32)=12,2,1),0)</f>
        <v>0</v>
      </c>
      <c r="L32" s="116">
        <f ca="1">IFERROR((L31+G32-IF(RESULTADOS!$C$17="Normal",0,I32))*(1+PREMISSAS!$C$18)+F32,0)</f>
        <v>0</v>
      </c>
      <c r="N32" s="73">
        <f t="shared" ca="1" si="0"/>
        <v>0</v>
      </c>
      <c r="P32" s="164">
        <f t="shared" ca="1" si="1"/>
        <v>44377</v>
      </c>
      <c r="Q32" s="140">
        <f ca="1">IF(C32="","",Q31+(E32+H32-IF(RESULTADOS!$C$17="Normal",I32,0)-J32)/2+(F32+G32-IF(RESULTADOS!$C$17="Normal",0,I32)))</f>
        <v>0</v>
      </c>
      <c r="R32" s="140">
        <f ca="1">IF(C32="","",R31+(E32+H32-IF(RESULTADOS!$C$17="Normal",I32,0)-J32)/2)</f>
        <v>0</v>
      </c>
      <c r="S32" s="140">
        <f t="shared" ca="1" si="4"/>
        <v>0</v>
      </c>
      <c r="U32" s="164" t="str">
        <f t="shared" ca="1" si="5"/>
        <v/>
      </c>
      <c r="V32" s="164" t="str">
        <f t="shared" ca="1" si="2"/>
        <v/>
      </c>
      <c r="W32" s="140">
        <f ca="1">IF(OR((W31-13/12*Z31)*(1+PREMISSAS!$C$16)&lt;0,W31=""),0,(W31-13/12*Z31)*(1+PREMISSAS!$C$16))</f>
        <v>0</v>
      </c>
      <c r="X32" s="140">
        <f ca="1">IF(OR((X31-13/12*AA31)*(1+PREMISSAS!$C$16)&lt;0,X31=""),0,(X31-13/12*AA31)*(1+PREMISSAS!$C$16))</f>
        <v>0</v>
      </c>
      <c r="Y32" s="140">
        <f t="shared" ca="1" si="3"/>
        <v>0</v>
      </c>
      <c r="Z32" s="167">
        <f t="shared" ca="1" si="6"/>
        <v>0</v>
      </c>
      <c r="AA32" s="167">
        <f t="shared" ca="1" si="7"/>
        <v>0</v>
      </c>
    </row>
    <row r="33" spans="2:27" x14ac:dyDescent="0.25">
      <c r="B33" s="21">
        <f ca="1">IF(B32="","",IF(EOMONTH(B32,1)&gt;EOMONTH(ELEGIBILIDADE!$J$17,0),"",EOMONTH(B32,1)))</f>
        <v>44408</v>
      </c>
      <c r="C33" s="22">
        <f ca="1">IF(B33="","",IF(MONTH(B33)=1,C32*(1+PREMISSAS!$C$57),C32))</f>
        <v>0</v>
      </c>
      <c r="D33" s="22">
        <f ca="1">IF(RESULTADOS!$C$17="Normal",IFERROR(MAX(C33-PREMISSAS!$C$13,0),0),IF(Painel!$I$23=0,0,MAX(10*PREMISSAS!$C$38,RESULTADOS!$F$17)))</f>
        <v>0</v>
      </c>
      <c r="E33" s="4">
        <f ca="1">D33*IF(RESULTADOS!$C$17="Normal",RESULTADOS!$C$16,0)</f>
        <v>0</v>
      </c>
      <c r="F33" s="4">
        <f ca="1">IFERROR(IF(RESULTADOS!$C$17="Normal",D33,C33)*RESULTADOS!$C$18,0)</f>
        <v>0</v>
      </c>
      <c r="G33" s="4">
        <f ca="1">IFERROR(IF(RESULTADOS!$C$17="Normal",0,D33)*IF(RESULTADOS!$C$17="Normal",RESULTADOS!$C$18,RESULTADOS!$C$16),0)</f>
        <v>0</v>
      </c>
      <c r="H33" s="4">
        <f ca="1">IF(RESULTADOS!$C$17="Normal",E33,0)</f>
        <v>0</v>
      </c>
      <c r="I33" s="4">
        <f ca="1">(E33+H33+G33)*PREMISSAS!$C$60</f>
        <v>0</v>
      </c>
      <c r="J33" s="4">
        <f ca="1">D33*IF(RESULTADOS!$C$17="Normal",PREMISSAS!$C$62,0)</f>
        <v>0</v>
      </c>
      <c r="K33" s="116">
        <f ca="1">IFERROR(K32*(1+PREMISSAS!$C$18)+(E33+H33-IF(RESULTADOS!$C$17="Normal",I33,0)-J33)*IF(MONTH(B33)=12,2,1),0)</f>
        <v>0</v>
      </c>
      <c r="L33" s="116">
        <f ca="1">IFERROR((L32+G33-IF(RESULTADOS!$C$17="Normal",0,I33))*(1+PREMISSAS!$C$18)+F33,0)</f>
        <v>0</v>
      </c>
      <c r="N33" s="73">
        <f t="shared" ca="1" si="0"/>
        <v>0</v>
      </c>
      <c r="P33" s="164">
        <f t="shared" ca="1" si="1"/>
        <v>44408</v>
      </c>
      <c r="Q33" s="140">
        <f ca="1">IF(C33="","",Q32+(E33+H33-IF(RESULTADOS!$C$17="Normal",I33,0)-J33)/2+(F33+G33-IF(RESULTADOS!$C$17="Normal",0,I33)))</f>
        <v>0</v>
      </c>
      <c r="R33" s="140">
        <f ca="1">IF(C33="","",R32+(E33+H33-IF(RESULTADOS!$C$17="Normal",I33,0)-J33)/2)</f>
        <v>0</v>
      </c>
      <c r="S33" s="140">
        <f t="shared" ca="1" si="4"/>
        <v>0</v>
      </c>
      <c r="U33" s="164" t="str">
        <f t="shared" ca="1" si="5"/>
        <v/>
      </c>
      <c r="V33" s="164" t="str">
        <f t="shared" ca="1" si="2"/>
        <v/>
      </c>
      <c r="W33" s="140">
        <f ca="1">IF(OR((W32-13/12*Z32)*(1+PREMISSAS!$C$16)&lt;0,W32=""),0,(W32-13/12*Z32)*(1+PREMISSAS!$C$16))</f>
        <v>0</v>
      </c>
      <c r="X33" s="140">
        <f ca="1">IF(OR((X32-13/12*AA32)*(1+PREMISSAS!$C$16)&lt;0,X32=""),0,(X32-13/12*AA32)*(1+PREMISSAS!$C$16))</f>
        <v>0</v>
      </c>
      <c r="Y33" s="140">
        <f t="shared" ca="1" si="3"/>
        <v>0</v>
      </c>
      <c r="Z33" s="167">
        <f t="shared" ca="1" si="6"/>
        <v>0</v>
      </c>
      <c r="AA33" s="167">
        <f t="shared" ca="1" si="7"/>
        <v>0</v>
      </c>
    </row>
    <row r="34" spans="2:27" x14ac:dyDescent="0.25">
      <c r="B34" s="21">
        <f ca="1">IF(B33="","",IF(EOMONTH(B33,1)&gt;EOMONTH(ELEGIBILIDADE!$J$17,0),"",EOMONTH(B33,1)))</f>
        <v>44439</v>
      </c>
      <c r="C34" s="22">
        <f ca="1">IF(B34="","",IF(MONTH(B34)=1,C33*(1+PREMISSAS!$C$57),C33))</f>
        <v>0</v>
      </c>
      <c r="D34" s="22">
        <f ca="1">IF(RESULTADOS!$C$17="Normal",IFERROR(MAX(C34-PREMISSAS!$C$13,0),0),IF(Painel!$I$23=0,0,MAX(10*PREMISSAS!$C$38,RESULTADOS!$F$17)))</f>
        <v>0</v>
      </c>
      <c r="E34" s="4">
        <f ca="1">D34*IF(RESULTADOS!$C$17="Normal",RESULTADOS!$C$16,0)</f>
        <v>0</v>
      </c>
      <c r="F34" s="4">
        <f ca="1">IFERROR(IF(RESULTADOS!$C$17="Normal",D34,C34)*RESULTADOS!$C$18,0)</f>
        <v>0</v>
      </c>
      <c r="G34" s="4">
        <f ca="1">IFERROR(IF(RESULTADOS!$C$17="Normal",0,D34)*IF(RESULTADOS!$C$17="Normal",RESULTADOS!$C$18,RESULTADOS!$C$16),0)</f>
        <v>0</v>
      </c>
      <c r="H34" s="4">
        <f ca="1">IF(RESULTADOS!$C$17="Normal",E34,0)</f>
        <v>0</v>
      </c>
      <c r="I34" s="4">
        <f ca="1">(E34+H34+G34)*PREMISSAS!$C$60</f>
        <v>0</v>
      </c>
      <c r="J34" s="4">
        <f ca="1">D34*IF(RESULTADOS!$C$17="Normal",PREMISSAS!$C$62,0)</f>
        <v>0</v>
      </c>
      <c r="K34" s="116">
        <f ca="1">IFERROR(K33*(1+PREMISSAS!$C$18)+(E34+H34-IF(RESULTADOS!$C$17="Normal",I34,0)-J34)*IF(MONTH(B34)=12,2,1),0)</f>
        <v>0</v>
      </c>
      <c r="L34" s="116">
        <f ca="1">IFERROR((L33+G34-IF(RESULTADOS!$C$17="Normal",0,I34))*(1+PREMISSAS!$C$18)+F34,0)</f>
        <v>0</v>
      </c>
      <c r="N34" s="73">
        <f t="shared" ca="1" si="0"/>
        <v>0</v>
      </c>
      <c r="P34" s="164">
        <f t="shared" ca="1" si="1"/>
        <v>44439</v>
      </c>
      <c r="Q34" s="140">
        <f ca="1">IF(C34="","",Q33+(E34+H34-IF(RESULTADOS!$C$17="Normal",I34,0)-J34)/2+(F34+G34-IF(RESULTADOS!$C$17="Normal",0,I34)))</f>
        <v>0</v>
      </c>
      <c r="R34" s="140">
        <f ca="1">IF(C34="","",R33+(E34+H34-IF(RESULTADOS!$C$17="Normal",I34,0)-J34)/2)</f>
        <v>0</v>
      </c>
      <c r="S34" s="140">
        <f t="shared" ca="1" si="4"/>
        <v>0</v>
      </c>
      <c r="U34" s="164" t="str">
        <f t="shared" ca="1" si="5"/>
        <v/>
      </c>
      <c r="V34" s="164" t="str">
        <f t="shared" ca="1" si="2"/>
        <v/>
      </c>
      <c r="W34" s="140">
        <f ca="1">IF(OR((W33-13/12*Z33)*(1+PREMISSAS!$C$16)&lt;0,W33=""),0,(W33-13/12*Z33)*(1+PREMISSAS!$C$16))</f>
        <v>0</v>
      </c>
      <c r="X34" s="140">
        <f ca="1">IF(OR((X33-13/12*AA33)*(1+PREMISSAS!$C$16)&lt;0,X33=""),0,(X33-13/12*AA33)*(1+PREMISSAS!$C$16))</f>
        <v>0</v>
      </c>
      <c r="Y34" s="140">
        <f t="shared" ca="1" si="3"/>
        <v>0</v>
      </c>
      <c r="Z34" s="167">
        <f t="shared" ca="1" si="6"/>
        <v>0</v>
      </c>
      <c r="AA34" s="167">
        <f t="shared" ca="1" si="7"/>
        <v>0</v>
      </c>
    </row>
    <row r="35" spans="2:27" x14ac:dyDescent="0.25">
      <c r="B35" s="21">
        <f ca="1">IF(B34="","",IF(EOMONTH(B34,1)&gt;EOMONTH(ELEGIBILIDADE!$J$17,0),"",EOMONTH(B34,1)))</f>
        <v>44469</v>
      </c>
      <c r="C35" s="22">
        <f ca="1">IF(B35="","",IF(MONTH(B35)=1,C34*(1+PREMISSAS!$C$57),C34))</f>
        <v>0</v>
      </c>
      <c r="D35" s="22">
        <f ca="1">IF(RESULTADOS!$C$17="Normal",IFERROR(MAX(C35-PREMISSAS!$C$13,0),0),IF(Painel!$I$23=0,0,MAX(10*PREMISSAS!$C$38,RESULTADOS!$F$17)))</f>
        <v>0</v>
      </c>
      <c r="E35" s="4">
        <f ca="1">D35*IF(RESULTADOS!$C$17="Normal",RESULTADOS!$C$16,0)</f>
        <v>0</v>
      </c>
      <c r="F35" s="4">
        <f ca="1">IFERROR(IF(RESULTADOS!$C$17="Normal",D35,C35)*RESULTADOS!$C$18,0)</f>
        <v>0</v>
      </c>
      <c r="G35" s="4">
        <f ca="1">IFERROR(IF(RESULTADOS!$C$17="Normal",0,D35)*IF(RESULTADOS!$C$17="Normal",RESULTADOS!$C$18,RESULTADOS!$C$16),0)</f>
        <v>0</v>
      </c>
      <c r="H35" s="4">
        <f ca="1">IF(RESULTADOS!$C$17="Normal",E35,0)</f>
        <v>0</v>
      </c>
      <c r="I35" s="4">
        <f ca="1">(E35+H35+G35)*PREMISSAS!$C$60</f>
        <v>0</v>
      </c>
      <c r="J35" s="4">
        <f ca="1">D35*IF(RESULTADOS!$C$17="Normal",PREMISSAS!$C$62,0)</f>
        <v>0</v>
      </c>
      <c r="K35" s="116">
        <f ca="1">IFERROR(K34*(1+PREMISSAS!$C$18)+(E35+H35-IF(RESULTADOS!$C$17="Normal",I35,0)-J35)*IF(MONTH(B35)=12,2,1),0)</f>
        <v>0</v>
      </c>
      <c r="L35" s="116">
        <f ca="1">IFERROR((L34+G35-IF(RESULTADOS!$C$17="Normal",0,I35))*(1+PREMISSAS!$C$18)+F35,0)</f>
        <v>0</v>
      </c>
      <c r="N35" s="73">
        <f t="shared" ca="1" si="0"/>
        <v>0</v>
      </c>
      <c r="P35" s="164">
        <f t="shared" ca="1" si="1"/>
        <v>44469</v>
      </c>
      <c r="Q35" s="140">
        <f ca="1">IF(C35="","",Q34+(E35+H35-IF(RESULTADOS!$C$17="Normal",I35,0)-J35)/2+(F35+G35-IF(RESULTADOS!$C$17="Normal",0,I35)))</f>
        <v>0</v>
      </c>
      <c r="R35" s="140">
        <f ca="1">IF(C35="","",R34+(E35+H35-IF(RESULTADOS!$C$17="Normal",I35,0)-J35)/2)</f>
        <v>0</v>
      </c>
      <c r="S35" s="140">
        <f t="shared" ca="1" si="4"/>
        <v>0</v>
      </c>
      <c r="U35" s="164" t="str">
        <f t="shared" ca="1" si="5"/>
        <v/>
      </c>
      <c r="V35" s="164" t="str">
        <f t="shared" ca="1" si="2"/>
        <v/>
      </c>
      <c r="W35" s="140">
        <f ca="1">IF(OR((W34-13/12*Z34)*(1+PREMISSAS!$C$16)&lt;0,W34=""),0,(W34-13/12*Z34)*(1+PREMISSAS!$C$16))</f>
        <v>0</v>
      </c>
      <c r="X35" s="140">
        <f ca="1">IF(OR((X34-13/12*AA34)*(1+PREMISSAS!$C$16)&lt;0,X34=""),0,(X34-13/12*AA34)*(1+PREMISSAS!$C$16))</f>
        <v>0</v>
      </c>
      <c r="Y35" s="140">
        <f t="shared" ca="1" si="3"/>
        <v>0</v>
      </c>
      <c r="Z35" s="167">
        <f t="shared" ca="1" si="6"/>
        <v>0</v>
      </c>
      <c r="AA35" s="167">
        <f t="shared" ca="1" si="7"/>
        <v>0</v>
      </c>
    </row>
    <row r="36" spans="2:27" x14ac:dyDescent="0.25">
      <c r="B36" s="21">
        <f ca="1">IF(B35="","",IF(EOMONTH(B35,1)&gt;EOMONTH(ELEGIBILIDADE!$J$17,0),"",EOMONTH(B35,1)))</f>
        <v>44500</v>
      </c>
      <c r="C36" s="22">
        <f ca="1">IF(B36="","",IF(MONTH(B36)=1,C35*(1+PREMISSAS!$C$57),C35))</f>
        <v>0</v>
      </c>
      <c r="D36" s="22">
        <f ca="1">IF(RESULTADOS!$C$17="Normal",IFERROR(MAX(C36-PREMISSAS!$C$13,0),0),IF(Painel!$I$23=0,0,MAX(10*PREMISSAS!$C$38,RESULTADOS!$F$17)))</f>
        <v>0</v>
      </c>
      <c r="E36" s="4">
        <f ca="1">D36*IF(RESULTADOS!$C$17="Normal",RESULTADOS!$C$16,0)</f>
        <v>0</v>
      </c>
      <c r="F36" s="4">
        <f ca="1">IFERROR(IF(RESULTADOS!$C$17="Normal",D36,C36)*RESULTADOS!$C$18,0)</f>
        <v>0</v>
      </c>
      <c r="G36" s="4">
        <f ca="1">IFERROR(IF(RESULTADOS!$C$17="Normal",0,D36)*IF(RESULTADOS!$C$17="Normal",RESULTADOS!$C$18,RESULTADOS!$C$16),0)</f>
        <v>0</v>
      </c>
      <c r="H36" s="4">
        <f ca="1">IF(RESULTADOS!$C$17="Normal",E36,0)</f>
        <v>0</v>
      </c>
      <c r="I36" s="4">
        <f ca="1">(E36+H36+G36)*PREMISSAS!$C$60</f>
        <v>0</v>
      </c>
      <c r="J36" s="4">
        <f ca="1">D36*IF(RESULTADOS!$C$17="Normal",PREMISSAS!$C$62,0)</f>
        <v>0</v>
      </c>
      <c r="K36" s="116">
        <f ca="1">IFERROR(K35*(1+PREMISSAS!$C$18)+(E36+H36-IF(RESULTADOS!$C$17="Normal",I36,0)-J36)*IF(MONTH(B36)=12,2,1),0)</f>
        <v>0</v>
      </c>
      <c r="L36" s="116">
        <f ca="1">IFERROR((L35+G36-IF(RESULTADOS!$C$17="Normal",0,I36))*(1+PREMISSAS!$C$18)+F36,0)</f>
        <v>0</v>
      </c>
      <c r="N36" s="73">
        <f t="shared" ca="1" si="0"/>
        <v>0</v>
      </c>
      <c r="P36" s="164">
        <f t="shared" ca="1" si="1"/>
        <v>44500</v>
      </c>
      <c r="Q36" s="140">
        <f ca="1">IF(C36="","",Q35+(E36+H36-IF(RESULTADOS!$C$17="Normal",I36,0)-J36)/2+(F36+G36-IF(RESULTADOS!$C$17="Normal",0,I36)))</f>
        <v>0</v>
      </c>
      <c r="R36" s="140">
        <f ca="1">IF(C36="","",R35+(E36+H36-IF(RESULTADOS!$C$17="Normal",I36,0)-J36)/2)</f>
        <v>0</v>
      </c>
      <c r="S36" s="140">
        <f t="shared" ca="1" si="4"/>
        <v>0</v>
      </c>
      <c r="U36" s="164" t="str">
        <f t="shared" ca="1" si="5"/>
        <v/>
      </c>
      <c r="V36" s="164" t="str">
        <f t="shared" ca="1" si="2"/>
        <v/>
      </c>
      <c r="W36" s="140">
        <f ca="1">IF(OR((W35-13/12*Z35)*(1+PREMISSAS!$C$16)&lt;0,W35=""),0,(W35-13/12*Z35)*(1+PREMISSAS!$C$16))</f>
        <v>0</v>
      </c>
      <c r="X36" s="140">
        <f ca="1">IF(OR((X35-13/12*AA35)*(1+PREMISSAS!$C$16)&lt;0,X35=""),0,(X35-13/12*AA35)*(1+PREMISSAS!$C$16))</f>
        <v>0</v>
      </c>
      <c r="Y36" s="140">
        <f t="shared" ca="1" si="3"/>
        <v>0</v>
      </c>
      <c r="Z36" s="167">
        <f t="shared" ca="1" si="6"/>
        <v>0</v>
      </c>
      <c r="AA36" s="167">
        <f t="shared" ca="1" si="7"/>
        <v>0</v>
      </c>
    </row>
    <row r="37" spans="2:27" x14ac:dyDescent="0.25">
      <c r="B37" s="21">
        <f ca="1">IF(B36="","",IF(EOMONTH(B36,1)&gt;EOMONTH(ELEGIBILIDADE!$J$17,0),"",EOMONTH(B36,1)))</f>
        <v>44530</v>
      </c>
      <c r="C37" s="22">
        <f ca="1">IF(B37="","",IF(MONTH(B37)=1,C36*(1+PREMISSAS!$C$57),C36))</f>
        <v>0</v>
      </c>
      <c r="D37" s="22">
        <f ca="1">IF(RESULTADOS!$C$17="Normal",IFERROR(MAX(C37-PREMISSAS!$C$13,0),0),IF(Painel!$I$23=0,0,MAX(10*PREMISSAS!$C$38,RESULTADOS!$F$17)))</f>
        <v>0</v>
      </c>
      <c r="E37" s="4">
        <f ca="1">D37*IF(RESULTADOS!$C$17="Normal",RESULTADOS!$C$16,0)</f>
        <v>0</v>
      </c>
      <c r="F37" s="4">
        <f ca="1">IFERROR(IF(RESULTADOS!$C$17="Normal",D37,C37)*RESULTADOS!$C$18,0)</f>
        <v>0</v>
      </c>
      <c r="G37" s="4">
        <f ca="1">IFERROR(IF(RESULTADOS!$C$17="Normal",0,D37)*IF(RESULTADOS!$C$17="Normal",RESULTADOS!$C$18,RESULTADOS!$C$16),0)</f>
        <v>0</v>
      </c>
      <c r="H37" s="4">
        <f ca="1">IF(RESULTADOS!$C$17="Normal",E37,0)</f>
        <v>0</v>
      </c>
      <c r="I37" s="4">
        <f ca="1">(E37+H37+G37)*PREMISSAS!$C$60</f>
        <v>0</v>
      </c>
      <c r="J37" s="4">
        <f ca="1">D37*IF(RESULTADOS!$C$17="Normal",PREMISSAS!$C$62,0)</f>
        <v>0</v>
      </c>
      <c r="K37" s="116">
        <f ca="1">IFERROR(K36*(1+PREMISSAS!$C$18)+(E37+H37-IF(RESULTADOS!$C$17="Normal",I37,0)-J37)*IF(MONTH(B37)=12,2,1),0)</f>
        <v>0</v>
      </c>
      <c r="L37" s="116">
        <f ca="1">IFERROR((L36+G37-IF(RESULTADOS!$C$17="Normal",0,I37))*(1+PREMISSAS!$C$18)+F37,0)</f>
        <v>0</v>
      </c>
      <c r="N37" s="73">
        <f t="shared" ca="1" si="0"/>
        <v>0</v>
      </c>
      <c r="P37" s="164">
        <f t="shared" ca="1" si="1"/>
        <v>44530</v>
      </c>
      <c r="Q37" s="140">
        <f ca="1">IF(C37="","",Q36+(E37+H37-IF(RESULTADOS!$C$17="Normal",I37,0)-J37)/2+(F37+G37-IF(RESULTADOS!$C$17="Normal",0,I37)))</f>
        <v>0</v>
      </c>
      <c r="R37" s="140">
        <f ca="1">IF(C37="","",R36+(E37+H37-IF(RESULTADOS!$C$17="Normal",I37,0)-J37)/2)</f>
        <v>0</v>
      </c>
      <c r="S37" s="140">
        <f t="shared" ca="1" si="4"/>
        <v>0</v>
      </c>
      <c r="U37" s="164" t="str">
        <f t="shared" ca="1" si="5"/>
        <v/>
      </c>
      <c r="V37" s="164" t="str">
        <f t="shared" ca="1" si="2"/>
        <v/>
      </c>
      <c r="W37" s="140">
        <f ca="1">IF(OR((W36-13/12*Z36)*(1+PREMISSAS!$C$16)&lt;0,W36=""),0,(W36-13/12*Z36)*(1+PREMISSAS!$C$16))</f>
        <v>0</v>
      </c>
      <c r="X37" s="140">
        <f ca="1">IF(OR((X36-13/12*AA36)*(1+PREMISSAS!$C$16)&lt;0,X36=""),0,(X36-13/12*AA36)*(1+PREMISSAS!$C$16))</f>
        <v>0</v>
      </c>
      <c r="Y37" s="140">
        <f t="shared" ca="1" si="3"/>
        <v>0</v>
      </c>
      <c r="Z37" s="167">
        <f t="shared" ca="1" si="6"/>
        <v>0</v>
      </c>
      <c r="AA37" s="167">
        <f t="shared" ca="1" si="7"/>
        <v>0</v>
      </c>
    </row>
    <row r="38" spans="2:27" x14ac:dyDescent="0.25">
      <c r="B38" s="21">
        <f ca="1">IF(B37="","",IF(EOMONTH(B37,1)&gt;EOMONTH(ELEGIBILIDADE!$J$17,0),"",EOMONTH(B37,1)))</f>
        <v>44561</v>
      </c>
      <c r="C38" s="22">
        <f ca="1">IF(B38="","",IF(MONTH(B38)=1,C37*(1+PREMISSAS!$C$57),C37))</f>
        <v>0</v>
      </c>
      <c r="D38" s="22">
        <f ca="1">IF(RESULTADOS!$C$17="Normal",IFERROR(MAX(C38-PREMISSAS!$C$13,0),0),IF(Painel!$I$23=0,0,MAX(10*PREMISSAS!$C$38,RESULTADOS!$F$17)))</f>
        <v>0</v>
      </c>
      <c r="E38" s="4">
        <f ca="1">D38*IF(RESULTADOS!$C$17="Normal",RESULTADOS!$C$16,0)</f>
        <v>0</v>
      </c>
      <c r="F38" s="4">
        <f ca="1">IFERROR(IF(RESULTADOS!$C$17="Normal",D38,C38)*RESULTADOS!$C$18,0)</f>
        <v>0</v>
      </c>
      <c r="G38" s="4">
        <f ca="1">IFERROR(IF(RESULTADOS!$C$17="Normal",0,D38)*IF(RESULTADOS!$C$17="Normal",RESULTADOS!$C$18,RESULTADOS!$C$16),0)</f>
        <v>0</v>
      </c>
      <c r="H38" s="4">
        <f ca="1">IF(RESULTADOS!$C$17="Normal",E38,0)</f>
        <v>0</v>
      </c>
      <c r="I38" s="4">
        <f ca="1">(E38+H38+G38)*PREMISSAS!$C$60</f>
        <v>0</v>
      </c>
      <c r="J38" s="4">
        <f ca="1">D38*IF(RESULTADOS!$C$17="Normal",PREMISSAS!$C$62,0)</f>
        <v>0</v>
      </c>
      <c r="K38" s="116">
        <f ca="1">IFERROR(K37*(1+PREMISSAS!$C$18)+(E38+H38-IF(RESULTADOS!$C$17="Normal",I38,0)-J38)*IF(MONTH(B38)=12,2,1),0)</f>
        <v>0</v>
      </c>
      <c r="L38" s="116">
        <f ca="1">IFERROR((L37+G38-IF(RESULTADOS!$C$17="Normal",0,I38))*(1+PREMISSAS!$C$18)+F38,0)</f>
        <v>0</v>
      </c>
      <c r="N38" s="73">
        <f t="shared" ca="1" si="0"/>
        <v>0</v>
      </c>
      <c r="P38" s="164">
        <f t="shared" ca="1" si="1"/>
        <v>44561</v>
      </c>
      <c r="Q38" s="140">
        <f ca="1">IF(C38="","",Q37+(E38+H38-IF(RESULTADOS!$C$17="Normal",I38,0)-J38)/2+(F38+G38-IF(RESULTADOS!$C$17="Normal",0,I38)))</f>
        <v>0</v>
      </c>
      <c r="R38" s="140">
        <f ca="1">IF(C38="","",R37+(E38+H38-IF(RESULTADOS!$C$17="Normal",I38,0)-J38)/2)</f>
        <v>0</v>
      </c>
      <c r="S38" s="140">
        <f t="shared" ca="1" si="4"/>
        <v>0</v>
      </c>
      <c r="U38" s="164" t="str">
        <f t="shared" ca="1" si="5"/>
        <v/>
      </c>
      <c r="V38" s="164" t="str">
        <f t="shared" ca="1" si="2"/>
        <v/>
      </c>
      <c r="W38" s="140">
        <f ca="1">IF(OR((W37-13/12*Z37)*(1+PREMISSAS!$C$16)&lt;0,W37=""),0,(W37-13/12*Z37)*(1+PREMISSAS!$C$16))</f>
        <v>0</v>
      </c>
      <c r="X38" s="140">
        <f ca="1">IF(OR((X37-13/12*AA37)*(1+PREMISSAS!$C$16)&lt;0,X37=""),0,(X37-13/12*AA37)*(1+PREMISSAS!$C$16))</f>
        <v>0</v>
      </c>
      <c r="Y38" s="140">
        <f t="shared" ca="1" si="3"/>
        <v>0</v>
      </c>
      <c r="Z38" s="167">
        <f t="shared" ca="1" si="6"/>
        <v>0</v>
      </c>
      <c r="AA38" s="167">
        <f t="shared" ca="1" si="7"/>
        <v>0</v>
      </c>
    </row>
    <row r="39" spans="2:27" x14ac:dyDescent="0.25">
      <c r="B39" s="21">
        <f ca="1">IF(B38="","",IF(EOMONTH(B38,1)&gt;EOMONTH(ELEGIBILIDADE!$J$17,0),"",EOMONTH(B38,1)))</f>
        <v>44592</v>
      </c>
      <c r="C39" s="22">
        <f ca="1">IF(B39="","",IF(MONTH(B39)=1,C38*(1+PREMISSAS!$C$57),C38))</f>
        <v>0</v>
      </c>
      <c r="D39" s="22">
        <f ca="1">IF(RESULTADOS!$C$17="Normal",IFERROR(MAX(C39-PREMISSAS!$C$13,0),0),IF(Painel!$I$23=0,0,MAX(10*PREMISSAS!$C$38,RESULTADOS!$F$17)))</f>
        <v>0</v>
      </c>
      <c r="E39" s="4">
        <f ca="1">D39*IF(RESULTADOS!$C$17="Normal",RESULTADOS!$C$16,0)</f>
        <v>0</v>
      </c>
      <c r="F39" s="4">
        <f ca="1">IFERROR(IF(RESULTADOS!$C$17="Normal",D39,C39)*RESULTADOS!$C$18,0)</f>
        <v>0</v>
      </c>
      <c r="G39" s="4">
        <f ca="1">IFERROR(IF(RESULTADOS!$C$17="Normal",0,D39)*IF(RESULTADOS!$C$17="Normal",RESULTADOS!$C$18,RESULTADOS!$C$16),0)</f>
        <v>0</v>
      </c>
      <c r="H39" s="4">
        <f ca="1">IF(RESULTADOS!$C$17="Normal",E39,0)</f>
        <v>0</v>
      </c>
      <c r="I39" s="4">
        <f ca="1">(E39+H39+G39)*PREMISSAS!$C$60</f>
        <v>0</v>
      </c>
      <c r="J39" s="4">
        <f ca="1">D39*IF(RESULTADOS!$C$17="Normal",PREMISSAS!$C$62,0)</f>
        <v>0</v>
      </c>
      <c r="K39" s="116">
        <f ca="1">IFERROR(K38*(1+PREMISSAS!$C$18)+(E39+H39-IF(RESULTADOS!$C$17="Normal",I39,0)-J39)*IF(MONTH(B39)=12,2,1),0)</f>
        <v>0</v>
      </c>
      <c r="L39" s="116">
        <f ca="1">IFERROR((L38+G39-IF(RESULTADOS!$C$17="Normal",0,I39))*(1+PREMISSAS!$C$18)+F39,0)</f>
        <v>0</v>
      </c>
      <c r="N39" s="73">
        <f t="shared" ca="1" si="0"/>
        <v>0</v>
      </c>
      <c r="P39" s="164">
        <f t="shared" ca="1" si="1"/>
        <v>44592</v>
      </c>
      <c r="Q39" s="140">
        <f ca="1">IF(C39="","",Q38+(E39+H39-IF(RESULTADOS!$C$17="Normal",I39,0)-J39)/2+(F39+G39-IF(RESULTADOS!$C$17="Normal",0,I39)))</f>
        <v>0</v>
      </c>
      <c r="R39" s="140">
        <f ca="1">IF(C39="","",R38+(E39+H39-IF(RESULTADOS!$C$17="Normal",I39,0)-J39)/2)</f>
        <v>0</v>
      </c>
      <c r="S39" s="140">
        <f t="shared" ca="1" si="4"/>
        <v>0</v>
      </c>
      <c r="U39" s="164" t="str">
        <f t="shared" ca="1" si="5"/>
        <v/>
      </c>
      <c r="V39" s="164" t="str">
        <f t="shared" ca="1" si="2"/>
        <v/>
      </c>
      <c r="W39" s="140">
        <f ca="1">IF(OR((W38-13/12*Z38)*(1+PREMISSAS!$C$16)&lt;0,W38=""),0,(W38-13/12*Z38)*(1+PREMISSAS!$C$16))</f>
        <v>0</v>
      </c>
      <c r="X39" s="140">
        <f ca="1">IF(OR((X38-13/12*AA38)*(1+PREMISSAS!$C$16)&lt;0,X38=""),0,(X38-13/12*AA38)*(1+PREMISSAS!$C$16))</f>
        <v>0</v>
      </c>
      <c r="Y39" s="140">
        <f t="shared" ca="1" si="3"/>
        <v>0</v>
      </c>
      <c r="Z39" s="167">
        <f t="shared" ca="1" si="6"/>
        <v>0</v>
      </c>
      <c r="AA39" s="167">
        <f t="shared" ca="1" si="7"/>
        <v>0</v>
      </c>
    </row>
    <row r="40" spans="2:27" x14ac:dyDescent="0.25">
      <c r="B40" s="21">
        <f ca="1">IF(B39="","",IF(EOMONTH(B39,1)&gt;EOMONTH(ELEGIBILIDADE!$J$17,0),"",EOMONTH(B39,1)))</f>
        <v>44620</v>
      </c>
      <c r="C40" s="22">
        <f ca="1">IF(B40="","",IF(MONTH(B40)=1,C39*(1+PREMISSAS!$C$57),C39))</f>
        <v>0</v>
      </c>
      <c r="D40" s="22">
        <f ca="1">IF(RESULTADOS!$C$17="Normal",IFERROR(MAX(C40-PREMISSAS!$C$13,0),0),IF(Painel!$I$23=0,0,MAX(10*PREMISSAS!$C$38,RESULTADOS!$F$17)))</f>
        <v>0</v>
      </c>
      <c r="E40" s="4">
        <f ca="1">D40*IF(RESULTADOS!$C$17="Normal",RESULTADOS!$C$16,0)</f>
        <v>0</v>
      </c>
      <c r="F40" s="4">
        <f ca="1">IFERROR(IF(RESULTADOS!$C$17="Normal",D40,C40)*RESULTADOS!$C$18,0)</f>
        <v>0</v>
      </c>
      <c r="G40" s="4">
        <f ca="1">IFERROR(IF(RESULTADOS!$C$17="Normal",0,D40)*IF(RESULTADOS!$C$17="Normal",RESULTADOS!$C$18,RESULTADOS!$C$16),0)</f>
        <v>0</v>
      </c>
      <c r="H40" s="4">
        <f ca="1">IF(RESULTADOS!$C$17="Normal",E40,0)</f>
        <v>0</v>
      </c>
      <c r="I40" s="4">
        <f ca="1">(E40+H40+G40)*PREMISSAS!$C$60</f>
        <v>0</v>
      </c>
      <c r="J40" s="4">
        <f ca="1">D40*IF(RESULTADOS!$C$17="Normal",PREMISSAS!$C$62,0)</f>
        <v>0</v>
      </c>
      <c r="K40" s="116">
        <f ca="1">IFERROR(K39*(1+PREMISSAS!$C$18)+(E40+H40-IF(RESULTADOS!$C$17="Normal",I40,0)-J40)*IF(MONTH(B40)=12,2,1),0)</f>
        <v>0</v>
      </c>
      <c r="L40" s="116">
        <f ca="1">IFERROR((L39+G40-IF(RESULTADOS!$C$17="Normal",0,I40))*(1+PREMISSAS!$C$18)+F40,0)</f>
        <v>0</v>
      </c>
      <c r="N40" s="73">
        <f t="shared" ca="1" si="0"/>
        <v>0</v>
      </c>
      <c r="P40" s="164">
        <f t="shared" ca="1" si="1"/>
        <v>44620</v>
      </c>
      <c r="Q40" s="140">
        <f ca="1">IF(C40="","",Q39+(E40+H40-IF(RESULTADOS!$C$17="Normal",I40,0)-J40)/2+(F40+G40-IF(RESULTADOS!$C$17="Normal",0,I40)))</f>
        <v>0</v>
      </c>
      <c r="R40" s="140">
        <f ca="1">IF(C40="","",R39+(E40+H40-IF(RESULTADOS!$C$17="Normal",I40,0)-J40)/2)</f>
        <v>0</v>
      </c>
      <c r="S40" s="140">
        <f t="shared" ca="1" si="4"/>
        <v>0</v>
      </c>
      <c r="U40" s="164" t="str">
        <f t="shared" ca="1" si="5"/>
        <v/>
      </c>
      <c r="V40" s="164" t="str">
        <f t="shared" ca="1" si="2"/>
        <v/>
      </c>
      <c r="W40" s="140">
        <f ca="1">IF(OR((W39-13/12*Z39)*(1+PREMISSAS!$C$16)&lt;0,W39=""),0,(W39-13/12*Z39)*(1+PREMISSAS!$C$16))</f>
        <v>0</v>
      </c>
      <c r="X40" s="140">
        <f ca="1">IF(OR((X39-13/12*AA39)*(1+PREMISSAS!$C$16)&lt;0,X39=""),0,(X39-13/12*AA39)*(1+PREMISSAS!$C$16))</f>
        <v>0</v>
      </c>
      <c r="Y40" s="140">
        <f t="shared" ca="1" si="3"/>
        <v>0</v>
      </c>
      <c r="Z40" s="167">
        <f t="shared" ca="1" si="6"/>
        <v>0</v>
      </c>
      <c r="AA40" s="167">
        <f t="shared" ca="1" si="7"/>
        <v>0</v>
      </c>
    </row>
    <row r="41" spans="2:27" x14ac:dyDescent="0.25">
      <c r="B41" s="21">
        <f ca="1">IF(B40="","",IF(EOMONTH(B40,1)&gt;EOMONTH(ELEGIBILIDADE!$J$17,0),"",EOMONTH(B40,1)))</f>
        <v>44651</v>
      </c>
      <c r="C41" s="22">
        <f ca="1">IF(B41="","",IF(MONTH(B41)=1,C40*(1+PREMISSAS!$C$57),C40))</f>
        <v>0</v>
      </c>
      <c r="D41" s="22">
        <f ca="1">IF(RESULTADOS!$C$17="Normal",IFERROR(MAX(C41-PREMISSAS!$C$13,0),0),IF(Painel!$I$23=0,0,MAX(10*PREMISSAS!$C$38,RESULTADOS!$F$17)))</f>
        <v>0</v>
      </c>
      <c r="E41" s="4">
        <f ca="1">D41*IF(RESULTADOS!$C$17="Normal",RESULTADOS!$C$16,0)</f>
        <v>0</v>
      </c>
      <c r="F41" s="4">
        <f ca="1">IFERROR(IF(RESULTADOS!$C$17="Normal",D41,C41)*RESULTADOS!$C$18,0)</f>
        <v>0</v>
      </c>
      <c r="G41" s="4">
        <f ca="1">IFERROR(IF(RESULTADOS!$C$17="Normal",0,D41)*IF(RESULTADOS!$C$17="Normal",RESULTADOS!$C$18,RESULTADOS!$C$16),0)</f>
        <v>0</v>
      </c>
      <c r="H41" s="4">
        <f ca="1">IF(RESULTADOS!$C$17="Normal",E41,0)</f>
        <v>0</v>
      </c>
      <c r="I41" s="4">
        <f ca="1">(E41+H41+G41)*PREMISSAS!$C$60</f>
        <v>0</v>
      </c>
      <c r="J41" s="4">
        <f ca="1">D41*IF(RESULTADOS!$C$17="Normal",PREMISSAS!$C$62,0)</f>
        <v>0</v>
      </c>
      <c r="K41" s="116">
        <f ca="1">IFERROR(K40*(1+PREMISSAS!$C$18)+(E41+H41-IF(RESULTADOS!$C$17="Normal",I41,0)-J41)*IF(MONTH(B41)=12,2,1),0)</f>
        <v>0</v>
      </c>
      <c r="L41" s="116">
        <f ca="1">IFERROR((L40+G41-IF(RESULTADOS!$C$17="Normal",0,I41))*(1+PREMISSAS!$C$18)+F41,0)</f>
        <v>0</v>
      </c>
      <c r="N41" s="73">
        <f t="shared" ca="1" si="0"/>
        <v>0</v>
      </c>
      <c r="P41" s="164">
        <f t="shared" ca="1" si="1"/>
        <v>44651</v>
      </c>
      <c r="Q41" s="140">
        <f ca="1">IF(C41="","",Q40+(E41+H41-IF(RESULTADOS!$C$17="Normal",I41,0)-J41)/2+(F41+G41-IF(RESULTADOS!$C$17="Normal",0,I41)))</f>
        <v>0</v>
      </c>
      <c r="R41" s="140">
        <f ca="1">IF(C41="","",R40+(E41+H41-IF(RESULTADOS!$C$17="Normal",I41,0)-J41)/2)</f>
        <v>0</v>
      </c>
      <c r="S41" s="140">
        <f t="shared" ca="1" si="4"/>
        <v>0</v>
      </c>
      <c r="U41" s="164" t="str">
        <f t="shared" ca="1" si="5"/>
        <v/>
      </c>
      <c r="V41" s="164" t="str">
        <f t="shared" ca="1" si="2"/>
        <v/>
      </c>
      <c r="W41" s="140">
        <f ca="1">IF(OR((W40-13/12*Z40)*(1+PREMISSAS!$C$16)&lt;0,W40=""),0,(W40-13/12*Z40)*(1+PREMISSAS!$C$16))</f>
        <v>0</v>
      </c>
      <c r="X41" s="140">
        <f ca="1">IF(OR((X40-13/12*AA40)*(1+PREMISSAS!$C$16)&lt;0,X40=""),0,(X40-13/12*AA40)*(1+PREMISSAS!$C$16))</f>
        <v>0</v>
      </c>
      <c r="Y41" s="140">
        <f t="shared" ca="1" si="3"/>
        <v>0</v>
      </c>
      <c r="Z41" s="167">
        <f t="shared" ca="1" si="6"/>
        <v>0</v>
      </c>
      <c r="AA41" s="167">
        <f t="shared" ca="1" si="7"/>
        <v>0</v>
      </c>
    </row>
    <row r="42" spans="2:27" x14ac:dyDescent="0.25">
      <c r="B42" s="21">
        <f ca="1">IF(B41="","",IF(EOMONTH(B41,1)&gt;EOMONTH(ELEGIBILIDADE!$J$17,0),"",EOMONTH(B41,1)))</f>
        <v>44681</v>
      </c>
      <c r="C42" s="22">
        <f ca="1">IF(B42="","",IF(MONTH(B42)=1,C41*(1+PREMISSAS!$C$57),C41))</f>
        <v>0</v>
      </c>
      <c r="D42" s="22">
        <f ca="1">IF(RESULTADOS!$C$17="Normal",IFERROR(MAX(C42-PREMISSAS!$C$13,0),0),IF(Painel!$I$23=0,0,MAX(10*PREMISSAS!$C$38,RESULTADOS!$F$17)))</f>
        <v>0</v>
      </c>
      <c r="E42" s="4">
        <f ca="1">D42*IF(RESULTADOS!$C$17="Normal",RESULTADOS!$C$16,0)</f>
        <v>0</v>
      </c>
      <c r="F42" s="4">
        <f ca="1">IFERROR(IF(RESULTADOS!$C$17="Normal",D42,C42)*RESULTADOS!$C$18,0)</f>
        <v>0</v>
      </c>
      <c r="G42" s="4">
        <f ca="1">IFERROR(IF(RESULTADOS!$C$17="Normal",0,D42)*IF(RESULTADOS!$C$17="Normal",RESULTADOS!$C$18,RESULTADOS!$C$16),0)</f>
        <v>0</v>
      </c>
      <c r="H42" s="4">
        <f ca="1">IF(RESULTADOS!$C$17="Normal",E42,0)</f>
        <v>0</v>
      </c>
      <c r="I42" s="4">
        <f ca="1">(E42+H42+G42)*PREMISSAS!$C$60</f>
        <v>0</v>
      </c>
      <c r="J42" s="4">
        <f ca="1">D42*IF(RESULTADOS!$C$17="Normal",PREMISSAS!$C$62,0)</f>
        <v>0</v>
      </c>
      <c r="K42" s="116">
        <f ca="1">IFERROR(K41*(1+PREMISSAS!$C$18)+(E42+H42-IF(RESULTADOS!$C$17="Normal",I42,0)-J42)*IF(MONTH(B42)=12,2,1),0)</f>
        <v>0</v>
      </c>
      <c r="L42" s="116">
        <f ca="1">IFERROR((L41+G42-IF(RESULTADOS!$C$17="Normal",0,I42))*(1+PREMISSAS!$C$18)+F42,0)</f>
        <v>0</v>
      </c>
      <c r="N42" s="73">
        <f t="shared" ca="1" si="0"/>
        <v>0</v>
      </c>
      <c r="P42" s="164">
        <f t="shared" ca="1" si="1"/>
        <v>44681</v>
      </c>
      <c r="Q42" s="140">
        <f ca="1">IF(C42="","",Q41+(E42+H42-IF(RESULTADOS!$C$17="Normal",I42,0)-J42)/2+(F42+G42-IF(RESULTADOS!$C$17="Normal",0,I42)))</f>
        <v>0</v>
      </c>
      <c r="R42" s="140">
        <f ca="1">IF(C42="","",R41+(E42+H42-IF(RESULTADOS!$C$17="Normal",I42,0)-J42)/2)</f>
        <v>0</v>
      </c>
      <c r="S42" s="140">
        <f t="shared" ca="1" si="4"/>
        <v>0</v>
      </c>
      <c r="U42" s="164" t="str">
        <f t="shared" ca="1" si="5"/>
        <v/>
      </c>
      <c r="V42" s="164" t="str">
        <f t="shared" ca="1" si="2"/>
        <v/>
      </c>
      <c r="W42" s="140">
        <f ca="1">IF(OR((W41-13/12*Z41)*(1+PREMISSAS!$C$16)&lt;0,W41=""),0,(W41-13/12*Z41)*(1+PREMISSAS!$C$16))</f>
        <v>0</v>
      </c>
      <c r="X42" s="140">
        <f ca="1">IF(OR((X41-13/12*AA41)*(1+PREMISSAS!$C$16)&lt;0,X41=""),0,(X41-13/12*AA41)*(1+PREMISSAS!$C$16))</f>
        <v>0</v>
      </c>
      <c r="Y42" s="140">
        <f t="shared" ca="1" si="3"/>
        <v>0</v>
      </c>
      <c r="Z42" s="167">
        <f t="shared" ca="1" si="6"/>
        <v>0</v>
      </c>
      <c r="AA42" s="167">
        <f t="shared" ca="1" si="7"/>
        <v>0</v>
      </c>
    </row>
    <row r="43" spans="2:27" x14ac:dyDescent="0.25">
      <c r="B43" s="21">
        <f ca="1">IF(B42="","",IF(EOMONTH(B42,1)&gt;EOMONTH(ELEGIBILIDADE!$J$17,0),"",EOMONTH(B42,1)))</f>
        <v>44712</v>
      </c>
      <c r="C43" s="22">
        <f ca="1">IF(B43="","",IF(MONTH(B43)=1,C42*(1+PREMISSAS!$C$57),C42))</f>
        <v>0</v>
      </c>
      <c r="D43" s="22">
        <f ca="1">IF(RESULTADOS!$C$17="Normal",IFERROR(MAX(C43-PREMISSAS!$C$13,0),0),IF(Painel!$I$23=0,0,MAX(10*PREMISSAS!$C$38,RESULTADOS!$F$17)))</f>
        <v>0</v>
      </c>
      <c r="E43" s="4">
        <f ca="1">D43*IF(RESULTADOS!$C$17="Normal",RESULTADOS!$C$16,0)</f>
        <v>0</v>
      </c>
      <c r="F43" s="4">
        <f ca="1">IFERROR(IF(RESULTADOS!$C$17="Normal",D43,C43)*RESULTADOS!$C$18,0)</f>
        <v>0</v>
      </c>
      <c r="G43" s="4">
        <f ca="1">IFERROR(IF(RESULTADOS!$C$17="Normal",0,D43)*IF(RESULTADOS!$C$17="Normal",RESULTADOS!$C$18,RESULTADOS!$C$16),0)</f>
        <v>0</v>
      </c>
      <c r="H43" s="4">
        <f ca="1">IF(RESULTADOS!$C$17="Normal",E43,0)</f>
        <v>0</v>
      </c>
      <c r="I43" s="4">
        <f ca="1">(E43+H43+G43)*PREMISSAS!$C$60</f>
        <v>0</v>
      </c>
      <c r="J43" s="4">
        <f ca="1">D43*IF(RESULTADOS!$C$17="Normal",PREMISSAS!$C$62,0)</f>
        <v>0</v>
      </c>
      <c r="K43" s="116">
        <f ca="1">IFERROR(K42*(1+PREMISSAS!$C$18)+(E43+H43-IF(RESULTADOS!$C$17="Normal",I43,0)-J43)*IF(MONTH(B43)=12,2,1),0)</f>
        <v>0</v>
      </c>
      <c r="L43" s="116">
        <f ca="1">IFERROR((L42+G43-IF(RESULTADOS!$C$17="Normal",0,I43))*(1+PREMISSAS!$C$18)+F43,0)</f>
        <v>0</v>
      </c>
      <c r="N43" s="73">
        <f t="shared" ca="1" si="0"/>
        <v>0</v>
      </c>
      <c r="P43" s="164">
        <f t="shared" ca="1" si="1"/>
        <v>44712</v>
      </c>
      <c r="Q43" s="140">
        <f ca="1">IF(C43="","",Q42+(E43+H43-IF(RESULTADOS!$C$17="Normal",I43,0)-J43)/2+(F43+G43-IF(RESULTADOS!$C$17="Normal",0,I43)))</f>
        <v>0</v>
      </c>
      <c r="R43" s="140">
        <f ca="1">IF(C43="","",R42+(E43+H43-IF(RESULTADOS!$C$17="Normal",I43,0)-J43)/2)</f>
        <v>0</v>
      </c>
      <c r="S43" s="140">
        <f t="shared" ca="1" si="4"/>
        <v>0</v>
      </c>
      <c r="U43" s="164" t="str">
        <f t="shared" ca="1" si="5"/>
        <v/>
      </c>
      <c r="V43" s="164" t="str">
        <f t="shared" ca="1" si="2"/>
        <v/>
      </c>
      <c r="W43" s="140">
        <f ca="1">IF(OR((W42-13/12*Z42)*(1+PREMISSAS!$C$16)&lt;0,W42=""),0,(W42-13/12*Z42)*(1+PREMISSAS!$C$16))</f>
        <v>0</v>
      </c>
      <c r="X43" s="140">
        <f ca="1">IF(OR((X42-13/12*AA42)*(1+PREMISSAS!$C$16)&lt;0,X42=""),0,(X42-13/12*AA42)*(1+PREMISSAS!$C$16))</f>
        <v>0</v>
      </c>
      <c r="Y43" s="140">
        <f t="shared" ca="1" si="3"/>
        <v>0</v>
      </c>
      <c r="Z43" s="167">
        <f t="shared" ca="1" si="6"/>
        <v>0</v>
      </c>
      <c r="AA43" s="167">
        <f t="shared" ca="1" si="7"/>
        <v>0</v>
      </c>
    </row>
    <row r="44" spans="2:27" x14ac:dyDescent="0.25">
      <c r="B44" s="21">
        <f ca="1">IF(B43="","",IF(EOMONTH(B43,1)&gt;EOMONTH(ELEGIBILIDADE!$J$17,0),"",EOMONTH(B43,1)))</f>
        <v>44742</v>
      </c>
      <c r="C44" s="22">
        <f ca="1">IF(B44="","",IF(MONTH(B44)=1,C43*(1+PREMISSAS!$C$57),C43))</f>
        <v>0</v>
      </c>
      <c r="D44" s="22">
        <f ca="1">IF(RESULTADOS!$C$17="Normal",IFERROR(MAX(C44-PREMISSAS!$C$13,0),0),IF(Painel!$I$23=0,0,MAX(10*PREMISSAS!$C$38,RESULTADOS!$F$17)))</f>
        <v>0</v>
      </c>
      <c r="E44" s="4">
        <f ca="1">D44*IF(RESULTADOS!$C$17="Normal",RESULTADOS!$C$16,0)</f>
        <v>0</v>
      </c>
      <c r="F44" s="4">
        <f ca="1">IFERROR(IF(RESULTADOS!$C$17="Normal",D44,C44)*RESULTADOS!$C$18,0)</f>
        <v>0</v>
      </c>
      <c r="G44" s="4">
        <f ca="1">IFERROR(IF(RESULTADOS!$C$17="Normal",0,D44)*IF(RESULTADOS!$C$17="Normal",RESULTADOS!$C$18,RESULTADOS!$C$16),0)</f>
        <v>0</v>
      </c>
      <c r="H44" s="4">
        <f ca="1">IF(RESULTADOS!$C$17="Normal",E44,0)</f>
        <v>0</v>
      </c>
      <c r="I44" s="4">
        <f ca="1">(E44+H44+G44)*PREMISSAS!$C$60</f>
        <v>0</v>
      </c>
      <c r="J44" s="4">
        <f ca="1">D44*IF(RESULTADOS!$C$17="Normal",PREMISSAS!$C$62,0)</f>
        <v>0</v>
      </c>
      <c r="K44" s="116">
        <f ca="1">IFERROR(K43*(1+PREMISSAS!$C$18)+(E44+H44-IF(RESULTADOS!$C$17="Normal",I44,0)-J44)*IF(MONTH(B44)=12,2,1),0)</f>
        <v>0</v>
      </c>
      <c r="L44" s="116">
        <f ca="1">IFERROR((L43+G44-IF(RESULTADOS!$C$17="Normal",0,I44))*(1+PREMISSAS!$C$18)+F44,0)</f>
        <v>0</v>
      </c>
      <c r="N44" s="73">
        <f t="shared" ca="1" si="0"/>
        <v>0</v>
      </c>
      <c r="P44" s="164">
        <f t="shared" ca="1" si="1"/>
        <v>44742</v>
      </c>
      <c r="Q44" s="140">
        <f ca="1">IF(C44="","",Q43+(E44+H44-IF(RESULTADOS!$C$17="Normal",I44,0)-J44)/2+(F44+G44-IF(RESULTADOS!$C$17="Normal",0,I44)))</f>
        <v>0</v>
      </c>
      <c r="R44" s="140">
        <f ca="1">IF(C44="","",R43+(E44+H44-IF(RESULTADOS!$C$17="Normal",I44,0)-J44)/2)</f>
        <v>0</v>
      </c>
      <c r="S44" s="140">
        <f t="shared" ca="1" si="4"/>
        <v>0</v>
      </c>
      <c r="U44" s="164" t="str">
        <f t="shared" ca="1" si="5"/>
        <v/>
      </c>
      <c r="V44" s="164" t="str">
        <f t="shared" ca="1" si="2"/>
        <v/>
      </c>
      <c r="W44" s="140">
        <f ca="1">IF(OR((W43-13/12*Z43)*(1+PREMISSAS!$C$16)&lt;0,W43=""),0,(W43-13/12*Z43)*(1+PREMISSAS!$C$16))</f>
        <v>0</v>
      </c>
      <c r="X44" s="140">
        <f ca="1">IF(OR((X43-13/12*AA43)*(1+PREMISSAS!$C$16)&lt;0,X43=""),0,(X43-13/12*AA43)*(1+PREMISSAS!$C$16))</f>
        <v>0</v>
      </c>
      <c r="Y44" s="140">
        <f t="shared" ca="1" si="3"/>
        <v>0</v>
      </c>
      <c r="Z44" s="167">
        <f t="shared" ca="1" si="6"/>
        <v>0</v>
      </c>
      <c r="AA44" s="167">
        <f t="shared" ca="1" si="7"/>
        <v>0</v>
      </c>
    </row>
    <row r="45" spans="2:27" x14ac:dyDescent="0.25">
      <c r="B45" s="21">
        <f ca="1">IF(B44="","",IF(EOMONTH(B44,1)&gt;EOMONTH(ELEGIBILIDADE!$J$17,0),"",EOMONTH(B44,1)))</f>
        <v>44773</v>
      </c>
      <c r="C45" s="22">
        <f ca="1">IF(B45="","",IF(MONTH(B45)=1,C44*(1+PREMISSAS!$C$57),C44))</f>
        <v>0</v>
      </c>
      <c r="D45" s="22">
        <f ca="1">IF(RESULTADOS!$C$17="Normal",IFERROR(MAX(C45-PREMISSAS!$C$13,0),0),IF(Painel!$I$23=0,0,MAX(10*PREMISSAS!$C$38,RESULTADOS!$F$17)))</f>
        <v>0</v>
      </c>
      <c r="E45" s="4">
        <f ca="1">D45*IF(RESULTADOS!$C$17="Normal",RESULTADOS!$C$16,0)</f>
        <v>0</v>
      </c>
      <c r="F45" s="4">
        <f ca="1">IFERROR(IF(RESULTADOS!$C$17="Normal",D45,C45)*RESULTADOS!$C$18,0)</f>
        <v>0</v>
      </c>
      <c r="G45" s="4">
        <f ca="1">IFERROR(IF(RESULTADOS!$C$17="Normal",0,D45)*IF(RESULTADOS!$C$17="Normal",RESULTADOS!$C$18,RESULTADOS!$C$16),0)</f>
        <v>0</v>
      </c>
      <c r="H45" s="4">
        <f ca="1">IF(RESULTADOS!$C$17="Normal",E45,0)</f>
        <v>0</v>
      </c>
      <c r="I45" s="4">
        <f ca="1">(E45+H45+G45)*PREMISSAS!$C$60</f>
        <v>0</v>
      </c>
      <c r="J45" s="4">
        <f ca="1">D45*IF(RESULTADOS!$C$17="Normal",PREMISSAS!$C$62,0)</f>
        <v>0</v>
      </c>
      <c r="K45" s="116">
        <f ca="1">IFERROR(K44*(1+PREMISSAS!$C$18)+(E45+H45-IF(RESULTADOS!$C$17="Normal",I45,0)-J45)*IF(MONTH(B45)=12,2,1),0)</f>
        <v>0</v>
      </c>
      <c r="L45" s="116">
        <f ca="1">IFERROR((L44+G45-IF(RESULTADOS!$C$17="Normal",0,I45))*(1+PREMISSAS!$C$18)+F45,0)</f>
        <v>0</v>
      </c>
      <c r="N45" s="73">
        <f t="shared" ca="1" si="0"/>
        <v>0</v>
      </c>
      <c r="P45" s="164">
        <f t="shared" ca="1" si="1"/>
        <v>44773</v>
      </c>
      <c r="Q45" s="140">
        <f ca="1">IF(C45="","",Q44+(E45+H45-IF(RESULTADOS!$C$17="Normal",I45,0)-J45)/2+(F45+G45-IF(RESULTADOS!$C$17="Normal",0,I45)))</f>
        <v>0</v>
      </c>
      <c r="R45" s="140">
        <f ca="1">IF(C45="","",R44+(E45+H45-IF(RESULTADOS!$C$17="Normal",I45,0)-J45)/2)</f>
        <v>0</v>
      </c>
      <c r="S45" s="140">
        <f t="shared" ca="1" si="4"/>
        <v>0</v>
      </c>
      <c r="U45" s="164" t="str">
        <f t="shared" ca="1" si="5"/>
        <v/>
      </c>
      <c r="V45" s="164" t="str">
        <f t="shared" ca="1" si="2"/>
        <v/>
      </c>
      <c r="W45" s="140">
        <f ca="1">IF(OR((W44-13/12*Z44)*(1+PREMISSAS!$C$16)&lt;0,W44=""),0,(W44-13/12*Z44)*(1+PREMISSAS!$C$16))</f>
        <v>0</v>
      </c>
      <c r="X45" s="140">
        <f ca="1">IF(OR((X44-13/12*AA44)*(1+PREMISSAS!$C$16)&lt;0,X44=""),0,(X44-13/12*AA44)*(1+PREMISSAS!$C$16))</f>
        <v>0</v>
      </c>
      <c r="Y45" s="140">
        <f t="shared" ca="1" si="3"/>
        <v>0</v>
      </c>
      <c r="Z45" s="167">
        <f t="shared" ca="1" si="6"/>
        <v>0</v>
      </c>
      <c r="AA45" s="167">
        <f t="shared" ca="1" si="7"/>
        <v>0</v>
      </c>
    </row>
    <row r="46" spans="2:27" x14ac:dyDescent="0.25">
      <c r="B46" s="21">
        <f ca="1">IF(B45="","",IF(EOMONTH(B45,1)&gt;EOMONTH(ELEGIBILIDADE!$J$17,0),"",EOMONTH(B45,1)))</f>
        <v>44804</v>
      </c>
      <c r="C46" s="22">
        <f ca="1">IF(B46="","",IF(MONTH(B46)=1,C45*(1+PREMISSAS!$C$57),C45))</f>
        <v>0</v>
      </c>
      <c r="D46" s="22">
        <f ca="1">IF(RESULTADOS!$C$17="Normal",IFERROR(MAX(C46-PREMISSAS!$C$13,0),0),IF(Painel!$I$23=0,0,MAX(10*PREMISSAS!$C$38,RESULTADOS!$F$17)))</f>
        <v>0</v>
      </c>
      <c r="E46" s="4">
        <f ca="1">D46*IF(RESULTADOS!$C$17="Normal",RESULTADOS!$C$16,0)</f>
        <v>0</v>
      </c>
      <c r="F46" s="4">
        <f ca="1">IFERROR(IF(RESULTADOS!$C$17="Normal",D46,C46)*RESULTADOS!$C$18,0)</f>
        <v>0</v>
      </c>
      <c r="G46" s="4">
        <f ca="1">IFERROR(IF(RESULTADOS!$C$17="Normal",0,D46)*IF(RESULTADOS!$C$17="Normal",RESULTADOS!$C$18,RESULTADOS!$C$16),0)</f>
        <v>0</v>
      </c>
      <c r="H46" s="4">
        <f ca="1">IF(RESULTADOS!$C$17="Normal",E46,0)</f>
        <v>0</v>
      </c>
      <c r="I46" s="4">
        <f ca="1">(E46+H46+G46)*PREMISSAS!$C$60</f>
        <v>0</v>
      </c>
      <c r="J46" s="4">
        <f ca="1">D46*IF(RESULTADOS!$C$17="Normal",PREMISSAS!$C$62,0)</f>
        <v>0</v>
      </c>
      <c r="K46" s="116">
        <f ca="1">IFERROR(K45*(1+PREMISSAS!$C$18)+(E46+H46-IF(RESULTADOS!$C$17="Normal",I46,0)-J46)*IF(MONTH(B46)=12,2,1),0)</f>
        <v>0</v>
      </c>
      <c r="L46" s="116">
        <f ca="1">IFERROR((L45+G46-IF(RESULTADOS!$C$17="Normal",0,I46))*(1+PREMISSAS!$C$18)+F46,0)</f>
        <v>0</v>
      </c>
      <c r="N46" s="73">
        <f t="shared" ca="1" si="0"/>
        <v>0</v>
      </c>
      <c r="P46" s="164">
        <f t="shared" ca="1" si="1"/>
        <v>44804</v>
      </c>
      <c r="Q46" s="140">
        <f ca="1">IF(C46="","",Q45+(E46+H46-IF(RESULTADOS!$C$17="Normal",I46,0)-J46)/2+(F46+G46-IF(RESULTADOS!$C$17="Normal",0,I46)))</f>
        <v>0</v>
      </c>
      <c r="R46" s="140">
        <f ca="1">IF(C46="","",R45+(E46+H46-IF(RESULTADOS!$C$17="Normal",I46,0)-J46)/2)</f>
        <v>0</v>
      </c>
      <c r="S46" s="140">
        <f t="shared" ca="1" si="4"/>
        <v>0</v>
      </c>
      <c r="U46" s="164" t="str">
        <f t="shared" ca="1" si="5"/>
        <v/>
      </c>
      <c r="V46" s="164" t="str">
        <f t="shared" ca="1" si="2"/>
        <v/>
      </c>
      <c r="W46" s="140">
        <f ca="1">IF(OR((W45-13/12*Z45)*(1+PREMISSAS!$C$16)&lt;0,W45=""),0,(W45-13/12*Z45)*(1+PREMISSAS!$C$16))</f>
        <v>0</v>
      </c>
      <c r="X46" s="140">
        <f ca="1">IF(OR((X45-13/12*AA45)*(1+PREMISSAS!$C$16)&lt;0,X45=""),0,(X45-13/12*AA45)*(1+PREMISSAS!$C$16))</f>
        <v>0</v>
      </c>
      <c r="Y46" s="140">
        <f t="shared" ca="1" si="3"/>
        <v>0</v>
      </c>
      <c r="Z46" s="167">
        <f t="shared" ca="1" si="6"/>
        <v>0</v>
      </c>
      <c r="AA46" s="167">
        <f t="shared" ca="1" si="7"/>
        <v>0</v>
      </c>
    </row>
    <row r="47" spans="2:27" x14ac:dyDescent="0.25">
      <c r="B47" s="21">
        <f ca="1">IF(B46="","",IF(EOMONTH(B46,1)&gt;EOMONTH(ELEGIBILIDADE!$J$17,0),"",EOMONTH(B46,1)))</f>
        <v>44834</v>
      </c>
      <c r="C47" s="22">
        <f ca="1">IF(B47="","",IF(MONTH(B47)=1,C46*(1+PREMISSAS!$C$57),C46))</f>
        <v>0</v>
      </c>
      <c r="D47" s="22">
        <f ca="1">IF(RESULTADOS!$C$17="Normal",IFERROR(MAX(C47-PREMISSAS!$C$13,0),0),IF(Painel!$I$23=0,0,MAX(10*PREMISSAS!$C$38,RESULTADOS!$F$17)))</f>
        <v>0</v>
      </c>
      <c r="E47" s="4">
        <f ca="1">D47*IF(RESULTADOS!$C$17="Normal",RESULTADOS!$C$16,0)</f>
        <v>0</v>
      </c>
      <c r="F47" s="4">
        <f ca="1">IFERROR(IF(RESULTADOS!$C$17="Normal",D47,C47)*RESULTADOS!$C$18,0)</f>
        <v>0</v>
      </c>
      <c r="G47" s="4">
        <f ca="1">IFERROR(IF(RESULTADOS!$C$17="Normal",0,D47)*IF(RESULTADOS!$C$17="Normal",RESULTADOS!$C$18,RESULTADOS!$C$16),0)</f>
        <v>0</v>
      </c>
      <c r="H47" s="4">
        <f ca="1">IF(RESULTADOS!$C$17="Normal",E47,0)</f>
        <v>0</v>
      </c>
      <c r="I47" s="4">
        <f ca="1">(E47+H47+G47)*PREMISSAS!$C$60</f>
        <v>0</v>
      </c>
      <c r="J47" s="4">
        <f ca="1">D47*IF(RESULTADOS!$C$17="Normal",PREMISSAS!$C$62,0)</f>
        <v>0</v>
      </c>
      <c r="K47" s="116">
        <f ca="1">IFERROR(K46*(1+PREMISSAS!$C$18)+(E47+H47-IF(RESULTADOS!$C$17="Normal",I47,0)-J47)*IF(MONTH(B47)=12,2,1),0)</f>
        <v>0</v>
      </c>
      <c r="L47" s="116">
        <f ca="1">IFERROR((L46+G47-IF(RESULTADOS!$C$17="Normal",0,I47))*(1+PREMISSAS!$C$18)+F47,0)</f>
        <v>0</v>
      </c>
      <c r="N47" s="73">
        <f t="shared" ca="1" si="0"/>
        <v>0</v>
      </c>
      <c r="P47" s="164">
        <f t="shared" ca="1" si="1"/>
        <v>44834</v>
      </c>
      <c r="Q47" s="140">
        <f ca="1">IF(C47="","",Q46+(E47+H47-IF(RESULTADOS!$C$17="Normal",I47,0)-J47)/2+(F47+G47-IF(RESULTADOS!$C$17="Normal",0,I47)))</f>
        <v>0</v>
      </c>
      <c r="R47" s="140">
        <f ca="1">IF(C47="","",R46+(E47+H47-IF(RESULTADOS!$C$17="Normal",I47,0)-J47)/2)</f>
        <v>0</v>
      </c>
      <c r="S47" s="140">
        <f t="shared" ca="1" si="4"/>
        <v>0</v>
      </c>
      <c r="U47" s="164" t="str">
        <f t="shared" ca="1" si="5"/>
        <v/>
      </c>
      <c r="V47" s="164" t="str">
        <f t="shared" ca="1" si="2"/>
        <v/>
      </c>
      <c r="W47" s="140">
        <f ca="1">IF(OR((W46-13/12*Z46)*(1+PREMISSAS!$C$16)&lt;0,W46=""),0,(W46-13/12*Z46)*(1+PREMISSAS!$C$16))</f>
        <v>0</v>
      </c>
      <c r="X47" s="140">
        <f ca="1">IF(OR((X46-13/12*AA46)*(1+PREMISSAS!$C$16)&lt;0,X46=""),0,(X46-13/12*AA46)*(1+PREMISSAS!$C$16))</f>
        <v>0</v>
      </c>
      <c r="Y47" s="140">
        <f t="shared" ca="1" si="3"/>
        <v>0</v>
      </c>
      <c r="Z47" s="167">
        <f t="shared" ca="1" si="6"/>
        <v>0</v>
      </c>
      <c r="AA47" s="167">
        <f t="shared" ca="1" si="7"/>
        <v>0</v>
      </c>
    </row>
    <row r="48" spans="2:27" x14ac:dyDescent="0.25">
      <c r="B48" s="21">
        <f ca="1">IF(B47="","",IF(EOMONTH(B47,1)&gt;EOMONTH(ELEGIBILIDADE!$J$17,0),"",EOMONTH(B47,1)))</f>
        <v>44865</v>
      </c>
      <c r="C48" s="22">
        <f ca="1">IF(B48="","",IF(MONTH(B48)=1,C47*(1+PREMISSAS!$C$57),C47))</f>
        <v>0</v>
      </c>
      <c r="D48" s="22">
        <f ca="1">IF(RESULTADOS!$C$17="Normal",IFERROR(MAX(C48-PREMISSAS!$C$13,0),0),IF(Painel!$I$23=0,0,MAX(10*PREMISSAS!$C$38,RESULTADOS!$F$17)))</f>
        <v>0</v>
      </c>
      <c r="E48" s="4">
        <f ca="1">D48*IF(RESULTADOS!$C$17="Normal",RESULTADOS!$C$16,0)</f>
        <v>0</v>
      </c>
      <c r="F48" s="4">
        <f ca="1">IFERROR(IF(RESULTADOS!$C$17="Normal",D48,C48)*RESULTADOS!$C$18,0)</f>
        <v>0</v>
      </c>
      <c r="G48" s="4">
        <f ca="1">IFERROR(IF(RESULTADOS!$C$17="Normal",0,D48)*IF(RESULTADOS!$C$17="Normal",RESULTADOS!$C$18,RESULTADOS!$C$16),0)</f>
        <v>0</v>
      </c>
      <c r="H48" s="4">
        <f ca="1">IF(RESULTADOS!$C$17="Normal",E48,0)</f>
        <v>0</v>
      </c>
      <c r="I48" s="4">
        <f ca="1">(E48+H48+G48)*PREMISSAS!$C$60</f>
        <v>0</v>
      </c>
      <c r="J48" s="4">
        <f ca="1">D48*IF(RESULTADOS!$C$17="Normal",PREMISSAS!$C$62,0)</f>
        <v>0</v>
      </c>
      <c r="K48" s="116">
        <f ca="1">IFERROR(K47*(1+PREMISSAS!$C$18)+(E48+H48-IF(RESULTADOS!$C$17="Normal",I48,0)-J48)*IF(MONTH(B48)=12,2,1),0)</f>
        <v>0</v>
      </c>
      <c r="L48" s="116">
        <f ca="1">IFERROR((L47+G48-IF(RESULTADOS!$C$17="Normal",0,I48))*(1+PREMISSAS!$C$18)+F48,0)</f>
        <v>0</v>
      </c>
      <c r="N48" s="73">
        <f t="shared" ca="1" si="0"/>
        <v>0</v>
      </c>
      <c r="P48" s="164">
        <f t="shared" ca="1" si="1"/>
        <v>44865</v>
      </c>
      <c r="Q48" s="140">
        <f ca="1">IF(C48="","",Q47+(E48+H48-IF(RESULTADOS!$C$17="Normal",I48,0)-J48)/2+(F48+G48-IF(RESULTADOS!$C$17="Normal",0,I48)))</f>
        <v>0</v>
      </c>
      <c r="R48" s="140">
        <f ca="1">IF(C48="","",R47+(E48+H48-IF(RESULTADOS!$C$17="Normal",I48,0)-J48)/2)</f>
        <v>0</v>
      </c>
      <c r="S48" s="140">
        <f t="shared" ca="1" si="4"/>
        <v>0</v>
      </c>
      <c r="U48" s="164" t="str">
        <f t="shared" ca="1" si="5"/>
        <v/>
      </c>
      <c r="V48" s="164" t="str">
        <f t="shared" ca="1" si="2"/>
        <v/>
      </c>
      <c r="W48" s="140">
        <f ca="1">IF(OR((W47-13/12*Z47)*(1+PREMISSAS!$C$16)&lt;0,W47=""),0,(W47-13/12*Z47)*(1+PREMISSAS!$C$16))</f>
        <v>0</v>
      </c>
      <c r="X48" s="140">
        <f ca="1">IF(OR((X47-13/12*AA47)*(1+PREMISSAS!$C$16)&lt;0,X47=""),0,(X47-13/12*AA47)*(1+PREMISSAS!$C$16))</f>
        <v>0</v>
      </c>
      <c r="Y48" s="140">
        <f t="shared" ca="1" si="3"/>
        <v>0</v>
      </c>
      <c r="Z48" s="167">
        <f t="shared" ca="1" si="6"/>
        <v>0</v>
      </c>
      <c r="AA48" s="167">
        <f t="shared" ca="1" si="7"/>
        <v>0</v>
      </c>
    </row>
    <row r="49" spans="2:27" x14ac:dyDescent="0.25">
      <c r="B49" s="21">
        <f ca="1">IF(B48="","",IF(EOMONTH(B48,1)&gt;EOMONTH(ELEGIBILIDADE!$J$17,0),"",EOMONTH(B48,1)))</f>
        <v>44895</v>
      </c>
      <c r="C49" s="22">
        <f ca="1">IF(B49="","",IF(MONTH(B49)=1,C48*(1+PREMISSAS!$C$57),C48))</f>
        <v>0</v>
      </c>
      <c r="D49" s="22">
        <f ca="1">IF(RESULTADOS!$C$17="Normal",IFERROR(MAX(C49-PREMISSAS!$C$13,0),0),IF(Painel!$I$23=0,0,MAX(10*PREMISSAS!$C$38,RESULTADOS!$F$17)))</f>
        <v>0</v>
      </c>
      <c r="E49" s="4">
        <f ca="1">D49*IF(RESULTADOS!$C$17="Normal",RESULTADOS!$C$16,0)</f>
        <v>0</v>
      </c>
      <c r="F49" s="4">
        <f ca="1">IFERROR(IF(RESULTADOS!$C$17="Normal",D49,C49)*RESULTADOS!$C$18,0)</f>
        <v>0</v>
      </c>
      <c r="G49" s="4">
        <f ca="1">IFERROR(IF(RESULTADOS!$C$17="Normal",0,D49)*IF(RESULTADOS!$C$17="Normal",RESULTADOS!$C$18,RESULTADOS!$C$16),0)</f>
        <v>0</v>
      </c>
      <c r="H49" s="4">
        <f ca="1">IF(RESULTADOS!$C$17="Normal",E49,0)</f>
        <v>0</v>
      </c>
      <c r="I49" s="4">
        <f ca="1">(E49+H49+G49)*PREMISSAS!$C$60</f>
        <v>0</v>
      </c>
      <c r="J49" s="4">
        <f ca="1">D49*IF(RESULTADOS!$C$17="Normal",PREMISSAS!$C$62,0)</f>
        <v>0</v>
      </c>
      <c r="K49" s="116">
        <f ca="1">IFERROR(K48*(1+PREMISSAS!$C$18)+(E49+H49-IF(RESULTADOS!$C$17="Normal",I49,0)-J49)*IF(MONTH(B49)=12,2,1),0)</f>
        <v>0</v>
      </c>
      <c r="L49" s="116">
        <f ca="1">IFERROR((L48+G49-IF(RESULTADOS!$C$17="Normal",0,I49))*(1+PREMISSAS!$C$18)+F49,0)</f>
        <v>0</v>
      </c>
      <c r="N49" s="73">
        <f t="shared" ca="1" si="0"/>
        <v>0</v>
      </c>
      <c r="P49" s="164">
        <f t="shared" ca="1" si="1"/>
        <v>44895</v>
      </c>
      <c r="Q49" s="140">
        <f ca="1">IF(C49="","",Q48+(E49+H49-IF(RESULTADOS!$C$17="Normal",I49,0)-J49)/2+(F49+G49-IF(RESULTADOS!$C$17="Normal",0,I49)))</f>
        <v>0</v>
      </c>
      <c r="R49" s="140">
        <f ca="1">IF(C49="","",R48+(E49+H49-IF(RESULTADOS!$C$17="Normal",I49,0)-J49)/2)</f>
        <v>0</v>
      </c>
      <c r="S49" s="140">
        <f t="shared" ca="1" si="4"/>
        <v>0</v>
      </c>
      <c r="U49" s="164" t="str">
        <f t="shared" ca="1" si="5"/>
        <v/>
      </c>
      <c r="V49" s="164" t="str">
        <f t="shared" ca="1" si="2"/>
        <v/>
      </c>
      <c r="W49" s="140">
        <f ca="1">IF(OR((W48-13/12*Z48)*(1+PREMISSAS!$C$16)&lt;0,W48=""),0,(W48-13/12*Z48)*(1+PREMISSAS!$C$16))</f>
        <v>0</v>
      </c>
      <c r="X49" s="140">
        <f ca="1">IF(OR((X48-13/12*AA48)*(1+PREMISSAS!$C$16)&lt;0,X48=""),0,(X48-13/12*AA48)*(1+PREMISSAS!$C$16))</f>
        <v>0</v>
      </c>
      <c r="Y49" s="140">
        <f t="shared" ca="1" si="3"/>
        <v>0</v>
      </c>
      <c r="Z49" s="167">
        <f t="shared" ca="1" si="6"/>
        <v>0</v>
      </c>
      <c r="AA49" s="167">
        <f t="shared" ca="1" si="7"/>
        <v>0</v>
      </c>
    </row>
    <row r="50" spans="2:27" x14ac:dyDescent="0.25">
      <c r="B50" s="21">
        <f ca="1">IF(B49="","",IF(EOMONTH(B49,1)&gt;EOMONTH(ELEGIBILIDADE!$J$17,0),"",EOMONTH(B49,1)))</f>
        <v>44926</v>
      </c>
      <c r="C50" s="22">
        <f ca="1">IF(B50="","",IF(MONTH(B50)=1,C49*(1+PREMISSAS!$C$57),C49))</f>
        <v>0</v>
      </c>
      <c r="D50" s="22">
        <f ca="1">IF(RESULTADOS!$C$17="Normal",IFERROR(MAX(C50-PREMISSAS!$C$13,0),0),IF(Painel!$I$23=0,0,MAX(10*PREMISSAS!$C$38,RESULTADOS!$F$17)))</f>
        <v>0</v>
      </c>
      <c r="E50" s="4">
        <f ca="1">D50*IF(RESULTADOS!$C$17="Normal",RESULTADOS!$C$16,0)</f>
        <v>0</v>
      </c>
      <c r="F50" s="4">
        <f ca="1">IFERROR(IF(RESULTADOS!$C$17="Normal",D50,C50)*RESULTADOS!$C$18,0)</f>
        <v>0</v>
      </c>
      <c r="G50" s="4">
        <f ca="1">IFERROR(IF(RESULTADOS!$C$17="Normal",0,D50)*IF(RESULTADOS!$C$17="Normal",RESULTADOS!$C$18,RESULTADOS!$C$16),0)</f>
        <v>0</v>
      </c>
      <c r="H50" s="4">
        <f ca="1">IF(RESULTADOS!$C$17="Normal",E50,0)</f>
        <v>0</v>
      </c>
      <c r="I50" s="4">
        <f ca="1">(E50+H50+G50)*PREMISSAS!$C$60</f>
        <v>0</v>
      </c>
      <c r="J50" s="4">
        <f ca="1">D50*IF(RESULTADOS!$C$17="Normal",PREMISSAS!$C$62,0)</f>
        <v>0</v>
      </c>
      <c r="K50" s="116">
        <f ca="1">IFERROR(K49*(1+PREMISSAS!$C$18)+(E50+H50-IF(RESULTADOS!$C$17="Normal",I50,0)-J50)*IF(MONTH(B50)=12,2,1),0)</f>
        <v>0</v>
      </c>
      <c r="L50" s="116">
        <f ca="1">IFERROR((L49+G50-IF(RESULTADOS!$C$17="Normal",0,I50))*(1+PREMISSAS!$C$18)+F50,0)</f>
        <v>0</v>
      </c>
      <c r="N50" s="73">
        <f t="shared" ca="1" si="0"/>
        <v>0</v>
      </c>
      <c r="P50" s="164">
        <f t="shared" ca="1" si="1"/>
        <v>44926</v>
      </c>
      <c r="Q50" s="140">
        <f ca="1">IF(C50="","",Q49+(E50+H50-IF(RESULTADOS!$C$17="Normal",I50,0)-J50)/2+(F50+G50-IF(RESULTADOS!$C$17="Normal",0,I50)))</f>
        <v>0</v>
      </c>
      <c r="R50" s="140">
        <f ca="1">IF(C50="","",R49+(E50+H50-IF(RESULTADOS!$C$17="Normal",I50,0)-J50)/2)</f>
        <v>0</v>
      </c>
      <c r="S50" s="140">
        <f t="shared" ca="1" si="4"/>
        <v>0</v>
      </c>
      <c r="U50" s="164" t="str">
        <f t="shared" ca="1" si="5"/>
        <v/>
      </c>
      <c r="V50" s="164" t="str">
        <f t="shared" ca="1" si="2"/>
        <v/>
      </c>
      <c r="W50" s="140">
        <f ca="1">IF(OR((W49-13/12*Z49)*(1+PREMISSAS!$C$16)&lt;0,W49=""),0,(W49-13/12*Z49)*(1+PREMISSAS!$C$16))</f>
        <v>0</v>
      </c>
      <c r="X50" s="140">
        <f ca="1">IF(OR((X49-13/12*AA49)*(1+PREMISSAS!$C$16)&lt;0,X49=""),0,(X49-13/12*AA49)*(1+PREMISSAS!$C$16))</f>
        <v>0</v>
      </c>
      <c r="Y50" s="140">
        <f t="shared" ca="1" si="3"/>
        <v>0</v>
      </c>
      <c r="Z50" s="167">
        <f t="shared" ca="1" si="6"/>
        <v>0</v>
      </c>
      <c r="AA50" s="167">
        <f t="shared" ca="1" si="7"/>
        <v>0</v>
      </c>
    </row>
    <row r="51" spans="2:27" x14ac:dyDescent="0.25">
      <c r="B51" s="21">
        <f ca="1">IF(B50="","",IF(EOMONTH(B50,1)&gt;EOMONTH(ELEGIBILIDADE!$J$17,0),"",EOMONTH(B50,1)))</f>
        <v>44957</v>
      </c>
      <c r="C51" s="22">
        <f ca="1">IF(B51="","",IF(MONTH(B51)=1,C50*(1+PREMISSAS!$C$57),C50))</f>
        <v>0</v>
      </c>
      <c r="D51" s="22">
        <f ca="1">IF(RESULTADOS!$C$17="Normal",IFERROR(MAX(C51-PREMISSAS!$C$13,0),0),IF(Painel!$I$23=0,0,MAX(10*PREMISSAS!$C$38,RESULTADOS!$F$17)))</f>
        <v>0</v>
      </c>
      <c r="E51" s="4">
        <f ca="1">D51*IF(RESULTADOS!$C$17="Normal",RESULTADOS!$C$16,0)</f>
        <v>0</v>
      </c>
      <c r="F51" s="4">
        <f ca="1">IFERROR(IF(RESULTADOS!$C$17="Normal",D51,C51)*RESULTADOS!$C$18,0)</f>
        <v>0</v>
      </c>
      <c r="G51" s="4">
        <f ca="1">IFERROR(IF(RESULTADOS!$C$17="Normal",0,D51)*IF(RESULTADOS!$C$17="Normal",RESULTADOS!$C$18,RESULTADOS!$C$16),0)</f>
        <v>0</v>
      </c>
      <c r="H51" s="4">
        <f ca="1">IF(RESULTADOS!$C$17="Normal",E51,0)</f>
        <v>0</v>
      </c>
      <c r="I51" s="4">
        <f ca="1">(E51+H51+G51)*PREMISSAS!$C$60</f>
        <v>0</v>
      </c>
      <c r="J51" s="4">
        <f ca="1">D51*IF(RESULTADOS!$C$17="Normal",PREMISSAS!$C$62,0)</f>
        <v>0</v>
      </c>
      <c r="K51" s="116">
        <f ca="1">IFERROR(K50*(1+PREMISSAS!$C$18)+(E51+H51-IF(RESULTADOS!$C$17="Normal",I51,0)-J51)*IF(MONTH(B51)=12,2,1),0)</f>
        <v>0</v>
      </c>
      <c r="L51" s="116">
        <f ca="1">IFERROR((L50+G51-IF(RESULTADOS!$C$17="Normal",0,I51))*(1+PREMISSAS!$C$18)+F51,0)</f>
        <v>0</v>
      </c>
      <c r="N51" s="73">
        <f t="shared" ca="1" si="0"/>
        <v>0</v>
      </c>
      <c r="P51" s="164">
        <f t="shared" ca="1" si="1"/>
        <v>44957</v>
      </c>
      <c r="Q51" s="140">
        <f ca="1">IF(C51="","",Q50+(E51+H51-IF(RESULTADOS!$C$17="Normal",I51,0)-J51)/2+(F51+G51-IF(RESULTADOS!$C$17="Normal",0,I51)))</f>
        <v>0</v>
      </c>
      <c r="R51" s="140">
        <f ca="1">IF(C51="","",R50+(E51+H51-IF(RESULTADOS!$C$17="Normal",I51,0)-J51)/2)</f>
        <v>0</v>
      </c>
      <c r="S51" s="140">
        <f t="shared" ca="1" si="4"/>
        <v>0</v>
      </c>
      <c r="U51" s="164" t="str">
        <f t="shared" ca="1" si="5"/>
        <v/>
      </c>
      <c r="V51" s="164" t="str">
        <f t="shared" ca="1" si="2"/>
        <v/>
      </c>
      <c r="W51" s="140">
        <f ca="1">IF(OR((W50-13/12*Z50)*(1+PREMISSAS!$C$16)&lt;0,W50=""),0,(W50-13/12*Z50)*(1+PREMISSAS!$C$16))</f>
        <v>0</v>
      </c>
      <c r="X51" s="140">
        <f ca="1">IF(OR((X50-13/12*AA50)*(1+PREMISSAS!$C$16)&lt;0,X50=""),0,(X50-13/12*AA50)*(1+PREMISSAS!$C$16))</f>
        <v>0</v>
      </c>
      <c r="Y51" s="140">
        <f t="shared" ca="1" si="3"/>
        <v>0</v>
      </c>
      <c r="Z51" s="167">
        <f t="shared" ca="1" si="6"/>
        <v>0</v>
      </c>
      <c r="AA51" s="167">
        <f t="shared" ca="1" si="7"/>
        <v>0</v>
      </c>
    </row>
    <row r="52" spans="2:27" x14ac:dyDescent="0.25">
      <c r="B52" s="21">
        <f ca="1">IF(B51="","",IF(EOMONTH(B51,1)&gt;EOMONTH(ELEGIBILIDADE!$J$17,0),"",EOMONTH(B51,1)))</f>
        <v>44985</v>
      </c>
      <c r="C52" s="22">
        <f ca="1">IF(B52="","",IF(MONTH(B52)=1,C51*(1+PREMISSAS!$C$57),C51))</f>
        <v>0</v>
      </c>
      <c r="D52" s="22">
        <f ca="1">IF(RESULTADOS!$C$17="Normal",IFERROR(MAX(C52-PREMISSAS!$C$13,0),0),IF(Painel!$I$23=0,0,MAX(10*PREMISSAS!$C$38,RESULTADOS!$F$17)))</f>
        <v>0</v>
      </c>
      <c r="E52" s="4">
        <f ca="1">D52*IF(RESULTADOS!$C$17="Normal",RESULTADOS!$C$16,0)</f>
        <v>0</v>
      </c>
      <c r="F52" s="4">
        <f ca="1">IFERROR(IF(RESULTADOS!$C$17="Normal",D52,C52)*RESULTADOS!$C$18,0)</f>
        <v>0</v>
      </c>
      <c r="G52" s="4">
        <f ca="1">IFERROR(IF(RESULTADOS!$C$17="Normal",0,D52)*IF(RESULTADOS!$C$17="Normal",RESULTADOS!$C$18,RESULTADOS!$C$16),0)</f>
        <v>0</v>
      </c>
      <c r="H52" s="4">
        <f ca="1">IF(RESULTADOS!$C$17="Normal",E52,0)</f>
        <v>0</v>
      </c>
      <c r="I52" s="4">
        <f ca="1">(E52+H52+G52)*PREMISSAS!$C$60</f>
        <v>0</v>
      </c>
      <c r="J52" s="4">
        <f ca="1">D52*IF(RESULTADOS!$C$17="Normal",PREMISSAS!$C$62,0)</f>
        <v>0</v>
      </c>
      <c r="K52" s="116">
        <f ca="1">IFERROR(K51*(1+PREMISSAS!$C$18)+(E52+H52-IF(RESULTADOS!$C$17="Normal",I52,0)-J52)*IF(MONTH(B52)=12,2,1),0)</f>
        <v>0</v>
      </c>
      <c r="L52" s="116">
        <f ca="1">IFERROR((L51+G52-IF(RESULTADOS!$C$17="Normal",0,I52))*(1+PREMISSAS!$C$18)+F52,0)</f>
        <v>0</v>
      </c>
      <c r="N52" s="73">
        <f t="shared" ca="1" si="0"/>
        <v>0</v>
      </c>
      <c r="P52" s="164">
        <f t="shared" ca="1" si="1"/>
        <v>44985</v>
      </c>
      <c r="Q52" s="140">
        <f ca="1">IF(C52="","",Q51+(E52+H52-IF(RESULTADOS!$C$17="Normal",I52,0)-J52)/2+(F52+G52-IF(RESULTADOS!$C$17="Normal",0,I52)))</f>
        <v>0</v>
      </c>
      <c r="R52" s="140">
        <f ca="1">IF(C52="","",R51+(E52+H52-IF(RESULTADOS!$C$17="Normal",I52,0)-J52)/2)</f>
        <v>0</v>
      </c>
      <c r="S52" s="140">
        <f t="shared" ca="1" si="4"/>
        <v>0</v>
      </c>
      <c r="U52" s="164" t="str">
        <f t="shared" ca="1" si="5"/>
        <v/>
      </c>
      <c r="V52" s="164" t="str">
        <f t="shared" ca="1" si="2"/>
        <v/>
      </c>
      <c r="W52" s="140">
        <f ca="1">IF(OR((W51-13/12*Z51)*(1+PREMISSAS!$C$16)&lt;0,W51=""),0,(W51-13/12*Z51)*(1+PREMISSAS!$C$16))</f>
        <v>0</v>
      </c>
      <c r="X52" s="140">
        <f ca="1">IF(OR((X51-13/12*AA51)*(1+PREMISSAS!$C$16)&lt;0,X51=""),0,(X51-13/12*AA51)*(1+PREMISSAS!$C$16))</f>
        <v>0</v>
      </c>
      <c r="Y52" s="140">
        <f t="shared" ca="1" si="3"/>
        <v>0</v>
      </c>
      <c r="Z52" s="167">
        <f t="shared" ca="1" si="6"/>
        <v>0</v>
      </c>
      <c r="AA52" s="167">
        <f t="shared" ca="1" si="7"/>
        <v>0</v>
      </c>
    </row>
    <row r="53" spans="2:27" x14ac:dyDescent="0.25">
      <c r="B53" s="21">
        <f ca="1">IF(B52="","",IF(EOMONTH(B52,1)&gt;EOMONTH(ELEGIBILIDADE!$J$17,0),"",EOMONTH(B52,1)))</f>
        <v>45016</v>
      </c>
      <c r="C53" s="22">
        <f ca="1">IF(B53="","",IF(MONTH(B53)=1,C52*(1+PREMISSAS!$C$57),C52))</f>
        <v>0</v>
      </c>
      <c r="D53" s="22">
        <f ca="1">IF(RESULTADOS!$C$17="Normal",IFERROR(MAX(C53-PREMISSAS!$C$13,0),0),IF(Painel!$I$23=0,0,MAX(10*PREMISSAS!$C$38,RESULTADOS!$F$17)))</f>
        <v>0</v>
      </c>
      <c r="E53" s="4">
        <f ca="1">D53*IF(RESULTADOS!$C$17="Normal",RESULTADOS!$C$16,0)</f>
        <v>0</v>
      </c>
      <c r="F53" s="4">
        <f ca="1">IFERROR(IF(RESULTADOS!$C$17="Normal",D53,C53)*RESULTADOS!$C$18,0)</f>
        <v>0</v>
      </c>
      <c r="G53" s="4">
        <f ca="1">IFERROR(IF(RESULTADOS!$C$17="Normal",0,D53)*IF(RESULTADOS!$C$17="Normal",RESULTADOS!$C$18,RESULTADOS!$C$16),0)</f>
        <v>0</v>
      </c>
      <c r="H53" s="4">
        <f ca="1">IF(RESULTADOS!$C$17="Normal",E53,0)</f>
        <v>0</v>
      </c>
      <c r="I53" s="4">
        <f ca="1">(E53+H53+G53)*PREMISSAS!$C$60</f>
        <v>0</v>
      </c>
      <c r="J53" s="4">
        <f ca="1">D53*IF(RESULTADOS!$C$17="Normal",PREMISSAS!$C$62,0)</f>
        <v>0</v>
      </c>
      <c r="K53" s="116">
        <f ca="1">IFERROR(K52*(1+PREMISSAS!$C$18)+(E53+H53-IF(RESULTADOS!$C$17="Normal",I53,0)-J53)*IF(MONTH(B53)=12,2,1),0)</f>
        <v>0</v>
      </c>
      <c r="L53" s="116">
        <f ca="1">IFERROR((L52+G53-IF(RESULTADOS!$C$17="Normal",0,I53))*(1+PREMISSAS!$C$18)+F53,0)</f>
        <v>0</v>
      </c>
      <c r="N53" s="73">
        <f t="shared" ca="1" si="0"/>
        <v>0</v>
      </c>
      <c r="P53" s="164">
        <f t="shared" ca="1" si="1"/>
        <v>45016</v>
      </c>
      <c r="Q53" s="140">
        <f ca="1">IF(C53="","",Q52+(E53+H53-IF(RESULTADOS!$C$17="Normal",I53,0)-J53)/2+(F53+G53-IF(RESULTADOS!$C$17="Normal",0,I53)))</f>
        <v>0</v>
      </c>
      <c r="R53" s="140">
        <f ca="1">IF(C53="","",R52+(E53+H53-IF(RESULTADOS!$C$17="Normal",I53,0)-J53)/2)</f>
        <v>0</v>
      </c>
      <c r="S53" s="140">
        <f t="shared" ca="1" si="4"/>
        <v>0</v>
      </c>
      <c r="U53" s="164" t="str">
        <f t="shared" ca="1" si="5"/>
        <v/>
      </c>
      <c r="V53" s="164" t="str">
        <f t="shared" ca="1" si="2"/>
        <v/>
      </c>
      <c r="W53" s="140">
        <f ca="1">IF(OR((W52-13/12*Z52)*(1+PREMISSAS!$C$16)&lt;0,W52=""),0,(W52-13/12*Z52)*(1+PREMISSAS!$C$16))</f>
        <v>0</v>
      </c>
      <c r="X53" s="140">
        <f ca="1">IF(OR((X52-13/12*AA52)*(1+PREMISSAS!$C$16)&lt;0,X52=""),0,(X52-13/12*AA52)*(1+PREMISSAS!$C$16))</f>
        <v>0</v>
      </c>
      <c r="Y53" s="140">
        <f t="shared" ca="1" si="3"/>
        <v>0</v>
      </c>
      <c r="Z53" s="167">
        <f t="shared" ca="1" si="6"/>
        <v>0</v>
      </c>
      <c r="AA53" s="167">
        <f t="shared" ca="1" si="7"/>
        <v>0</v>
      </c>
    </row>
    <row r="54" spans="2:27" x14ac:dyDescent="0.25">
      <c r="B54" s="21">
        <f ca="1">IF(B53="","",IF(EOMONTH(B53,1)&gt;EOMONTH(ELEGIBILIDADE!$J$17,0),"",EOMONTH(B53,1)))</f>
        <v>45046</v>
      </c>
      <c r="C54" s="22">
        <f ca="1">IF(B54="","",IF(MONTH(B54)=1,C53*(1+PREMISSAS!$C$57),C53))</f>
        <v>0</v>
      </c>
      <c r="D54" s="22">
        <f ca="1">IF(RESULTADOS!$C$17="Normal",IFERROR(MAX(C54-PREMISSAS!$C$13,0),0),IF(Painel!$I$23=0,0,MAX(10*PREMISSAS!$C$38,RESULTADOS!$F$17)))</f>
        <v>0</v>
      </c>
      <c r="E54" s="4">
        <f ca="1">D54*IF(RESULTADOS!$C$17="Normal",RESULTADOS!$C$16,0)</f>
        <v>0</v>
      </c>
      <c r="F54" s="4">
        <f ca="1">IFERROR(IF(RESULTADOS!$C$17="Normal",D54,C54)*RESULTADOS!$C$18,0)</f>
        <v>0</v>
      </c>
      <c r="G54" s="4">
        <f ca="1">IFERROR(IF(RESULTADOS!$C$17="Normal",0,D54)*IF(RESULTADOS!$C$17="Normal",RESULTADOS!$C$18,RESULTADOS!$C$16),0)</f>
        <v>0</v>
      </c>
      <c r="H54" s="4">
        <f ca="1">IF(RESULTADOS!$C$17="Normal",E54,0)</f>
        <v>0</v>
      </c>
      <c r="I54" s="4">
        <f ca="1">(E54+H54+G54)*PREMISSAS!$C$60</f>
        <v>0</v>
      </c>
      <c r="J54" s="4">
        <f ca="1">D54*IF(RESULTADOS!$C$17="Normal",PREMISSAS!$C$62,0)</f>
        <v>0</v>
      </c>
      <c r="K54" s="116">
        <f ca="1">IFERROR(K53*(1+PREMISSAS!$C$18)+(E54+H54-IF(RESULTADOS!$C$17="Normal",I54,0)-J54)*IF(MONTH(B54)=12,2,1),0)</f>
        <v>0</v>
      </c>
      <c r="L54" s="116">
        <f ca="1">IFERROR((L53+G54-IF(RESULTADOS!$C$17="Normal",0,I54))*(1+PREMISSAS!$C$18)+F54,0)</f>
        <v>0</v>
      </c>
      <c r="N54" s="73">
        <f t="shared" ca="1" si="0"/>
        <v>0</v>
      </c>
      <c r="P54" s="164">
        <f t="shared" ca="1" si="1"/>
        <v>45046</v>
      </c>
      <c r="Q54" s="140">
        <f ca="1">IF(C54="","",Q53+(E54+H54-IF(RESULTADOS!$C$17="Normal",I54,0)-J54)/2+(F54+G54-IF(RESULTADOS!$C$17="Normal",0,I54)))</f>
        <v>0</v>
      </c>
      <c r="R54" s="140">
        <f ca="1">IF(C54="","",R53+(E54+H54-IF(RESULTADOS!$C$17="Normal",I54,0)-J54)/2)</f>
        <v>0</v>
      </c>
      <c r="S54" s="140">
        <f t="shared" ca="1" si="4"/>
        <v>0</v>
      </c>
      <c r="U54" s="164" t="str">
        <f t="shared" ca="1" si="5"/>
        <v/>
      </c>
      <c r="V54" s="164" t="str">
        <f t="shared" ca="1" si="2"/>
        <v/>
      </c>
      <c r="W54" s="140">
        <f ca="1">IF(OR((W53-13/12*Z53)*(1+PREMISSAS!$C$16)&lt;0,W53=""),0,(W53-13/12*Z53)*(1+PREMISSAS!$C$16))</f>
        <v>0</v>
      </c>
      <c r="X54" s="140">
        <f ca="1">IF(OR((X53-13/12*AA53)*(1+PREMISSAS!$C$16)&lt;0,X53=""),0,(X53-13/12*AA53)*(1+PREMISSAS!$C$16))</f>
        <v>0</v>
      </c>
      <c r="Y54" s="140">
        <f t="shared" ca="1" si="3"/>
        <v>0</v>
      </c>
      <c r="Z54" s="167">
        <f t="shared" ca="1" si="6"/>
        <v>0</v>
      </c>
      <c r="AA54" s="167">
        <f t="shared" ca="1" si="7"/>
        <v>0</v>
      </c>
    </row>
    <row r="55" spans="2:27" x14ac:dyDescent="0.25">
      <c r="B55" s="21">
        <f ca="1">IF(B54="","",IF(EOMONTH(B54,1)&gt;EOMONTH(ELEGIBILIDADE!$J$17,0),"",EOMONTH(B54,1)))</f>
        <v>45077</v>
      </c>
      <c r="C55" s="22">
        <f ca="1">IF(B55="","",IF(MONTH(B55)=1,C54*(1+PREMISSAS!$C$57),C54))</f>
        <v>0</v>
      </c>
      <c r="D55" s="22">
        <f ca="1">IF(RESULTADOS!$C$17="Normal",IFERROR(MAX(C55-PREMISSAS!$C$13,0),0),IF(Painel!$I$23=0,0,MAX(10*PREMISSAS!$C$38,RESULTADOS!$F$17)))</f>
        <v>0</v>
      </c>
      <c r="E55" s="4">
        <f ca="1">D55*IF(RESULTADOS!$C$17="Normal",RESULTADOS!$C$16,0)</f>
        <v>0</v>
      </c>
      <c r="F55" s="4">
        <f ca="1">IFERROR(IF(RESULTADOS!$C$17="Normal",D55,C55)*RESULTADOS!$C$18,0)</f>
        <v>0</v>
      </c>
      <c r="G55" s="4">
        <f ca="1">IFERROR(IF(RESULTADOS!$C$17="Normal",0,D55)*IF(RESULTADOS!$C$17="Normal",RESULTADOS!$C$18,RESULTADOS!$C$16),0)</f>
        <v>0</v>
      </c>
      <c r="H55" s="4">
        <f ca="1">IF(RESULTADOS!$C$17="Normal",E55,0)</f>
        <v>0</v>
      </c>
      <c r="I55" s="4">
        <f ca="1">(E55+H55+G55)*PREMISSAS!$C$60</f>
        <v>0</v>
      </c>
      <c r="J55" s="4">
        <f ca="1">D55*IF(RESULTADOS!$C$17="Normal",PREMISSAS!$C$62,0)</f>
        <v>0</v>
      </c>
      <c r="K55" s="116">
        <f ca="1">IFERROR(K54*(1+PREMISSAS!$C$18)+(E55+H55-IF(RESULTADOS!$C$17="Normal",I55,0)-J55)*IF(MONTH(B55)=12,2,1),0)</f>
        <v>0</v>
      </c>
      <c r="L55" s="116">
        <f ca="1">IFERROR((L54+G55-IF(RESULTADOS!$C$17="Normal",0,I55))*(1+PREMISSAS!$C$18)+F55,0)</f>
        <v>0</v>
      </c>
      <c r="N55" s="73">
        <f t="shared" ca="1" si="0"/>
        <v>0</v>
      </c>
      <c r="P55" s="164">
        <f t="shared" ca="1" si="1"/>
        <v>45077</v>
      </c>
      <c r="Q55" s="140">
        <f ca="1">IF(C55="","",Q54+(E55+H55-IF(RESULTADOS!$C$17="Normal",I55,0)-J55)/2+(F55+G55-IF(RESULTADOS!$C$17="Normal",0,I55)))</f>
        <v>0</v>
      </c>
      <c r="R55" s="140">
        <f ca="1">IF(C55="","",R54+(E55+H55-IF(RESULTADOS!$C$17="Normal",I55,0)-J55)/2)</f>
        <v>0</v>
      </c>
      <c r="S55" s="140">
        <f t="shared" ca="1" si="4"/>
        <v>0</v>
      </c>
      <c r="U55" s="164" t="str">
        <f t="shared" ca="1" si="5"/>
        <v/>
      </c>
      <c r="V55" s="164" t="str">
        <f t="shared" ca="1" si="2"/>
        <v/>
      </c>
      <c r="W55" s="140">
        <f ca="1">IF(OR((W54-13/12*Z54)*(1+PREMISSAS!$C$16)&lt;0,W54=""),0,(W54-13/12*Z54)*(1+PREMISSAS!$C$16))</f>
        <v>0</v>
      </c>
      <c r="X55" s="140">
        <f ca="1">IF(OR((X54-13/12*AA54)*(1+PREMISSAS!$C$16)&lt;0,X54=""),0,(X54-13/12*AA54)*(1+PREMISSAS!$C$16))</f>
        <v>0</v>
      </c>
      <c r="Y55" s="140">
        <f t="shared" ca="1" si="3"/>
        <v>0</v>
      </c>
      <c r="Z55" s="167">
        <f t="shared" ca="1" si="6"/>
        <v>0</v>
      </c>
      <c r="AA55" s="167">
        <f t="shared" ca="1" si="7"/>
        <v>0</v>
      </c>
    </row>
    <row r="56" spans="2:27" x14ac:dyDescent="0.25">
      <c r="B56" s="21">
        <f ca="1">IF(B55="","",IF(EOMONTH(B55,1)&gt;EOMONTH(ELEGIBILIDADE!$J$17,0),"",EOMONTH(B55,1)))</f>
        <v>45107</v>
      </c>
      <c r="C56" s="22">
        <f ca="1">IF(B56="","",IF(MONTH(B56)=1,C55*(1+PREMISSAS!$C$57),C55))</f>
        <v>0</v>
      </c>
      <c r="D56" s="22">
        <f ca="1">IF(RESULTADOS!$C$17="Normal",IFERROR(MAX(C56-PREMISSAS!$C$13,0),0),IF(Painel!$I$23=0,0,MAX(10*PREMISSAS!$C$38,RESULTADOS!$F$17)))</f>
        <v>0</v>
      </c>
      <c r="E56" s="4">
        <f ca="1">D56*IF(RESULTADOS!$C$17="Normal",RESULTADOS!$C$16,0)</f>
        <v>0</v>
      </c>
      <c r="F56" s="4">
        <f ca="1">IFERROR(IF(RESULTADOS!$C$17="Normal",D56,C56)*RESULTADOS!$C$18,0)</f>
        <v>0</v>
      </c>
      <c r="G56" s="4">
        <f ca="1">IFERROR(IF(RESULTADOS!$C$17="Normal",0,D56)*IF(RESULTADOS!$C$17="Normal",RESULTADOS!$C$18,RESULTADOS!$C$16),0)</f>
        <v>0</v>
      </c>
      <c r="H56" s="4">
        <f ca="1">IF(RESULTADOS!$C$17="Normal",E56,0)</f>
        <v>0</v>
      </c>
      <c r="I56" s="4">
        <f ca="1">(E56+H56+G56)*PREMISSAS!$C$60</f>
        <v>0</v>
      </c>
      <c r="J56" s="4">
        <f ca="1">D56*IF(RESULTADOS!$C$17="Normal",PREMISSAS!$C$62,0)</f>
        <v>0</v>
      </c>
      <c r="K56" s="116">
        <f ca="1">IFERROR(K55*(1+PREMISSAS!$C$18)+(E56+H56-IF(RESULTADOS!$C$17="Normal",I56,0)-J56)*IF(MONTH(B56)=12,2,1),0)</f>
        <v>0</v>
      </c>
      <c r="L56" s="116">
        <f ca="1">IFERROR((L55+G56-IF(RESULTADOS!$C$17="Normal",0,I56))*(1+PREMISSAS!$C$18)+F56,0)</f>
        <v>0</v>
      </c>
      <c r="N56" s="73">
        <f t="shared" ca="1" si="0"/>
        <v>0</v>
      </c>
      <c r="P56" s="164">
        <f t="shared" ca="1" si="1"/>
        <v>45107</v>
      </c>
      <c r="Q56" s="140">
        <f ca="1">IF(C56="","",Q55+(E56+H56-IF(RESULTADOS!$C$17="Normal",I56,0)-J56)/2+(F56+G56-IF(RESULTADOS!$C$17="Normal",0,I56)))</f>
        <v>0</v>
      </c>
      <c r="R56" s="140">
        <f ca="1">IF(C56="","",R55+(E56+H56-IF(RESULTADOS!$C$17="Normal",I56,0)-J56)/2)</f>
        <v>0</v>
      </c>
      <c r="S56" s="140">
        <f t="shared" ca="1" si="4"/>
        <v>0</v>
      </c>
      <c r="U56" s="164" t="str">
        <f t="shared" ca="1" si="5"/>
        <v/>
      </c>
      <c r="V56" s="164" t="str">
        <f t="shared" ca="1" si="2"/>
        <v/>
      </c>
      <c r="W56" s="140">
        <f ca="1">IF(OR((W55-13/12*Z55)*(1+PREMISSAS!$C$16)&lt;0,W55=""),0,(W55-13/12*Z55)*(1+PREMISSAS!$C$16))</f>
        <v>0</v>
      </c>
      <c r="X56" s="140">
        <f ca="1">IF(OR((X55-13/12*AA55)*(1+PREMISSAS!$C$16)&lt;0,X55=""),0,(X55-13/12*AA55)*(1+PREMISSAS!$C$16))</f>
        <v>0</v>
      </c>
      <c r="Y56" s="140">
        <f t="shared" ca="1" si="3"/>
        <v>0</v>
      </c>
      <c r="Z56" s="167">
        <f t="shared" ca="1" si="6"/>
        <v>0</v>
      </c>
      <c r="AA56" s="167">
        <f t="shared" ca="1" si="7"/>
        <v>0</v>
      </c>
    </row>
    <row r="57" spans="2:27" x14ac:dyDescent="0.25">
      <c r="B57" s="21">
        <f ca="1">IF(B56="","",IF(EOMONTH(B56,1)&gt;EOMONTH(ELEGIBILIDADE!$J$17,0),"",EOMONTH(B56,1)))</f>
        <v>45138</v>
      </c>
      <c r="C57" s="22">
        <f ca="1">IF(B57="","",IF(MONTH(B57)=1,C56*(1+PREMISSAS!$C$57),C56))</f>
        <v>0</v>
      </c>
      <c r="D57" s="22">
        <f ca="1">IF(RESULTADOS!$C$17="Normal",IFERROR(MAX(C57-PREMISSAS!$C$13,0),0),IF(Painel!$I$23=0,0,MAX(10*PREMISSAS!$C$38,RESULTADOS!$F$17)))</f>
        <v>0</v>
      </c>
      <c r="E57" s="4">
        <f ca="1">D57*IF(RESULTADOS!$C$17="Normal",RESULTADOS!$C$16,0)</f>
        <v>0</v>
      </c>
      <c r="F57" s="4">
        <f ca="1">IFERROR(IF(RESULTADOS!$C$17="Normal",D57,C57)*RESULTADOS!$C$18,0)</f>
        <v>0</v>
      </c>
      <c r="G57" s="4">
        <f ca="1">IFERROR(IF(RESULTADOS!$C$17="Normal",0,D57)*IF(RESULTADOS!$C$17="Normal",RESULTADOS!$C$18,RESULTADOS!$C$16),0)</f>
        <v>0</v>
      </c>
      <c r="H57" s="4">
        <f ca="1">IF(RESULTADOS!$C$17="Normal",E57,0)</f>
        <v>0</v>
      </c>
      <c r="I57" s="4">
        <f ca="1">(E57+H57+G57)*PREMISSAS!$C$60</f>
        <v>0</v>
      </c>
      <c r="J57" s="4">
        <f ca="1">D57*IF(RESULTADOS!$C$17="Normal",PREMISSAS!$C$62,0)</f>
        <v>0</v>
      </c>
      <c r="K57" s="116">
        <f ca="1">IFERROR(K56*(1+PREMISSAS!$C$18)+(E57+H57-IF(RESULTADOS!$C$17="Normal",I57,0)-J57)*IF(MONTH(B57)=12,2,1),0)</f>
        <v>0</v>
      </c>
      <c r="L57" s="116">
        <f ca="1">IFERROR((L56+G57-IF(RESULTADOS!$C$17="Normal",0,I57))*(1+PREMISSAS!$C$18)+F57,0)</f>
        <v>0</v>
      </c>
      <c r="N57" s="73">
        <f t="shared" ca="1" si="0"/>
        <v>0</v>
      </c>
      <c r="P57" s="164">
        <f t="shared" ca="1" si="1"/>
        <v>45138</v>
      </c>
      <c r="Q57" s="140">
        <f ca="1">IF(C57="","",Q56+(E57+H57-IF(RESULTADOS!$C$17="Normal",I57,0)-J57)/2+(F57+G57-IF(RESULTADOS!$C$17="Normal",0,I57)))</f>
        <v>0</v>
      </c>
      <c r="R57" s="140">
        <f ca="1">IF(C57="","",R56+(E57+H57-IF(RESULTADOS!$C$17="Normal",I57,0)-J57)/2)</f>
        <v>0</v>
      </c>
      <c r="S57" s="140">
        <f t="shared" ca="1" si="4"/>
        <v>0</v>
      </c>
      <c r="U57" s="164" t="str">
        <f t="shared" ca="1" si="5"/>
        <v/>
      </c>
      <c r="V57" s="164" t="str">
        <f t="shared" ca="1" si="2"/>
        <v/>
      </c>
      <c r="W57" s="140">
        <f ca="1">IF(OR((W56-13/12*Z56)*(1+PREMISSAS!$C$16)&lt;0,W56=""),0,(W56-13/12*Z56)*(1+PREMISSAS!$C$16))</f>
        <v>0</v>
      </c>
      <c r="X57" s="140">
        <f ca="1">IF(OR((X56-13/12*AA56)*(1+PREMISSAS!$C$16)&lt;0,X56=""),0,(X56-13/12*AA56)*(1+PREMISSAS!$C$16))</f>
        <v>0</v>
      </c>
      <c r="Y57" s="140">
        <f t="shared" ca="1" si="3"/>
        <v>0</v>
      </c>
      <c r="Z57" s="167">
        <f t="shared" ca="1" si="6"/>
        <v>0</v>
      </c>
      <c r="AA57" s="167">
        <f t="shared" ca="1" si="7"/>
        <v>0</v>
      </c>
    </row>
    <row r="58" spans="2:27" x14ac:dyDescent="0.25">
      <c r="B58" s="21">
        <f ca="1">IF(B57="","",IF(EOMONTH(B57,1)&gt;EOMONTH(ELEGIBILIDADE!$J$17,0),"",EOMONTH(B57,1)))</f>
        <v>45169</v>
      </c>
      <c r="C58" s="22">
        <f ca="1">IF(B58="","",IF(MONTH(B58)=1,C57*(1+PREMISSAS!$C$57),C57))</f>
        <v>0</v>
      </c>
      <c r="D58" s="22">
        <f ca="1">IF(RESULTADOS!$C$17="Normal",IFERROR(MAX(C58-PREMISSAS!$C$13,0),0),IF(Painel!$I$23=0,0,MAX(10*PREMISSAS!$C$38,RESULTADOS!$F$17)))</f>
        <v>0</v>
      </c>
      <c r="E58" s="4">
        <f ca="1">D58*IF(RESULTADOS!$C$17="Normal",RESULTADOS!$C$16,0)</f>
        <v>0</v>
      </c>
      <c r="F58" s="4">
        <f ca="1">IFERROR(IF(RESULTADOS!$C$17="Normal",D58,C58)*RESULTADOS!$C$18,0)</f>
        <v>0</v>
      </c>
      <c r="G58" s="4">
        <f ca="1">IFERROR(IF(RESULTADOS!$C$17="Normal",0,D58)*IF(RESULTADOS!$C$17="Normal",RESULTADOS!$C$18,RESULTADOS!$C$16),0)</f>
        <v>0</v>
      </c>
      <c r="H58" s="4">
        <f ca="1">IF(RESULTADOS!$C$17="Normal",E58,0)</f>
        <v>0</v>
      </c>
      <c r="I58" s="4">
        <f ca="1">(E58+H58+G58)*PREMISSAS!$C$60</f>
        <v>0</v>
      </c>
      <c r="J58" s="4">
        <f ca="1">D58*IF(RESULTADOS!$C$17="Normal",PREMISSAS!$C$62,0)</f>
        <v>0</v>
      </c>
      <c r="K58" s="116">
        <f ca="1">IFERROR(K57*(1+PREMISSAS!$C$18)+(E58+H58-IF(RESULTADOS!$C$17="Normal",I58,0)-J58)*IF(MONTH(B58)=12,2,1),0)</f>
        <v>0</v>
      </c>
      <c r="L58" s="116">
        <f ca="1">IFERROR((L57+G58-IF(RESULTADOS!$C$17="Normal",0,I58))*(1+PREMISSAS!$C$18)+F58,0)</f>
        <v>0</v>
      </c>
      <c r="N58" s="73">
        <f t="shared" ca="1" si="0"/>
        <v>0</v>
      </c>
      <c r="P58" s="164">
        <f t="shared" ca="1" si="1"/>
        <v>45169</v>
      </c>
      <c r="Q58" s="140">
        <f ca="1">IF(C58="","",Q57+(E58+H58-IF(RESULTADOS!$C$17="Normal",I58,0)-J58)/2+(F58+G58-IF(RESULTADOS!$C$17="Normal",0,I58)))</f>
        <v>0</v>
      </c>
      <c r="R58" s="140">
        <f ca="1">IF(C58="","",R57+(E58+H58-IF(RESULTADOS!$C$17="Normal",I58,0)-J58)/2)</f>
        <v>0</v>
      </c>
      <c r="S58" s="140">
        <f t="shared" ca="1" si="4"/>
        <v>0</v>
      </c>
      <c r="U58" s="164" t="str">
        <f t="shared" ca="1" si="5"/>
        <v/>
      </c>
      <c r="V58" s="164" t="str">
        <f t="shared" ca="1" si="2"/>
        <v/>
      </c>
      <c r="W58" s="140">
        <f ca="1">IF(OR((W57-13/12*Z57)*(1+PREMISSAS!$C$16)&lt;0,W57=""),0,(W57-13/12*Z57)*(1+PREMISSAS!$C$16))</f>
        <v>0</v>
      </c>
      <c r="X58" s="140">
        <f ca="1">IF(OR((X57-13/12*AA57)*(1+PREMISSAS!$C$16)&lt;0,X57=""),0,(X57-13/12*AA57)*(1+PREMISSAS!$C$16))</f>
        <v>0</v>
      </c>
      <c r="Y58" s="140">
        <f t="shared" ca="1" si="3"/>
        <v>0</v>
      </c>
      <c r="Z58" s="167">
        <f t="shared" ca="1" si="6"/>
        <v>0</v>
      </c>
      <c r="AA58" s="167">
        <f t="shared" ca="1" si="7"/>
        <v>0</v>
      </c>
    </row>
    <row r="59" spans="2:27" x14ac:dyDescent="0.25">
      <c r="B59" s="21">
        <f ca="1">IF(B58="","",IF(EOMONTH(B58,1)&gt;EOMONTH(ELEGIBILIDADE!$J$17,0),"",EOMONTH(B58,1)))</f>
        <v>45199</v>
      </c>
      <c r="C59" s="22">
        <f ca="1">IF(B59="","",IF(MONTH(B59)=1,C58*(1+PREMISSAS!$C$57),C58))</f>
        <v>0</v>
      </c>
      <c r="D59" s="22">
        <f ca="1">IF(RESULTADOS!$C$17="Normal",IFERROR(MAX(C59-PREMISSAS!$C$13,0),0),IF(Painel!$I$23=0,0,MAX(10*PREMISSAS!$C$38,RESULTADOS!$F$17)))</f>
        <v>0</v>
      </c>
      <c r="E59" s="4">
        <f ca="1">D59*IF(RESULTADOS!$C$17="Normal",RESULTADOS!$C$16,0)</f>
        <v>0</v>
      </c>
      <c r="F59" s="4">
        <f ca="1">IFERROR(IF(RESULTADOS!$C$17="Normal",D59,C59)*RESULTADOS!$C$18,0)</f>
        <v>0</v>
      </c>
      <c r="G59" s="4">
        <f ca="1">IFERROR(IF(RESULTADOS!$C$17="Normal",0,D59)*IF(RESULTADOS!$C$17="Normal",RESULTADOS!$C$18,RESULTADOS!$C$16),0)</f>
        <v>0</v>
      </c>
      <c r="H59" s="4">
        <f ca="1">IF(RESULTADOS!$C$17="Normal",E59,0)</f>
        <v>0</v>
      </c>
      <c r="I59" s="4">
        <f ca="1">(E59+H59+G59)*PREMISSAS!$C$60</f>
        <v>0</v>
      </c>
      <c r="J59" s="4">
        <f ca="1">D59*IF(RESULTADOS!$C$17="Normal",PREMISSAS!$C$62,0)</f>
        <v>0</v>
      </c>
      <c r="K59" s="116">
        <f ca="1">IFERROR(K58*(1+PREMISSAS!$C$18)+(E59+H59-IF(RESULTADOS!$C$17="Normal",I59,0)-J59)*IF(MONTH(B59)=12,2,1),0)</f>
        <v>0</v>
      </c>
      <c r="L59" s="116">
        <f ca="1">IFERROR((L58+G59-IF(RESULTADOS!$C$17="Normal",0,I59))*(1+PREMISSAS!$C$18)+F59,0)</f>
        <v>0</v>
      </c>
      <c r="N59" s="73">
        <f t="shared" ca="1" si="0"/>
        <v>0</v>
      </c>
      <c r="P59" s="164">
        <f t="shared" ca="1" si="1"/>
        <v>45199</v>
      </c>
      <c r="Q59" s="140">
        <f ca="1">IF(C59="","",Q58+(E59+H59-IF(RESULTADOS!$C$17="Normal",I59,0)-J59)/2+(F59+G59-IF(RESULTADOS!$C$17="Normal",0,I59)))</f>
        <v>0</v>
      </c>
      <c r="R59" s="140">
        <f ca="1">IF(C59="","",R58+(E59+H59-IF(RESULTADOS!$C$17="Normal",I59,0)-J59)/2)</f>
        <v>0</v>
      </c>
      <c r="S59" s="140">
        <f t="shared" ca="1" si="4"/>
        <v>0</v>
      </c>
      <c r="U59" s="164" t="str">
        <f t="shared" ca="1" si="5"/>
        <v/>
      </c>
      <c r="V59" s="164" t="str">
        <f t="shared" ca="1" si="2"/>
        <v/>
      </c>
      <c r="W59" s="140">
        <f ca="1">IF(OR((W58-13/12*Z58)*(1+PREMISSAS!$C$16)&lt;0,W58=""),0,(W58-13/12*Z58)*(1+PREMISSAS!$C$16))</f>
        <v>0</v>
      </c>
      <c r="X59" s="140">
        <f ca="1">IF(OR((X58-13/12*AA58)*(1+PREMISSAS!$C$16)&lt;0,X58=""),0,(X58-13/12*AA58)*(1+PREMISSAS!$C$16))</f>
        <v>0</v>
      </c>
      <c r="Y59" s="140">
        <f t="shared" ca="1" si="3"/>
        <v>0</v>
      </c>
      <c r="Z59" s="167">
        <f t="shared" ca="1" si="6"/>
        <v>0</v>
      </c>
      <c r="AA59" s="167">
        <f t="shared" ca="1" si="7"/>
        <v>0</v>
      </c>
    </row>
    <row r="60" spans="2:27" x14ac:dyDescent="0.25">
      <c r="B60" s="21">
        <f ca="1">IF(B59="","",IF(EOMONTH(B59,1)&gt;EOMONTH(ELEGIBILIDADE!$J$17,0),"",EOMONTH(B59,1)))</f>
        <v>45230</v>
      </c>
      <c r="C60" s="22">
        <f ca="1">IF(B60="","",IF(MONTH(B60)=1,C59*(1+PREMISSAS!$C$57),C59))</f>
        <v>0</v>
      </c>
      <c r="D60" s="22">
        <f ca="1">IF(RESULTADOS!$C$17="Normal",IFERROR(MAX(C60-PREMISSAS!$C$13,0),0),IF(Painel!$I$23=0,0,MAX(10*PREMISSAS!$C$38,RESULTADOS!$F$17)))</f>
        <v>0</v>
      </c>
      <c r="E60" s="4">
        <f ca="1">D60*IF(RESULTADOS!$C$17="Normal",RESULTADOS!$C$16,0)</f>
        <v>0</v>
      </c>
      <c r="F60" s="4">
        <f ca="1">IFERROR(IF(RESULTADOS!$C$17="Normal",D60,C60)*RESULTADOS!$C$18,0)</f>
        <v>0</v>
      </c>
      <c r="G60" s="4">
        <f ca="1">IFERROR(IF(RESULTADOS!$C$17="Normal",0,D60)*IF(RESULTADOS!$C$17="Normal",RESULTADOS!$C$18,RESULTADOS!$C$16),0)</f>
        <v>0</v>
      </c>
      <c r="H60" s="4">
        <f ca="1">IF(RESULTADOS!$C$17="Normal",E60,0)</f>
        <v>0</v>
      </c>
      <c r="I60" s="4">
        <f ca="1">(E60+H60+G60)*PREMISSAS!$C$60</f>
        <v>0</v>
      </c>
      <c r="J60" s="4">
        <f ca="1">D60*IF(RESULTADOS!$C$17="Normal",PREMISSAS!$C$62,0)</f>
        <v>0</v>
      </c>
      <c r="K60" s="116">
        <f ca="1">IFERROR(K59*(1+PREMISSAS!$C$18)+(E60+H60-IF(RESULTADOS!$C$17="Normal",I60,0)-J60)*IF(MONTH(B60)=12,2,1),0)</f>
        <v>0</v>
      </c>
      <c r="L60" s="116">
        <f ca="1">IFERROR((L59+G60-IF(RESULTADOS!$C$17="Normal",0,I60))*(1+PREMISSAS!$C$18)+F60,0)</f>
        <v>0</v>
      </c>
      <c r="N60" s="73">
        <f t="shared" ca="1" si="0"/>
        <v>0</v>
      </c>
      <c r="P60" s="164">
        <f t="shared" ca="1" si="1"/>
        <v>45230</v>
      </c>
      <c r="Q60" s="140">
        <f ca="1">IF(C60="","",Q59+(E60+H60-IF(RESULTADOS!$C$17="Normal",I60,0)-J60)/2+(F60+G60-IF(RESULTADOS!$C$17="Normal",0,I60)))</f>
        <v>0</v>
      </c>
      <c r="R60" s="140">
        <f ca="1">IF(C60="","",R59+(E60+H60-IF(RESULTADOS!$C$17="Normal",I60,0)-J60)/2)</f>
        <v>0</v>
      </c>
      <c r="S60" s="140">
        <f t="shared" ca="1" si="4"/>
        <v>0</v>
      </c>
      <c r="U60" s="164" t="str">
        <f t="shared" ca="1" si="5"/>
        <v/>
      </c>
      <c r="V60" s="164" t="str">
        <f t="shared" ca="1" si="2"/>
        <v/>
      </c>
      <c r="W60" s="140">
        <f ca="1">IF(OR((W59-13/12*Z59)*(1+PREMISSAS!$C$16)&lt;0,W59=""),0,(W59-13/12*Z59)*(1+PREMISSAS!$C$16))</f>
        <v>0</v>
      </c>
      <c r="X60" s="140">
        <f ca="1">IF(OR((X59-13/12*AA59)*(1+PREMISSAS!$C$16)&lt;0,X59=""),0,(X59-13/12*AA59)*(1+PREMISSAS!$C$16))</f>
        <v>0</v>
      </c>
      <c r="Y60" s="140">
        <f t="shared" ca="1" si="3"/>
        <v>0</v>
      </c>
      <c r="Z60" s="167">
        <f t="shared" ca="1" si="6"/>
        <v>0</v>
      </c>
      <c r="AA60" s="167">
        <f t="shared" ca="1" si="7"/>
        <v>0</v>
      </c>
    </row>
    <row r="61" spans="2:27" x14ac:dyDescent="0.25">
      <c r="B61" s="21">
        <f ca="1">IF(B60="","",IF(EOMONTH(B60,1)&gt;EOMONTH(ELEGIBILIDADE!$J$17,0),"",EOMONTH(B60,1)))</f>
        <v>45260</v>
      </c>
      <c r="C61" s="22">
        <f ca="1">IF(B61="","",IF(MONTH(B61)=1,C60*(1+PREMISSAS!$C$57),C60))</f>
        <v>0</v>
      </c>
      <c r="D61" s="22">
        <f ca="1">IF(RESULTADOS!$C$17="Normal",IFERROR(MAX(C61-PREMISSAS!$C$13,0),0),IF(Painel!$I$23=0,0,MAX(10*PREMISSAS!$C$38,RESULTADOS!$F$17)))</f>
        <v>0</v>
      </c>
      <c r="E61" s="4">
        <f ca="1">D61*IF(RESULTADOS!$C$17="Normal",RESULTADOS!$C$16,0)</f>
        <v>0</v>
      </c>
      <c r="F61" s="4">
        <f ca="1">IFERROR(IF(RESULTADOS!$C$17="Normal",D61,C61)*RESULTADOS!$C$18,0)</f>
        <v>0</v>
      </c>
      <c r="G61" s="4">
        <f ca="1">IFERROR(IF(RESULTADOS!$C$17="Normal",0,D61)*IF(RESULTADOS!$C$17="Normal",RESULTADOS!$C$18,RESULTADOS!$C$16),0)</f>
        <v>0</v>
      </c>
      <c r="H61" s="4">
        <f ca="1">IF(RESULTADOS!$C$17="Normal",E61,0)</f>
        <v>0</v>
      </c>
      <c r="I61" s="4">
        <f ca="1">(E61+H61+G61)*PREMISSAS!$C$60</f>
        <v>0</v>
      </c>
      <c r="J61" s="4">
        <f ca="1">D61*IF(RESULTADOS!$C$17="Normal",PREMISSAS!$C$62,0)</f>
        <v>0</v>
      </c>
      <c r="K61" s="116">
        <f ca="1">IFERROR(K60*(1+PREMISSAS!$C$18)+(E61+H61-IF(RESULTADOS!$C$17="Normal",I61,0)-J61)*IF(MONTH(B61)=12,2,1),0)</f>
        <v>0</v>
      </c>
      <c r="L61" s="116">
        <f ca="1">IFERROR((L60+G61-IF(RESULTADOS!$C$17="Normal",0,I61))*(1+PREMISSAS!$C$18)+F61,0)</f>
        <v>0</v>
      </c>
      <c r="N61" s="73">
        <f t="shared" ca="1" si="0"/>
        <v>0</v>
      </c>
      <c r="P61" s="164">
        <f t="shared" ca="1" si="1"/>
        <v>45260</v>
      </c>
      <c r="Q61" s="140">
        <f ca="1">IF(C61="","",Q60+(E61+H61-IF(RESULTADOS!$C$17="Normal",I61,0)-J61)/2+(F61+G61-IF(RESULTADOS!$C$17="Normal",0,I61)))</f>
        <v>0</v>
      </c>
      <c r="R61" s="140">
        <f ca="1">IF(C61="","",R60+(E61+H61-IF(RESULTADOS!$C$17="Normal",I61,0)-J61)/2)</f>
        <v>0</v>
      </c>
      <c r="S61" s="140">
        <f t="shared" ca="1" si="4"/>
        <v>0</v>
      </c>
      <c r="U61" s="164" t="str">
        <f t="shared" ca="1" si="5"/>
        <v/>
      </c>
      <c r="V61" s="164" t="str">
        <f t="shared" ca="1" si="2"/>
        <v/>
      </c>
      <c r="W61" s="140">
        <f ca="1">IF(OR((W60-13/12*Z60)*(1+PREMISSAS!$C$16)&lt;0,W60=""),0,(W60-13/12*Z60)*(1+PREMISSAS!$C$16))</f>
        <v>0</v>
      </c>
      <c r="X61" s="140">
        <f ca="1">IF(OR((X60-13/12*AA60)*(1+PREMISSAS!$C$16)&lt;0,X60=""),0,(X60-13/12*AA60)*(1+PREMISSAS!$C$16))</f>
        <v>0</v>
      </c>
      <c r="Y61" s="140">
        <f t="shared" ca="1" si="3"/>
        <v>0</v>
      </c>
      <c r="Z61" s="167">
        <f t="shared" ca="1" si="6"/>
        <v>0</v>
      </c>
      <c r="AA61" s="167">
        <f t="shared" ca="1" si="7"/>
        <v>0</v>
      </c>
    </row>
    <row r="62" spans="2:27" x14ac:dyDescent="0.25">
      <c r="B62" s="21">
        <f ca="1">IF(B61="","",IF(EOMONTH(B61,1)&gt;EOMONTH(ELEGIBILIDADE!$J$17,0),"",EOMONTH(B61,1)))</f>
        <v>45291</v>
      </c>
      <c r="C62" s="22">
        <f ca="1">IF(B62="","",IF(MONTH(B62)=1,C61*(1+PREMISSAS!$C$57),C61))</f>
        <v>0</v>
      </c>
      <c r="D62" s="22">
        <f ca="1">IF(RESULTADOS!$C$17="Normal",IFERROR(MAX(C62-PREMISSAS!$C$13,0),0),IF(Painel!$I$23=0,0,MAX(10*PREMISSAS!$C$38,RESULTADOS!$F$17)))</f>
        <v>0</v>
      </c>
      <c r="E62" s="4">
        <f ca="1">D62*IF(RESULTADOS!$C$17="Normal",RESULTADOS!$C$16,0)</f>
        <v>0</v>
      </c>
      <c r="F62" s="4">
        <f ca="1">IFERROR(IF(RESULTADOS!$C$17="Normal",D62,C62)*RESULTADOS!$C$18,0)</f>
        <v>0</v>
      </c>
      <c r="G62" s="4">
        <f ca="1">IFERROR(IF(RESULTADOS!$C$17="Normal",0,D62)*IF(RESULTADOS!$C$17="Normal",RESULTADOS!$C$18,RESULTADOS!$C$16),0)</f>
        <v>0</v>
      </c>
      <c r="H62" s="4">
        <f ca="1">IF(RESULTADOS!$C$17="Normal",E62,0)</f>
        <v>0</v>
      </c>
      <c r="I62" s="4">
        <f ca="1">(E62+H62+G62)*PREMISSAS!$C$60</f>
        <v>0</v>
      </c>
      <c r="J62" s="4">
        <f ca="1">D62*IF(RESULTADOS!$C$17="Normal",PREMISSAS!$C$62,0)</f>
        <v>0</v>
      </c>
      <c r="K62" s="116">
        <f ca="1">IFERROR(K61*(1+PREMISSAS!$C$18)+(E62+H62-IF(RESULTADOS!$C$17="Normal",I62,0)-J62)*IF(MONTH(B62)=12,2,1),0)</f>
        <v>0</v>
      </c>
      <c r="L62" s="116">
        <f ca="1">IFERROR((L61+G62-IF(RESULTADOS!$C$17="Normal",0,I62))*(1+PREMISSAS!$C$18)+F62,0)</f>
        <v>0</v>
      </c>
      <c r="N62" s="73">
        <f t="shared" ca="1" si="0"/>
        <v>0</v>
      </c>
      <c r="P62" s="164">
        <f t="shared" ca="1" si="1"/>
        <v>45291</v>
      </c>
      <c r="Q62" s="140">
        <f ca="1">IF(C62="","",Q61+(E62+H62-IF(RESULTADOS!$C$17="Normal",I62,0)-J62)/2+(F62+G62-IF(RESULTADOS!$C$17="Normal",0,I62)))</f>
        <v>0</v>
      </c>
      <c r="R62" s="140">
        <f ca="1">IF(C62="","",R61+(E62+H62-IF(RESULTADOS!$C$17="Normal",I62,0)-J62)/2)</f>
        <v>0</v>
      </c>
      <c r="S62" s="140">
        <f t="shared" ca="1" si="4"/>
        <v>0</v>
      </c>
      <c r="U62" s="164" t="str">
        <f t="shared" ca="1" si="5"/>
        <v/>
      </c>
      <c r="V62" s="164" t="str">
        <f t="shared" ca="1" si="2"/>
        <v/>
      </c>
      <c r="W62" s="140">
        <f ca="1">IF(OR((W61-13/12*Z61)*(1+PREMISSAS!$C$16)&lt;0,W61=""),0,(W61-13/12*Z61)*(1+PREMISSAS!$C$16))</f>
        <v>0</v>
      </c>
      <c r="X62" s="140">
        <f ca="1">IF(OR((X61-13/12*AA61)*(1+PREMISSAS!$C$16)&lt;0,X61=""),0,(X61-13/12*AA61)*(1+PREMISSAS!$C$16))</f>
        <v>0</v>
      </c>
      <c r="Y62" s="140">
        <f t="shared" ca="1" si="3"/>
        <v>0</v>
      </c>
      <c r="Z62" s="167">
        <f t="shared" ca="1" si="6"/>
        <v>0</v>
      </c>
      <c r="AA62" s="167">
        <f t="shared" ca="1" si="7"/>
        <v>0</v>
      </c>
    </row>
    <row r="63" spans="2:27" x14ac:dyDescent="0.25">
      <c r="B63" s="21">
        <f ca="1">IF(B62="","",IF(EOMONTH(B62,1)&gt;EOMONTH(ELEGIBILIDADE!$J$17,0),"",EOMONTH(B62,1)))</f>
        <v>45322</v>
      </c>
      <c r="C63" s="22">
        <f ca="1">IF(B63="","",IF(MONTH(B63)=1,C62*(1+PREMISSAS!$C$57),C62))</f>
        <v>0</v>
      </c>
      <c r="D63" s="22">
        <f ca="1">IF(RESULTADOS!$C$17="Normal",IFERROR(MAX(C63-PREMISSAS!$C$13,0),0),IF(Painel!$I$23=0,0,MAX(10*PREMISSAS!$C$38,RESULTADOS!$F$17)))</f>
        <v>0</v>
      </c>
      <c r="E63" s="4">
        <f ca="1">D63*IF(RESULTADOS!$C$17="Normal",RESULTADOS!$C$16,0)</f>
        <v>0</v>
      </c>
      <c r="F63" s="4">
        <f ca="1">IFERROR(IF(RESULTADOS!$C$17="Normal",D63,C63)*RESULTADOS!$C$18,0)</f>
        <v>0</v>
      </c>
      <c r="G63" s="4">
        <f ca="1">IFERROR(IF(RESULTADOS!$C$17="Normal",0,D63)*IF(RESULTADOS!$C$17="Normal",RESULTADOS!$C$18,RESULTADOS!$C$16),0)</f>
        <v>0</v>
      </c>
      <c r="H63" s="4">
        <f ca="1">IF(RESULTADOS!$C$17="Normal",E63,0)</f>
        <v>0</v>
      </c>
      <c r="I63" s="4">
        <f ca="1">(E63+H63+G63)*PREMISSAS!$C$60</f>
        <v>0</v>
      </c>
      <c r="J63" s="4">
        <f ca="1">D63*IF(RESULTADOS!$C$17="Normal",PREMISSAS!$C$62,0)</f>
        <v>0</v>
      </c>
      <c r="K63" s="116">
        <f ca="1">IFERROR(K62*(1+PREMISSAS!$C$18)+(E63+H63-IF(RESULTADOS!$C$17="Normal",I63,0)-J63)*IF(MONTH(B63)=12,2,1),0)</f>
        <v>0</v>
      </c>
      <c r="L63" s="116">
        <f ca="1">IFERROR((L62+G63-IF(RESULTADOS!$C$17="Normal",0,I63))*(1+PREMISSAS!$C$18)+F63,0)</f>
        <v>0</v>
      </c>
      <c r="N63" s="73">
        <f t="shared" ca="1" si="0"/>
        <v>0</v>
      </c>
      <c r="P63" s="164">
        <f t="shared" ca="1" si="1"/>
        <v>45322</v>
      </c>
      <c r="Q63" s="140">
        <f ca="1">IF(C63="","",Q62+(E63+H63-IF(RESULTADOS!$C$17="Normal",I63,0)-J63)/2+(F63+G63-IF(RESULTADOS!$C$17="Normal",0,I63)))</f>
        <v>0</v>
      </c>
      <c r="R63" s="140">
        <f ca="1">IF(C63="","",R62+(E63+H63-IF(RESULTADOS!$C$17="Normal",I63,0)-J63)/2)</f>
        <v>0</v>
      </c>
      <c r="S63" s="140">
        <f t="shared" ca="1" si="4"/>
        <v>0</v>
      </c>
      <c r="U63" s="164" t="str">
        <f t="shared" ca="1" si="5"/>
        <v/>
      </c>
      <c r="V63" s="164" t="str">
        <f t="shared" ca="1" si="2"/>
        <v/>
      </c>
      <c r="W63" s="140">
        <f ca="1">IF(OR((W62-13/12*Z62)*(1+PREMISSAS!$C$16)&lt;0,W62=""),0,(W62-13/12*Z62)*(1+PREMISSAS!$C$16))</f>
        <v>0</v>
      </c>
      <c r="X63" s="140">
        <f ca="1">IF(OR((X62-13/12*AA62)*(1+PREMISSAS!$C$16)&lt;0,X62=""),0,(X62-13/12*AA62)*(1+PREMISSAS!$C$16))</f>
        <v>0</v>
      </c>
      <c r="Y63" s="140">
        <f t="shared" ca="1" si="3"/>
        <v>0</v>
      </c>
      <c r="Z63" s="167">
        <f t="shared" ca="1" si="6"/>
        <v>0</v>
      </c>
      <c r="AA63" s="167">
        <f t="shared" ca="1" si="7"/>
        <v>0</v>
      </c>
    </row>
    <row r="64" spans="2:27" x14ac:dyDescent="0.25">
      <c r="B64" s="21">
        <f ca="1">IF(B63="","",IF(EOMONTH(B63,1)&gt;EOMONTH(ELEGIBILIDADE!$J$17,0),"",EOMONTH(B63,1)))</f>
        <v>45351</v>
      </c>
      <c r="C64" s="22">
        <f ca="1">IF(B64="","",IF(MONTH(B64)=1,C63*(1+PREMISSAS!$C$57),C63))</f>
        <v>0</v>
      </c>
      <c r="D64" s="22">
        <f ca="1">IF(RESULTADOS!$C$17="Normal",IFERROR(MAX(C64-PREMISSAS!$C$13,0),0),IF(Painel!$I$23=0,0,MAX(10*PREMISSAS!$C$38,RESULTADOS!$F$17)))</f>
        <v>0</v>
      </c>
      <c r="E64" s="4">
        <f ca="1">D64*IF(RESULTADOS!$C$17="Normal",RESULTADOS!$C$16,0)</f>
        <v>0</v>
      </c>
      <c r="F64" s="4">
        <f ca="1">IFERROR(IF(RESULTADOS!$C$17="Normal",D64,C64)*RESULTADOS!$C$18,0)</f>
        <v>0</v>
      </c>
      <c r="G64" s="4">
        <f ca="1">IFERROR(IF(RESULTADOS!$C$17="Normal",0,D64)*IF(RESULTADOS!$C$17="Normal",RESULTADOS!$C$18,RESULTADOS!$C$16),0)</f>
        <v>0</v>
      </c>
      <c r="H64" s="4">
        <f ca="1">IF(RESULTADOS!$C$17="Normal",E64,0)</f>
        <v>0</v>
      </c>
      <c r="I64" s="4">
        <f ca="1">(E64+H64+G64)*PREMISSAS!$C$60</f>
        <v>0</v>
      </c>
      <c r="J64" s="4">
        <f ca="1">D64*IF(RESULTADOS!$C$17="Normal",PREMISSAS!$C$62,0)</f>
        <v>0</v>
      </c>
      <c r="K64" s="116">
        <f ca="1">IFERROR(K63*(1+PREMISSAS!$C$18)+(E64+H64-IF(RESULTADOS!$C$17="Normal",I64,0)-J64)*IF(MONTH(B64)=12,2,1),0)</f>
        <v>0</v>
      </c>
      <c r="L64" s="116">
        <f ca="1">IFERROR((L63+G64-IF(RESULTADOS!$C$17="Normal",0,I64))*(1+PREMISSAS!$C$18)+F64,0)</f>
        <v>0</v>
      </c>
      <c r="N64" s="73">
        <f t="shared" ca="1" si="0"/>
        <v>0</v>
      </c>
      <c r="P64" s="164">
        <f t="shared" ca="1" si="1"/>
        <v>45351</v>
      </c>
      <c r="Q64" s="140">
        <f ca="1">IF(C64="","",Q63+(E64+H64-IF(RESULTADOS!$C$17="Normal",I64,0)-J64)/2+(F64+G64-IF(RESULTADOS!$C$17="Normal",0,I64)))</f>
        <v>0</v>
      </c>
      <c r="R64" s="140">
        <f ca="1">IF(C64="","",R63+(E64+H64-IF(RESULTADOS!$C$17="Normal",I64,0)-J64)/2)</f>
        <v>0</v>
      </c>
      <c r="S64" s="140">
        <f t="shared" ca="1" si="4"/>
        <v>0</v>
      </c>
      <c r="U64" s="164" t="str">
        <f t="shared" ca="1" si="5"/>
        <v/>
      </c>
      <c r="V64" s="164" t="str">
        <f t="shared" ca="1" si="2"/>
        <v/>
      </c>
      <c r="W64" s="140">
        <f ca="1">IF(OR((W63-13/12*Z63)*(1+PREMISSAS!$C$16)&lt;0,W63=""),0,(W63-13/12*Z63)*(1+PREMISSAS!$C$16))</f>
        <v>0</v>
      </c>
      <c r="X64" s="140">
        <f ca="1">IF(OR((X63-13/12*AA63)*(1+PREMISSAS!$C$16)&lt;0,X63=""),0,(X63-13/12*AA63)*(1+PREMISSAS!$C$16))</f>
        <v>0</v>
      </c>
      <c r="Y64" s="140">
        <f t="shared" ca="1" si="3"/>
        <v>0</v>
      </c>
      <c r="Z64" s="167">
        <f t="shared" ca="1" si="6"/>
        <v>0</v>
      </c>
      <c r="AA64" s="167">
        <f t="shared" ca="1" si="7"/>
        <v>0</v>
      </c>
    </row>
    <row r="65" spans="2:27" x14ac:dyDescent="0.25">
      <c r="B65" s="21">
        <f ca="1">IF(B64="","",IF(EOMONTH(B64,1)&gt;EOMONTH(ELEGIBILIDADE!$J$17,0),"",EOMONTH(B64,1)))</f>
        <v>45382</v>
      </c>
      <c r="C65" s="22">
        <f ca="1">IF(B65="","",IF(MONTH(B65)=1,C64*(1+PREMISSAS!$C$57),C64))</f>
        <v>0</v>
      </c>
      <c r="D65" s="22">
        <f ca="1">IF(RESULTADOS!$C$17="Normal",IFERROR(MAX(C65-PREMISSAS!$C$13,0),0),IF(Painel!$I$23=0,0,MAX(10*PREMISSAS!$C$38,RESULTADOS!$F$17)))</f>
        <v>0</v>
      </c>
      <c r="E65" s="4">
        <f ca="1">D65*IF(RESULTADOS!$C$17="Normal",RESULTADOS!$C$16,0)</f>
        <v>0</v>
      </c>
      <c r="F65" s="4">
        <f ca="1">IFERROR(IF(RESULTADOS!$C$17="Normal",D65,C65)*RESULTADOS!$C$18,0)</f>
        <v>0</v>
      </c>
      <c r="G65" s="4">
        <f ca="1">IFERROR(IF(RESULTADOS!$C$17="Normal",0,D65)*IF(RESULTADOS!$C$17="Normal",RESULTADOS!$C$18,RESULTADOS!$C$16),0)</f>
        <v>0</v>
      </c>
      <c r="H65" s="4">
        <f ca="1">IF(RESULTADOS!$C$17="Normal",E65,0)</f>
        <v>0</v>
      </c>
      <c r="I65" s="4">
        <f ca="1">(E65+H65+G65)*PREMISSAS!$C$60</f>
        <v>0</v>
      </c>
      <c r="J65" s="4">
        <f ca="1">D65*IF(RESULTADOS!$C$17="Normal",PREMISSAS!$C$62,0)</f>
        <v>0</v>
      </c>
      <c r="K65" s="116">
        <f ca="1">IFERROR(K64*(1+PREMISSAS!$C$18)+(E65+H65-IF(RESULTADOS!$C$17="Normal",I65,0)-J65)*IF(MONTH(B65)=12,2,1),0)</f>
        <v>0</v>
      </c>
      <c r="L65" s="116">
        <f ca="1">IFERROR((L64+G65-IF(RESULTADOS!$C$17="Normal",0,I65))*(1+PREMISSAS!$C$18)+F65,0)</f>
        <v>0</v>
      </c>
      <c r="N65" s="73">
        <f t="shared" ca="1" si="0"/>
        <v>0</v>
      </c>
      <c r="P65" s="164">
        <f t="shared" ca="1" si="1"/>
        <v>45382</v>
      </c>
      <c r="Q65" s="140">
        <f ca="1">IF(C65="","",Q64+(E65+H65-IF(RESULTADOS!$C$17="Normal",I65,0)-J65)/2+(F65+G65-IF(RESULTADOS!$C$17="Normal",0,I65)))</f>
        <v>0</v>
      </c>
      <c r="R65" s="140">
        <f ca="1">IF(C65="","",R64+(E65+H65-IF(RESULTADOS!$C$17="Normal",I65,0)-J65)/2)</f>
        <v>0</v>
      </c>
      <c r="S65" s="140">
        <f t="shared" ca="1" si="4"/>
        <v>0</v>
      </c>
      <c r="U65" s="164" t="str">
        <f t="shared" ca="1" si="5"/>
        <v/>
      </c>
      <c r="V65" s="164" t="str">
        <f t="shared" ca="1" si="2"/>
        <v/>
      </c>
      <c r="W65" s="140">
        <f ca="1">IF(OR((W64-13/12*Z64)*(1+PREMISSAS!$C$16)&lt;0,W64=""),0,(W64-13/12*Z64)*(1+PREMISSAS!$C$16))</f>
        <v>0</v>
      </c>
      <c r="X65" s="140">
        <f ca="1">IF(OR((X64-13/12*AA64)*(1+PREMISSAS!$C$16)&lt;0,X64=""),0,(X64-13/12*AA64)*(1+PREMISSAS!$C$16))</f>
        <v>0</v>
      </c>
      <c r="Y65" s="140">
        <f t="shared" ca="1" si="3"/>
        <v>0</v>
      </c>
      <c r="Z65" s="167">
        <f t="shared" ca="1" si="6"/>
        <v>0</v>
      </c>
      <c r="AA65" s="167">
        <f t="shared" ca="1" si="7"/>
        <v>0</v>
      </c>
    </row>
    <row r="66" spans="2:27" x14ac:dyDescent="0.25">
      <c r="B66" s="21">
        <f ca="1">IF(B65="","",IF(EOMONTH(B65,1)&gt;EOMONTH(ELEGIBILIDADE!$J$17,0),"",EOMONTH(B65,1)))</f>
        <v>45412</v>
      </c>
      <c r="C66" s="22">
        <f ca="1">IF(B66="","",IF(MONTH(B66)=1,C65*(1+PREMISSAS!$C$57),C65))</f>
        <v>0</v>
      </c>
      <c r="D66" s="22">
        <f ca="1">IF(RESULTADOS!$C$17="Normal",IFERROR(MAX(C66-PREMISSAS!$C$13,0),0),IF(Painel!$I$23=0,0,MAX(10*PREMISSAS!$C$38,RESULTADOS!$F$17)))</f>
        <v>0</v>
      </c>
      <c r="E66" s="4">
        <f ca="1">D66*IF(RESULTADOS!$C$17="Normal",RESULTADOS!$C$16,0)</f>
        <v>0</v>
      </c>
      <c r="F66" s="4">
        <f ca="1">IFERROR(IF(RESULTADOS!$C$17="Normal",D66,C66)*RESULTADOS!$C$18,0)</f>
        <v>0</v>
      </c>
      <c r="G66" s="4">
        <f ca="1">IFERROR(IF(RESULTADOS!$C$17="Normal",0,D66)*IF(RESULTADOS!$C$17="Normal",RESULTADOS!$C$18,RESULTADOS!$C$16),0)</f>
        <v>0</v>
      </c>
      <c r="H66" s="4">
        <f ca="1">IF(RESULTADOS!$C$17="Normal",E66,0)</f>
        <v>0</v>
      </c>
      <c r="I66" s="4">
        <f ca="1">(E66+H66+G66)*PREMISSAS!$C$60</f>
        <v>0</v>
      </c>
      <c r="J66" s="4">
        <f ca="1">D66*IF(RESULTADOS!$C$17="Normal",PREMISSAS!$C$62,0)</f>
        <v>0</v>
      </c>
      <c r="K66" s="116">
        <f ca="1">IFERROR(K65*(1+PREMISSAS!$C$18)+(E66+H66-IF(RESULTADOS!$C$17="Normal",I66,0)-J66)*IF(MONTH(B66)=12,2,1),0)</f>
        <v>0</v>
      </c>
      <c r="L66" s="116">
        <f ca="1">IFERROR((L65+G66-IF(RESULTADOS!$C$17="Normal",0,I66))*(1+PREMISSAS!$C$18)+F66,0)</f>
        <v>0</v>
      </c>
      <c r="N66" s="73">
        <f t="shared" ca="1" si="0"/>
        <v>0</v>
      </c>
      <c r="P66" s="164">
        <f t="shared" ca="1" si="1"/>
        <v>45412</v>
      </c>
      <c r="Q66" s="140">
        <f ca="1">IF(C66="","",Q65+(E66+H66-IF(RESULTADOS!$C$17="Normal",I66,0)-J66)/2+(F66+G66-IF(RESULTADOS!$C$17="Normal",0,I66)))</f>
        <v>0</v>
      </c>
      <c r="R66" s="140">
        <f ca="1">IF(C66="","",R65+(E66+H66-IF(RESULTADOS!$C$17="Normal",I66,0)-J66)/2)</f>
        <v>0</v>
      </c>
      <c r="S66" s="140">
        <f t="shared" ca="1" si="4"/>
        <v>0</v>
      </c>
      <c r="U66" s="164" t="str">
        <f t="shared" ca="1" si="5"/>
        <v/>
      </c>
      <c r="V66" s="164" t="str">
        <f t="shared" ca="1" si="2"/>
        <v/>
      </c>
      <c r="W66" s="140">
        <f ca="1">IF(OR((W65-13/12*Z65)*(1+PREMISSAS!$C$16)&lt;0,W65=""),0,(W65-13/12*Z65)*(1+PREMISSAS!$C$16))</f>
        <v>0</v>
      </c>
      <c r="X66" s="140">
        <f ca="1">IF(OR((X65-13/12*AA65)*(1+PREMISSAS!$C$16)&lt;0,X65=""),0,(X65-13/12*AA65)*(1+PREMISSAS!$C$16))</f>
        <v>0</v>
      </c>
      <c r="Y66" s="140">
        <f t="shared" ca="1" si="3"/>
        <v>0</v>
      </c>
      <c r="Z66" s="167">
        <f t="shared" ca="1" si="6"/>
        <v>0</v>
      </c>
      <c r="AA66" s="167">
        <f t="shared" ca="1" si="7"/>
        <v>0</v>
      </c>
    </row>
    <row r="67" spans="2:27" x14ac:dyDescent="0.25">
      <c r="B67" s="21">
        <f ca="1">IF(B66="","",IF(EOMONTH(B66,1)&gt;EOMONTH(ELEGIBILIDADE!$J$17,0),"",EOMONTH(B66,1)))</f>
        <v>45443</v>
      </c>
      <c r="C67" s="22">
        <f ca="1">IF(B67="","",IF(MONTH(B67)=1,C66*(1+PREMISSAS!$C$57),C66))</f>
        <v>0</v>
      </c>
      <c r="D67" s="22">
        <f ca="1">IF(RESULTADOS!$C$17="Normal",IFERROR(MAX(C67-PREMISSAS!$C$13,0),0),IF(Painel!$I$23=0,0,MAX(10*PREMISSAS!$C$38,RESULTADOS!$F$17)))</f>
        <v>0</v>
      </c>
      <c r="E67" s="4">
        <f ca="1">D67*IF(RESULTADOS!$C$17="Normal",RESULTADOS!$C$16,0)</f>
        <v>0</v>
      </c>
      <c r="F67" s="4">
        <f ca="1">IFERROR(IF(RESULTADOS!$C$17="Normal",D67,C67)*RESULTADOS!$C$18,0)</f>
        <v>0</v>
      </c>
      <c r="G67" s="4">
        <f ca="1">IFERROR(IF(RESULTADOS!$C$17="Normal",0,D67)*IF(RESULTADOS!$C$17="Normal",RESULTADOS!$C$18,RESULTADOS!$C$16),0)</f>
        <v>0</v>
      </c>
      <c r="H67" s="4">
        <f ca="1">IF(RESULTADOS!$C$17="Normal",E67,0)</f>
        <v>0</v>
      </c>
      <c r="I67" s="4">
        <f ca="1">(E67+H67+G67)*PREMISSAS!$C$60</f>
        <v>0</v>
      </c>
      <c r="J67" s="4">
        <f ca="1">D67*IF(RESULTADOS!$C$17="Normal",PREMISSAS!$C$62,0)</f>
        <v>0</v>
      </c>
      <c r="K67" s="116">
        <f ca="1">IFERROR(K66*(1+PREMISSAS!$C$18)+(E67+H67-IF(RESULTADOS!$C$17="Normal",I67,0)-J67)*IF(MONTH(B67)=12,2,1),0)</f>
        <v>0</v>
      </c>
      <c r="L67" s="116">
        <f ca="1">IFERROR((L66+G67-IF(RESULTADOS!$C$17="Normal",0,I67))*(1+PREMISSAS!$C$18)+F67,0)</f>
        <v>0</v>
      </c>
      <c r="N67" s="73">
        <f t="shared" ca="1" si="0"/>
        <v>0</v>
      </c>
      <c r="P67" s="164">
        <f t="shared" ca="1" si="1"/>
        <v>45443</v>
      </c>
      <c r="Q67" s="140">
        <f ca="1">IF(C67="","",Q66+(E67+H67-IF(RESULTADOS!$C$17="Normal",I67,0)-J67)/2+(F67+G67-IF(RESULTADOS!$C$17="Normal",0,I67)))</f>
        <v>0</v>
      </c>
      <c r="R67" s="140">
        <f ca="1">IF(C67="","",R66+(E67+H67-IF(RESULTADOS!$C$17="Normal",I67,0)-J67)/2)</f>
        <v>0</v>
      </c>
      <c r="S67" s="140">
        <f t="shared" ca="1" si="4"/>
        <v>0</v>
      </c>
      <c r="U67" s="164" t="str">
        <f t="shared" ca="1" si="5"/>
        <v/>
      </c>
      <c r="V67" s="164" t="str">
        <f t="shared" ca="1" si="2"/>
        <v/>
      </c>
      <c r="W67" s="140">
        <f ca="1">IF(OR((W66-13/12*Z66)*(1+PREMISSAS!$C$16)&lt;0,W66=""),0,(W66-13/12*Z66)*(1+PREMISSAS!$C$16))</f>
        <v>0</v>
      </c>
      <c r="X67" s="140">
        <f ca="1">IF(OR((X66-13/12*AA66)*(1+PREMISSAS!$C$16)&lt;0,X66=""),0,(X66-13/12*AA66)*(1+PREMISSAS!$C$16))</f>
        <v>0</v>
      </c>
      <c r="Y67" s="140">
        <f t="shared" ca="1" si="3"/>
        <v>0</v>
      </c>
      <c r="Z67" s="167">
        <f t="shared" ca="1" si="6"/>
        <v>0</v>
      </c>
      <c r="AA67" s="167">
        <f t="shared" ca="1" si="7"/>
        <v>0</v>
      </c>
    </row>
    <row r="68" spans="2:27" x14ac:dyDescent="0.25">
      <c r="B68" s="21">
        <f ca="1">IF(B67="","",IF(EOMONTH(B67,1)&gt;EOMONTH(ELEGIBILIDADE!$J$17,0),"",EOMONTH(B67,1)))</f>
        <v>45473</v>
      </c>
      <c r="C68" s="22">
        <f ca="1">IF(B68="","",IF(MONTH(B68)=1,C67*(1+PREMISSAS!$C$57),C67))</f>
        <v>0</v>
      </c>
      <c r="D68" s="22">
        <f ca="1">IF(RESULTADOS!$C$17="Normal",IFERROR(MAX(C68-PREMISSAS!$C$13,0),0),IF(Painel!$I$23=0,0,MAX(10*PREMISSAS!$C$38,RESULTADOS!$F$17)))</f>
        <v>0</v>
      </c>
      <c r="E68" s="4">
        <f ca="1">D68*IF(RESULTADOS!$C$17="Normal",RESULTADOS!$C$16,0)</f>
        <v>0</v>
      </c>
      <c r="F68" s="4">
        <f ca="1">IFERROR(IF(RESULTADOS!$C$17="Normal",D68,C68)*RESULTADOS!$C$18,0)</f>
        <v>0</v>
      </c>
      <c r="G68" s="4">
        <f ca="1">IFERROR(IF(RESULTADOS!$C$17="Normal",0,D68)*IF(RESULTADOS!$C$17="Normal",RESULTADOS!$C$18,RESULTADOS!$C$16),0)</f>
        <v>0</v>
      </c>
      <c r="H68" s="4">
        <f ca="1">IF(RESULTADOS!$C$17="Normal",E68,0)</f>
        <v>0</v>
      </c>
      <c r="I68" s="4">
        <f ca="1">(E68+H68+G68)*PREMISSAS!$C$60</f>
        <v>0</v>
      </c>
      <c r="J68" s="4">
        <f ca="1">D68*IF(RESULTADOS!$C$17="Normal",PREMISSAS!$C$62,0)</f>
        <v>0</v>
      </c>
      <c r="K68" s="116">
        <f ca="1">IFERROR(K67*(1+PREMISSAS!$C$18)+(E68+H68-IF(RESULTADOS!$C$17="Normal",I68,0)-J68)*IF(MONTH(B68)=12,2,1),0)</f>
        <v>0</v>
      </c>
      <c r="L68" s="116">
        <f ca="1">IFERROR((L67+G68-IF(RESULTADOS!$C$17="Normal",0,I68))*(1+PREMISSAS!$C$18)+F68,0)</f>
        <v>0</v>
      </c>
      <c r="N68" s="73">
        <f t="shared" ca="1" si="0"/>
        <v>0</v>
      </c>
      <c r="P68" s="164">
        <f t="shared" ca="1" si="1"/>
        <v>45473</v>
      </c>
      <c r="Q68" s="140">
        <f ca="1">IF(C68="","",Q67+(E68+H68-IF(RESULTADOS!$C$17="Normal",I68,0)-J68)/2+(F68+G68-IF(RESULTADOS!$C$17="Normal",0,I68)))</f>
        <v>0</v>
      </c>
      <c r="R68" s="140">
        <f ca="1">IF(C68="","",R67+(E68+H68-IF(RESULTADOS!$C$17="Normal",I68,0)-J68)/2)</f>
        <v>0</v>
      </c>
      <c r="S68" s="140">
        <f t="shared" ca="1" si="4"/>
        <v>0</v>
      </c>
      <c r="U68" s="164" t="str">
        <f t="shared" ca="1" si="5"/>
        <v/>
      </c>
      <c r="V68" s="164" t="str">
        <f t="shared" ca="1" si="2"/>
        <v/>
      </c>
      <c r="W68" s="140">
        <f ca="1">IF(OR((W67-13/12*Z67)*(1+PREMISSAS!$C$16)&lt;0,W67=""),0,(W67-13/12*Z67)*(1+PREMISSAS!$C$16))</f>
        <v>0</v>
      </c>
      <c r="X68" s="140">
        <f ca="1">IF(OR((X67-13/12*AA67)*(1+PREMISSAS!$C$16)&lt;0,X67=""),0,(X67-13/12*AA67)*(1+PREMISSAS!$C$16))</f>
        <v>0</v>
      </c>
      <c r="Y68" s="140">
        <f t="shared" ca="1" si="3"/>
        <v>0</v>
      </c>
      <c r="Z68" s="167">
        <f t="shared" ca="1" si="6"/>
        <v>0</v>
      </c>
      <c r="AA68" s="167">
        <f t="shared" ca="1" si="7"/>
        <v>0</v>
      </c>
    </row>
    <row r="69" spans="2:27" x14ac:dyDescent="0.25">
      <c r="B69" s="21">
        <f ca="1">IF(B68="","",IF(EOMONTH(B68,1)&gt;EOMONTH(ELEGIBILIDADE!$J$17,0),"",EOMONTH(B68,1)))</f>
        <v>45504</v>
      </c>
      <c r="C69" s="22">
        <f ca="1">IF(B69="","",IF(MONTH(B69)=1,C68*(1+PREMISSAS!$C$57),C68))</f>
        <v>0</v>
      </c>
      <c r="D69" s="22">
        <f ca="1">IF(RESULTADOS!$C$17="Normal",IFERROR(MAX(C69-PREMISSAS!$C$13,0),0),IF(Painel!$I$23=0,0,MAX(10*PREMISSAS!$C$38,RESULTADOS!$F$17)))</f>
        <v>0</v>
      </c>
      <c r="E69" s="4">
        <f ca="1">D69*IF(RESULTADOS!$C$17="Normal",RESULTADOS!$C$16,0)</f>
        <v>0</v>
      </c>
      <c r="F69" s="4">
        <f ca="1">IFERROR(IF(RESULTADOS!$C$17="Normal",D69,C69)*RESULTADOS!$C$18,0)</f>
        <v>0</v>
      </c>
      <c r="G69" s="4">
        <f ca="1">IFERROR(IF(RESULTADOS!$C$17="Normal",0,D69)*IF(RESULTADOS!$C$17="Normal",RESULTADOS!$C$18,RESULTADOS!$C$16),0)</f>
        <v>0</v>
      </c>
      <c r="H69" s="4">
        <f ca="1">IF(RESULTADOS!$C$17="Normal",E69,0)</f>
        <v>0</v>
      </c>
      <c r="I69" s="4">
        <f ca="1">(E69+H69+G69)*PREMISSAS!$C$60</f>
        <v>0</v>
      </c>
      <c r="J69" s="4">
        <f ca="1">D69*IF(RESULTADOS!$C$17="Normal",PREMISSAS!$C$62,0)</f>
        <v>0</v>
      </c>
      <c r="K69" s="116">
        <f ca="1">IFERROR(K68*(1+PREMISSAS!$C$18)+(E69+H69-IF(RESULTADOS!$C$17="Normal",I69,0)-J69)*IF(MONTH(B69)=12,2,1),0)</f>
        <v>0</v>
      </c>
      <c r="L69" s="116">
        <f ca="1">IFERROR((L68+G69-IF(RESULTADOS!$C$17="Normal",0,I69))*(1+PREMISSAS!$C$18)+F69,0)</f>
        <v>0</v>
      </c>
      <c r="N69" s="73">
        <f t="shared" ca="1" si="0"/>
        <v>0</v>
      </c>
      <c r="P69" s="164">
        <f t="shared" ca="1" si="1"/>
        <v>45504</v>
      </c>
      <c r="Q69" s="140">
        <f ca="1">IF(C69="","",Q68+(E69+H69-IF(RESULTADOS!$C$17="Normal",I69,0)-J69)/2+(F69+G69-IF(RESULTADOS!$C$17="Normal",0,I69)))</f>
        <v>0</v>
      </c>
      <c r="R69" s="140">
        <f ca="1">IF(C69="","",R68+(E69+H69-IF(RESULTADOS!$C$17="Normal",I69,0)-J69)/2)</f>
        <v>0</v>
      </c>
      <c r="S69" s="140">
        <f t="shared" ca="1" si="4"/>
        <v>0</v>
      </c>
      <c r="U69" s="164" t="str">
        <f t="shared" ca="1" si="5"/>
        <v/>
      </c>
      <c r="V69" s="164" t="str">
        <f t="shared" ca="1" si="2"/>
        <v/>
      </c>
      <c r="W69" s="140">
        <f ca="1">IF(OR((W68-13/12*Z68)*(1+PREMISSAS!$C$16)&lt;0,W68=""),0,(W68-13/12*Z68)*(1+PREMISSAS!$C$16))</f>
        <v>0</v>
      </c>
      <c r="X69" s="140">
        <f ca="1">IF(OR((X68-13/12*AA68)*(1+PREMISSAS!$C$16)&lt;0,X68=""),0,(X68-13/12*AA68)*(1+PREMISSAS!$C$16))</f>
        <v>0</v>
      </c>
      <c r="Y69" s="140">
        <f t="shared" ca="1" si="3"/>
        <v>0</v>
      </c>
      <c r="Z69" s="167">
        <f t="shared" ca="1" si="6"/>
        <v>0</v>
      </c>
      <c r="AA69" s="167">
        <f t="shared" ca="1" si="7"/>
        <v>0</v>
      </c>
    </row>
    <row r="70" spans="2:27" x14ac:dyDescent="0.25">
      <c r="B70" s="21">
        <f ca="1">IF(B69="","",IF(EOMONTH(B69,1)&gt;EOMONTH(ELEGIBILIDADE!$J$17,0),"",EOMONTH(B69,1)))</f>
        <v>45535</v>
      </c>
      <c r="C70" s="22">
        <f ca="1">IF(B70="","",IF(MONTH(B70)=1,C69*(1+PREMISSAS!$C$57),C69))</f>
        <v>0</v>
      </c>
      <c r="D70" s="22">
        <f ca="1">IF(RESULTADOS!$C$17="Normal",IFERROR(MAX(C70-PREMISSAS!$C$13,0),0),IF(Painel!$I$23=0,0,MAX(10*PREMISSAS!$C$38,RESULTADOS!$F$17)))</f>
        <v>0</v>
      </c>
      <c r="E70" s="4">
        <f ca="1">D70*IF(RESULTADOS!$C$17="Normal",RESULTADOS!$C$16,0)</f>
        <v>0</v>
      </c>
      <c r="F70" s="4">
        <f ca="1">IFERROR(IF(RESULTADOS!$C$17="Normal",D70,C70)*RESULTADOS!$C$18,0)</f>
        <v>0</v>
      </c>
      <c r="G70" s="4">
        <f ca="1">IFERROR(IF(RESULTADOS!$C$17="Normal",0,D70)*IF(RESULTADOS!$C$17="Normal",RESULTADOS!$C$18,RESULTADOS!$C$16),0)</f>
        <v>0</v>
      </c>
      <c r="H70" s="4">
        <f ca="1">IF(RESULTADOS!$C$17="Normal",E70,0)</f>
        <v>0</v>
      </c>
      <c r="I70" s="4">
        <f ca="1">(E70+H70+G70)*PREMISSAS!$C$60</f>
        <v>0</v>
      </c>
      <c r="J70" s="4">
        <f ca="1">D70*IF(RESULTADOS!$C$17="Normal",PREMISSAS!$C$62,0)</f>
        <v>0</v>
      </c>
      <c r="K70" s="116">
        <f ca="1">IFERROR(K69*(1+PREMISSAS!$C$18)+(E70+H70-IF(RESULTADOS!$C$17="Normal",I70,0)-J70)*IF(MONTH(B70)=12,2,1),0)</f>
        <v>0</v>
      </c>
      <c r="L70" s="116">
        <f ca="1">IFERROR((L69+G70-IF(RESULTADOS!$C$17="Normal",0,I70))*(1+PREMISSAS!$C$18)+F70,0)</f>
        <v>0</v>
      </c>
      <c r="N70" s="73">
        <f t="shared" ref="N70:N133" ca="1" si="8">IFERROR((E70+F70+G70)/C70,0)</f>
        <v>0</v>
      </c>
      <c r="P70" s="164">
        <f t="shared" ref="P70:P133" ca="1" si="9">IF(C70="","",B70)</f>
        <v>45535</v>
      </c>
      <c r="Q70" s="140">
        <f ca="1">IF(C70="","",Q69+(E70+H70-IF(RESULTADOS!$C$17="Normal",I70,0)-J70)/2+(F70+G70-IF(RESULTADOS!$C$17="Normal",0,I70)))</f>
        <v>0</v>
      </c>
      <c r="R70" s="140">
        <f ca="1">IF(C70="","",R69+(E70+H70-IF(RESULTADOS!$C$17="Normal",I70,0)-J70)/2)</f>
        <v>0</v>
      </c>
      <c r="S70" s="140">
        <f t="shared" ca="1" si="4"/>
        <v>0</v>
      </c>
      <c r="U70" s="164" t="str">
        <f t="shared" ca="1" si="5"/>
        <v/>
      </c>
      <c r="V70" s="164" t="str">
        <f t="shared" ref="V70:V133" ca="1" si="10">IF(AA70&lt;&gt;"",U70,"")</f>
        <v/>
      </c>
      <c r="W70" s="140">
        <f ca="1">IF(OR((W69-13/12*Z69)*(1+PREMISSAS!$C$16)&lt;0,W69=""),0,(W69-13/12*Z69)*(1+PREMISSAS!$C$16))</f>
        <v>0</v>
      </c>
      <c r="X70" s="140">
        <f ca="1">IF(OR((X69-13/12*AA69)*(1+PREMISSAS!$C$16)&lt;0,X69=""),0,(X69-13/12*AA69)*(1+PREMISSAS!$C$16))</f>
        <v>0</v>
      </c>
      <c r="Y70" s="140">
        <f t="shared" ref="Y70:Y133" ca="1" si="11">SUM(W70:X70)</f>
        <v>0</v>
      </c>
      <c r="Z70" s="167">
        <f t="shared" ca="1" si="6"/>
        <v>0</v>
      </c>
      <c r="AA70" s="167">
        <f t="shared" ca="1" si="7"/>
        <v>0</v>
      </c>
    </row>
    <row r="71" spans="2:27" x14ac:dyDescent="0.25">
      <c r="B71" s="21">
        <f ca="1">IF(B70="","",IF(EOMONTH(B70,1)&gt;EOMONTH(ELEGIBILIDADE!$J$17,0),"",EOMONTH(B70,1)))</f>
        <v>45565</v>
      </c>
      <c r="C71" s="22">
        <f ca="1">IF(B71="","",IF(MONTH(B71)=1,C70*(1+PREMISSAS!$C$57),C70))</f>
        <v>0</v>
      </c>
      <c r="D71" s="22">
        <f ca="1">IF(RESULTADOS!$C$17="Normal",IFERROR(MAX(C71-PREMISSAS!$C$13,0),0),IF(Painel!$I$23=0,0,MAX(10*PREMISSAS!$C$38,RESULTADOS!$F$17)))</f>
        <v>0</v>
      </c>
      <c r="E71" s="4">
        <f ca="1">D71*IF(RESULTADOS!$C$17="Normal",RESULTADOS!$C$16,0)</f>
        <v>0</v>
      </c>
      <c r="F71" s="4">
        <f ca="1">IFERROR(IF(RESULTADOS!$C$17="Normal",D71,C71)*RESULTADOS!$C$18,0)</f>
        <v>0</v>
      </c>
      <c r="G71" s="4">
        <f ca="1">IFERROR(IF(RESULTADOS!$C$17="Normal",0,D71)*IF(RESULTADOS!$C$17="Normal",RESULTADOS!$C$18,RESULTADOS!$C$16),0)</f>
        <v>0</v>
      </c>
      <c r="H71" s="4">
        <f ca="1">IF(RESULTADOS!$C$17="Normal",E71,0)</f>
        <v>0</v>
      </c>
      <c r="I71" s="4">
        <f ca="1">(E71+H71+G71)*PREMISSAS!$C$60</f>
        <v>0</v>
      </c>
      <c r="J71" s="4">
        <f ca="1">D71*IF(RESULTADOS!$C$17="Normal",PREMISSAS!$C$62,0)</f>
        <v>0</v>
      </c>
      <c r="K71" s="116">
        <f ca="1">IFERROR(K70*(1+PREMISSAS!$C$18)+(E71+H71-IF(RESULTADOS!$C$17="Normal",I71,0)-J71)*IF(MONTH(B71)=12,2,1),0)</f>
        <v>0</v>
      </c>
      <c r="L71" s="116">
        <f ca="1">IFERROR((L70+G71-IF(RESULTADOS!$C$17="Normal",0,I71))*(1+PREMISSAS!$C$18)+F71,0)</f>
        <v>0</v>
      </c>
      <c r="N71" s="73">
        <f t="shared" ca="1" si="8"/>
        <v>0</v>
      </c>
      <c r="P71" s="164">
        <f t="shared" ca="1" si="9"/>
        <v>45565</v>
      </c>
      <c r="Q71" s="140">
        <f ca="1">IF(C71="","",Q70+(E71+H71-IF(RESULTADOS!$C$17="Normal",I71,0)-J71)/2+(F71+G71-IF(RESULTADOS!$C$17="Normal",0,I71)))</f>
        <v>0</v>
      </c>
      <c r="R71" s="140">
        <f ca="1">IF(C71="","",R70+(E71+H71-IF(RESULTADOS!$C$17="Normal",I71,0)-J71)/2)</f>
        <v>0</v>
      </c>
      <c r="S71" s="140">
        <f t="shared" ref="S71:S134" ca="1" si="12">SUM(K71:L71)-SUM(Q71:R71)</f>
        <v>0</v>
      </c>
      <c r="U71" s="164" t="str">
        <f t="shared" ref="U71:U134" ca="1" si="13">IF(Y71=0,"",EOMONTH(U70,1))</f>
        <v/>
      </c>
      <c r="V71" s="164" t="str">
        <f t="shared" ca="1" si="10"/>
        <v/>
      </c>
      <c r="W71" s="140">
        <f ca="1">IF(OR((W70-13/12*Z70)*(1+PREMISSAS!$C$16)&lt;0,W70=""),0,(W70-13/12*Z70)*(1+PREMISSAS!$C$16))</f>
        <v>0</v>
      </c>
      <c r="X71" s="140">
        <f ca="1">IF(OR((X70-13/12*AA70)*(1+PREMISSAS!$C$16)&lt;0,X70=""),0,(X70-13/12*AA70)*(1+PREMISSAS!$C$16))</f>
        <v>0</v>
      </c>
      <c r="Y71" s="140">
        <f t="shared" ca="1" si="11"/>
        <v>0</v>
      </c>
      <c r="Z71" s="167">
        <f t="shared" ref="Z71:Z134" ca="1" si="14">IF(W71&lt;&gt;0,Z70,0)</f>
        <v>0</v>
      </c>
      <c r="AA71" s="167">
        <f t="shared" ref="AA71:AA134" ca="1" si="15">IF(X71&lt;&gt;0,AA70,0)</f>
        <v>0</v>
      </c>
    </row>
    <row r="72" spans="2:27" x14ac:dyDescent="0.25">
      <c r="B72" s="21">
        <f ca="1">IF(B71="","",IF(EOMONTH(B71,1)&gt;EOMONTH(ELEGIBILIDADE!$J$17,0),"",EOMONTH(B71,1)))</f>
        <v>45596</v>
      </c>
      <c r="C72" s="22">
        <f ca="1">IF(B72="","",IF(MONTH(B72)=1,C71*(1+PREMISSAS!$C$57),C71))</f>
        <v>0</v>
      </c>
      <c r="D72" s="22">
        <f ca="1">IF(RESULTADOS!$C$17="Normal",IFERROR(MAX(C72-PREMISSAS!$C$13,0),0),IF(Painel!$I$23=0,0,MAX(10*PREMISSAS!$C$38,RESULTADOS!$F$17)))</f>
        <v>0</v>
      </c>
      <c r="E72" s="4">
        <f ca="1">D72*IF(RESULTADOS!$C$17="Normal",RESULTADOS!$C$16,0)</f>
        <v>0</v>
      </c>
      <c r="F72" s="4">
        <f ca="1">IFERROR(IF(RESULTADOS!$C$17="Normal",D72,C72)*RESULTADOS!$C$18,0)</f>
        <v>0</v>
      </c>
      <c r="G72" s="4">
        <f ca="1">IFERROR(IF(RESULTADOS!$C$17="Normal",0,D72)*IF(RESULTADOS!$C$17="Normal",RESULTADOS!$C$18,RESULTADOS!$C$16),0)</f>
        <v>0</v>
      </c>
      <c r="H72" s="4">
        <f ca="1">IF(RESULTADOS!$C$17="Normal",E72,0)</f>
        <v>0</v>
      </c>
      <c r="I72" s="4">
        <f ca="1">(E72+H72+G72)*PREMISSAS!$C$60</f>
        <v>0</v>
      </c>
      <c r="J72" s="4">
        <f ca="1">D72*IF(RESULTADOS!$C$17="Normal",PREMISSAS!$C$62,0)</f>
        <v>0</v>
      </c>
      <c r="K72" s="116">
        <f ca="1">IFERROR(K71*(1+PREMISSAS!$C$18)+(E72+H72-IF(RESULTADOS!$C$17="Normal",I72,0)-J72)*IF(MONTH(B72)=12,2,1),0)</f>
        <v>0</v>
      </c>
      <c r="L72" s="116">
        <f ca="1">IFERROR((L71+G72-IF(RESULTADOS!$C$17="Normal",0,I72))*(1+PREMISSAS!$C$18)+F72,0)</f>
        <v>0</v>
      </c>
      <c r="N72" s="73">
        <f t="shared" ca="1" si="8"/>
        <v>0</v>
      </c>
      <c r="P72" s="164">
        <f t="shared" ca="1" si="9"/>
        <v>45596</v>
      </c>
      <c r="Q72" s="140">
        <f ca="1">IF(C72="","",Q71+(E72+H72-IF(RESULTADOS!$C$17="Normal",I72,0)-J72)/2+(F72+G72-IF(RESULTADOS!$C$17="Normal",0,I72)))</f>
        <v>0</v>
      </c>
      <c r="R72" s="140">
        <f ca="1">IF(C72="","",R71+(E72+H72-IF(RESULTADOS!$C$17="Normal",I72,0)-J72)/2)</f>
        <v>0</v>
      </c>
      <c r="S72" s="140">
        <f t="shared" ca="1" si="12"/>
        <v>0</v>
      </c>
      <c r="U72" s="164" t="str">
        <f t="shared" ca="1" si="13"/>
        <v/>
      </c>
      <c r="V72" s="164" t="str">
        <f t="shared" ca="1" si="10"/>
        <v/>
      </c>
      <c r="W72" s="140">
        <f ca="1">IF(OR((W71-13/12*Z71)*(1+PREMISSAS!$C$16)&lt;0,W71=""),0,(W71-13/12*Z71)*(1+PREMISSAS!$C$16))</f>
        <v>0</v>
      </c>
      <c r="X72" s="140">
        <f ca="1">IF(OR((X71-13/12*AA71)*(1+PREMISSAS!$C$16)&lt;0,X71=""),0,(X71-13/12*AA71)*(1+PREMISSAS!$C$16))</f>
        <v>0</v>
      </c>
      <c r="Y72" s="140">
        <f t="shared" ca="1" si="11"/>
        <v>0</v>
      </c>
      <c r="Z72" s="167">
        <f t="shared" ca="1" si="14"/>
        <v>0</v>
      </c>
      <c r="AA72" s="167">
        <f t="shared" ca="1" si="15"/>
        <v>0</v>
      </c>
    </row>
    <row r="73" spans="2:27" x14ac:dyDescent="0.25">
      <c r="B73" s="21">
        <f ca="1">IF(B72="","",IF(EOMONTH(B72,1)&gt;EOMONTH(ELEGIBILIDADE!$J$17,0),"",EOMONTH(B72,1)))</f>
        <v>45626</v>
      </c>
      <c r="C73" s="22">
        <f ca="1">IF(B73="","",IF(MONTH(B73)=1,C72*(1+PREMISSAS!$C$57),C72))</f>
        <v>0</v>
      </c>
      <c r="D73" s="22">
        <f ca="1">IF(RESULTADOS!$C$17="Normal",IFERROR(MAX(C73-PREMISSAS!$C$13,0),0),IF(Painel!$I$23=0,0,MAX(10*PREMISSAS!$C$38,RESULTADOS!$F$17)))</f>
        <v>0</v>
      </c>
      <c r="E73" s="4">
        <f ca="1">D73*IF(RESULTADOS!$C$17="Normal",RESULTADOS!$C$16,0)</f>
        <v>0</v>
      </c>
      <c r="F73" s="4">
        <f ca="1">IFERROR(IF(RESULTADOS!$C$17="Normal",D73,C73)*RESULTADOS!$C$18,0)</f>
        <v>0</v>
      </c>
      <c r="G73" s="4">
        <f ca="1">IFERROR(IF(RESULTADOS!$C$17="Normal",0,D73)*IF(RESULTADOS!$C$17="Normal",RESULTADOS!$C$18,RESULTADOS!$C$16),0)</f>
        <v>0</v>
      </c>
      <c r="H73" s="4">
        <f ca="1">IF(RESULTADOS!$C$17="Normal",E73,0)</f>
        <v>0</v>
      </c>
      <c r="I73" s="4">
        <f ca="1">(E73+H73+G73)*PREMISSAS!$C$60</f>
        <v>0</v>
      </c>
      <c r="J73" s="4">
        <f ca="1">D73*IF(RESULTADOS!$C$17="Normal",PREMISSAS!$C$62,0)</f>
        <v>0</v>
      </c>
      <c r="K73" s="116">
        <f ca="1">IFERROR(K72*(1+PREMISSAS!$C$18)+(E73+H73-IF(RESULTADOS!$C$17="Normal",I73,0)-J73)*IF(MONTH(B73)=12,2,1),0)</f>
        <v>0</v>
      </c>
      <c r="L73" s="116">
        <f ca="1">IFERROR((L72+G73-IF(RESULTADOS!$C$17="Normal",0,I73))*(1+PREMISSAS!$C$18)+F73,0)</f>
        <v>0</v>
      </c>
      <c r="N73" s="73">
        <f t="shared" ca="1" si="8"/>
        <v>0</v>
      </c>
      <c r="P73" s="164">
        <f t="shared" ca="1" si="9"/>
        <v>45626</v>
      </c>
      <c r="Q73" s="140">
        <f ca="1">IF(C73="","",Q72+(E73+H73-IF(RESULTADOS!$C$17="Normal",I73,0)-J73)/2+(F73+G73-IF(RESULTADOS!$C$17="Normal",0,I73)))</f>
        <v>0</v>
      </c>
      <c r="R73" s="140">
        <f ca="1">IF(C73="","",R72+(E73+H73-IF(RESULTADOS!$C$17="Normal",I73,0)-J73)/2)</f>
        <v>0</v>
      </c>
      <c r="S73" s="140">
        <f t="shared" ca="1" si="12"/>
        <v>0</v>
      </c>
      <c r="U73" s="164" t="str">
        <f t="shared" ca="1" si="13"/>
        <v/>
      </c>
      <c r="V73" s="164" t="str">
        <f t="shared" ca="1" si="10"/>
        <v/>
      </c>
      <c r="W73" s="140">
        <f ca="1">IF(OR((W72-13/12*Z72)*(1+PREMISSAS!$C$16)&lt;0,W72=""),0,(W72-13/12*Z72)*(1+PREMISSAS!$C$16))</f>
        <v>0</v>
      </c>
      <c r="X73" s="140">
        <f ca="1">IF(OR((X72-13/12*AA72)*(1+PREMISSAS!$C$16)&lt;0,X72=""),0,(X72-13/12*AA72)*(1+PREMISSAS!$C$16))</f>
        <v>0</v>
      </c>
      <c r="Y73" s="140">
        <f t="shared" ca="1" si="11"/>
        <v>0</v>
      </c>
      <c r="Z73" s="167">
        <f t="shared" ca="1" si="14"/>
        <v>0</v>
      </c>
      <c r="AA73" s="167">
        <f t="shared" ca="1" si="15"/>
        <v>0</v>
      </c>
    </row>
    <row r="74" spans="2:27" x14ac:dyDescent="0.25">
      <c r="B74" s="21">
        <f ca="1">IF(B73="","",IF(EOMONTH(B73,1)&gt;EOMONTH(ELEGIBILIDADE!$J$17,0),"",EOMONTH(B73,1)))</f>
        <v>45657</v>
      </c>
      <c r="C74" s="22">
        <f ca="1">IF(B74="","",IF(MONTH(B74)=1,C73*(1+PREMISSAS!$C$57),C73))</f>
        <v>0</v>
      </c>
      <c r="D74" s="22">
        <f ca="1">IF(RESULTADOS!$C$17="Normal",IFERROR(MAX(C74-PREMISSAS!$C$13,0),0),IF(Painel!$I$23=0,0,MAX(10*PREMISSAS!$C$38,RESULTADOS!$F$17)))</f>
        <v>0</v>
      </c>
      <c r="E74" s="4">
        <f ca="1">D74*IF(RESULTADOS!$C$17="Normal",RESULTADOS!$C$16,0)</f>
        <v>0</v>
      </c>
      <c r="F74" s="4">
        <f ca="1">IFERROR(IF(RESULTADOS!$C$17="Normal",D74,C74)*RESULTADOS!$C$18,0)</f>
        <v>0</v>
      </c>
      <c r="G74" s="4">
        <f ca="1">IFERROR(IF(RESULTADOS!$C$17="Normal",0,D74)*IF(RESULTADOS!$C$17="Normal",RESULTADOS!$C$18,RESULTADOS!$C$16),0)</f>
        <v>0</v>
      </c>
      <c r="H74" s="4">
        <f ca="1">IF(RESULTADOS!$C$17="Normal",E74,0)</f>
        <v>0</v>
      </c>
      <c r="I74" s="4">
        <f ca="1">(E74+H74+G74)*PREMISSAS!$C$60</f>
        <v>0</v>
      </c>
      <c r="J74" s="4">
        <f ca="1">D74*IF(RESULTADOS!$C$17="Normal",PREMISSAS!$C$62,0)</f>
        <v>0</v>
      </c>
      <c r="K74" s="116">
        <f ca="1">IFERROR(K73*(1+PREMISSAS!$C$18)+(E74+H74-IF(RESULTADOS!$C$17="Normal",I74,0)-J74)*IF(MONTH(B74)=12,2,1),0)</f>
        <v>0</v>
      </c>
      <c r="L74" s="116">
        <f ca="1">IFERROR((L73+G74-IF(RESULTADOS!$C$17="Normal",0,I74))*(1+PREMISSAS!$C$18)+F74,0)</f>
        <v>0</v>
      </c>
      <c r="N74" s="73">
        <f t="shared" ca="1" si="8"/>
        <v>0</v>
      </c>
      <c r="P74" s="164">
        <f t="shared" ca="1" si="9"/>
        <v>45657</v>
      </c>
      <c r="Q74" s="140">
        <f ca="1">IF(C74="","",Q73+(E74+H74-IF(RESULTADOS!$C$17="Normal",I74,0)-J74)/2+(F74+G74-IF(RESULTADOS!$C$17="Normal",0,I74)))</f>
        <v>0</v>
      </c>
      <c r="R74" s="140">
        <f ca="1">IF(C74="","",R73+(E74+H74-IF(RESULTADOS!$C$17="Normal",I74,0)-J74)/2)</f>
        <v>0</v>
      </c>
      <c r="S74" s="140">
        <f t="shared" ca="1" si="12"/>
        <v>0</v>
      </c>
      <c r="U74" s="164" t="str">
        <f t="shared" ca="1" si="13"/>
        <v/>
      </c>
      <c r="V74" s="164" t="str">
        <f t="shared" ca="1" si="10"/>
        <v/>
      </c>
      <c r="W74" s="140">
        <f ca="1">IF(OR((W73-13/12*Z73)*(1+PREMISSAS!$C$16)&lt;0,W73=""),0,(W73-13/12*Z73)*(1+PREMISSAS!$C$16))</f>
        <v>0</v>
      </c>
      <c r="X74" s="140">
        <f ca="1">IF(OR((X73-13/12*AA73)*(1+PREMISSAS!$C$16)&lt;0,X73=""),0,(X73-13/12*AA73)*(1+PREMISSAS!$C$16))</f>
        <v>0</v>
      </c>
      <c r="Y74" s="140">
        <f t="shared" ca="1" si="11"/>
        <v>0</v>
      </c>
      <c r="Z74" s="167">
        <f t="shared" ca="1" si="14"/>
        <v>0</v>
      </c>
      <c r="AA74" s="167">
        <f t="shared" ca="1" si="15"/>
        <v>0</v>
      </c>
    </row>
    <row r="75" spans="2:27" x14ac:dyDescent="0.25">
      <c r="B75" s="21">
        <f ca="1">IF(B74="","",IF(EOMONTH(B74,1)&gt;EOMONTH(ELEGIBILIDADE!$J$17,0),"",EOMONTH(B74,1)))</f>
        <v>45688</v>
      </c>
      <c r="C75" s="22">
        <f ca="1">IF(B75="","",IF(MONTH(B75)=1,C74*(1+PREMISSAS!$C$57),C74))</f>
        <v>0</v>
      </c>
      <c r="D75" s="22">
        <f ca="1">IF(RESULTADOS!$C$17="Normal",IFERROR(MAX(C75-PREMISSAS!$C$13,0),0),IF(Painel!$I$23=0,0,MAX(10*PREMISSAS!$C$38,RESULTADOS!$F$17)))</f>
        <v>0</v>
      </c>
      <c r="E75" s="4">
        <f ca="1">D75*IF(RESULTADOS!$C$17="Normal",RESULTADOS!$C$16,0)</f>
        <v>0</v>
      </c>
      <c r="F75" s="4">
        <f ca="1">IFERROR(IF(RESULTADOS!$C$17="Normal",D75,C75)*RESULTADOS!$C$18,0)</f>
        <v>0</v>
      </c>
      <c r="G75" s="4">
        <f ca="1">IFERROR(IF(RESULTADOS!$C$17="Normal",0,D75)*IF(RESULTADOS!$C$17="Normal",RESULTADOS!$C$18,RESULTADOS!$C$16),0)</f>
        <v>0</v>
      </c>
      <c r="H75" s="4">
        <f ca="1">IF(RESULTADOS!$C$17="Normal",E75,0)</f>
        <v>0</v>
      </c>
      <c r="I75" s="4">
        <f ca="1">(E75+H75+G75)*PREMISSAS!$C$60</f>
        <v>0</v>
      </c>
      <c r="J75" s="4">
        <f ca="1">D75*IF(RESULTADOS!$C$17="Normal",PREMISSAS!$C$62,0)</f>
        <v>0</v>
      </c>
      <c r="K75" s="116">
        <f ca="1">IFERROR(K74*(1+PREMISSAS!$C$18)+(E75+H75-IF(RESULTADOS!$C$17="Normal",I75,0)-J75)*IF(MONTH(B75)=12,2,1),0)</f>
        <v>0</v>
      </c>
      <c r="L75" s="116">
        <f ca="1">IFERROR((L74+G75-IF(RESULTADOS!$C$17="Normal",0,I75))*(1+PREMISSAS!$C$18)+F75,0)</f>
        <v>0</v>
      </c>
      <c r="N75" s="73">
        <f t="shared" ca="1" si="8"/>
        <v>0</v>
      </c>
      <c r="P75" s="164">
        <f t="shared" ca="1" si="9"/>
        <v>45688</v>
      </c>
      <c r="Q75" s="140">
        <f ca="1">IF(C75="","",Q74+(E75+H75-IF(RESULTADOS!$C$17="Normal",I75,0)-J75)/2+(F75+G75-IF(RESULTADOS!$C$17="Normal",0,I75)))</f>
        <v>0</v>
      </c>
      <c r="R75" s="140">
        <f ca="1">IF(C75="","",R74+(E75+H75-IF(RESULTADOS!$C$17="Normal",I75,0)-J75)/2)</f>
        <v>0</v>
      </c>
      <c r="S75" s="140">
        <f t="shared" ca="1" si="12"/>
        <v>0</v>
      </c>
      <c r="U75" s="164" t="str">
        <f t="shared" ca="1" si="13"/>
        <v/>
      </c>
      <c r="V75" s="164" t="str">
        <f t="shared" ca="1" si="10"/>
        <v/>
      </c>
      <c r="W75" s="140">
        <f ca="1">IF(OR((W74-13/12*Z74)*(1+PREMISSAS!$C$16)&lt;0,W74=""),0,(W74-13/12*Z74)*(1+PREMISSAS!$C$16))</f>
        <v>0</v>
      </c>
      <c r="X75" s="140">
        <f ca="1">IF(OR((X74-13/12*AA74)*(1+PREMISSAS!$C$16)&lt;0,X74=""),0,(X74-13/12*AA74)*(1+PREMISSAS!$C$16))</f>
        <v>0</v>
      </c>
      <c r="Y75" s="140">
        <f t="shared" ca="1" si="11"/>
        <v>0</v>
      </c>
      <c r="Z75" s="167">
        <f t="shared" ca="1" si="14"/>
        <v>0</v>
      </c>
      <c r="AA75" s="167">
        <f t="shared" ca="1" si="15"/>
        <v>0</v>
      </c>
    </row>
    <row r="76" spans="2:27" x14ac:dyDescent="0.25">
      <c r="B76" s="21">
        <f ca="1">IF(B75="","",IF(EOMONTH(B75,1)&gt;EOMONTH(ELEGIBILIDADE!$J$17,0),"",EOMONTH(B75,1)))</f>
        <v>45716</v>
      </c>
      <c r="C76" s="22">
        <f ca="1">IF(B76="","",IF(MONTH(B76)=1,C75*(1+PREMISSAS!$C$57),C75))</f>
        <v>0</v>
      </c>
      <c r="D76" s="22">
        <f ca="1">IF(RESULTADOS!$C$17="Normal",IFERROR(MAX(C76-PREMISSAS!$C$13,0),0),IF(Painel!$I$23=0,0,MAX(10*PREMISSAS!$C$38,RESULTADOS!$F$17)))</f>
        <v>0</v>
      </c>
      <c r="E76" s="4">
        <f ca="1">D76*IF(RESULTADOS!$C$17="Normal",RESULTADOS!$C$16,0)</f>
        <v>0</v>
      </c>
      <c r="F76" s="4">
        <f ca="1">IFERROR(IF(RESULTADOS!$C$17="Normal",D76,C76)*RESULTADOS!$C$18,0)</f>
        <v>0</v>
      </c>
      <c r="G76" s="4">
        <f ca="1">IFERROR(IF(RESULTADOS!$C$17="Normal",0,D76)*IF(RESULTADOS!$C$17="Normal",RESULTADOS!$C$18,RESULTADOS!$C$16),0)</f>
        <v>0</v>
      </c>
      <c r="H76" s="4">
        <f ca="1">IF(RESULTADOS!$C$17="Normal",E76,0)</f>
        <v>0</v>
      </c>
      <c r="I76" s="4">
        <f ca="1">(E76+H76+G76)*PREMISSAS!$C$60</f>
        <v>0</v>
      </c>
      <c r="J76" s="4">
        <f ca="1">D76*IF(RESULTADOS!$C$17="Normal",PREMISSAS!$C$62,0)</f>
        <v>0</v>
      </c>
      <c r="K76" s="116">
        <f ca="1">IFERROR(K75*(1+PREMISSAS!$C$18)+(E76+H76-IF(RESULTADOS!$C$17="Normal",I76,0)-J76)*IF(MONTH(B76)=12,2,1),0)</f>
        <v>0</v>
      </c>
      <c r="L76" s="116">
        <f ca="1">IFERROR((L75+G76-IF(RESULTADOS!$C$17="Normal",0,I76))*(1+PREMISSAS!$C$18)+F76,0)</f>
        <v>0</v>
      </c>
      <c r="N76" s="73">
        <f t="shared" ca="1" si="8"/>
        <v>0</v>
      </c>
      <c r="P76" s="164">
        <f t="shared" ca="1" si="9"/>
        <v>45716</v>
      </c>
      <c r="Q76" s="140">
        <f ca="1">IF(C76="","",Q75+(E76+H76-IF(RESULTADOS!$C$17="Normal",I76,0)-J76)/2+(F76+G76-IF(RESULTADOS!$C$17="Normal",0,I76)))</f>
        <v>0</v>
      </c>
      <c r="R76" s="140">
        <f ca="1">IF(C76="","",R75+(E76+H76-IF(RESULTADOS!$C$17="Normal",I76,0)-J76)/2)</f>
        <v>0</v>
      </c>
      <c r="S76" s="140">
        <f t="shared" ca="1" si="12"/>
        <v>0</v>
      </c>
      <c r="U76" s="164" t="str">
        <f t="shared" ca="1" si="13"/>
        <v/>
      </c>
      <c r="V76" s="164" t="str">
        <f t="shared" ca="1" si="10"/>
        <v/>
      </c>
      <c r="W76" s="140">
        <f ca="1">IF(OR((W75-13/12*Z75)*(1+PREMISSAS!$C$16)&lt;0,W75=""),0,(W75-13/12*Z75)*(1+PREMISSAS!$C$16))</f>
        <v>0</v>
      </c>
      <c r="X76" s="140">
        <f ca="1">IF(OR((X75-13/12*AA75)*(1+PREMISSAS!$C$16)&lt;0,X75=""),0,(X75-13/12*AA75)*(1+PREMISSAS!$C$16))</f>
        <v>0</v>
      </c>
      <c r="Y76" s="140">
        <f t="shared" ca="1" si="11"/>
        <v>0</v>
      </c>
      <c r="Z76" s="167">
        <f t="shared" ca="1" si="14"/>
        <v>0</v>
      </c>
      <c r="AA76" s="167">
        <f t="shared" ca="1" si="15"/>
        <v>0</v>
      </c>
    </row>
    <row r="77" spans="2:27" x14ac:dyDescent="0.25">
      <c r="B77" s="21">
        <f ca="1">IF(B76="","",IF(EOMONTH(B76,1)&gt;EOMONTH(ELEGIBILIDADE!$J$17,0),"",EOMONTH(B76,1)))</f>
        <v>45747</v>
      </c>
      <c r="C77" s="22">
        <f ca="1">IF(B77="","",IF(MONTH(B77)=1,C76*(1+PREMISSAS!$C$57),C76))</f>
        <v>0</v>
      </c>
      <c r="D77" s="22">
        <f ca="1">IF(RESULTADOS!$C$17="Normal",IFERROR(MAX(C77-PREMISSAS!$C$13,0),0),IF(Painel!$I$23=0,0,MAX(10*PREMISSAS!$C$38,RESULTADOS!$F$17)))</f>
        <v>0</v>
      </c>
      <c r="E77" s="4">
        <f ca="1">D77*IF(RESULTADOS!$C$17="Normal",RESULTADOS!$C$16,0)</f>
        <v>0</v>
      </c>
      <c r="F77" s="4">
        <f ca="1">IFERROR(IF(RESULTADOS!$C$17="Normal",D77,C77)*RESULTADOS!$C$18,0)</f>
        <v>0</v>
      </c>
      <c r="G77" s="4">
        <f ca="1">IFERROR(IF(RESULTADOS!$C$17="Normal",0,D77)*IF(RESULTADOS!$C$17="Normal",RESULTADOS!$C$18,RESULTADOS!$C$16),0)</f>
        <v>0</v>
      </c>
      <c r="H77" s="4">
        <f ca="1">IF(RESULTADOS!$C$17="Normal",E77,0)</f>
        <v>0</v>
      </c>
      <c r="I77" s="4">
        <f ca="1">(E77+H77+G77)*PREMISSAS!$C$60</f>
        <v>0</v>
      </c>
      <c r="J77" s="4">
        <f ca="1">D77*IF(RESULTADOS!$C$17="Normal",PREMISSAS!$C$62,0)</f>
        <v>0</v>
      </c>
      <c r="K77" s="116">
        <f ca="1">IFERROR(K76*(1+PREMISSAS!$C$18)+(E77+H77-IF(RESULTADOS!$C$17="Normal",I77,0)-J77)*IF(MONTH(B77)=12,2,1),0)</f>
        <v>0</v>
      </c>
      <c r="L77" s="116">
        <f ca="1">IFERROR((L76+G77-IF(RESULTADOS!$C$17="Normal",0,I77))*(1+PREMISSAS!$C$18)+F77,0)</f>
        <v>0</v>
      </c>
      <c r="N77" s="73">
        <f t="shared" ca="1" si="8"/>
        <v>0</v>
      </c>
      <c r="P77" s="164">
        <f t="shared" ca="1" si="9"/>
        <v>45747</v>
      </c>
      <c r="Q77" s="140">
        <f ca="1">IF(C77="","",Q76+(E77+H77-IF(RESULTADOS!$C$17="Normal",I77,0)-J77)/2+(F77+G77-IF(RESULTADOS!$C$17="Normal",0,I77)))</f>
        <v>0</v>
      </c>
      <c r="R77" s="140">
        <f ca="1">IF(C77="","",R76+(E77+H77-IF(RESULTADOS!$C$17="Normal",I77,0)-J77)/2)</f>
        <v>0</v>
      </c>
      <c r="S77" s="140">
        <f t="shared" ca="1" si="12"/>
        <v>0</v>
      </c>
      <c r="U77" s="164" t="str">
        <f t="shared" ca="1" si="13"/>
        <v/>
      </c>
      <c r="V77" s="164" t="str">
        <f t="shared" ca="1" si="10"/>
        <v/>
      </c>
      <c r="W77" s="140">
        <f ca="1">IF(OR((W76-13/12*Z76)*(1+PREMISSAS!$C$16)&lt;0,W76=""),0,(W76-13/12*Z76)*(1+PREMISSAS!$C$16))</f>
        <v>0</v>
      </c>
      <c r="X77" s="140">
        <f ca="1">IF(OR((X76-13/12*AA76)*(1+PREMISSAS!$C$16)&lt;0,X76=""),0,(X76-13/12*AA76)*(1+PREMISSAS!$C$16))</f>
        <v>0</v>
      </c>
      <c r="Y77" s="140">
        <f t="shared" ca="1" si="11"/>
        <v>0</v>
      </c>
      <c r="Z77" s="167">
        <f t="shared" ca="1" si="14"/>
        <v>0</v>
      </c>
      <c r="AA77" s="167">
        <f t="shared" ca="1" si="15"/>
        <v>0</v>
      </c>
    </row>
    <row r="78" spans="2:27" x14ac:dyDescent="0.25">
      <c r="B78" s="21">
        <f ca="1">IF(B77="","",IF(EOMONTH(B77,1)&gt;EOMONTH(ELEGIBILIDADE!$J$17,0),"",EOMONTH(B77,1)))</f>
        <v>45777</v>
      </c>
      <c r="C78" s="22">
        <f ca="1">IF(B78="","",IF(MONTH(B78)=1,C77*(1+PREMISSAS!$C$57),C77))</f>
        <v>0</v>
      </c>
      <c r="D78" s="22">
        <f ca="1">IF(RESULTADOS!$C$17="Normal",IFERROR(MAX(C78-PREMISSAS!$C$13,0),0),IF(Painel!$I$23=0,0,MAX(10*PREMISSAS!$C$38,RESULTADOS!$F$17)))</f>
        <v>0</v>
      </c>
      <c r="E78" s="4">
        <f ca="1">D78*IF(RESULTADOS!$C$17="Normal",RESULTADOS!$C$16,0)</f>
        <v>0</v>
      </c>
      <c r="F78" s="4">
        <f ca="1">IFERROR(IF(RESULTADOS!$C$17="Normal",D78,C78)*RESULTADOS!$C$18,0)</f>
        <v>0</v>
      </c>
      <c r="G78" s="4">
        <f ca="1">IFERROR(IF(RESULTADOS!$C$17="Normal",0,D78)*IF(RESULTADOS!$C$17="Normal",RESULTADOS!$C$18,RESULTADOS!$C$16),0)</f>
        <v>0</v>
      </c>
      <c r="H78" s="4">
        <f ca="1">IF(RESULTADOS!$C$17="Normal",E78,0)</f>
        <v>0</v>
      </c>
      <c r="I78" s="4">
        <f ca="1">(E78+H78+G78)*PREMISSAS!$C$60</f>
        <v>0</v>
      </c>
      <c r="J78" s="4">
        <f ca="1">D78*IF(RESULTADOS!$C$17="Normal",PREMISSAS!$C$62,0)</f>
        <v>0</v>
      </c>
      <c r="K78" s="116">
        <f ca="1">IFERROR(K77*(1+PREMISSAS!$C$18)+(E78+H78-IF(RESULTADOS!$C$17="Normal",I78,0)-J78)*IF(MONTH(B78)=12,2,1),0)</f>
        <v>0</v>
      </c>
      <c r="L78" s="116">
        <f ca="1">IFERROR((L77+G78-IF(RESULTADOS!$C$17="Normal",0,I78))*(1+PREMISSAS!$C$18)+F78,0)</f>
        <v>0</v>
      </c>
      <c r="N78" s="73">
        <f t="shared" ca="1" si="8"/>
        <v>0</v>
      </c>
      <c r="P78" s="164">
        <f t="shared" ca="1" si="9"/>
        <v>45777</v>
      </c>
      <c r="Q78" s="140">
        <f ca="1">IF(C78="","",Q77+(E78+H78-IF(RESULTADOS!$C$17="Normal",I78,0)-J78)/2+(F78+G78-IF(RESULTADOS!$C$17="Normal",0,I78)))</f>
        <v>0</v>
      </c>
      <c r="R78" s="140">
        <f ca="1">IF(C78="","",R77+(E78+H78-IF(RESULTADOS!$C$17="Normal",I78,0)-J78)/2)</f>
        <v>0</v>
      </c>
      <c r="S78" s="140">
        <f t="shared" ca="1" si="12"/>
        <v>0</v>
      </c>
      <c r="U78" s="164" t="str">
        <f t="shared" ca="1" si="13"/>
        <v/>
      </c>
      <c r="V78" s="164" t="str">
        <f t="shared" ca="1" si="10"/>
        <v/>
      </c>
      <c r="W78" s="140">
        <f ca="1">IF(OR((W77-13/12*Z77)*(1+PREMISSAS!$C$16)&lt;0,W77=""),0,(W77-13/12*Z77)*(1+PREMISSAS!$C$16))</f>
        <v>0</v>
      </c>
      <c r="X78" s="140">
        <f ca="1">IF(OR((X77-13/12*AA77)*(1+PREMISSAS!$C$16)&lt;0,X77=""),0,(X77-13/12*AA77)*(1+PREMISSAS!$C$16))</f>
        <v>0</v>
      </c>
      <c r="Y78" s="140">
        <f t="shared" ca="1" si="11"/>
        <v>0</v>
      </c>
      <c r="Z78" s="167">
        <f t="shared" ca="1" si="14"/>
        <v>0</v>
      </c>
      <c r="AA78" s="167">
        <f t="shared" ca="1" si="15"/>
        <v>0</v>
      </c>
    </row>
    <row r="79" spans="2:27" x14ac:dyDescent="0.25">
      <c r="B79" s="21">
        <f ca="1">IF(B78="","",IF(EOMONTH(B78,1)&gt;EOMONTH(ELEGIBILIDADE!$J$17,0),"",EOMONTH(B78,1)))</f>
        <v>45808</v>
      </c>
      <c r="C79" s="22">
        <f ca="1">IF(B79="","",IF(MONTH(B79)=1,C78*(1+PREMISSAS!$C$57),C78))</f>
        <v>0</v>
      </c>
      <c r="D79" s="22">
        <f ca="1">IF(RESULTADOS!$C$17="Normal",IFERROR(MAX(C79-PREMISSAS!$C$13,0),0),IF(Painel!$I$23=0,0,MAX(10*PREMISSAS!$C$38,RESULTADOS!$F$17)))</f>
        <v>0</v>
      </c>
      <c r="E79" s="4">
        <f ca="1">D79*IF(RESULTADOS!$C$17="Normal",RESULTADOS!$C$16,0)</f>
        <v>0</v>
      </c>
      <c r="F79" s="4">
        <f ca="1">IFERROR(IF(RESULTADOS!$C$17="Normal",D79,C79)*RESULTADOS!$C$18,0)</f>
        <v>0</v>
      </c>
      <c r="G79" s="4">
        <f ca="1">IFERROR(IF(RESULTADOS!$C$17="Normal",0,D79)*IF(RESULTADOS!$C$17="Normal",RESULTADOS!$C$18,RESULTADOS!$C$16),0)</f>
        <v>0</v>
      </c>
      <c r="H79" s="4">
        <f ca="1">IF(RESULTADOS!$C$17="Normal",E79,0)</f>
        <v>0</v>
      </c>
      <c r="I79" s="4">
        <f ca="1">(E79+H79+G79)*PREMISSAS!$C$60</f>
        <v>0</v>
      </c>
      <c r="J79" s="4">
        <f ca="1">D79*IF(RESULTADOS!$C$17="Normal",PREMISSAS!$C$62,0)</f>
        <v>0</v>
      </c>
      <c r="K79" s="116">
        <f ca="1">IFERROR(K78*(1+PREMISSAS!$C$18)+(E79+H79-IF(RESULTADOS!$C$17="Normal",I79,0)-J79)*IF(MONTH(B79)=12,2,1),0)</f>
        <v>0</v>
      </c>
      <c r="L79" s="116">
        <f ca="1">IFERROR((L78+G79-IF(RESULTADOS!$C$17="Normal",0,I79))*(1+PREMISSAS!$C$18)+F79,0)</f>
        <v>0</v>
      </c>
      <c r="N79" s="73">
        <f t="shared" ca="1" si="8"/>
        <v>0</v>
      </c>
      <c r="P79" s="164">
        <f t="shared" ca="1" si="9"/>
        <v>45808</v>
      </c>
      <c r="Q79" s="140">
        <f ca="1">IF(C79="","",Q78+(E79+H79-IF(RESULTADOS!$C$17="Normal",I79,0)-J79)/2+(F79+G79-IF(RESULTADOS!$C$17="Normal",0,I79)))</f>
        <v>0</v>
      </c>
      <c r="R79" s="140">
        <f ca="1">IF(C79="","",R78+(E79+H79-IF(RESULTADOS!$C$17="Normal",I79,0)-J79)/2)</f>
        <v>0</v>
      </c>
      <c r="S79" s="140">
        <f t="shared" ca="1" si="12"/>
        <v>0</v>
      </c>
      <c r="U79" s="164" t="str">
        <f t="shared" ca="1" si="13"/>
        <v/>
      </c>
      <c r="V79" s="164" t="str">
        <f t="shared" ca="1" si="10"/>
        <v/>
      </c>
      <c r="W79" s="140">
        <f ca="1">IF(OR((W78-13/12*Z78)*(1+PREMISSAS!$C$16)&lt;0,W78=""),0,(W78-13/12*Z78)*(1+PREMISSAS!$C$16))</f>
        <v>0</v>
      </c>
      <c r="X79" s="140">
        <f ca="1">IF(OR((X78-13/12*AA78)*(1+PREMISSAS!$C$16)&lt;0,X78=""),0,(X78-13/12*AA78)*(1+PREMISSAS!$C$16))</f>
        <v>0</v>
      </c>
      <c r="Y79" s="140">
        <f t="shared" ca="1" si="11"/>
        <v>0</v>
      </c>
      <c r="Z79" s="167">
        <f t="shared" ca="1" si="14"/>
        <v>0</v>
      </c>
      <c r="AA79" s="167">
        <f t="shared" ca="1" si="15"/>
        <v>0</v>
      </c>
    </row>
    <row r="80" spans="2:27" x14ac:dyDescent="0.25">
      <c r="B80" s="21">
        <f ca="1">IF(B79="","",IF(EOMONTH(B79,1)&gt;EOMONTH(ELEGIBILIDADE!$J$17,0),"",EOMONTH(B79,1)))</f>
        <v>45838</v>
      </c>
      <c r="C80" s="22">
        <f ca="1">IF(B80="","",IF(MONTH(B80)=1,C79*(1+PREMISSAS!$C$57),C79))</f>
        <v>0</v>
      </c>
      <c r="D80" s="22">
        <f ca="1">IF(RESULTADOS!$C$17="Normal",IFERROR(MAX(C80-PREMISSAS!$C$13,0),0),IF(Painel!$I$23=0,0,MAX(10*PREMISSAS!$C$38,RESULTADOS!$F$17)))</f>
        <v>0</v>
      </c>
      <c r="E80" s="4">
        <f ca="1">D80*IF(RESULTADOS!$C$17="Normal",RESULTADOS!$C$16,0)</f>
        <v>0</v>
      </c>
      <c r="F80" s="4">
        <f ca="1">IFERROR(IF(RESULTADOS!$C$17="Normal",D80,C80)*RESULTADOS!$C$18,0)</f>
        <v>0</v>
      </c>
      <c r="G80" s="4">
        <f ca="1">IFERROR(IF(RESULTADOS!$C$17="Normal",0,D80)*IF(RESULTADOS!$C$17="Normal",RESULTADOS!$C$18,RESULTADOS!$C$16),0)</f>
        <v>0</v>
      </c>
      <c r="H80" s="4">
        <f ca="1">IF(RESULTADOS!$C$17="Normal",E80,0)</f>
        <v>0</v>
      </c>
      <c r="I80" s="4">
        <f ca="1">(E80+H80+G80)*PREMISSAS!$C$60</f>
        <v>0</v>
      </c>
      <c r="J80" s="4">
        <f ca="1">D80*IF(RESULTADOS!$C$17="Normal",PREMISSAS!$C$62,0)</f>
        <v>0</v>
      </c>
      <c r="K80" s="116">
        <f ca="1">IFERROR(K79*(1+PREMISSAS!$C$18)+(E80+H80-IF(RESULTADOS!$C$17="Normal",I80,0)-J80)*IF(MONTH(B80)=12,2,1),0)</f>
        <v>0</v>
      </c>
      <c r="L80" s="116">
        <f ca="1">IFERROR((L79+G80-IF(RESULTADOS!$C$17="Normal",0,I80))*(1+PREMISSAS!$C$18)+F80,0)</f>
        <v>0</v>
      </c>
      <c r="N80" s="73">
        <f t="shared" ca="1" si="8"/>
        <v>0</v>
      </c>
      <c r="P80" s="164">
        <f t="shared" ca="1" si="9"/>
        <v>45838</v>
      </c>
      <c r="Q80" s="140">
        <f ca="1">IF(C80="","",Q79+(E80+H80-IF(RESULTADOS!$C$17="Normal",I80,0)-J80)/2+(F80+G80-IF(RESULTADOS!$C$17="Normal",0,I80)))</f>
        <v>0</v>
      </c>
      <c r="R80" s="140">
        <f ca="1">IF(C80="","",R79+(E80+H80-IF(RESULTADOS!$C$17="Normal",I80,0)-J80)/2)</f>
        <v>0</v>
      </c>
      <c r="S80" s="140">
        <f t="shared" ca="1" si="12"/>
        <v>0</v>
      </c>
      <c r="U80" s="164" t="str">
        <f t="shared" ca="1" si="13"/>
        <v/>
      </c>
      <c r="V80" s="164" t="str">
        <f t="shared" ca="1" si="10"/>
        <v/>
      </c>
      <c r="W80" s="140">
        <f ca="1">IF(OR((W79-13/12*Z79)*(1+PREMISSAS!$C$16)&lt;0,W79=""),0,(W79-13/12*Z79)*(1+PREMISSAS!$C$16))</f>
        <v>0</v>
      </c>
      <c r="X80" s="140">
        <f ca="1">IF(OR((X79-13/12*AA79)*(1+PREMISSAS!$C$16)&lt;0,X79=""),0,(X79-13/12*AA79)*(1+PREMISSAS!$C$16))</f>
        <v>0</v>
      </c>
      <c r="Y80" s="140">
        <f t="shared" ca="1" si="11"/>
        <v>0</v>
      </c>
      <c r="Z80" s="167">
        <f t="shared" ca="1" si="14"/>
        <v>0</v>
      </c>
      <c r="AA80" s="167">
        <f t="shared" ca="1" si="15"/>
        <v>0</v>
      </c>
    </row>
    <row r="81" spans="2:27" x14ac:dyDescent="0.25">
      <c r="B81" s="21">
        <f ca="1">IF(B80="","",IF(EOMONTH(B80,1)&gt;EOMONTH(ELEGIBILIDADE!$J$17,0),"",EOMONTH(B80,1)))</f>
        <v>45869</v>
      </c>
      <c r="C81" s="22">
        <f ca="1">IF(B81="","",IF(MONTH(B81)=1,C80*(1+PREMISSAS!$C$57),C80))</f>
        <v>0</v>
      </c>
      <c r="D81" s="22">
        <f ca="1">IF(RESULTADOS!$C$17="Normal",IFERROR(MAX(C81-PREMISSAS!$C$13,0),0),IF(Painel!$I$23=0,0,MAX(10*PREMISSAS!$C$38,RESULTADOS!$F$17)))</f>
        <v>0</v>
      </c>
      <c r="E81" s="4">
        <f ca="1">D81*IF(RESULTADOS!$C$17="Normal",RESULTADOS!$C$16,0)</f>
        <v>0</v>
      </c>
      <c r="F81" s="4">
        <f ca="1">IFERROR(IF(RESULTADOS!$C$17="Normal",D81,C81)*RESULTADOS!$C$18,0)</f>
        <v>0</v>
      </c>
      <c r="G81" s="4">
        <f ca="1">IFERROR(IF(RESULTADOS!$C$17="Normal",0,D81)*IF(RESULTADOS!$C$17="Normal",RESULTADOS!$C$18,RESULTADOS!$C$16),0)</f>
        <v>0</v>
      </c>
      <c r="H81" s="4">
        <f ca="1">IF(RESULTADOS!$C$17="Normal",E81,0)</f>
        <v>0</v>
      </c>
      <c r="I81" s="4">
        <f ca="1">(E81+H81+G81)*PREMISSAS!$C$60</f>
        <v>0</v>
      </c>
      <c r="J81" s="4">
        <f ca="1">D81*IF(RESULTADOS!$C$17="Normal",PREMISSAS!$C$62,0)</f>
        <v>0</v>
      </c>
      <c r="K81" s="116">
        <f ca="1">IFERROR(K80*(1+PREMISSAS!$C$18)+(E81+H81-IF(RESULTADOS!$C$17="Normal",I81,0)-J81)*IF(MONTH(B81)=12,2,1),0)</f>
        <v>0</v>
      </c>
      <c r="L81" s="116">
        <f ca="1">IFERROR((L80+G81-IF(RESULTADOS!$C$17="Normal",0,I81))*(1+PREMISSAS!$C$18)+F81,0)</f>
        <v>0</v>
      </c>
      <c r="N81" s="73">
        <f t="shared" ca="1" si="8"/>
        <v>0</v>
      </c>
      <c r="P81" s="164">
        <f t="shared" ca="1" si="9"/>
        <v>45869</v>
      </c>
      <c r="Q81" s="140">
        <f ca="1">IF(C81="","",Q80+(E81+H81-IF(RESULTADOS!$C$17="Normal",I81,0)-J81)/2+(F81+G81-IF(RESULTADOS!$C$17="Normal",0,I81)))</f>
        <v>0</v>
      </c>
      <c r="R81" s="140">
        <f ca="1">IF(C81="","",R80+(E81+H81-IF(RESULTADOS!$C$17="Normal",I81,0)-J81)/2)</f>
        <v>0</v>
      </c>
      <c r="S81" s="140">
        <f t="shared" ca="1" si="12"/>
        <v>0</v>
      </c>
      <c r="U81" s="164" t="str">
        <f t="shared" ca="1" si="13"/>
        <v/>
      </c>
      <c r="V81" s="164" t="str">
        <f t="shared" ca="1" si="10"/>
        <v/>
      </c>
      <c r="W81" s="140">
        <f ca="1">IF(OR((W80-13/12*Z80)*(1+PREMISSAS!$C$16)&lt;0,W80=""),0,(W80-13/12*Z80)*(1+PREMISSAS!$C$16))</f>
        <v>0</v>
      </c>
      <c r="X81" s="140">
        <f ca="1">IF(OR((X80-13/12*AA80)*(1+PREMISSAS!$C$16)&lt;0,X80=""),0,(X80-13/12*AA80)*(1+PREMISSAS!$C$16))</f>
        <v>0</v>
      </c>
      <c r="Y81" s="140">
        <f t="shared" ca="1" si="11"/>
        <v>0</v>
      </c>
      <c r="Z81" s="167">
        <f t="shared" ca="1" si="14"/>
        <v>0</v>
      </c>
      <c r="AA81" s="167">
        <f t="shared" ca="1" si="15"/>
        <v>0</v>
      </c>
    </row>
    <row r="82" spans="2:27" x14ac:dyDescent="0.25">
      <c r="B82" s="21">
        <f ca="1">IF(B81="","",IF(EOMONTH(B81,1)&gt;EOMONTH(ELEGIBILIDADE!$J$17,0),"",EOMONTH(B81,1)))</f>
        <v>45900</v>
      </c>
      <c r="C82" s="22">
        <f ca="1">IF(B82="","",IF(MONTH(B82)=1,C81*(1+PREMISSAS!$C$57),C81))</f>
        <v>0</v>
      </c>
      <c r="D82" s="22">
        <f ca="1">IF(RESULTADOS!$C$17="Normal",IFERROR(MAX(C82-PREMISSAS!$C$13,0),0),IF(Painel!$I$23=0,0,MAX(10*PREMISSAS!$C$38,RESULTADOS!$F$17)))</f>
        <v>0</v>
      </c>
      <c r="E82" s="4">
        <f ca="1">D82*IF(RESULTADOS!$C$17="Normal",RESULTADOS!$C$16,0)</f>
        <v>0</v>
      </c>
      <c r="F82" s="4">
        <f ca="1">IFERROR(IF(RESULTADOS!$C$17="Normal",D82,C82)*RESULTADOS!$C$18,0)</f>
        <v>0</v>
      </c>
      <c r="G82" s="4">
        <f ca="1">IFERROR(IF(RESULTADOS!$C$17="Normal",0,D82)*IF(RESULTADOS!$C$17="Normal",RESULTADOS!$C$18,RESULTADOS!$C$16),0)</f>
        <v>0</v>
      </c>
      <c r="H82" s="4">
        <f ca="1">IF(RESULTADOS!$C$17="Normal",E82,0)</f>
        <v>0</v>
      </c>
      <c r="I82" s="4">
        <f ca="1">(E82+H82+G82)*PREMISSAS!$C$60</f>
        <v>0</v>
      </c>
      <c r="J82" s="4">
        <f ca="1">D82*IF(RESULTADOS!$C$17="Normal",PREMISSAS!$C$62,0)</f>
        <v>0</v>
      </c>
      <c r="K82" s="116">
        <f ca="1">IFERROR(K81*(1+PREMISSAS!$C$18)+(E82+H82-IF(RESULTADOS!$C$17="Normal",I82,0)-J82)*IF(MONTH(B82)=12,2,1),0)</f>
        <v>0</v>
      </c>
      <c r="L82" s="116">
        <f ca="1">IFERROR((L81+G82-IF(RESULTADOS!$C$17="Normal",0,I82))*(1+PREMISSAS!$C$18)+F82,0)</f>
        <v>0</v>
      </c>
      <c r="N82" s="73">
        <f t="shared" ca="1" si="8"/>
        <v>0</v>
      </c>
      <c r="P82" s="164">
        <f t="shared" ca="1" si="9"/>
        <v>45900</v>
      </c>
      <c r="Q82" s="140">
        <f ca="1">IF(C82="","",Q81+(E82+H82-IF(RESULTADOS!$C$17="Normal",I82,0)-J82)/2+(F82+G82-IF(RESULTADOS!$C$17="Normal",0,I82)))</f>
        <v>0</v>
      </c>
      <c r="R82" s="140">
        <f ca="1">IF(C82="","",R81+(E82+H82-IF(RESULTADOS!$C$17="Normal",I82,0)-J82)/2)</f>
        <v>0</v>
      </c>
      <c r="S82" s="140">
        <f t="shared" ca="1" si="12"/>
        <v>0</v>
      </c>
      <c r="U82" s="164" t="str">
        <f t="shared" ca="1" si="13"/>
        <v/>
      </c>
      <c r="V82" s="164" t="str">
        <f t="shared" ca="1" si="10"/>
        <v/>
      </c>
      <c r="W82" s="140">
        <f ca="1">IF(OR((W81-13/12*Z81)*(1+PREMISSAS!$C$16)&lt;0,W81=""),0,(W81-13/12*Z81)*(1+PREMISSAS!$C$16))</f>
        <v>0</v>
      </c>
      <c r="X82" s="140">
        <f ca="1">IF(OR((X81-13/12*AA81)*(1+PREMISSAS!$C$16)&lt;0,X81=""),0,(X81-13/12*AA81)*(1+PREMISSAS!$C$16))</f>
        <v>0</v>
      </c>
      <c r="Y82" s="140">
        <f t="shared" ca="1" si="11"/>
        <v>0</v>
      </c>
      <c r="Z82" s="167">
        <f t="shared" ca="1" si="14"/>
        <v>0</v>
      </c>
      <c r="AA82" s="167">
        <f t="shared" ca="1" si="15"/>
        <v>0</v>
      </c>
    </row>
    <row r="83" spans="2:27" x14ac:dyDescent="0.25">
      <c r="B83" s="21">
        <f ca="1">IF(B82="","",IF(EOMONTH(B82,1)&gt;EOMONTH(ELEGIBILIDADE!$J$17,0),"",EOMONTH(B82,1)))</f>
        <v>45930</v>
      </c>
      <c r="C83" s="22">
        <f ca="1">IF(B83="","",IF(MONTH(B83)=1,C82*(1+PREMISSAS!$C$57),C82))</f>
        <v>0</v>
      </c>
      <c r="D83" s="22">
        <f ca="1">IF(RESULTADOS!$C$17="Normal",IFERROR(MAX(C83-PREMISSAS!$C$13,0),0),IF(Painel!$I$23=0,0,MAX(10*PREMISSAS!$C$38,RESULTADOS!$F$17)))</f>
        <v>0</v>
      </c>
      <c r="E83" s="4">
        <f ca="1">D83*IF(RESULTADOS!$C$17="Normal",RESULTADOS!$C$16,0)</f>
        <v>0</v>
      </c>
      <c r="F83" s="4">
        <f ca="1">IFERROR(IF(RESULTADOS!$C$17="Normal",D83,C83)*RESULTADOS!$C$18,0)</f>
        <v>0</v>
      </c>
      <c r="G83" s="4">
        <f ca="1">IFERROR(IF(RESULTADOS!$C$17="Normal",0,D83)*IF(RESULTADOS!$C$17="Normal",RESULTADOS!$C$18,RESULTADOS!$C$16),0)</f>
        <v>0</v>
      </c>
      <c r="H83" s="4">
        <f ca="1">IF(RESULTADOS!$C$17="Normal",E83,0)</f>
        <v>0</v>
      </c>
      <c r="I83" s="4">
        <f ca="1">(E83+H83+G83)*PREMISSAS!$C$60</f>
        <v>0</v>
      </c>
      <c r="J83" s="4">
        <f ca="1">D83*IF(RESULTADOS!$C$17="Normal",PREMISSAS!$C$62,0)</f>
        <v>0</v>
      </c>
      <c r="K83" s="116">
        <f ca="1">IFERROR(K82*(1+PREMISSAS!$C$18)+(E83+H83-IF(RESULTADOS!$C$17="Normal",I83,0)-J83)*IF(MONTH(B83)=12,2,1),0)</f>
        <v>0</v>
      </c>
      <c r="L83" s="116">
        <f ca="1">IFERROR((L82+G83-IF(RESULTADOS!$C$17="Normal",0,I83))*(1+PREMISSAS!$C$18)+F83,0)</f>
        <v>0</v>
      </c>
      <c r="N83" s="73">
        <f t="shared" ca="1" si="8"/>
        <v>0</v>
      </c>
      <c r="P83" s="164">
        <f t="shared" ca="1" si="9"/>
        <v>45930</v>
      </c>
      <c r="Q83" s="140">
        <f ca="1">IF(C83="","",Q82+(E83+H83-IF(RESULTADOS!$C$17="Normal",I83,0)-J83)/2+(F83+G83-IF(RESULTADOS!$C$17="Normal",0,I83)))</f>
        <v>0</v>
      </c>
      <c r="R83" s="140">
        <f ca="1">IF(C83="","",R82+(E83+H83-IF(RESULTADOS!$C$17="Normal",I83,0)-J83)/2)</f>
        <v>0</v>
      </c>
      <c r="S83" s="140">
        <f t="shared" ca="1" si="12"/>
        <v>0</v>
      </c>
      <c r="U83" s="164" t="str">
        <f t="shared" ca="1" si="13"/>
        <v/>
      </c>
      <c r="V83" s="164" t="str">
        <f t="shared" ca="1" si="10"/>
        <v/>
      </c>
      <c r="W83" s="140">
        <f ca="1">IF(OR((W82-13/12*Z82)*(1+PREMISSAS!$C$16)&lt;0,W82=""),0,(W82-13/12*Z82)*(1+PREMISSAS!$C$16))</f>
        <v>0</v>
      </c>
      <c r="X83" s="140">
        <f ca="1">IF(OR((X82-13/12*AA82)*(1+PREMISSAS!$C$16)&lt;0,X82=""),0,(X82-13/12*AA82)*(1+PREMISSAS!$C$16))</f>
        <v>0</v>
      </c>
      <c r="Y83" s="140">
        <f t="shared" ca="1" si="11"/>
        <v>0</v>
      </c>
      <c r="Z83" s="167">
        <f t="shared" ca="1" si="14"/>
        <v>0</v>
      </c>
      <c r="AA83" s="167">
        <f t="shared" ca="1" si="15"/>
        <v>0</v>
      </c>
    </row>
    <row r="84" spans="2:27" x14ac:dyDescent="0.25">
      <c r="B84" s="21">
        <f ca="1">IF(B83="","",IF(EOMONTH(B83,1)&gt;EOMONTH(ELEGIBILIDADE!$J$17,0),"",EOMONTH(B83,1)))</f>
        <v>45961</v>
      </c>
      <c r="C84" s="22">
        <f ca="1">IF(B84="","",IF(MONTH(B84)=1,C83*(1+PREMISSAS!$C$57),C83))</f>
        <v>0</v>
      </c>
      <c r="D84" s="22">
        <f ca="1">IF(RESULTADOS!$C$17="Normal",IFERROR(MAX(C84-PREMISSAS!$C$13,0),0),IF(Painel!$I$23=0,0,MAX(10*PREMISSAS!$C$38,RESULTADOS!$F$17)))</f>
        <v>0</v>
      </c>
      <c r="E84" s="4">
        <f ca="1">D84*IF(RESULTADOS!$C$17="Normal",RESULTADOS!$C$16,0)</f>
        <v>0</v>
      </c>
      <c r="F84" s="4">
        <f ca="1">IFERROR(IF(RESULTADOS!$C$17="Normal",D84,C84)*RESULTADOS!$C$18,0)</f>
        <v>0</v>
      </c>
      <c r="G84" s="4">
        <f ca="1">IFERROR(IF(RESULTADOS!$C$17="Normal",0,D84)*IF(RESULTADOS!$C$17="Normal",RESULTADOS!$C$18,RESULTADOS!$C$16),0)</f>
        <v>0</v>
      </c>
      <c r="H84" s="4">
        <f ca="1">IF(RESULTADOS!$C$17="Normal",E84,0)</f>
        <v>0</v>
      </c>
      <c r="I84" s="4">
        <f ca="1">(E84+H84+G84)*PREMISSAS!$C$60</f>
        <v>0</v>
      </c>
      <c r="J84" s="4">
        <f ca="1">D84*IF(RESULTADOS!$C$17="Normal",PREMISSAS!$C$62,0)</f>
        <v>0</v>
      </c>
      <c r="K84" s="116">
        <f ca="1">IFERROR(K83*(1+PREMISSAS!$C$18)+(E84+H84-IF(RESULTADOS!$C$17="Normal",I84,0)-J84)*IF(MONTH(B84)=12,2,1),0)</f>
        <v>0</v>
      </c>
      <c r="L84" s="116">
        <f ca="1">IFERROR((L83+G84-IF(RESULTADOS!$C$17="Normal",0,I84))*(1+PREMISSAS!$C$18)+F84,0)</f>
        <v>0</v>
      </c>
      <c r="N84" s="73">
        <f t="shared" ca="1" si="8"/>
        <v>0</v>
      </c>
      <c r="P84" s="164">
        <f t="shared" ca="1" si="9"/>
        <v>45961</v>
      </c>
      <c r="Q84" s="140">
        <f ca="1">IF(C84="","",Q83+(E84+H84-IF(RESULTADOS!$C$17="Normal",I84,0)-J84)/2+(F84+G84-IF(RESULTADOS!$C$17="Normal",0,I84)))</f>
        <v>0</v>
      </c>
      <c r="R84" s="140">
        <f ca="1">IF(C84="","",R83+(E84+H84-IF(RESULTADOS!$C$17="Normal",I84,0)-J84)/2)</f>
        <v>0</v>
      </c>
      <c r="S84" s="140">
        <f t="shared" ca="1" si="12"/>
        <v>0</v>
      </c>
      <c r="U84" s="164" t="str">
        <f t="shared" ca="1" si="13"/>
        <v/>
      </c>
      <c r="V84" s="164" t="str">
        <f t="shared" ca="1" si="10"/>
        <v/>
      </c>
      <c r="W84" s="140">
        <f ca="1">IF(OR((W83-13/12*Z83)*(1+PREMISSAS!$C$16)&lt;0,W83=""),0,(W83-13/12*Z83)*(1+PREMISSAS!$C$16))</f>
        <v>0</v>
      </c>
      <c r="X84" s="140">
        <f ca="1">IF(OR((X83-13/12*AA83)*(1+PREMISSAS!$C$16)&lt;0,X83=""),0,(X83-13/12*AA83)*(1+PREMISSAS!$C$16))</f>
        <v>0</v>
      </c>
      <c r="Y84" s="140">
        <f t="shared" ca="1" si="11"/>
        <v>0</v>
      </c>
      <c r="Z84" s="167">
        <f t="shared" ca="1" si="14"/>
        <v>0</v>
      </c>
      <c r="AA84" s="167">
        <f t="shared" ca="1" si="15"/>
        <v>0</v>
      </c>
    </row>
    <row r="85" spans="2:27" x14ac:dyDescent="0.25">
      <c r="B85" s="21">
        <f ca="1">IF(B84="","",IF(EOMONTH(B84,1)&gt;EOMONTH(ELEGIBILIDADE!$J$17,0),"",EOMONTH(B84,1)))</f>
        <v>45991</v>
      </c>
      <c r="C85" s="22">
        <f ca="1">IF(B85="","",IF(MONTH(B85)=1,C84*(1+PREMISSAS!$C$57),C84))</f>
        <v>0</v>
      </c>
      <c r="D85" s="22">
        <f ca="1">IF(RESULTADOS!$C$17="Normal",IFERROR(MAX(C85-PREMISSAS!$C$13,0),0),IF(Painel!$I$23=0,0,MAX(10*PREMISSAS!$C$38,RESULTADOS!$F$17)))</f>
        <v>0</v>
      </c>
      <c r="E85" s="4">
        <f ca="1">D85*IF(RESULTADOS!$C$17="Normal",RESULTADOS!$C$16,0)</f>
        <v>0</v>
      </c>
      <c r="F85" s="4">
        <f ca="1">IFERROR(IF(RESULTADOS!$C$17="Normal",D85,C85)*RESULTADOS!$C$18,0)</f>
        <v>0</v>
      </c>
      <c r="G85" s="4">
        <f ca="1">IFERROR(IF(RESULTADOS!$C$17="Normal",0,D85)*IF(RESULTADOS!$C$17="Normal",RESULTADOS!$C$18,RESULTADOS!$C$16),0)</f>
        <v>0</v>
      </c>
      <c r="H85" s="4">
        <f ca="1">IF(RESULTADOS!$C$17="Normal",E85,0)</f>
        <v>0</v>
      </c>
      <c r="I85" s="4">
        <f ca="1">(E85+H85+G85)*PREMISSAS!$C$60</f>
        <v>0</v>
      </c>
      <c r="J85" s="4">
        <f ca="1">D85*IF(RESULTADOS!$C$17="Normal",PREMISSAS!$C$62,0)</f>
        <v>0</v>
      </c>
      <c r="K85" s="116">
        <f ca="1">IFERROR(K84*(1+PREMISSAS!$C$18)+(E85+H85-IF(RESULTADOS!$C$17="Normal",I85,0)-J85)*IF(MONTH(B85)=12,2,1),0)</f>
        <v>0</v>
      </c>
      <c r="L85" s="116">
        <f ca="1">IFERROR((L84+G85-IF(RESULTADOS!$C$17="Normal",0,I85))*(1+PREMISSAS!$C$18)+F85,0)</f>
        <v>0</v>
      </c>
      <c r="N85" s="73">
        <f t="shared" ca="1" si="8"/>
        <v>0</v>
      </c>
      <c r="P85" s="164">
        <f t="shared" ca="1" si="9"/>
        <v>45991</v>
      </c>
      <c r="Q85" s="140">
        <f ca="1">IF(C85="","",Q84+(E85+H85-IF(RESULTADOS!$C$17="Normal",I85,0)-J85)/2+(F85+G85-IF(RESULTADOS!$C$17="Normal",0,I85)))</f>
        <v>0</v>
      </c>
      <c r="R85" s="140">
        <f ca="1">IF(C85="","",R84+(E85+H85-IF(RESULTADOS!$C$17="Normal",I85,0)-J85)/2)</f>
        <v>0</v>
      </c>
      <c r="S85" s="140">
        <f t="shared" ca="1" si="12"/>
        <v>0</v>
      </c>
      <c r="U85" s="164" t="str">
        <f t="shared" ca="1" si="13"/>
        <v/>
      </c>
      <c r="V85" s="164" t="str">
        <f t="shared" ca="1" si="10"/>
        <v/>
      </c>
      <c r="W85" s="140">
        <f ca="1">IF(OR((W84-13/12*Z84)*(1+PREMISSAS!$C$16)&lt;0,W84=""),0,(W84-13/12*Z84)*(1+PREMISSAS!$C$16))</f>
        <v>0</v>
      </c>
      <c r="X85" s="140">
        <f ca="1">IF(OR((X84-13/12*AA84)*(1+PREMISSAS!$C$16)&lt;0,X84=""),0,(X84-13/12*AA84)*(1+PREMISSAS!$C$16))</f>
        <v>0</v>
      </c>
      <c r="Y85" s="140">
        <f t="shared" ca="1" si="11"/>
        <v>0</v>
      </c>
      <c r="Z85" s="167">
        <f t="shared" ca="1" si="14"/>
        <v>0</v>
      </c>
      <c r="AA85" s="167">
        <f t="shared" ca="1" si="15"/>
        <v>0</v>
      </c>
    </row>
    <row r="86" spans="2:27" x14ac:dyDescent="0.25">
      <c r="B86" s="21">
        <f ca="1">IF(B85="","",IF(EOMONTH(B85,1)&gt;EOMONTH(ELEGIBILIDADE!$J$17,0),"",EOMONTH(B85,1)))</f>
        <v>46022</v>
      </c>
      <c r="C86" s="22">
        <f ca="1">IF(B86="","",IF(MONTH(B86)=1,C85*(1+PREMISSAS!$C$57),C85))</f>
        <v>0</v>
      </c>
      <c r="D86" s="22">
        <f ca="1">IF(RESULTADOS!$C$17="Normal",IFERROR(MAX(C86-PREMISSAS!$C$13,0),0),IF(Painel!$I$23=0,0,MAX(10*PREMISSAS!$C$38,RESULTADOS!$F$17)))</f>
        <v>0</v>
      </c>
      <c r="E86" s="4">
        <f ca="1">D86*IF(RESULTADOS!$C$17="Normal",RESULTADOS!$C$16,0)</f>
        <v>0</v>
      </c>
      <c r="F86" s="4">
        <f ca="1">IFERROR(IF(RESULTADOS!$C$17="Normal",D86,C86)*RESULTADOS!$C$18,0)</f>
        <v>0</v>
      </c>
      <c r="G86" s="4">
        <f ca="1">IFERROR(IF(RESULTADOS!$C$17="Normal",0,D86)*IF(RESULTADOS!$C$17="Normal",RESULTADOS!$C$18,RESULTADOS!$C$16),0)</f>
        <v>0</v>
      </c>
      <c r="H86" s="4">
        <f ca="1">IF(RESULTADOS!$C$17="Normal",E86,0)</f>
        <v>0</v>
      </c>
      <c r="I86" s="4">
        <f ca="1">(E86+H86+G86)*PREMISSAS!$C$60</f>
        <v>0</v>
      </c>
      <c r="J86" s="4">
        <f ca="1">D86*IF(RESULTADOS!$C$17="Normal",PREMISSAS!$C$62,0)</f>
        <v>0</v>
      </c>
      <c r="K86" s="116">
        <f ca="1">IFERROR(K85*(1+PREMISSAS!$C$18)+(E86+H86-IF(RESULTADOS!$C$17="Normal",I86,0)-J86)*IF(MONTH(B86)=12,2,1),0)</f>
        <v>0</v>
      </c>
      <c r="L86" s="116">
        <f ca="1">IFERROR((L85+G86-IF(RESULTADOS!$C$17="Normal",0,I86))*(1+PREMISSAS!$C$18)+F86,0)</f>
        <v>0</v>
      </c>
      <c r="N86" s="73">
        <f t="shared" ca="1" si="8"/>
        <v>0</v>
      </c>
      <c r="P86" s="164">
        <f t="shared" ca="1" si="9"/>
        <v>46022</v>
      </c>
      <c r="Q86" s="140">
        <f ca="1">IF(C86="","",Q85+(E86+H86-IF(RESULTADOS!$C$17="Normal",I86,0)-J86)/2+(F86+G86-IF(RESULTADOS!$C$17="Normal",0,I86)))</f>
        <v>0</v>
      </c>
      <c r="R86" s="140">
        <f ca="1">IF(C86="","",R85+(E86+H86-IF(RESULTADOS!$C$17="Normal",I86,0)-J86)/2)</f>
        <v>0</v>
      </c>
      <c r="S86" s="140">
        <f t="shared" ca="1" si="12"/>
        <v>0</v>
      </c>
      <c r="U86" s="164" t="str">
        <f t="shared" ca="1" si="13"/>
        <v/>
      </c>
      <c r="V86" s="164" t="str">
        <f t="shared" ca="1" si="10"/>
        <v/>
      </c>
      <c r="W86" s="140">
        <f ca="1">IF(OR((W85-13/12*Z85)*(1+PREMISSAS!$C$16)&lt;0,W85=""),0,(W85-13/12*Z85)*(1+PREMISSAS!$C$16))</f>
        <v>0</v>
      </c>
      <c r="X86" s="140">
        <f ca="1">IF(OR((X85-13/12*AA85)*(1+PREMISSAS!$C$16)&lt;0,X85=""),0,(X85-13/12*AA85)*(1+PREMISSAS!$C$16))</f>
        <v>0</v>
      </c>
      <c r="Y86" s="140">
        <f t="shared" ca="1" si="11"/>
        <v>0</v>
      </c>
      <c r="Z86" s="167">
        <f t="shared" ca="1" si="14"/>
        <v>0</v>
      </c>
      <c r="AA86" s="167">
        <f t="shared" ca="1" si="15"/>
        <v>0</v>
      </c>
    </row>
    <row r="87" spans="2:27" x14ac:dyDescent="0.25">
      <c r="B87" s="21">
        <f ca="1">IF(B86="","",IF(EOMONTH(B86,1)&gt;EOMONTH(ELEGIBILIDADE!$J$17,0),"",EOMONTH(B86,1)))</f>
        <v>46053</v>
      </c>
      <c r="C87" s="22">
        <f ca="1">IF(B87="","",IF(MONTH(B87)=1,C86*(1+PREMISSAS!$C$57),C86))</f>
        <v>0</v>
      </c>
      <c r="D87" s="22">
        <f ca="1">IF(RESULTADOS!$C$17="Normal",IFERROR(MAX(C87-PREMISSAS!$C$13,0),0),IF(Painel!$I$23=0,0,MAX(10*PREMISSAS!$C$38,RESULTADOS!$F$17)))</f>
        <v>0</v>
      </c>
      <c r="E87" s="4">
        <f ca="1">D87*IF(RESULTADOS!$C$17="Normal",RESULTADOS!$C$16,0)</f>
        <v>0</v>
      </c>
      <c r="F87" s="4">
        <f ca="1">IFERROR(IF(RESULTADOS!$C$17="Normal",D87,C87)*RESULTADOS!$C$18,0)</f>
        <v>0</v>
      </c>
      <c r="G87" s="4">
        <f ca="1">IFERROR(IF(RESULTADOS!$C$17="Normal",0,D87)*IF(RESULTADOS!$C$17="Normal",RESULTADOS!$C$18,RESULTADOS!$C$16),0)</f>
        <v>0</v>
      </c>
      <c r="H87" s="4">
        <f ca="1">IF(RESULTADOS!$C$17="Normal",E87,0)</f>
        <v>0</v>
      </c>
      <c r="I87" s="4">
        <f ca="1">(E87+H87+G87)*PREMISSAS!$C$60</f>
        <v>0</v>
      </c>
      <c r="J87" s="4">
        <f ca="1">D87*IF(RESULTADOS!$C$17="Normal",PREMISSAS!$C$62,0)</f>
        <v>0</v>
      </c>
      <c r="K87" s="116">
        <f ca="1">IFERROR(K86*(1+PREMISSAS!$C$18)+(E87+H87-IF(RESULTADOS!$C$17="Normal",I87,0)-J87)*IF(MONTH(B87)=12,2,1),0)</f>
        <v>0</v>
      </c>
      <c r="L87" s="116">
        <f ca="1">IFERROR((L86+G87-IF(RESULTADOS!$C$17="Normal",0,I87))*(1+PREMISSAS!$C$18)+F87,0)</f>
        <v>0</v>
      </c>
      <c r="N87" s="73">
        <f t="shared" ca="1" si="8"/>
        <v>0</v>
      </c>
      <c r="P87" s="164">
        <f t="shared" ca="1" si="9"/>
        <v>46053</v>
      </c>
      <c r="Q87" s="140">
        <f ca="1">IF(C87="","",Q86+(E87+H87-IF(RESULTADOS!$C$17="Normal",I87,0)-J87)/2+(F87+G87-IF(RESULTADOS!$C$17="Normal",0,I87)))</f>
        <v>0</v>
      </c>
      <c r="R87" s="140">
        <f ca="1">IF(C87="","",R86+(E87+H87-IF(RESULTADOS!$C$17="Normal",I87,0)-J87)/2)</f>
        <v>0</v>
      </c>
      <c r="S87" s="140">
        <f t="shared" ca="1" si="12"/>
        <v>0</v>
      </c>
      <c r="U87" s="164" t="str">
        <f t="shared" ca="1" si="13"/>
        <v/>
      </c>
      <c r="V87" s="164" t="str">
        <f t="shared" ca="1" si="10"/>
        <v/>
      </c>
      <c r="W87" s="140">
        <f ca="1">IF(OR((W86-13/12*Z86)*(1+PREMISSAS!$C$16)&lt;0,W86=""),0,(W86-13/12*Z86)*(1+PREMISSAS!$C$16))</f>
        <v>0</v>
      </c>
      <c r="X87" s="140">
        <f ca="1">IF(OR((X86-13/12*AA86)*(1+PREMISSAS!$C$16)&lt;0,X86=""),0,(X86-13/12*AA86)*(1+PREMISSAS!$C$16))</f>
        <v>0</v>
      </c>
      <c r="Y87" s="140">
        <f t="shared" ca="1" si="11"/>
        <v>0</v>
      </c>
      <c r="Z87" s="167">
        <f t="shared" ca="1" si="14"/>
        <v>0</v>
      </c>
      <c r="AA87" s="167">
        <f t="shared" ca="1" si="15"/>
        <v>0</v>
      </c>
    </row>
    <row r="88" spans="2:27" x14ac:dyDescent="0.25">
      <c r="B88" s="21">
        <f ca="1">IF(B87="","",IF(EOMONTH(B87,1)&gt;EOMONTH(ELEGIBILIDADE!$J$17,0),"",EOMONTH(B87,1)))</f>
        <v>46081</v>
      </c>
      <c r="C88" s="22">
        <f ca="1">IF(B88="","",IF(MONTH(B88)=1,C87*(1+PREMISSAS!$C$57),C87))</f>
        <v>0</v>
      </c>
      <c r="D88" s="22">
        <f ca="1">IF(RESULTADOS!$C$17="Normal",IFERROR(MAX(C88-PREMISSAS!$C$13,0),0),IF(Painel!$I$23=0,0,MAX(10*PREMISSAS!$C$38,RESULTADOS!$F$17)))</f>
        <v>0</v>
      </c>
      <c r="E88" s="4">
        <f ca="1">D88*IF(RESULTADOS!$C$17="Normal",RESULTADOS!$C$16,0)</f>
        <v>0</v>
      </c>
      <c r="F88" s="4">
        <f ca="1">IFERROR(IF(RESULTADOS!$C$17="Normal",D88,C88)*RESULTADOS!$C$18,0)</f>
        <v>0</v>
      </c>
      <c r="G88" s="4">
        <f ca="1">IFERROR(IF(RESULTADOS!$C$17="Normal",0,D88)*IF(RESULTADOS!$C$17="Normal",RESULTADOS!$C$18,RESULTADOS!$C$16),0)</f>
        <v>0</v>
      </c>
      <c r="H88" s="4">
        <f ca="1">IF(RESULTADOS!$C$17="Normal",E88,0)</f>
        <v>0</v>
      </c>
      <c r="I88" s="4">
        <f ca="1">(E88+H88+G88)*PREMISSAS!$C$60</f>
        <v>0</v>
      </c>
      <c r="J88" s="4">
        <f ca="1">D88*IF(RESULTADOS!$C$17="Normal",PREMISSAS!$C$62,0)</f>
        <v>0</v>
      </c>
      <c r="K88" s="116">
        <f ca="1">IFERROR(K87*(1+PREMISSAS!$C$18)+(E88+H88-IF(RESULTADOS!$C$17="Normal",I88,0)-J88)*IF(MONTH(B88)=12,2,1),0)</f>
        <v>0</v>
      </c>
      <c r="L88" s="116">
        <f ca="1">IFERROR((L87+G88-IF(RESULTADOS!$C$17="Normal",0,I88))*(1+PREMISSAS!$C$18)+F88,0)</f>
        <v>0</v>
      </c>
      <c r="N88" s="73">
        <f t="shared" ca="1" si="8"/>
        <v>0</v>
      </c>
      <c r="P88" s="164">
        <f t="shared" ca="1" si="9"/>
        <v>46081</v>
      </c>
      <c r="Q88" s="140">
        <f ca="1">IF(C88="","",Q87+(E88+H88-IF(RESULTADOS!$C$17="Normal",I88,0)-J88)/2+(F88+G88-IF(RESULTADOS!$C$17="Normal",0,I88)))</f>
        <v>0</v>
      </c>
      <c r="R88" s="140">
        <f ca="1">IF(C88="","",R87+(E88+H88-IF(RESULTADOS!$C$17="Normal",I88,0)-J88)/2)</f>
        <v>0</v>
      </c>
      <c r="S88" s="140">
        <f t="shared" ca="1" si="12"/>
        <v>0</v>
      </c>
      <c r="U88" s="164" t="str">
        <f t="shared" ca="1" si="13"/>
        <v/>
      </c>
      <c r="V88" s="164" t="str">
        <f t="shared" ca="1" si="10"/>
        <v/>
      </c>
      <c r="W88" s="140">
        <f ca="1">IF(OR((W87-13/12*Z87)*(1+PREMISSAS!$C$16)&lt;0,W87=""),0,(W87-13/12*Z87)*(1+PREMISSAS!$C$16))</f>
        <v>0</v>
      </c>
      <c r="X88" s="140">
        <f ca="1">IF(OR((X87-13/12*AA87)*(1+PREMISSAS!$C$16)&lt;0,X87=""),0,(X87-13/12*AA87)*(1+PREMISSAS!$C$16))</f>
        <v>0</v>
      </c>
      <c r="Y88" s="140">
        <f t="shared" ca="1" si="11"/>
        <v>0</v>
      </c>
      <c r="Z88" s="167">
        <f t="shared" ca="1" si="14"/>
        <v>0</v>
      </c>
      <c r="AA88" s="167">
        <f t="shared" ca="1" si="15"/>
        <v>0</v>
      </c>
    </row>
    <row r="89" spans="2:27" x14ac:dyDescent="0.25">
      <c r="B89" s="21">
        <f ca="1">IF(B88="","",IF(EOMONTH(B88,1)&gt;EOMONTH(ELEGIBILIDADE!$J$17,0),"",EOMONTH(B88,1)))</f>
        <v>46112</v>
      </c>
      <c r="C89" s="22">
        <f ca="1">IF(B89="","",IF(MONTH(B89)=1,C88*(1+PREMISSAS!$C$57),C88))</f>
        <v>0</v>
      </c>
      <c r="D89" s="22">
        <f ca="1">IF(RESULTADOS!$C$17="Normal",IFERROR(MAX(C89-PREMISSAS!$C$13,0),0),IF(Painel!$I$23=0,0,MAX(10*PREMISSAS!$C$38,RESULTADOS!$F$17)))</f>
        <v>0</v>
      </c>
      <c r="E89" s="4">
        <f ca="1">D89*IF(RESULTADOS!$C$17="Normal",RESULTADOS!$C$16,0)</f>
        <v>0</v>
      </c>
      <c r="F89" s="4">
        <f ca="1">IFERROR(IF(RESULTADOS!$C$17="Normal",D89,C89)*RESULTADOS!$C$18,0)</f>
        <v>0</v>
      </c>
      <c r="G89" s="4">
        <f ca="1">IFERROR(IF(RESULTADOS!$C$17="Normal",0,D89)*IF(RESULTADOS!$C$17="Normal",RESULTADOS!$C$18,RESULTADOS!$C$16),0)</f>
        <v>0</v>
      </c>
      <c r="H89" s="4">
        <f ca="1">IF(RESULTADOS!$C$17="Normal",E89,0)</f>
        <v>0</v>
      </c>
      <c r="I89" s="4">
        <f ca="1">(E89+H89+G89)*PREMISSAS!$C$60</f>
        <v>0</v>
      </c>
      <c r="J89" s="4">
        <f ca="1">D89*IF(RESULTADOS!$C$17="Normal",PREMISSAS!$C$62,0)</f>
        <v>0</v>
      </c>
      <c r="K89" s="116">
        <f ca="1">IFERROR(K88*(1+PREMISSAS!$C$18)+(E89+H89-IF(RESULTADOS!$C$17="Normal",I89,0)-J89)*IF(MONTH(B89)=12,2,1),0)</f>
        <v>0</v>
      </c>
      <c r="L89" s="116">
        <f ca="1">IFERROR((L88+G89-IF(RESULTADOS!$C$17="Normal",0,I89))*(1+PREMISSAS!$C$18)+F89,0)</f>
        <v>0</v>
      </c>
      <c r="N89" s="73">
        <f t="shared" ca="1" si="8"/>
        <v>0</v>
      </c>
      <c r="P89" s="164">
        <f t="shared" ca="1" si="9"/>
        <v>46112</v>
      </c>
      <c r="Q89" s="140">
        <f ca="1">IF(C89="","",Q88+(E89+H89-IF(RESULTADOS!$C$17="Normal",I89,0)-J89)/2+(F89+G89-IF(RESULTADOS!$C$17="Normal",0,I89)))</f>
        <v>0</v>
      </c>
      <c r="R89" s="140">
        <f ca="1">IF(C89="","",R88+(E89+H89-IF(RESULTADOS!$C$17="Normal",I89,0)-J89)/2)</f>
        <v>0</v>
      </c>
      <c r="S89" s="140">
        <f t="shared" ca="1" si="12"/>
        <v>0</v>
      </c>
      <c r="U89" s="164" t="str">
        <f t="shared" ca="1" si="13"/>
        <v/>
      </c>
      <c r="V89" s="164" t="str">
        <f t="shared" ca="1" si="10"/>
        <v/>
      </c>
      <c r="W89" s="140">
        <f ca="1">IF(OR((W88-13/12*Z88)*(1+PREMISSAS!$C$16)&lt;0,W88=""),0,(W88-13/12*Z88)*(1+PREMISSAS!$C$16))</f>
        <v>0</v>
      </c>
      <c r="X89" s="140">
        <f ca="1">IF(OR((X88-13/12*AA88)*(1+PREMISSAS!$C$16)&lt;0,X88=""),0,(X88-13/12*AA88)*(1+PREMISSAS!$C$16))</f>
        <v>0</v>
      </c>
      <c r="Y89" s="140">
        <f t="shared" ca="1" si="11"/>
        <v>0</v>
      </c>
      <c r="Z89" s="167">
        <f t="shared" ca="1" si="14"/>
        <v>0</v>
      </c>
      <c r="AA89" s="167">
        <f t="shared" ca="1" si="15"/>
        <v>0</v>
      </c>
    </row>
    <row r="90" spans="2:27" x14ac:dyDescent="0.25">
      <c r="B90" s="21">
        <f ca="1">IF(B89="","",IF(EOMONTH(B89,1)&gt;EOMONTH(ELEGIBILIDADE!$J$17,0),"",EOMONTH(B89,1)))</f>
        <v>46142</v>
      </c>
      <c r="C90" s="22">
        <f ca="1">IF(B90="","",IF(MONTH(B90)=1,C89*(1+PREMISSAS!$C$57),C89))</f>
        <v>0</v>
      </c>
      <c r="D90" s="22">
        <f ca="1">IF(RESULTADOS!$C$17="Normal",IFERROR(MAX(C90-PREMISSAS!$C$13,0),0),IF(Painel!$I$23=0,0,MAX(10*PREMISSAS!$C$38,RESULTADOS!$F$17)))</f>
        <v>0</v>
      </c>
      <c r="E90" s="4">
        <f ca="1">D90*IF(RESULTADOS!$C$17="Normal",RESULTADOS!$C$16,0)</f>
        <v>0</v>
      </c>
      <c r="F90" s="4">
        <f ca="1">IFERROR(IF(RESULTADOS!$C$17="Normal",D90,C90)*RESULTADOS!$C$18,0)</f>
        <v>0</v>
      </c>
      <c r="G90" s="4">
        <f ca="1">IFERROR(IF(RESULTADOS!$C$17="Normal",0,D90)*IF(RESULTADOS!$C$17="Normal",RESULTADOS!$C$18,RESULTADOS!$C$16),0)</f>
        <v>0</v>
      </c>
      <c r="H90" s="4">
        <f ca="1">IF(RESULTADOS!$C$17="Normal",E90,0)</f>
        <v>0</v>
      </c>
      <c r="I90" s="4">
        <f ca="1">(E90+H90+G90)*PREMISSAS!$C$60</f>
        <v>0</v>
      </c>
      <c r="J90" s="4">
        <f ca="1">D90*IF(RESULTADOS!$C$17="Normal",PREMISSAS!$C$62,0)</f>
        <v>0</v>
      </c>
      <c r="K90" s="116">
        <f ca="1">IFERROR(K89*(1+PREMISSAS!$C$18)+(E90+H90-IF(RESULTADOS!$C$17="Normal",I90,0)-J90)*IF(MONTH(B90)=12,2,1),0)</f>
        <v>0</v>
      </c>
      <c r="L90" s="116">
        <f ca="1">IFERROR((L89+G90-IF(RESULTADOS!$C$17="Normal",0,I90))*(1+PREMISSAS!$C$18)+F90,0)</f>
        <v>0</v>
      </c>
      <c r="N90" s="73">
        <f t="shared" ca="1" si="8"/>
        <v>0</v>
      </c>
      <c r="P90" s="164">
        <f t="shared" ca="1" si="9"/>
        <v>46142</v>
      </c>
      <c r="Q90" s="140">
        <f ca="1">IF(C90="","",Q89+(E90+H90-IF(RESULTADOS!$C$17="Normal",I90,0)-J90)/2+(F90+G90-IF(RESULTADOS!$C$17="Normal",0,I90)))</f>
        <v>0</v>
      </c>
      <c r="R90" s="140">
        <f ca="1">IF(C90="","",R89+(E90+H90-IF(RESULTADOS!$C$17="Normal",I90,0)-J90)/2)</f>
        <v>0</v>
      </c>
      <c r="S90" s="140">
        <f t="shared" ca="1" si="12"/>
        <v>0</v>
      </c>
      <c r="U90" s="164" t="str">
        <f t="shared" ca="1" si="13"/>
        <v/>
      </c>
      <c r="V90" s="164" t="str">
        <f t="shared" ca="1" si="10"/>
        <v/>
      </c>
      <c r="W90" s="140">
        <f ca="1">IF(OR((W89-13/12*Z89)*(1+PREMISSAS!$C$16)&lt;0,W89=""),0,(W89-13/12*Z89)*(1+PREMISSAS!$C$16))</f>
        <v>0</v>
      </c>
      <c r="X90" s="140">
        <f ca="1">IF(OR((X89-13/12*AA89)*(1+PREMISSAS!$C$16)&lt;0,X89=""),0,(X89-13/12*AA89)*(1+PREMISSAS!$C$16))</f>
        <v>0</v>
      </c>
      <c r="Y90" s="140">
        <f t="shared" ca="1" si="11"/>
        <v>0</v>
      </c>
      <c r="Z90" s="167">
        <f t="shared" ca="1" si="14"/>
        <v>0</v>
      </c>
      <c r="AA90" s="167">
        <f t="shared" ca="1" si="15"/>
        <v>0</v>
      </c>
    </row>
    <row r="91" spans="2:27" x14ac:dyDescent="0.25">
      <c r="B91" s="21">
        <f ca="1">IF(B90="","",IF(EOMONTH(B90,1)&gt;EOMONTH(ELEGIBILIDADE!$J$17,0),"",EOMONTH(B90,1)))</f>
        <v>46173</v>
      </c>
      <c r="C91" s="22">
        <f ca="1">IF(B91="","",IF(MONTH(B91)=1,C90*(1+PREMISSAS!$C$57),C90))</f>
        <v>0</v>
      </c>
      <c r="D91" s="22">
        <f ca="1">IF(RESULTADOS!$C$17="Normal",IFERROR(MAX(C91-PREMISSAS!$C$13,0),0),IF(Painel!$I$23=0,0,MAX(10*PREMISSAS!$C$38,RESULTADOS!$F$17)))</f>
        <v>0</v>
      </c>
      <c r="E91" s="4">
        <f ca="1">D91*IF(RESULTADOS!$C$17="Normal",RESULTADOS!$C$16,0)</f>
        <v>0</v>
      </c>
      <c r="F91" s="4">
        <f ca="1">IFERROR(IF(RESULTADOS!$C$17="Normal",D91,C91)*RESULTADOS!$C$18,0)</f>
        <v>0</v>
      </c>
      <c r="G91" s="4">
        <f ca="1">IFERROR(IF(RESULTADOS!$C$17="Normal",0,D91)*IF(RESULTADOS!$C$17="Normal",RESULTADOS!$C$18,RESULTADOS!$C$16),0)</f>
        <v>0</v>
      </c>
      <c r="H91" s="4">
        <f ca="1">IF(RESULTADOS!$C$17="Normal",E91,0)</f>
        <v>0</v>
      </c>
      <c r="I91" s="4">
        <f ca="1">(E91+H91+G91)*PREMISSAS!$C$60</f>
        <v>0</v>
      </c>
      <c r="J91" s="4">
        <f ca="1">D91*IF(RESULTADOS!$C$17="Normal",PREMISSAS!$C$62,0)</f>
        <v>0</v>
      </c>
      <c r="K91" s="116">
        <f ca="1">IFERROR(K90*(1+PREMISSAS!$C$18)+(E91+H91-IF(RESULTADOS!$C$17="Normal",I91,0)-J91)*IF(MONTH(B91)=12,2,1),0)</f>
        <v>0</v>
      </c>
      <c r="L91" s="116">
        <f ca="1">IFERROR((L90+G91-IF(RESULTADOS!$C$17="Normal",0,I91))*(1+PREMISSAS!$C$18)+F91,0)</f>
        <v>0</v>
      </c>
      <c r="N91" s="73">
        <f t="shared" ca="1" si="8"/>
        <v>0</v>
      </c>
      <c r="P91" s="164">
        <f t="shared" ca="1" si="9"/>
        <v>46173</v>
      </c>
      <c r="Q91" s="140">
        <f ca="1">IF(C91="","",Q90+(E91+H91-IF(RESULTADOS!$C$17="Normal",I91,0)-J91)/2+(F91+G91-IF(RESULTADOS!$C$17="Normal",0,I91)))</f>
        <v>0</v>
      </c>
      <c r="R91" s="140">
        <f ca="1">IF(C91="","",R90+(E91+H91-IF(RESULTADOS!$C$17="Normal",I91,0)-J91)/2)</f>
        <v>0</v>
      </c>
      <c r="S91" s="140">
        <f t="shared" ca="1" si="12"/>
        <v>0</v>
      </c>
      <c r="U91" s="164" t="str">
        <f t="shared" ca="1" si="13"/>
        <v/>
      </c>
      <c r="V91" s="164" t="str">
        <f t="shared" ca="1" si="10"/>
        <v/>
      </c>
      <c r="W91" s="140">
        <f ca="1">IF(OR((W90-13/12*Z90)*(1+PREMISSAS!$C$16)&lt;0,W90=""),0,(W90-13/12*Z90)*(1+PREMISSAS!$C$16))</f>
        <v>0</v>
      </c>
      <c r="X91" s="140">
        <f ca="1">IF(OR((X90-13/12*AA90)*(1+PREMISSAS!$C$16)&lt;0,X90=""),0,(X90-13/12*AA90)*(1+PREMISSAS!$C$16))</f>
        <v>0</v>
      </c>
      <c r="Y91" s="140">
        <f t="shared" ca="1" si="11"/>
        <v>0</v>
      </c>
      <c r="Z91" s="167">
        <f t="shared" ca="1" si="14"/>
        <v>0</v>
      </c>
      <c r="AA91" s="167">
        <f t="shared" ca="1" si="15"/>
        <v>0</v>
      </c>
    </row>
    <row r="92" spans="2:27" x14ac:dyDescent="0.25">
      <c r="B92" s="21">
        <f ca="1">IF(B91="","",IF(EOMONTH(B91,1)&gt;EOMONTH(ELEGIBILIDADE!$J$17,0),"",EOMONTH(B91,1)))</f>
        <v>46203</v>
      </c>
      <c r="C92" s="22">
        <f ca="1">IF(B92="","",IF(MONTH(B92)=1,C91*(1+PREMISSAS!$C$57),C91))</f>
        <v>0</v>
      </c>
      <c r="D92" s="22">
        <f ca="1">IF(RESULTADOS!$C$17="Normal",IFERROR(MAX(C92-PREMISSAS!$C$13,0),0),IF(Painel!$I$23=0,0,MAX(10*PREMISSAS!$C$38,RESULTADOS!$F$17)))</f>
        <v>0</v>
      </c>
      <c r="E92" s="4">
        <f ca="1">D92*IF(RESULTADOS!$C$17="Normal",RESULTADOS!$C$16,0)</f>
        <v>0</v>
      </c>
      <c r="F92" s="4">
        <f ca="1">IFERROR(IF(RESULTADOS!$C$17="Normal",D92,C92)*RESULTADOS!$C$18,0)</f>
        <v>0</v>
      </c>
      <c r="G92" s="4">
        <f ca="1">IFERROR(IF(RESULTADOS!$C$17="Normal",0,D92)*IF(RESULTADOS!$C$17="Normal",RESULTADOS!$C$18,RESULTADOS!$C$16),0)</f>
        <v>0</v>
      </c>
      <c r="H92" s="4">
        <f ca="1">IF(RESULTADOS!$C$17="Normal",E92,0)</f>
        <v>0</v>
      </c>
      <c r="I92" s="4">
        <f ca="1">(E92+H92+G92)*PREMISSAS!$C$60</f>
        <v>0</v>
      </c>
      <c r="J92" s="4">
        <f ca="1">D92*IF(RESULTADOS!$C$17="Normal",PREMISSAS!$C$62,0)</f>
        <v>0</v>
      </c>
      <c r="K92" s="116">
        <f ca="1">IFERROR(K91*(1+PREMISSAS!$C$18)+(E92+H92-IF(RESULTADOS!$C$17="Normal",I92,0)-J92)*IF(MONTH(B92)=12,2,1),0)</f>
        <v>0</v>
      </c>
      <c r="L92" s="116">
        <f ca="1">IFERROR((L91+G92-IF(RESULTADOS!$C$17="Normal",0,I92))*(1+PREMISSAS!$C$18)+F92,0)</f>
        <v>0</v>
      </c>
      <c r="N92" s="73">
        <f t="shared" ca="1" si="8"/>
        <v>0</v>
      </c>
      <c r="P92" s="164">
        <f t="shared" ca="1" si="9"/>
        <v>46203</v>
      </c>
      <c r="Q92" s="140">
        <f ca="1">IF(C92="","",Q91+(E92+H92-IF(RESULTADOS!$C$17="Normal",I92,0)-J92)/2+(F92+G92-IF(RESULTADOS!$C$17="Normal",0,I92)))</f>
        <v>0</v>
      </c>
      <c r="R92" s="140">
        <f ca="1">IF(C92="","",R91+(E92+H92-IF(RESULTADOS!$C$17="Normal",I92,0)-J92)/2)</f>
        <v>0</v>
      </c>
      <c r="S92" s="140">
        <f t="shared" ca="1" si="12"/>
        <v>0</v>
      </c>
      <c r="U92" s="164" t="str">
        <f t="shared" ca="1" si="13"/>
        <v/>
      </c>
      <c r="V92" s="164" t="str">
        <f t="shared" ca="1" si="10"/>
        <v/>
      </c>
      <c r="W92" s="140">
        <f ca="1">IF(OR((W91-13/12*Z91)*(1+PREMISSAS!$C$16)&lt;0,W91=""),0,(W91-13/12*Z91)*(1+PREMISSAS!$C$16))</f>
        <v>0</v>
      </c>
      <c r="X92" s="140">
        <f ca="1">IF(OR((X91-13/12*AA91)*(1+PREMISSAS!$C$16)&lt;0,X91=""),0,(X91-13/12*AA91)*(1+PREMISSAS!$C$16))</f>
        <v>0</v>
      </c>
      <c r="Y92" s="140">
        <f t="shared" ca="1" si="11"/>
        <v>0</v>
      </c>
      <c r="Z92" s="167">
        <f t="shared" ca="1" si="14"/>
        <v>0</v>
      </c>
      <c r="AA92" s="167">
        <f t="shared" ca="1" si="15"/>
        <v>0</v>
      </c>
    </row>
    <row r="93" spans="2:27" x14ac:dyDescent="0.25">
      <c r="B93" s="21">
        <f ca="1">IF(B92="","",IF(EOMONTH(B92,1)&gt;EOMONTH(ELEGIBILIDADE!$J$17,0),"",EOMONTH(B92,1)))</f>
        <v>46234</v>
      </c>
      <c r="C93" s="22">
        <f ca="1">IF(B93="","",IF(MONTH(B93)=1,C92*(1+PREMISSAS!$C$57),C92))</f>
        <v>0</v>
      </c>
      <c r="D93" s="22">
        <f ca="1">IF(RESULTADOS!$C$17="Normal",IFERROR(MAX(C93-PREMISSAS!$C$13,0),0),IF(Painel!$I$23=0,0,MAX(10*PREMISSAS!$C$38,RESULTADOS!$F$17)))</f>
        <v>0</v>
      </c>
      <c r="E93" s="4">
        <f ca="1">D93*IF(RESULTADOS!$C$17="Normal",RESULTADOS!$C$16,0)</f>
        <v>0</v>
      </c>
      <c r="F93" s="4">
        <f ca="1">IFERROR(IF(RESULTADOS!$C$17="Normal",D93,C93)*RESULTADOS!$C$18,0)</f>
        <v>0</v>
      </c>
      <c r="G93" s="4">
        <f ca="1">IFERROR(IF(RESULTADOS!$C$17="Normal",0,D93)*IF(RESULTADOS!$C$17="Normal",RESULTADOS!$C$18,RESULTADOS!$C$16),0)</f>
        <v>0</v>
      </c>
      <c r="H93" s="4">
        <f ca="1">IF(RESULTADOS!$C$17="Normal",E93,0)</f>
        <v>0</v>
      </c>
      <c r="I93" s="4">
        <f ca="1">(E93+H93+G93)*PREMISSAS!$C$60</f>
        <v>0</v>
      </c>
      <c r="J93" s="4">
        <f ca="1">D93*IF(RESULTADOS!$C$17="Normal",PREMISSAS!$C$62,0)</f>
        <v>0</v>
      </c>
      <c r="K93" s="116">
        <f ca="1">IFERROR(K92*(1+PREMISSAS!$C$18)+(E93+H93-IF(RESULTADOS!$C$17="Normal",I93,0)-J93)*IF(MONTH(B93)=12,2,1),0)</f>
        <v>0</v>
      </c>
      <c r="L93" s="116">
        <f ca="1">IFERROR((L92+G93-IF(RESULTADOS!$C$17="Normal",0,I93))*(1+PREMISSAS!$C$18)+F93,0)</f>
        <v>0</v>
      </c>
      <c r="N93" s="73">
        <f t="shared" ca="1" si="8"/>
        <v>0</v>
      </c>
      <c r="P93" s="164">
        <f t="shared" ca="1" si="9"/>
        <v>46234</v>
      </c>
      <c r="Q93" s="140">
        <f ca="1">IF(C93="","",Q92+(E93+H93-IF(RESULTADOS!$C$17="Normal",I93,0)-J93)/2+(F93+G93-IF(RESULTADOS!$C$17="Normal",0,I93)))</f>
        <v>0</v>
      </c>
      <c r="R93" s="140">
        <f ca="1">IF(C93="","",R92+(E93+H93-IF(RESULTADOS!$C$17="Normal",I93,0)-J93)/2)</f>
        <v>0</v>
      </c>
      <c r="S93" s="140">
        <f t="shared" ca="1" si="12"/>
        <v>0</v>
      </c>
      <c r="U93" s="164" t="str">
        <f t="shared" ca="1" si="13"/>
        <v/>
      </c>
      <c r="V93" s="164" t="str">
        <f t="shared" ca="1" si="10"/>
        <v/>
      </c>
      <c r="W93" s="140">
        <f ca="1">IF(OR((W92-13/12*Z92)*(1+PREMISSAS!$C$16)&lt;0,W92=""),0,(W92-13/12*Z92)*(1+PREMISSAS!$C$16))</f>
        <v>0</v>
      </c>
      <c r="X93" s="140">
        <f ca="1">IF(OR((X92-13/12*AA92)*(1+PREMISSAS!$C$16)&lt;0,X92=""),0,(X92-13/12*AA92)*(1+PREMISSAS!$C$16))</f>
        <v>0</v>
      </c>
      <c r="Y93" s="140">
        <f t="shared" ca="1" si="11"/>
        <v>0</v>
      </c>
      <c r="Z93" s="167">
        <f t="shared" ca="1" si="14"/>
        <v>0</v>
      </c>
      <c r="AA93" s="167">
        <f t="shared" ca="1" si="15"/>
        <v>0</v>
      </c>
    </row>
    <row r="94" spans="2:27" x14ac:dyDescent="0.25">
      <c r="B94" s="21">
        <f ca="1">IF(B93="","",IF(EOMONTH(B93,1)&gt;EOMONTH(ELEGIBILIDADE!$J$17,0),"",EOMONTH(B93,1)))</f>
        <v>46265</v>
      </c>
      <c r="C94" s="22">
        <f ca="1">IF(B94="","",IF(MONTH(B94)=1,C93*(1+PREMISSAS!$C$57),C93))</f>
        <v>0</v>
      </c>
      <c r="D94" s="22">
        <f ca="1">IF(RESULTADOS!$C$17="Normal",IFERROR(MAX(C94-PREMISSAS!$C$13,0),0),IF(Painel!$I$23=0,0,MAX(10*PREMISSAS!$C$38,RESULTADOS!$F$17)))</f>
        <v>0</v>
      </c>
      <c r="E94" s="4">
        <f ca="1">D94*IF(RESULTADOS!$C$17="Normal",RESULTADOS!$C$16,0)</f>
        <v>0</v>
      </c>
      <c r="F94" s="4">
        <f ca="1">IFERROR(IF(RESULTADOS!$C$17="Normal",D94,C94)*RESULTADOS!$C$18,0)</f>
        <v>0</v>
      </c>
      <c r="G94" s="4">
        <f ca="1">IFERROR(IF(RESULTADOS!$C$17="Normal",0,D94)*IF(RESULTADOS!$C$17="Normal",RESULTADOS!$C$18,RESULTADOS!$C$16),0)</f>
        <v>0</v>
      </c>
      <c r="H94" s="4">
        <f ca="1">IF(RESULTADOS!$C$17="Normal",E94,0)</f>
        <v>0</v>
      </c>
      <c r="I94" s="4">
        <f ca="1">(E94+H94+G94)*PREMISSAS!$C$60</f>
        <v>0</v>
      </c>
      <c r="J94" s="4">
        <f ca="1">D94*IF(RESULTADOS!$C$17="Normal",PREMISSAS!$C$62,0)</f>
        <v>0</v>
      </c>
      <c r="K94" s="116">
        <f ca="1">IFERROR(K93*(1+PREMISSAS!$C$18)+(E94+H94-IF(RESULTADOS!$C$17="Normal",I94,0)-J94)*IF(MONTH(B94)=12,2,1),0)</f>
        <v>0</v>
      </c>
      <c r="L94" s="116">
        <f ca="1">IFERROR((L93+G94-IF(RESULTADOS!$C$17="Normal",0,I94))*(1+PREMISSAS!$C$18)+F94,0)</f>
        <v>0</v>
      </c>
      <c r="N94" s="73">
        <f t="shared" ca="1" si="8"/>
        <v>0</v>
      </c>
      <c r="P94" s="164">
        <f t="shared" ca="1" si="9"/>
        <v>46265</v>
      </c>
      <c r="Q94" s="140">
        <f ca="1">IF(C94="","",Q93+(E94+H94-IF(RESULTADOS!$C$17="Normal",I94,0)-J94)/2+(F94+G94-IF(RESULTADOS!$C$17="Normal",0,I94)))</f>
        <v>0</v>
      </c>
      <c r="R94" s="140">
        <f ca="1">IF(C94="","",R93+(E94+H94-IF(RESULTADOS!$C$17="Normal",I94,0)-J94)/2)</f>
        <v>0</v>
      </c>
      <c r="S94" s="140">
        <f t="shared" ca="1" si="12"/>
        <v>0</v>
      </c>
      <c r="U94" s="164" t="str">
        <f t="shared" ca="1" si="13"/>
        <v/>
      </c>
      <c r="V94" s="164" t="str">
        <f t="shared" ca="1" si="10"/>
        <v/>
      </c>
      <c r="W94" s="140">
        <f ca="1">IF(OR((W93-13/12*Z93)*(1+PREMISSAS!$C$16)&lt;0,W93=""),0,(W93-13/12*Z93)*(1+PREMISSAS!$C$16))</f>
        <v>0</v>
      </c>
      <c r="X94" s="140">
        <f ca="1">IF(OR((X93-13/12*AA93)*(1+PREMISSAS!$C$16)&lt;0,X93=""),0,(X93-13/12*AA93)*(1+PREMISSAS!$C$16))</f>
        <v>0</v>
      </c>
      <c r="Y94" s="140">
        <f t="shared" ca="1" si="11"/>
        <v>0</v>
      </c>
      <c r="Z94" s="167">
        <f t="shared" ca="1" si="14"/>
        <v>0</v>
      </c>
      <c r="AA94" s="167">
        <f t="shared" ca="1" si="15"/>
        <v>0</v>
      </c>
    </row>
    <row r="95" spans="2:27" x14ac:dyDescent="0.25">
      <c r="B95" s="21">
        <f ca="1">IF(B94="","",IF(EOMONTH(B94,1)&gt;EOMONTH(ELEGIBILIDADE!$J$17,0),"",EOMONTH(B94,1)))</f>
        <v>46295</v>
      </c>
      <c r="C95" s="22">
        <f ca="1">IF(B95="","",IF(MONTH(B95)=1,C94*(1+PREMISSAS!$C$57),C94))</f>
        <v>0</v>
      </c>
      <c r="D95" s="22">
        <f ca="1">IF(RESULTADOS!$C$17="Normal",IFERROR(MAX(C95-PREMISSAS!$C$13,0),0),IF(Painel!$I$23=0,0,MAX(10*PREMISSAS!$C$38,RESULTADOS!$F$17)))</f>
        <v>0</v>
      </c>
      <c r="E95" s="4">
        <f ca="1">D95*IF(RESULTADOS!$C$17="Normal",RESULTADOS!$C$16,0)</f>
        <v>0</v>
      </c>
      <c r="F95" s="4">
        <f ca="1">IFERROR(IF(RESULTADOS!$C$17="Normal",D95,C95)*RESULTADOS!$C$18,0)</f>
        <v>0</v>
      </c>
      <c r="G95" s="4">
        <f ca="1">IFERROR(IF(RESULTADOS!$C$17="Normal",0,D95)*IF(RESULTADOS!$C$17="Normal",RESULTADOS!$C$18,RESULTADOS!$C$16),0)</f>
        <v>0</v>
      </c>
      <c r="H95" s="4">
        <f ca="1">IF(RESULTADOS!$C$17="Normal",E95,0)</f>
        <v>0</v>
      </c>
      <c r="I95" s="4">
        <f ca="1">(E95+H95+G95)*PREMISSAS!$C$60</f>
        <v>0</v>
      </c>
      <c r="J95" s="4">
        <f ca="1">D95*IF(RESULTADOS!$C$17="Normal",PREMISSAS!$C$62,0)</f>
        <v>0</v>
      </c>
      <c r="K95" s="116">
        <f ca="1">IFERROR(K94*(1+PREMISSAS!$C$18)+(E95+H95-IF(RESULTADOS!$C$17="Normal",I95,0)-J95)*IF(MONTH(B95)=12,2,1),0)</f>
        <v>0</v>
      </c>
      <c r="L95" s="116">
        <f ca="1">IFERROR((L94+G95-IF(RESULTADOS!$C$17="Normal",0,I95))*(1+PREMISSAS!$C$18)+F95,0)</f>
        <v>0</v>
      </c>
      <c r="N95" s="73">
        <f t="shared" ca="1" si="8"/>
        <v>0</v>
      </c>
      <c r="P95" s="164">
        <f t="shared" ca="1" si="9"/>
        <v>46295</v>
      </c>
      <c r="Q95" s="140">
        <f ca="1">IF(C95="","",Q94+(E95+H95-IF(RESULTADOS!$C$17="Normal",I95,0)-J95)/2+(F95+G95-IF(RESULTADOS!$C$17="Normal",0,I95)))</f>
        <v>0</v>
      </c>
      <c r="R95" s="140">
        <f ca="1">IF(C95="","",R94+(E95+H95-IF(RESULTADOS!$C$17="Normal",I95,0)-J95)/2)</f>
        <v>0</v>
      </c>
      <c r="S95" s="140">
        <f t="shared" ca="1" si="12"/>
        <v>0</v>
      </c>
      <c r="U95" s="164" t="str">
        <f t="shared" ca="1" si="13"/>
        <v/>
      </c>
      <c r="V95" s="164" t="str">
        <f t="shared" ca="1" si="10"/>
        <v/>
      </c>
      <c r="W95" s="140">
        <f ca="1">IF(OR((W94-13/12*Z94)*(1+PREMISSAS!$C$16)&lt;0,W94=""),0,(W94-13/12*Z94)*(1+PREMISSAS!$C$16))</f>
        <v>0</v>
      </c>
      <c r="X95" s="140">
        <f ca="1">IF(OR((X94-13/12*AA94)*(1+PREMISSAS!$C$16)&lt;0,X94=""),0,(X94-13/12*AA94)*(1+PREMISSAS!$C$16))</f>
        <v>0</v>
      </c>
      <c r="Y95" s="140">
        <f t="shared" ca="1" si="11"/>
        <v>0</v>
      </c>
      <c r="Z95" s="167">
        <f t="shared" ca="1" si="14"/>
        <v>0</v>
      </c>
      <c r="AA95" s="167">
        <f t="shared" ca="1" si="15"/>
        <v>0</v>
      </c>
    </row>
    <row r="96" spans="2:27" x14ac:dyDescent="0.25">
      <c r="B96" s="21">
        <f ca="1">IF(B95="","",IF(EOMONTH(B95,1)&gt;EOMONTH(ELEGIBILIDADE!$J$17,0),"",EOMONTH(B95,1)))</f>
        <v>46326</v>
      </c>
      <c r="C96" s="22">
        <f ca="1">IF(B96="","",IF(MONTH(B96)=1,C95*(1+PREMISSAS!$C$57),C95))</f>
        <v>0</v>
      </c>
      <c r="D96" s="22">
        <f ca="1">IF(RESULTADOS!$C$17="Normal",IFERROR(MAX(C96-PREMISSAS!$C$13,0),0),IF(Painel!$I$23=0,0,MAX(10*PREMISSAS!$C$38,RESULTADOS!$F$17)))</f>
        <v>0</v>
      </c>
      <c r="E96" s="4">
        <f ca="1">D96*IF(RESULTADOS!$C$17="Normal",RESULTADOS!$C$16,0)</f>
        <v>0</v>
      </c>
      <c r="F96" s="4">
        <f ca="1">IFERROR(IF(RESULTADOS!$C$17="Normal",D96,C96)*RESULTADOS!$C$18,0)</f>
        <v>0</v>
      </c>
      <c r="G96" s="4">
        <f ca="1">IFERROR(IF(RESULTADOS!$C$17="Normal",0,D96)*IF(RESULTADOS!$C$17="Normal",RESULTADOS!$C$18,RESULTADOS!$C$16),0)</f>
        <v>0</v>
      </c>
      <c r="H96" s="4">
        <f ca="1">IF(RESULTADOS!$C$17="Normal",E96,0)</f>
        <v>0</v>
      </c>
      <c r="I96" s="4">
        <f ca="1">(E96+H96+G96)*PREMISSAS!$C$60</f>
        <v>0</v>
      </c>
      <c r="J96" s="4">
        <f ca="1">D96*IF(RESULTADOS!$C$17="Normal",PREMISSAS!$C$62,0)</f>
        <v>0</v>
      </c>
      <c r="K96" s="116">
        <f ca="1">IFERROR(K95*(1+PREMISSAS!$C$18)+(E96+H96-IF(RESULTADOS!$C$17="Normal",I96,0)-J96)*IF(MONTH(B96)=12,2,1),0)</f>
        <v>0</v>
      </c>
      <c r="L96" s="116">
        <f ca="1">IFERROR((L95+G96-IF(RESULTADOS!$C$17="Normal",0,I96))*(1+PREMISSAS!$C$18)+F96,0)</f>
        <v>0</v>
      </c>
      <c r="N96" s="73">
        <f t="shared" ca="1" si="8"/>
        <v>0</v>
      </c>
      <c r="P96" s="164">
        <f t="shared" ca="1" si="9"/>
        <v>46326</v>
      </c>
      <c r="Q96" s="140">
        <f ca="1">IF(C96="","",Q95+(E96+H96-IF(RESULTADOS!$C$17="Normal",I96,0)-J96)/2+(F96+G96-IF(RESULTADOS!$C$17="Normal",0,I96)))</f>
        <v>0</v>
      </c>
      <c r="R96" s="140">
        <f ca="1">IF(C96="","",R95+(E96+H96-IF(RESULTADOS!$C$17="Normal",I96,0)-J96)/2)</f>
        <v>0</v>
      </c>
      <c r="S96" s="140">
        <f t="shared" ca="1" si="12"/>
        <v>0</v>
      </c>
      <c r="U96" s="164" t="str">
        <f t="shared" ca="1" si="13"/>
        <v/>
      </c>
      <c r="V96" s="164" t="str">
        <f t="shared" ca="1" si="10"/>
        <v/>
      </c>
      <c r="W96" s="140">
        <f ca="1">IF(OR((W95-13/12*Z95)*(1+PREMISSAS!$C$16)&lt;0,W95=""),0,(W95-13/12*Z95)*(1+PREMISSAS!$C$16))</f>
        <v>0</v>
      </c>
      <c r="X96" s="140">
        <f ca="1">IF(OR((X95-13/12*AA95)*(1+PREMISSAS!$C$16)&lt;0,X95=""),0,(X95-13/12*AA95)*(1+PREMISSAS!$C$16))</f>
        <v>0</v>
      </c>
      <c r="Y96" s="140">
        <f t="shared" ca="1" si="11"/>
        <v>0</v>
      </c>
      <c r="Z96" s="167">
        <f t="shared" ca="1" si="14"/>
        <v>0</v>
      </c>
      <c r="AA96" s="167">
        <f t="shared" ca="1" si="15"/>
        <v>0</v>
      </c>
    </row>
    <row r="97" spans="2:27" x14ac:dyDescent="0.25">
      <c r="B97" s="21">
        <f ca="1">IF(B96="","",IF(EOMONTH(B96,1)&gt;EOMONTH(ELEGIBILIDADE!$J$17,0),"",EOMONTH(B96,1)))</f>
        <v>46356</v>
      </c>
      <c r="C97" s="22">
        <f ca="1">IF(B97="","",IF(MONTH(B97)=1,C96*(1+PREMISSAS!$C$57),C96))</f>
        <v>0</v>
      </c>
      <c r="D97" s="22">
        <f ca="1">IF(RESULTADOS!$C$17="Normal",IFERROR(MAX(C97-PREMISSAS!$C$13,0),0),IF(Painel!$I$23=0,0,MAX(10*PREMISSAS!$C$38,RESULTADOS!$F$17)))</f>
        <v>0</v>
      </c>
      <c r="E97" s="4">
        <f ca="1">D97*IF(RESULTADOS!$C$17="Normal",RESULTADOS!$C$16,0)</f>
        <v>0</v>
      </c>
      <c r="F97" s="4">
        <f ca="1">IFERROR(IF(RESULTADOS!$C$17="Normal",D97,C97)*RESULTADOS!$C$18,0)</f>
        <v>0</v>
      </c>
      <c r="G97" s="4">
        <f ca="1">IFERROR(IF(RESULTADOS!$C$17="Normal",0,D97)*IF(RESULTADOS!$C$17="Normal",RESULTADOS!$C$18,RESULTADOS!$C$16),0)</f>
        <v>0</v>
      </c>
      <c r="H97" s="4">
        <f ca="1">IF(RESULTADOS!$C$17="Normal",E97,0)</f>
        <v>0</v>
      </c>
      <c r="I97" s="4">
        <f ca="1">(E97+H97+G97)*PREMISSAS!$C$60</f>
        <v>0</v>
      </c>
      <c r="J97" s="4">
        <f ca="1">D97*IF(RESULTADOS!$C$17="Normal",PREMISSAS!$C$62,0)</f>
        <v>0</v>
      </c>
      <c r="K97" s="116">
        <f ca="1">IFERROR(K96*(1+PREMISSAS!$C$18)+(E97+H97-IF(RESULTADOS!$C$17="Normal",I97,0)-J97)*IF(MONTH(B97)=12,2,1),0)</f>
        <v>0</v>
      </c>
      <c r="L97" s="116">
        <f ca="1">IFERROR((L96+G97-IF(RESULTADOS!$C$17="Normal",0,I97))*(1+PREMISSAS!$C$18)+F97,0)</f>
        <v>0</v>
      </c>
      <c r="N97" s="73">
        <f t="shared" ca="1" si="8"/>
        <v>0</v>
      </c>
      <c r="P97" s="164">
        <f t="shared" ca="1" si="9"/>
        <v>46356</v>
      </c>
      <c r="Q97" s="140">
        <f ca="1">IF(C97="","",Q96+(E97+H97-IF(RESULTADOS!$C$17="Normal",I97,0)-J97)/2+(F97+G97-IF(RESULTADOS!$C$17="Normal",0,I97)))</f>
        <v>0</v>
      </c>
      <c r="R97" s="140">
        <f ca="1">IF(C97="","",R96+(E97+H97-IF(RESULTADOS!$C$17="Normal",I97,0)-J97)/2)</f>
        <v>0</v>
      </c>
      <c r="S97" s="140">
        <f t="shared" ca="1" si="12"/>
        <v>0</v>
      </c>
      <c r="U97" s="164" t="str">
        <f t="shared" ca="1" si="13"/>
        <v/>
      </c>
      <c r="V97" s="164" t="str">
        <f t="shared" ca="1" si="10"/>
        <v/>
      </c>
      <c r="W97" s="140">
        <f ca="1">IF(OR((W96-13/12*Z96)*(1+PREMISSAS!$C$16)&lt;0,W96=""),0,(W96-13/12*Z96)*(1+PREMISSAS!$C$16))</f>
        <v>0</v>
      </c>
      <c r="X97" s="140">
        <f ca="1">IF(OR((X96-13/12*AA96)*(1+PREMISSAS!$C$16)&lt;0,X96=""),0,(X96-13/12*AA96)*(1+PREMISSAS!$C$16))</f>
        <v>0</v>
      </c>
      <c r="Y97" s="140">
        <f t="shared" ca="1" si="11"/>
        <v>0</v>
      </c>
      <c r="Z97" s="167">
        <f t="shared" ca="1" si="14"/>
        <v>0</v>
      </c>
      <c r="AA97" s="167">
        <f t="shared" ca="1" si="15"/>
        <v>0</v>
      </c>
    </row>
    <row r="98" spans="2:27" x14ac:dyDescent="0.25">
      <c r="B98" s="21">
        <f ca="1">IF(B97="","",IF(EOMONTH(B97,1)&gt;EOMONTH(ELEGIBILIDADE!$J$17,0),"",EOMONTH(B97,1)))</f>
        <v>46387</v>
      </c>
      <c r="C98" s="22">
        <f ca="1">IF(B98="","",IF(MONTH(B98)=1,C97*(1+PREMISSAS!$C$57),C97))</f>
        <v>0</v>
      </c>
      <c r="D98" s="22">
        <f ca="1">IF(RESULTADOS!$C$17="Normal",IFERROR(MAX(C98-PREMISSAS!$C$13,0),0),IF(Painel!$I$23=0,0,MAX(10*PREMISSAS!$C$38,RESULTADOS!$F$17)))</f>
        <v>0</v>
      </c>
      <c r="E98" s="4">
        <f ca="1">D98*IF(RESULTADOS!$C$17="Normal",RESULTADOS!$C$16,0)</f>
        <v>0</v>
      </c>
      <c r="F98" s="4">
        <f ca="1">IFERROR(IF(RESULTADOS!$C$17="Normal",D98,C98)*RESULTADOS!$C$18,0)</f>
        <v>0</v>
      </c>
      <c r="G98" s="4">
        <f ca="1">IFERROR(IF(RESULTADOS!$C$17="Normal",0,D98)*IF(RESULTADOS!$C$17="Normal",RESULTADOS!$C$18,RESULTADOS!$C$16),0)</f>
        <v>0</v>
      </c>
      <c r="H98" s="4">
        <f ca="1">IF(RESULTADOS!$C$17="Normal",E98,0)</f>
        <v>0</v>
      </c>
      <c r="I98" s="4">
        <f ca="1">(E98+H98+G98)*PREMISSAS!$C$60</f>
        <v>0</v>
      </c>
      <c r="J98" s="4">
        <f ca="1">D98*IF(RESULTADOS!$C$17="Normal",PREMISSAS!$C$62,0)</f>
        <v>0</v>
      </c>
      <c r="K98" s="116">
        <f ca="1">IFERROR(K97*(1+PREMISSAS!$C$18)+(E98+H98-IF(RESULTADOS!$C$17="Normal",I98,0)-J98)*IF(MONTH(B98)=12,2,1),0)</f>
        <v>0</v>
      </c>
      <c r="L98" s="116">
        <f ca="1">IFERROR((L97+G98-IF(RESULTADOS!$C$17="Normal",0,I98))*(1+PREMISSAS!$C$18)+F98,0)</f>
        <v>0</v>
      </c>
      <c r="N98" s="73">
        <f t="shared" ca="1" si="8"/>
        <v>0</v>
      </c>
      <c r="P98" s="164">
        <f t="shared" ca="1" si="9"/>
        <v>46387</v>
      </c>
      <c r="Q98" s="140">
        <f ca="1">IF(C98="","",Q97+(E98+H98-IF(RESULTADOS!$C$17="Normal",I98,0)-J98)/2+(F98+G98-IF(RESULTADOS!$C$17="Normal",0,I98)))</f>
        <v>0</v>
      </c>
      <c r="R98" s="140">
        <f ca="1">IF(C98="","",R97+(E98+H98-IF(RESULTADOS!$C$17="Normal",I98,0)-J98)/2)</f>
        <v>0</v>
      </c>
      <c r="S98" s="140">
        <f t="shared" ca="1" si="12"/>
        <v>0</v>
      </c>
      <c r="U98" s="164" t="str">
        <f t="shared" ca="1" si="13"/>
        <v/>
      </c>
      <c r="V98" s="164" t="str">
        <f t="shared" ca="1" si="10"/>
        <v/>
      </c>
      <c r="W98" s="140">
        <f ca="1">IF(OR((W97-13/12*Z97)*(1+PREMISSAS!$C$16)&lt;0,W97=""),0,(W97-13/12*Z97)*(1+PREMISSAS!$C$16))</f>
        <v>0</v>
      </c>
      <c r="X98" s="140">
        <f ca="1">IF(OR((X97-13/12*AA97)*(1+PREMISSAS!$C$16)&lt;0,X97=""),0,(X97-13/12*AA97)*(1+PREMISSAS!$C$16))</f>
        <v>0</v>
      </c>
      <c r="Y98" s="140">
        <f t="shared" ca="1" si="11"/>
        <v>0</v>
      </c>
      <c r="Z98" s="167">
        <f t="shared" ca="1" si="14"/>
        <v>0</v>
      </c>
      <c r="AA98" s="167">
        <f t="shared" ca="1" si="15"/>
        <v>0</v>
      </c>
    </row>
    <row r="99" spans="2:27" x14ac:dyDescent="0.25">
      <c r="B99" s="21">
        <f ca="1">IF(B98="","",IF(EOMONTH(B98,1)&gt;EOMONTH(ELEGIBILIDADE!$J$17,0),"",EOMONTH(B98,1)))</f>
        <v>46418</v>
      </c>
      <c r="C99" s="22">
        <f ca="1">IF(B99="","",IF(MONTH(B99)=1,C98*(1+PREMISSAS!$C$57),C98))</f>
        <v>0</v>
      </c>
      <c r="D99" s="22">
        <f ca="1">IF(RESULTADOS!$C$17="Normal",IFERROR(MAX(C99-PREMISSAS!$C$13,0),0),IF(Painel!$I$23=0,0,MAX(10*PREMISSAS!$C$38,RESULTADOS!$F$17)))</f>
        <v>0</v>
      </c>
      <c r="E99" s="4">
        <f ca="1">D99*IF(RESULTADOS!$C$17="Normal",RESULTADOS!$C$16,0)</f>
        <v>0</v>
      </c>
      <c r="F99" s="4">
        <f ca="1">IFERROR(IF(RESULTADOS!$C$17="Normal",D99,C99)*RESULTADOS!$C$18,0)</f>
        <v>0</v>
      </c>
      <c r="G99" s="4">
        <f ca="1">IFERROR(IF(RESULTADOS!$C$17="Normal",0,D99)*IF(RESULTADOS!$C$17="Normal",RESULTADOS!$C$18,RESULTADOS!$C$16),0)</f>
        <v>0</v>
      </c>
      <c r="H99" s="4">
        <f ca="1">IF(RESULTADOS!$C$17="Normal",E99,0)</f>
        <v>0</v>
      </c>
      <c r="I99" s="4">
        <f ca="1">(E99+H99+G99)*PREMISSAS!$C$60</f>
        <v>0</v>
      </c>
      <c r="J99" s="4">
        <f ca="1">D99*IF(RESULTADOS!$C$17="Normal",PREMISSAS!$C$62,0)</f>
        <v>0</v>
      </c>
      <c r="K99" s="116">
        <f ca="1">IFERROR(K98*(1+PREMISSAS!$C$18)+(E99+H99-IF(RESULTADOS!$C$17="Normal",I99,0)-J99)*IF(MONTH(B99)=12,2,1),0)</f>
        <v>0</v>
      </c>
      <c r="L99" s="116">
        <f ca="1">IFERROR((L98+G99-IF(RESULTADOS!$C$17="Normal",0,I99))*(1+PREMISSAS!$C$18)+F99,0)</f>
        <v>0</v>
      </c>
      <c r="N99" s="73">
        <f t="shared" ca="1" si="8"/>
        <v>0</v>
      </c>
      <c r="P99" s="164">
        <f t="shared" ca="1" si="9"/>
        <v>46418</v>
      </c>
      <c r="Q99" s="140">
        <f ca="1">IF(C99="","",Q98+(E99+H99-IF(RESULTADOS!$C$17="Normal",I99,0)-J99)/2+(F99+G99-IF(RESULTADOS!$C$17="Normal",0,I99)))</f>
        <v>0</v>
      </c>
      <c r="R99" s="140">
        <f ca="1">IF(C99="","",R98+(E99+H99-IF(RESULTADOS!$C$17="Normal",I99,0)-J99)/2)</f>
        <v>0</v>
      </c>
      <c r="S99" s="140">
        <f t="shared" ca="1" si="12"/>
        <v>0</v>
      </c>
      <c r="U99" s="164" t="str">
        <f t="shared" ca="1" si="13"/>
        <v/>
      </c>
      <c r="V99" s="164" t="str">
        <f t="shared" ca="1" si="10"/>
        <v/>
      </c>
      <c r="W99" s="140">
        <f ca="1">IF(OR((W98-13/12*Z98)*(1+PREMISSAS!$C$16)&lt;0,W98=""),0,(W98-13/12*Z98)*(1+PREMISSAS!$C$16))</f>
        <v>0</v>
      </c>
      <c r="X99" s="140">
        <f ca="1">IF(OR((X98-13/12*AA98)*(1+PREMISSAS!$C$16)&lt;0,X98=""),0,(X98-13/12*AA98)*(1+PREMISSAS!$C$16))</f>
        <v>0</v>
      </c>
      <c r="Y99" s="140">
        <f t="shared" ca="1" si="11"/>
        <v>0</v>
      </c>
      <c r="Z99" s="167">
        <f t="shared" ca="1" si="14"/>
        <v>0</v>
      </c>
      <c r="AA99" s="167">
        <f t="shared" ca="1" si="15"/>
        <v>0</v>
      </c>
    </row>
    <row r="100" spans="2:27" x14ac:dyDescent="0.25">
      <c r="B100" s="21">
        <f ca="1">IF(B99="","",IF(EOMONTH(B99,1)&gt;EOMONTH(ELEGIBILIDADE!$J$17,0),"",EOMONTH(B99,1)))</f>
        <v>46446</v>
      </c>
      <c r="C100" s="22">
        <f ca="1">IF(B100="","",IF(MONTH(B100)=1,C99*(1+PREMISSAS!$C$57),C99))</f>
        <v>0</v>
      </c>
      <c r="D100" s="22">
        <f ca="1">IF(RESULTADOS!$C$17="Normal",IFERROR(MAX(C100-PREMISSAS!$C$13,0),0),IF(Painel!$I$23=0,0,MAX(10*PREMISSAS!$C$38,RESULTADOS!$F$17)))</f>
        <v>0</v>
      </c>
      <c r="E100" s="4">
        <f ca="1">D100*IF(RESULTADOS!$C$17="Normal",RESULTADOS!$C$16,0)</f>
        <v>0</v>
      </c>
      <c r="F100" s="4">
        <f ca="1">IFERROR(IF(RESULTADOS!$C$17="Normal",D100,C100)*RESULTADOS!$C$18,0)</f>
        <v>0</v>
      </c>
      <c r="G100" s="4">
        <f ca="1">IFERROR(IF(RESULTADOS!$C$17="Normal",0,D100)*IF(RESULTADOS!$C$17="Normal",RESULTADOS!$C$18,RESULTADOS!$C$16),0)</f>
        <v>0</v>
      </c>
      <c r="H100" s="4">
        <f ca="1">IF(RESULTADOS!$C$17="Normal",E100,0)</f>
        <v>0</v>
      </c>
      <c r="I100" s="4">
        <f ca="1">(E100+H100+G100)*PREMISSAS!$C$60</f>
        <v>0</v>
      </c>
      <c r="J100" s="4">
        <f ca="1">D100*IF(RESULTADOS!$C$17="Normal",PREMISSAS!$C$62,0)</f>
        <v>0</v>
      </c>
      <c r="K100" s="116">
        <f ca="1">IFERROR(K99*(1+PREMISSAS!$C$18)+(E100+H100-IF(RESULTADOS!$C$17="Normal",I100,0)-J100)*IF(MONTH(B100)=12,2,1),0)</f>
        <v>0</v>
      </c>
      <c r="L100" s="116">
        <f ca="1">IFERROR((L99+G100-IF(RESULTADOS!$C$17="Normal",0,I100))*(1+PREMISSAS!$C$18)+F100,0)</f>
        <v>0</v>
      </c>
      <c r="N100" s="73">
        <f t="shared" ca="1" si="8"/>
        <v>0</v>
      </c>
      <c r="P100" s="164">
        <f t="shared" ca="1" si="9"/>
        <v>46446</v>
      </c>
      <c r="Q100" s="140">
        <f ca="1">IF(C100="","",Q99+(E100+H100-IF(RESULTADOS!$C$17="Normal",I100,0)-J100)/2+(F100+G100-IF(RESULTADOS!$C$17="Normal",0,I100)))</f>
        <v>0</v>
      </c>
      <c r="R100" s="140">
        <f ca="1">IF(C100="","",R99+(E100+H100-IF(RESULTADOS!$C$17="Normal",I100,0)-J100)/2)</f>
        <v>0</v>
      </c>
      <c r="S100" s="140">
        <f t="shared" ca="1" si="12"/>
        <v>0</v>
      </c>
      <c r="U100" s="164" t="str">
        <f t="shared" ca="1" si="13"/>
        <v/>
      </c>
      <c r="V100" s="164" t="str">
        <f t="shared" ca="1" si="10"/>
        <v/>
      </c>
      <c r="W100" s="140">
        <f ca="1">IF(OR((W99-13/12*Z99)*(1+PREMISSAS!$C$16)&lt;0,W99=""),0,(W99-13/12*Z99)*(1+PREMISSAS!$C$16))</f>
        <v>0</v>
      </c>
      <c r="X100" s="140">
        <f ca="1">IF(OR((X99-13/12*AA99)*(1+PREMISSAS!$C$16)&lt;0,X99=""),0,(X99-13/12*AA99)*(1+PREMISSAS!$C$16))</f>
        <v>0</v>
      </c>
      <c r="Y100" s="140">
        <f t="shared" ca="1" si="11"/>
        <v>0</v>
      </c>
      <c r="Z100" s="167">
        <f t="shared" ca="1" si="14"/>
        <v>0</v>
      </c>
      <c r="AA100" s="167">
        <f t="shared" ca="1" si="15"/>
        <v>0</v>
      </c>
    </row>
    <row r="101" spans="2:27" x14ac:dyDescent="0.25">
      <c r="B101" s="21">
        <f ca="1">IF(B100="","",IF(EOMONTH(B100,1)&gt;EOMONTH(ELEGIBILIDADE!$J$17,0),"",EOMONTH(B100,1)))</f>
        <v>46477</v>
      </c>
      <c r="C101" s="22">
        <f ca="1">IF(B101="","",IF(MONTH(B101)=1,C100*(1+PREMISSAS!$C$57),C100))</f>
        <v>0</v>
      </c>
      <c r="D101" s="22">
        <f ca="1">IF(RESULTADOS!$C$17="Normal",IFERROR(MAX(C101-PREMISSAS!$C$13,0),0),IF(Painel!$I$23=0,0,MAX(10*PREMISSAS!$C$38,RESULTADOS!$F$17)))</f>
        <v>0</v>
      </c>
      <c r="E101" s="4">
        <f ca="1">D101*IF(RESULTADOS!$C$17="Normal",RESULTADOS!$C$16,0)</f>
        <v>0</v>
      </c>
      <c r="F101" s="4">
        <f ca="1">IFERROR(IF(RESULTADOS!$C$17="Normal",D101,C101)*RESULTADOS!$C$18,0)</f>
        <v>0</v>
      </c>
      <c r="G101" s="4">
        <f ca="1">IFERROR(IF(RESULTADOS!$C$17="Normal",0,D101)*IF(RESULTADOS!$C$17="Normal",RESULTADOS!$C$18,RESULTADOS!$C$16),0)</f>
        <v>0</v>
      </c>
      <c r="H101" s="4">
        <f ca="1">IF(RESULTADOS!$C$17="Normal",E101,0)</f>
        <v>0</v>
      </c>
      <c r="I101" s="4">
        <f ca="1">(E101+H101+G101)*PREMISSAS!$C$60</f>
        <v>0</v>
      </c>
      <c r="J101" s="4">
        <f ca="1">D101*IF(RESULTADOS!$C$17="Normal",PREMISSAS!$C$62,0)</f>
        <v>0</v>
      </c>
      <c r="K101" s="116">
        <f ca="1">IFERROR(K100*(1+PREMISSAS!$C$18)+(E101+H101-IF(RESULTADOS!$C$17="Normal",I101,0)-J101)*IF(MONTH(B101)=12,2,1),0)</f>
        <v>0</v>
      </c>
      <c r="L101" s="116">
        <f ca="1">IFERROR((L100+G101-IF(RESULTADOS!$C$17="Normal",0,I101))*(1+PREMISSAS!$C$18)+F101,0)</f>
        <v>0</v>
      </c>
      <c r="N101" s="73">
        <f t="shared" ca="1" si="8"/>
        <v>0</v>
      </c>
      <c r="P101" s="164">
        <f t="shared" ca="1" si="9"/>
        <v>46477</v>
      </c>
      <c r="Q101" s="140">
        <f ca="1">IF(C101="","",Q100+(E101+H101-IF(RESULTADOS!$C$17="Normal",I101,0)-J101)/2+(F101+G101-IF(RESULTADOS!$C$17="Normal",0,I101)))</f>
        <v>0</v>
      </c>
      <c r="R101" s="140">
        <f ca="1">IF(C101="","",R100+(E101+H101-IF(RESULTADOS!$C$17="Normal",I101,0)-J101)/2)</f>
        <v>0</v>
      </c>
      <c r="S101" s="140">
        <f t="shared" ca="1" si="12"/>
        <v>0</v>
      </c>
      <c r="U101" s="164" t="str">
        <f t="shared" ca="1" si="13"/>
        <v/>
      </c>
      <c r="V101" s="164" t="str">
        <f t="shared" ca="1" si="10"/>
        <v/>
      </c>
      <c r="W101" s="140">
        <f ca="1">IF(OR((W100-13/12*Z100)*(1+PREMISSAS!$C$16)&lt;0,W100=""),0,(W100-13/12*Z100)*(1+PREMISSAS!$C$16))</f>
        <v>0</v>
      </c>
      <c r="X101" s="140">
        <f ca="1">IF(OR((X100-13/12*AA100)*(1+PREMISSAS!$C$16)&lt;0,X100=""),0,(X100-13/12*AA100)*(1+PREMISSAS!$C$16))</f>
        <v>0</v>
      </c>
      <c r="Y101" s="140">
        <f t="shared" ca="1" si="11"/>
        <v>0</v>
      </c>
      <c r="Z101" s="167">
        <f t="shared" ca="1" si="14"/>
        <v>0</v>
      </c>
      <c r="AA101" s="167">
        <f t="shared" ca="1" si="15"/>
        <v>0</v>
      </c>
    </row>
    <row r="102" spans="2:27" x14ac:dyDescent="0.25">
      <c r="B102" s="21">
        <f ca="1">IF(B101="","",IF(EOMONTH(B101,1)&gt;EOMONTH(ELEGIBILIDADE!$J$17,0),"",EOMONTH(B101,1)))</f>
        <v>46507</v>
      </c>
      <c r="C102" s="22">
        <f ca="1">IF(B102="","",IF(MONTH(B102)=1,C101*(1+PREMISSAS!$C$57),C101))</f>
        <v>0</v>
      </c>
      <c r="D102" s="22">
        <f ca="1">IF(RESULTADOS!$C$17="Normal",IFERROR(MAX(C102-PREMISSAS!$C$13,0),0),IF(Painel!$I$23=0,0,MAX(10*PREMISSAS!$C$38,RESULTADOS!$F$17)))</f>
        <v>0</v>
      </c>
      <c r="E102" s="4">
        <f ca="1">D102*IF(RESULTADOS!$C$17="Normal",RESULTADOS!$C$16,0)</f>
        <v>0</v>
      </c>
      <c r="F102" s="4">
        <f ca="1">IFERROR(IF(RESULTADOS!$C$17="Normal",D102,C102)*RESULTADOS!$C$18,0)</f>
        <v>0</v>
      </c>
      <c r="G102" s="4">
        <f ca="1">IFERROR(IF(RESULTADOS!$C$17="Normal",0,D102)*IF(RESULTADOS!$C$17="Normal",RESULTADOS!$C$18,RESULTADOS!$C$16),0)</f>
        <v>0</v>
      </c>
      <c r="H102" s="4">
        <f ca="1">IF(RESULTADOS!$C$17="Normal",E102,0)</f>
        <v>0</v>
      </c>
      <c r="I102" s="4">
        <f ca="1">(E102+H102+G102)*PREMISSAS!$C$60</f>
        <v>0</v>
      </c>
      <c r="J102" s="4">
        <f ca="1">D102*IF(RESULTADOS!$C$17="Normal",PREMISSAS!$C$62,0)</f>
        <v>0</v>
      </c>
      <c r="K102" s="116">
        <f ca="1">IFERROR(K101*(1+PREMISSAS!$C$18)+(E102+H102-IF(RESULTADOS!$C$17="Normal",I102,0)-J102)*IF(MONTH(B102)=12,2,1),0)</f>
        <v>0</v>
      </c>
      <c r="L102" s="116">
        <f ca="1">IFERROR((L101+G102-IF(RESULTADOS!$C$17="Normal",0,I102))*(1+PREMISSAS!$C$18)+F102,0)</f>
        <v>0</v>
      </c>
      <c r="N102" s="73">
        <f t="shared" ca="1" si="8"/>
        <v>0</v>
      </c>
      <c r="P102" s="164">
        <f t="shared" ca="1" si="9"/>
        <v>46507</v>
      </c>
      <c r="Q102" s="140">
        <f ca="1">IF(C102="","",Q101+(E102+H102-IF(RESULTADOS!$C$17="Normal",I102,0)-J102)/2+(F102+G102-IF(RESULTADOS!$C$17="Normal",0,I102)))</f>
        <v>0</v>
      </c>
      <c r="R102" s="140">
        <f ca="1">IF(C102="","",R101+(E102+H102-IF(RESULTADOS!$C$17="Normal",I102,0)-J102)/2)</f>
        <v>0</v>
      </c>
      <c r="S102" s="140">
        <f t="shared" ca="1" si="12"/>
        <v>0</v>
      </c>
      <c r="U102" s="164" t="str">
        <f t="shared" ca="1" si="13"/>
        <v/>
      </c>
      <c r="V102" s="164" t="str">
        <f t="shared" ca="1" si="10"/>
        <v/>
      </c>
      <c r="W102" s="140">
        <f ca="1">IF(OR((W101-13/12*Z101)*(1+PREMISSAS!$C$16)&lt;0,W101=""),0,(W101-13/12*Z101)*(1+PREMISSAS!$C$16))</f>
        <v>0</v>
      </c>
      <c r="X102" s="140">
        <f ca="1">IF(OR((X101-13/12*AA101)*(1+PREMISSAS!$C$16)&lt;0,X101=""),0,(X101-13/12*AA101)*(1+PREMISSAS!$C$16))</f>
        <v>0</v>
      </c>
      <c r="Y102" s="140">
        <f t="shared" ca="1" si="11"/>
        <v>0</v>
      </c>
      <c r="Z102" s="167">
        <f t="shared" ca="1" si="14"/>
        <v>0</v>
      </c>
      <c r="AA102" s="167">
        <f t="shared" ca="1" si="15"/>
        <v>0</v>
      </c>
    </row>
    <row r="103" spans="2:27" x14ac:dyDescent="0.25">
      <c r="B103" s="21">
        <f ca="1">IF(B102="","",IF(EOMONTH(B102,1)&gt;EOMONTH(ELEGIBILIDADE!$J$17,0),"",EOMONTH(B102,1)))</f>
        <v>46538</v>
      </c>
      <c r="C103" s="22">
        <f ca="1">IF(B103="","",IF(MONTH(B103)=1,C102*(1+PREMISSAS!$C$57),C102))</f>
        <v>0</v>
      </c>
      <c r="D103" s="22">
        <f ca="1">IF(RESULTADOS!$C$17="Normal",IFERROR(MAX(C103-PREMISSAS!$C$13,0),0),IF(Painel!$I$23=0,0,MAX(10*PREMISSAS!$C$38,RESULTADOS!$F$17)))</f>
        <v>0</v>
      </c>
      <c r="E103" s="4">
        <f ca="1">D103*IF(RESULTADOS!$C$17="Normal",RESULTADOS!$C$16,0)</f>
        <v>0</v>
      </c>
      <c r="F103" s="4">
        <f ca="1">IFERROR(IF(RESULTADOS!$C$17="Normal",D103,C103)*RESULTADOS!$C$18,0)</f>
        <v>0</v>
      </c>
      <c r="G103" s="4">
        <f ca="1">IFERROR(IF(RESULTADOS!$C$17="Normal",0,D103)*IF(RESULTADOS!$C$17="Normal",RESULTADOS!$C$18,RESULTADOS!$C$16),0)</f>
        <v>0</v>
      </c>
      <c r="H103" s="4">
        <f ca="1">IF(RESULTADOS!$C$17="Normal",E103,0)</f>
        <v>0</v>
      </c>
      <c r="I103" s="4">
        <f ca="1">(E103+H103+G103)*PREMISSAS!$C$60</f>
        <v>0</v>
      </c>
      <c r="J103" s="4">
        <f ca="1">D103*IF(RESULTADOS!$C$17="Normal",PREMISSAS!$C$62,0)</f>
        <v>0</v>
      </c>
      <c r="K103" s="116">
        <f ca="1">IFERROR(K102*(1+PREMISSAS!$C$18)+(E103+H103-IF(RESULTADOS!$C$17="Normal",I103,0)-J103)*IF(MONTH(B103)=12,2,1),0)</f>
        <v>0</v>
      </c>
      <c r="L103" s="116">
        <f ca="1">IFERROR((L102+G103-IF(RESULTADOS!$C$17="Normal",0,I103))*(1+PREMISSAS!$C$18)+F103,0)</f>
        <v>0</v>
      </c>
      <c r="N103" s="73">
        <f t="shared" ca="1" si="8"/>
        <v>0</v>
      </c>
      <c r="P103" s="164">
        <f t="shared" ca="1" si="9"/>
        <v>46538</v>
      </c>
      <c r="Q103" s="140">
        <f ca="1">IF(C103="","",Q102+(E103+H103-IF(RESULTADOS!$C$17="Normal",I103,0)-J103)/2+(F103+G103-IF(RESULTADOS!$C$17="Normal",0,I103)))</f>
        <v>0</v>
      </c>
      <c r="R103" s="140">
        <f ca="1">IF(C103="","",R102+(E103+H103-IF(RESULTADOS!$C$17="Normal",I103,0)-J103)/2)</f>
        <v>0</v>
      </c>
      <c r="S103" s="140">
        <f t="shared" ca="1" si="12"/>
        <v>0</v>
      </c>
      <c r="U103" s="164" t="str">
        <f t="shared" ca="1" si="13"/>
        <v/>
      </c>
      <c r="V103" s="164" t="str">
        <f t="shared" ca="1" si="10"/>
        <v/>
      </c>
      <c r="W103" s="140">
        <f ca="1">IF(OR((W102-13/12*Z102)*(1+PREMISSAS!$C$16)&lt;0,W102=""),0,(W102-13/12*Z102)*(1+PREMISSAS!$C$16))</f>
        <v>0</v>
      </c>
      <c r="X103" s="140">
        <f ca="1">IF(OR((X102-13/12*AA102)*(1+PREMISSAS!$C$16)&lt;0,X102=""),0,(X102-13/12*AA102)*(1+PREMISSAS!$C$16))</f>
        <v>0</v>
      </c>
      <c r="Y103" s="140">
        <f t="shared" ca="1" si="11"/>
        <v>0</v>
      </c>
      <c r="Z103" s="167">
        <f t="shared" ca="1" si="14"/>
        <v>0</v>
      </c>
      <c r="AA103" s="167">
        <f t="shared" ca="1" si="15"/>
        <v>0</v>
      </c>
    </row>
    <row r="104" spans="2:27" x14ac:dyDescent="0.25">
      <c r="B104" s="21">
        <f ca="1">IF(B103="","",IF(EOMONTH(B103,1)&gt;EOMONTH(ELEGIBILIDADE!$J$17,0),"",EOMONTH(B103,1)))</f>
        <v>46568</v>
      </c>
      <c r="C104" s="22">
        <f ca="1">IF(B104="","",IF(MONTH(B104)=1,C103*(1+PREMISSAS!$C$57),C103))</f>
        <v>0</v>
      </c>
      <c r="D104" s="22">
        <f ca="1">IF(RESULTADOS!$C$17="Normal",IFERROR(MAX(C104-PREMISSAS!$C$13,0),0),IF(Painel!$I$23=0,0,MAX(10*PREMISSAS!$C$38,RESULTADOS!$F$17)))</f>
        <v>0</v>
      </c>
      <c r="E104" s="4">
        <f ca="1">D104*IF(RESULTADOS!$C$17="Normal",RESULTADOS!$C$16,0)</f>
        <v>0</v>
      </c>
      <c r="F104" s="4">
        <f ca="1">IFERROR(IF(RESULTADOS!$C$17="Normal",D104,C104)*RESULTADOS!$C$18,0)</f>
        <v>0</v>
      </c>
      <c r="G104" s="4">
        <f ca="1">IFERROR(IF(RESULTADOS!$C$17="Normal",0,D104)*IF(RESULTADOS!$C$17="Normal",RESULTADOS!$C$18,RESULTADOS!$C$16),0)</f>
        <v>0</v>
      </c>
      <c r="H104" s="4">
        <f ca="1">IF(RESULTADOS!$C$17="Normal",E104,0)</f>
        <v>0</v>
      </c>
      <c r="I104" s="4">
        <f ca="1">(E104+H104+G104)*PREMISSAS!$C$60</f>
        <v>0</v>
      </c>
      <c r="J104" s="4">
        <f ca="1">D104*IF(RESULTADOS!$C$17="Normal",PREMISSAS!$C$62,0)</f>
        <v>0</v>
      </c>
      <c r="K104" s="116">
        <f ca="1">IFERROR(K103*(1+PREMISSAS!$C$18)+(E104+H104-IF(RESULTADOS!$C$17="Normal",I104,0)-J104)*IF(MONTH(B104)=12,2,1),0)</f>
        <v>0</v>
      </c>
      <c r="L104" s="116">
        <f ca="1">IFERROR((L103+G104-IF(RESULTADOS!$C$17="Normal",0,I104))*(1+PREMISSAS!$C$18)+F104,0)</f>
        <v>0</v>
      </c>
      <c r="N104" s="73">
        <f t="shared" ca="1" si="8"/>
        <v>0</v>
      </c>
      <c r="P104" s="164">
        <f t="shared" ca="1" si="9"/>
        <v>46568</v>
      </c>
      <c r="Q104" s="140">
        <f ca="1">IF(C104="","",Q103+(E104+H104-IF(RESULTADOS!$C$17="Normal",I104,0)-J104)/2+(F104+G104-IF(RESULTADOS!$C$17="Normal",0,I104)))</f>
        <v>0</v>
      </c>
      <c r="R104" s="140">
        <f ca="1">IF(C104="","",R103+(E104+H104-IF(RESULTADOS!$C$17="Normal",I104,0)-J104)/2)</f>
        <v>0</v>
      </c>
      <c r="S104" s="140">
        <f t="shared" ca="1" si="12"/>
        <v>0</v>
      </c>
      <c r="U104" s="164" t="str">
        <f t="shared" ca="1" si="13"/>
        <v/>
      </c>
      <c r="V104" s="164" t="str">
        <f t="shared" ca="1" si="10"/>
        <v/>
      </c>
      <c r="W104" s="140">
        <f ca="1">IF(OR((W103-13/12*Z103)*(1+PREMISSAS!$C$16)&lt;0,W103=""),0,(W103-13/12*Z103)*(1+PREMISSAS!$C$16))</f>
        <v>0</v>
      </c>
      <c r="X104" s="140">
        <f ca="1">IF(OR((X103-13/12*AA103)*(1+PREMISSAS!$C$16)&lt;0,X103=""),0,(X103-13/12*AA103)*(1+PREMISSAS!$C$16))</f>
        <v>0</v>
      </c>
      <c r="Y104" s="140">
        <f t="shared" ca="1" si="11"/>
        <v>0</v>
      </c>
      <c r="Z104" s="167">
        <f t="shared" ca="1" si="14"/>
        <v>0</v>
      </c>
      <c r="AA104" s="167">
        <f t="shared" ca="1" si="15"/>
        <v>0</v>
      </c>
    </row>
    <row r="105" spans="2:27" x14ac:dyDescent="0.25">
      <c r="B105" s="21">
        <f ca="1">IF(B104="","",IF(EOMONTH(B104,1)&gt;EOMONTH(ELEGIBILIDADE!$J$17,0),"",EOMONTH(B104,1)))</f>
        <v>46599</v>
      </c>
      <c r="C105" s="22">
        <f ca="1">IF(B105="","",IF(MONTH(B105)=1,C104*(1+PREMISSAS!$C$57),C104))</f>
        <v>0</v>
      </c>
      <c r="D105" s="22">
        <f ca="1">IF(RESULTADOS!$C$17="Normal",IFERROR(MAX(C105-PREMISSAS!$C$13,0),0),IF(Painel!$I$23=0,0,MAX(10*PREMISSAS!$C$38,RESULTADOS!$F$17)))</f>
        <v>0</v>
      </c>
      <c r="E105" s="4">
        <f ca="1">D105*IF(RESULTADOS!$C$17="Normal",RESULTADOS!$C$16,0)</f>
        <v>0</v>
      </c>
      <c r="F105" s="4">
        <f ca="1">IFERROR(IF(RESULTADOS!$C$17="Normal",D105,C105)*RESULTADOS!$C$18,0)</f>
        <v>0</v>
      </c>
      <c r="G105" s="4">
        <f ca="1">IFERROR(IF(RESULTADOS!$C$17="Normal",0,D105)*IF(RESULTADOS!$C$17="Normal",RESULTADOS!$C$18,RESULTADOS!$C$16),0)</f>
        <v>0</v>
      </c>
      <c r="H105" s="4">
        <f ca="1">IF(RESULTADOS!$C$17="Normal",E105,0)</f>
        <v>0</v>
      </c>
      <c r="I105" s="4">
        <f ca="1">(E105+H105+G105)*PREMISSAS!$C$60</f>
        <v>0</v>
      </c>
      <c r="J105" s="4">
        <f ca="1">D105*IF(RESULTADOS!$C$17="Normal",PREMISSAS!$C$62,0)</f>
        <v>0</v>
      </c>
      <c r="K105" s="116">
        <f ca="1">IFERROR(K104*(1+PREMISSAS!$C$18)+(E105+H105-IF(RESULTADOS!$C$17="Normal",I105,0)-J105)*IF(MONTH(B105)=12,2,1),0)</f>
        <v>0</v>
      </c>
      <c r="L105" s="116">
        <f ca="1">IFERROR((L104+G105-IF(RESULTADOS!$C$17="Normal",0,I105))*(1+PREMISSAS!$C$18)+F105,0)</f>
        <v>0</v>
      </c>
      <c r="N105" s="73">
        <f t="shared" ca="1" si="8"/>
        <v>0</v>
      </c>
      <c r="P105" s="164">
        <f t="shared" ca="1" si="9"/>
        <v>46599</v>
      </c>
      <c r="Q105" s="140">
        <f ca="1">IF(C105="","",Q104+(E105+H105-IF(RESULTADOS!$C$17="Normal",I105,0)-J105)/2+(F105+G105-IF(RESULTADOS!$C$17="Normal",0,I105)))</f>
        <v>0</v>
      </c>
      <c r="R105" s="140">
        <f ca="1">IF(C105="","",R104+(E105+H105-IF(RESULTADOS!$C$17="Normal",I105,0)-J105)/2)</f>
        <v>0</v>
      </c>
      <c r="S105" s="140">
        <f t="shared" ca="1" si="12"/>
        <v>0</v>
      </c>
      <c r="U105" s="164" t="str">
        <f t="shared" ca="1" si="13"/>
        <v/>
      </c>
      <c r="V105" s="164" t="str">
        <f t="shared" ca="1" si="10"/>
        <v/>
      </c>
      <c r="W105" s="140">
        <f ca="1">IF(OR((W104-13/12*Z104)*(1+PREMISSAS!$C$16)&lt;0,W104=""),0,(W104-13/12*Z104)*(1+PREMISSAS!$C$16))</f>
        <v>0</v>
      </c>
      <c r="X105" s="140">
        <f ca="1">IF(OR((X104-13/12*AA104)*(1+PREMISSAS!$C$16)&lt;0,X104=""),0,(X104-13/12*AA104)*(1+PREMISSAS!$C$16))</f>
        <v>0</v>
      </c>
      <c r="Y105" s="140">
        <f t="shared" ca="1" si="11"/>
        <v>0</v>
      </c>
      <c r="Z105" s="167">
        <f t="shared" ca="1" si="14"/>
        <v>0</v>
      </c>
      <c r="AA105" s="167">
        <f t="shared" ca="1" si="15"/>
        <v>0</v>
      </c>
    </row>
    <row r="106" spans="2:27" x14ac:dyDescent="0.25">
      <c r="B106" s="21">
        <f ca="1">IF(B105="","",IF(EOMONTH(B105,1)&gt;EOMONTH(ELEGIBILIDADE!$J$17,0),"",EOMONTH(B105,1)))</f>
        <v>46630</v>
      </c>
      <c r="C106" s="22">
        <f ca="1">IF(B106="","",IF(MONTH(B106)=1,C105*(1+PREMISSAS!$C$57),C105))</f>
        <v>0</v>
      </c>
      <c r="D106" s="22">
        <f ca="1">IF(RESULTADOS!$C$17="Normal",IFERROR(MAX(C106-PREMISSAS!$C$13,0),0),IF(Painel!$I$23=0,0,MAX(10*PREMISSAS!$C$38,RESULTADOS!$F$17)))</f>
        <v>0</v>
      </c>
      <c r="E106" s="4">
        <f ca="1">D106*IF(RESULTADOS!$C$17="Normal",RESULTADOS!$C$16,0)</f>
        <v>0</v>
      </c>
      <c r="F106" s="4">
        <f ca="1">IFERROR(IF(RESULTADOS!$C$17="Normal",D106,C106)*RESULTADOS!$C$18,0)</f>
        <v>0</v>
      </c>
      <c r="G106" s="4">
        <f ca="1">IFERROR(IF(RESULTADOS!$C$17="Normal",0,D106)*IF(RESULTADOS!$C$17="Normal",RESULTADOS!$C$18,RESULTADOS!$C$16),0)</f>
        <v>0</v>
      </c>
      <c r="H106" s="4">
        <f ca="1">IF(RESULTADOS!$C$17="Normal",E106,0)</f>
        <v>0</v>
      </c>
      <c r="I106" s="4">
        <f ca="1">(E106+H106+G106)*PREMISSAS!$C$60</f>
        <v>0</v>
      </c>
      <c r="J106" s="4">
        <f ca="1">D106*IF(RESULTADOS!$C$17="Normal",PREMISSAS!$C$62,0)</f>
        <v>0</v>
      </c>
      <c r="K106" s="116">
        <f ca="1">IFERROR(K105*(1+PREMISSAS!$C$18)+(E106+H106-IF(RESULTADOS!$C$17="Normal",I106,0)-J106)*IF(MONTH(B106)=12,2,1),0)</f>
        <v>0</v>
      </c>
      <c r="L106" s="116">
        <f ca="1">IFERROR((L105+G106-IF(RESULTADOS!$C$17="Normal",0,I106))*(1+PREMISSAS!$C$18)+F106,0)</f>
        <v>0</v>
      </c>
      <c r="N106" s="73">
        <f t="shared" ca="1" si="8"/>
        <v>0</v>
      </c>
      <c r="P106" s="164">
        <f t="shared" ca="1" si="9"/>
        <v>46630</v>
      </c>
      <c r="Q106" s="140">
        <f ca="1">IF(C106="","",Q105+(E106+H106-IF(RESULTADOS!$C$17="Normal",I106,0)-J106)/2+(F106+G106-IF(RESULTADOS!$C$17="Normal",0,I106)))</f>
        <v>0</v>
      </c>
      <c r="R106" s="140">
        <f ca="1">IF(C106="","",R105+(E106+H106-IF(RESULTADOS!$C$17="Normal",I106,0)-J106)/2)</f>
        <v>0</v>
      </c>
      <c r="S106" s="140">
        <f t="shared" ca="1" si="12"/>
        <v>0</v>
      </c>
      <c r="U106" s="164" t="str">
        <f t="shared" ca="1" si="13"/>
        <v/>
      </c>
      <c r="V106" s="164" t="str">
        <f t="shared" ca="1" si="10"/>
        <v/>
      </c>
      <c r="W106" s="140">
        <f ca="1">IF(OR((W105-13/12*Z105)*(1+PREMISSAS!$C$16)&lt;0,W105=""),0,(W105-13/12*Z105)*(1+PREMISSAS!$C$16))</f>
        <v>0</v>
      </c>
      <c r="X106" s="140">
        <f ca="1">IF(OR((X105-13/12*AA105)*(1+PREMISSAS!$C$16)&lt;0,X105=""),0,(X105-13/12*AA105)*(1+PREMISSAS!$C$16))</f>
        <v>0</v>
      </c>
      <c r="Y106" s="140">
        <f t="shared" ca="1" si="11"/>
        <v>0</v>
      </c>
      <c r="Z106" s="167">
        <f t="shared" ca="1" si="14"/>
        <v>0</v>
      </c>
      <c r="AA106" s="167">
        <f t="shared" ca="1" si="15"/>
        <v>0</v>
      </c>
    </row>
    <row r="107" spans="2:27" x14ac:dyDescent="0.25">
      <c r="B107" s="21">
        <f ca="1">IF(B106="","",IF(EOMONTH(B106,1)&gt;EOMONTH(ELEGIBILIDADE!$J$17,0),"",EOMONTH(B106,1)))</f>
        <v>46660</v>
      </c>
      <c r="C107" s="22">
        <f ca="1">IF(B107="","",IF(MONTH(B107)=1,C106*(1+PREMISSAS!$C$57),C106))</f>
        <v>0</v>
      </c>
      <c r="D107" s="22">
        <f ca="1">IF(RESULTADOS!$C$17="Normal",IFERROR(MAX(C107-PREMISSAS!$C$13,0),0),IF(Painel!$I$23=0,0,MAX(10*PREMISSAS!$C$38,RESULTADOS!$F$17)))</f>
        <v>0</v>
      </c>
      <c r="E107" s="4">
        <f ca="1">D107*IF(RESULTADOS!$C$17="Normal",RESULTADOS!$C$16,0)</f>
        <v>0</v>
      </c>
      <c r="F107" s="4">
        <f ca="1">IFERROR(IF(RESULTADOS!$C$17="Normal",D107,C107)*RESULTADOS!$C$18,0)</f>
        <v>0</v>
      </c>
      <c r="G107" s="4">
        <f ca="1">IFERROR(IF(RESULTADOS!$C$17="Normal",0,D107)*IF(RESULTADOS!$C$17="Normal",RESULTADOS!$C$18,RESULTADOS!$C$16),0)</f>
        <v>0</v>
      </c>
      <c r="H107" s="4">
        <f ca="1">IF(RESULTADOS!$C$17="Normal",E107,0)</f>
        <v>0</v>
      </c>
      <c r="I107" s="4">
        <f ca="1">(E107+H107+G107)*PREMISSAS!$C$60</f>
        <v>0</v>
      </c>
      <c r="J107" s="4">
        <f ca="1">D107*IF(RESULTADOS!$C$17="Normal",PREMISSAS!$C$62,0)</f>
        <v>0</v>
      </c>
      <c r="K107" s="116">
        <f ca="1">IFERROR(K106*(1+PREMISSAS!$C$18)+(E107+H107-IF(RESULTADOS!$C$17="Normal",I107,0)-J107)*IF(MONTH(B107)=12,2,1),0)</f>
        <v>0</v>
      </c>
      <c r="L107" s="116">
        <f ca="1">IFERROR((L106+G107-IF(RESULTADOS!$C$17="Normal",0,I107))*(1+PREMISSAS!$C$18)+F107,0)</f>
        <v>0</v>
      </c>
      <c r="N107" s="73">
        <f t="shared" ca="1" si="8"/>
        <v>0</v>
      </c>
      <c r="P107" s="164">
        <f t="shared" ca="1" si="9"/>
        <v>46660</v>
      </c>
      <c r="Q107" s="140">
        <f ca="1">IF(C107="","",Q106+(E107+H107-IF(RESULTADOS!$C$17="Normal",I107,0)-J107)/2+(F107+G107-IF(RESULTADOS!$C$17="Normal",0,I107)))</f>
        <v>0</v>
      </c>
      <c r="R107" s="140">
        <f ca="1">IF(C107="","",R106+(E107+H107-IF(RESULTADOS!$C$17="Normal",I107,0)-J107)/2)</f>
        <v>0</v>
      </c>
      <c r="S107" s="140">
        <f t="shared" ca="1" si="12"/>
        <v>0</v>
      </c>
      <c r="U107" s="164" t="str">
        <f t="shared" ca="1" si="13"/>
        <v/>
      </c>
      <c r="V107" s="164" t="str">
        <f t="shared" ca="1" si="10"/>
        <v/>
      </c>
      <c r="W107" s="140">
        <f ca="1">IF(OR((W106-13/12*Z106)*(1+PREMISSAS!$C$16)&lt;0,W106=""),0,(W106-13/12*Z106)*(1+PREMISSAS!$C$16))</f>
        <v>0</v>
      </c>
      <c r="X107" s="140">
        <f ca="1">IF(OR((X106-13/12*AA106)*(1+PREMISSAS!$C$16)&lt;0,X106=""),0,(X106-13/12*AA106)*(1+PREMISSAS!$C$16))</f>
        <v>0</v>
      </c>
      <c r="Y107" s="140">
        <f t="shared" ca="1" si="11"/>
        <v>0</v>
      </c>
      <c r="Z107" s="167">
        <f t="shared" ca="1" si="14"/>
        <v>0</v>
      </c>
      <c r="AA107" s="167">
        <f t="shared" ca="1" si="15"/>
        <v>0</v>
      </c>
    </row>
    <row r="108" spans="2:27" x14ac:dyDescent="0.25">
      <c r="B108" s="21">
        <f ca="1">IF(B107="","",IF(EOMONTH(B107,1)&gt;EOMONTH(ELEGIBILIDADE!$J$17,0),"",EOMONTH(B107,1)))</f>
        <v>46691</v>
      </c>
      <c r="C108" s="22">
        <f ca="1">IF(B108="","",IF(MONTH(B108)=1,C107*(1+PREMISSAS!$C$57),C107))</f>
        <v>0</v>
      </c>
      <c r="D108" s="22">
        <f ca="1">IF(RESULTADOS!$C$17="Normal",IFERROR(MAX(C108-PREMISSAS!$C$13,0),0),IF(Painel!$I$23=0,0,MAX(10*PREMISSAS!$C$38,RESULTADOS!$F$17)))</f>
        <v>0</v>
      </c>
      <c r="E108" s="4">
        <f ca="1">D108*IF(RESULTADOS!$C$17="Normal",RESULTADOS!$C$16,0)</f>
        <v>0</v>
      </c>
      <c r="F108" s="4">
        <f ca="1">IFERROR(IF(RESULTADOS!$C$17="Normal",D108,C108)*RESULTADOS!$C$18,0)</f>
        <v>0</v>
      </c>
      <c r="G108" s="4">
        <f ca="1">IFERROR(IF(RESULTADOS!$C$17="Normal",0,D108)*IF(RESULTADOS!$C$17="Normal",RESULTADOS!$C$18,RESULTADOS!$C$16),0)</f>
        <v>0</v>
      </c>
      <c r="H108" s="4">
        <f ca="1">IF(RESULTADOS!$C$17="Normal",E108,0)</f>
        <v>0</v>
      </c>
      <c r="I108" s="4">
        <f ca="1">(E108+H108+G108)*PREMISSAS!$C$60</f>
        <v>0</v>
      </c>
      <c r="J108" s="4">
        <f ca="1">D108*IF(RESULTADOS!$C$17="Normal",PREMISSAS!$C$62,0)</f>
        <v>0</v>
      </c>
      <c r="K108" s="116">
        <f ca="1">IFERROR(K107*(1+PREMISSAS!$C$18)+(E108+H108-IF(RESULTADOS!$C$17="Normal",I108,0)-J108)*IF(MONTH(B108)=12,2,1),0)</f>
        <v>0</v>
      </c>
      <c r="L108" s="116">
        <f ca="1">IFERROR((L107+G108-IF(RESULTADOS!$C$17="Normal",0,I108))*(1+PREMISSAS!$C$18)+F108,0)</f>
        <v>0</v>
      </c>
      <c r="N108" s="73">
        <f t="shared" ca="1" si="8"/>
        <v>0</v>
      </c>
      <c r="P108" s="164">
        <f t="shared" ca="1" si="9"/>
        <v>46691</v>
      </c>
      <c r="Q108" s="140">
        <f ca="1">IF(C108="","",Q107+(E108+H108-IF(RESULTADOS!$C$17="Normal",I108,0)-J108)/2+(F108+G108-IF(RESULTADOS!$C$17="Normal",0,I108)))</f>
        <v>0</v>
      </c>
      <c r="R108" s="140">
        <f ca="1">IF(C108="","",R107+(E108+H108-IF(RESULTADOS!$C$17="Normal",I108,0)-J108)/2)</f>
        <v>0</v>
      </c>
      <c r="S108" s="140">
        <f t="shared" ca="1" si="12"/>
        <v>0</v>
      </c>
      <c r="U108" s="164" t="str">
        <f t="shared" ca="1" si="13"/>
        <v/>
      </c>
      <c r="V108" s="164" t="str">
        <f t="shared" ca="1" si="10"/>
        <v/>
      </c>
      <c r="W108" s="140">
        <f ca="1">IF(OR((W107-13/12*Z107)*(1+PREMISSAS!$C$16)&lt;0,W107=""),0,(W107-13/12*Z107)*(1+PREMISSAS!$C$16))</f>
        <v>0</v>
      </c>
      <c r="X108" s="140">
        <f ca="1">IF(OR((X107-13/12*AA107)*(1+PREMISSAS!$C$16)&lt;0,X107=""),0,(X107-13/12*AA107)*(1+PREMISSAS!$C$16))</f>
        <v>0</v>
      </c>
      <c r="Y108" s="140">
        <f t="shared" ca="1" si="11"/>
        <v>0</v>
      </c>
      <c r="Z108" s="167">
        <f t="shared" ca="1" si="14"/>
        <v>0</v>
      </c>
      <c r="AA108" s="167">
        <f t="shared" ca="1" si="15"/>
        <v>0</v>
      </c>
    </row>
    <row r="109" spans="2:27" x14ac:dyDescent="0.25">
      <c r="B109" s="21">
        <f ca="1">IF(B108="","",IF(EOMONTH(B108,1)&gt;EOMONTH(ELEGIBILIDADE!$J$17,0),"",EOMONTH(B108,1)))</f>
        <v>46721</v>
      </c>
      <c r="C109" s="22">
        <f ca="1">IF(B109="","",IF(MONTH(B109)=1,C108*(1+PREMISSAS!$C$57),C108))</f>
        <v>0</v>
      </c>
      <c r="D109" s="22">
        <f ca="1">IF(RESULTADOS!$C$17="Normal",IFERROR(MAX(C109-PREMISSAS!$C$13,0),0),IF(Painel!$I$23=0,0,MAX(10*PREMISSAS!$C$38,RESULTADOS!$F$17)))</f>
        <v>0</v>
      </c>
      <c r="E109" s="4">
        <f ca="1">D109*IF(RESULTADOS!$C$17="Normal",RESULTADOS!$C$16,0)</f>
        <v>0</v>
      </c>
      <c r="F109" s="4">
        <f ca="1">IFERROR(IF(RESULTADOS!$C$17="Normal",D109,C109)*RESULTADOS!$C$18,0)</f>
        <v>0</v>
      </c>
      <c r="G109" s="4">
        <f ca="1">IFERROR(IF(RESULTADOS!$C$17="Normal",0,D109)*IF(RESULTADOS!$C$17="Normal",RESULTADOS!$C$18,RESULTADOS!$C$16),0)</f>
        <v>0</v>
      </c>
      <c r="H109" s="4">
        <f ca="1">IF(RESULTADOS!$C$17="Normal",E109,0)</f>
        <v>0</v>
      </c>
      <c r="I109" s="4">
        <f ca="1">(E109+H109+G109)*PREMISSAS!$C$60</f>
        <v>0</v>
      </c>
      <c r="J109" s="4">
        <f ca="1">D109*IF(RESULTADOS!$C$17="Normal",PREMISSAS!$C$62,0)</f>
        <v>0</v>
      </c>
      <c r="K109" s="116">
        <f ca="1">IFERROR(K108*(1+PREMISSAS!$C$18)+(E109+H109-IF(RESULTADOS!$C$17="Normal",I109,0)-J109)*IF(MONTH(B109)=12,2,1),0)</f>
        <v>0</v>
      </c>
      <c r="L109" s="116">
        <f ca="1">IFERROR((L108+G109-IF(RESULTADOS!$C$17="Normal",0,I109))*(1+PREMISSAS!$C$18)+F109,0)</f>
        <v>0</v>
      </c>
      <c r="N109" s="73">
        <f t="shared" ca="1" si="8"/>
        <v>0</v>
      </c>
      <c r="P109" s="164">
        <f t="shared" ca="1" si="9"/>
        <v>46721</v>
      </c>
      <c r="Q109" s="140">
        <f ca="1">IF(C109="","",Q108+(E109+H109-IF(RESULTADOS!$C$17="Normal",I109,0)-J109)/2+(F109+G109-IF(RESULTADOS!$C$17="Normal",0,I109)))</f>
        <v>0</v>
      </c>
      <c r="R109" s="140">
        <f ca="1">IF(C109="","",R108+(E109+H109-IF(RESULTADOS!$C$17="Normal",I109,0)-J109)/2)</f>
        <v>0</v>
      </c>
      <c r="S109" s="140">
        <f t="shared" ca="1" si="12"/>
        <v>0</v>
      </c>
      <c r="U109" s="164" t="str">
        <f t="shared" ca="1" si="13"/>
        <v/>
      </c>
      <c r="V109" s="164" t="str">
        <f t="shared" ca="1" si="10"/>
        <v/>
      </c>
      <c r="W109" s="140">
        <f ca="1">IF(OR((W108-13/12*Z108)*(1+PREMISSAS!$C$16)&lt;0,W108=""),0,(W108-13/12*Z108)*(1+PREMISSAS!$C$16))</f>
        <v>0</v>
      </c>
      <c r="X109" s="140">
        <f ca="1">IF(OR((X108-13/12*AA108)*(1+PREMISSAS!$C$16)&lt;0,X108=""),0,(X108-13/12*AA108)*(1+PREMISSAS!$C$16))</f>
        <v>0</v>
      </c>
      <c r="Y109" s="140">
        <f t="shared" ca="1" si="11"/>
        <v>0</v>
      </c>
      <c r="Z109" s="167">
        <f t="shared" ca="1" si="14"/>
        <v>0</v>
      </c>
      <c r="AA109" s="167">
        <f t="shared" ca="1" si="15"/>
        <v>0</v>
      </c>
    </row>
    <row r="110" spans="2:27" x14ac:dyDescent="0.25">
      <c r="B110" s="21">
        <f ca="1">IF(B109="","",IF(EOMONTH(B109,1)&gt;EOMONTH(ELEGIBILIDADE!$J$17,0),"",EOMONTH(B109,1)))</f>
        <v>46752</v>
      </c>
      <c r="C110" s="22">
        <f ca="1">IF(B110="","",IF(MONTH(B110)=1,C109*(1+PREMISSAS!$C$57),C109))</f>
        <v>0</v>
      </c>
      <c r="D110" s="22">
        <f ca="1">IF(RESULTADOS!$C$17="Normal",IFERROR(MAX(C110-PREMISSAS!$C$13,0),0),IF(Painel!$I$23=0,0,MAX(10*PREMISSAS!$C$38,RESULTADOS!$F$17)))</f>
        <v>0</v>
      </c>
      <c r="E110" s="4">
        <f ca="1">D110*IF(RESULTADOS!$C$17="Normal",RESULTADOS!$C$16,0)</f>
        <v>0</v>
      </c>
      <c r="F110" s="4">
        <f ca="1">IFERROR(IF(RESULTADOS!$C$17="Normal",D110,C110)*RESULTADOS!$C$18,0)</f>
        <v>0</v>
      </c>
      <c r="G110" s="4">
        <f ca="1">IFERROR(IF(RESULTADOS!$C$17="Normal",0,D110)*IF(RESULTADOS!$C$17="Normal",RESULTADOS!$C$18,RESULTADOS!$C$16),0)</f>
        <v>0</v>
      </c>
      <c r="H110" s="4">
        <f ca="1">IF(RESULTADOS!$C$17="Normal",E110,0)</f>
        <v>0</v>
      </c>
      <c r="I110" s="4">
        <f ca="1">(E110+H110+G110)*PREMISSAS!$C$60</f>
        <v>0</v>
      </c>
      <c r="J110" s="4">
        <f ca="1">D110*IF(RESULTADOS!$C$17="Normal",PREMISSAS!$C$62,0)</f>
        <v>0</v>
      </c>
      <c r="K110" s="116">
        <f ca="1">IFERROR(K109*(1+PREMISSAS!$C$18)+(E110+H110-IF(RESULTADOS!$C$17="Normal",I110,0)-J110)*IF(MONTH(B110)=12,2,1),0)</f>
        <v>0</v>
      </c>
      <c r="L110" s="116">
        <f ca="1">IFERROR((L109+G110-IF(RESULTADOS!$C$17="Normal",0,I110))*(1+PREMISSAS!$C$18)+F110,0)</f>
        <v>0</v>
      </c>
      <c r="N110" s="73">
        <f t="shared" ca="1" si="8"/>
        <v>0</v>
      </c>
      <c r="P110" s="164">
        <f t="shared" ca="1" si="9"/>
        <v>46752</v>
      </c>
      <c r="Q110" s="140">
        <f ca="1">IF(C110="","",Q109+(E110+H110-IF(RESULTADOS!$C$17="Normal",I110,0)-J110)/2+(F110+G110-IF(RESULTADOS!$C$17="Normal",0,I110)))</f>
        <v>0</v>
      </c>
      <c r="R110" s="140">
        <f ca="1">IF(C110="","",R109+(E110+H110-IF(RESULTADOS!$C$17="Normal",I110,0)-J110)/2)</f>
        <v>0</v>
      </c>
      <c r="S110" s="140">
        <f t="shared" ca="1" si="12"/>
        <v>0</v>
      </c>
      <c r="U110" s="164" t="str">
        <f t="shared" ca="1" si="13"/>
        <v/>
      </c>
      <c r="V110" s="164" t="str">
        <f t="shared" ca="1" si="10"/>
        <v/>
      </c>
      <c r="W110" s="140">
        <f ca="1">IF(OR((W109-13/12*Z109)*(1+PREMISSAS!$C$16)&lt;0,W109=""),0,(W109-13/12*Z109)*(1+PREMISSAS!$C$16))</f>
        <v>0</v>
      </c>
      <c r="X110" s="140">
        <f ca="1">IF(OR((X109-13/12*AA109)*(1+PREMISSAS!$C$16)&lt;0,X109=""),0,(X109-13/12*AA109)*(1+PREMISSAS!$C$16))</f>
        <v>0</v>
      </c>
      <c r="Y110" s="140">
        <f t="shared" ca="1" si="11"/>
        <v>0</v>
      </c>
      <c r="Z110" s="167">
        <f t="shared" ca="1" si="14"/>
        <v>0</v>
      </c>
      <c r="AA110" s="167">
        <f t="shared" ca="1" si="15"/>
        <v>0</v>
      </c>
    </row>
    <row r="111" spans="2:27" x14ac:dyDescent="0.25">
      <c r="B111" s="21">
        <f ca="1">IF(B110="","",IF(EOMONTH(B110,1)&gt;EOMONTH(ELEGIBILIDADE!$J$17,0),"",EOMONTH(B110,1)))</f>
        <v>46783</v>
      </c>
      <c r="C111" s="22">
        <f ca="1">IF(B111="","",IF(MONTH(B111)=1,C110*(1+PREMISSAS!$C$57),C110))</f>
        <v>0</v>
      </c>
      <c r="D111" s="22">
        <f ca="1">IF(RESULTADOS!$C$17="Normal",IFERROR(MAX(C111-PREMISSAS!$C$13,0),0),IF(Painel!$I$23=0,0,MAX(10*PREMISSAS!$C$38,RESULTADOS!$F$17)))</f>
        <v>0</v>
      </c>
      <c r="E111" s="4">
        <f ca="1">D111*IF(RESULTADOS!$C$17="Normal",RESULTADOS!$C$16,0)</f>
        <v>0</v>
      </c>
      <c r="F111" s="4">
        <f ca="1">IFERROR(IF(RESULTADOS!$C$17="Normal",D111,C111)*RESULTADOS!$C$18,0)</f>
        <v>0</v>
      </c>
      <c r="G111" s="4">
        <f ca="1">IFERROR(IF(RESULTADOS!$C$17="Normal",0,D111)*IF(RESULTADOS!$C$17="Normal",RESULTADOS!$C$18,RESULTADOS!$C$16),0)</f>
        <v>0</v>
      </c>
      <c r="H111" s="4">
        <f ca="1">IF(RESULTADOS!$C$17="Normal",E111,0)</f>
        <v>0</v>
      </c>
      <c r="I111" s="4">
        <f ca="1">(E111+H111+G111)*PREMISSAS!$C$60</f>
        <v>0</v>
      </c>
      <c r="J111" s="4">
        <f ca="1">D111*IF(RESULTADOS!$C$17="Normal",PREMISSAS!$C$62,0)</f>
        <v>0</v>
      </c>
      <c r="K111" s="116">
        <f ca="1">IFERROR(K110*(1+PREMISSAS!$C$18)+(E111+H111-IF(RESULTADOS!$C$17="Normal",I111,0)-J111)*IF(MONTH(B111)=12,2,1),0)</f>
        <v>0</v>
      </c>
      <c r="L111" s="116">
        <f ca="1">IFERROR((L110+G111-IF(RESULTADOS!$C$17="Normal",0,I111))*(1+PREMISSAS!$C$18)+F111,0)</f>
        <v>0</v>
      </c>
      <c r="N111" s="73">
        <f t="shared" ca="1" si="8"/>
        <v>0</v>
      </c>
      <c r="P111" s="164">
        <f t="shared" ca="1" si="9"/>
        <v>46783</v>
      </c>
      <c r="Q111" s="140">
        <f ca="1">IF(C111="","",Q110+(E111+H111-IF(RESULTADOS!$C$17="Normal",I111,0)-J111)/2+(F111+G111-IF(RESULTADOS!$C$17="Normal",0,I111)))</f>
        <v>0</v>
      </c>
      <c r="R111" s="140">
        <f ca="1">IF(C111="","",R110+(E111+H111-IF(RESULTADOS!$C$17="Normal",I111,0)-J111)/2)</f>
        <v>0</v>
      </c>
      <c r="S111" s="140">
        <f t="shared" ca="1" si="12"/>
        <v>0</v>
      </c>
      <c r="U111" s="164" t="str">
        <f t="shared" ca="1" si="13"/>
        <v/>
      </c>
      <c r="V111" s="164" t="str">
        <f t="shared" ca="1" si="10"/>
        <v/>
      </c>
      <c r="W111" s="140">
        <f ca="1">IF(OR((W110-13/12*Z110)*(1+PREMISSAS!$C$16)&lt;0,W110=""),0,(W110-13/12*Z110)*(1+PREMISSAS!$C$16))</f>
        <v>0</v>
      </c>
      <c r="X111" s="140">
        <f ca="1">IF(OR((X110-13/12*AA110)*(1+PREMISSAS!$C$16)&lt;0,X110=""),0,(X110-13/12*AA110)*(1+PREMISSAS!$C$16))</f>
        <v>0</v>
      </c>
      <c r="Y111" s="140">
        <f t="shared" ca="1" si="11"/>
        <v>0</v>
      </c>
      <c r="Z111" s="167">
        <f t="shared" ca="1" si="14"/>
        <v>0</v>
      </c>
      <c r="AA111" s="167">
        <f t="shared" ca="1" si="15"/>
        <v>0</v>
      </c>
    </row>
    <row r="112" spans="2:27" x14ac:dyDescent="0.25">
      <c r="B112" s="21">
        <f ca="1">IF(B111="","",IF(EOMONTH(B111,1)&gt;EOMONTH(ELEGIBILIDADE!$J$17,0),"",EOMONTH(B111,1)))</f>
        <v>46812</v>
      </c>
      <c r="C112" s="22">
        <f ca="1">IF(B112="","",IF(MONTH(B112)=1,C111*(1+PREMISSAS!$C$57),C111))</f>
        <v>0</v>
      </c>
      <c r="D112" s="22">
        <f ca="1">IF(RESULTADOS!$C$17="Normal",IFERROR(MAX(C112-PREMISSAS!$C$13,0),0),IF(Painel!$I$23=0,0,MAX(10*PREMISSAS!$C$38,RESULTADOS!$F$17)))</f>
        <v>0</v>
      </c>
      <c r="E112" s="4">
        <f ca="1">D112*IF(RESULTADOS!$C$17="Normal",RESULTADOS!$C$16,0)</f>
        <v>0</v>
      </c>
      <c r="F112" s="4">
        <f ca="1">IFERROR(IF(RESULTADOS!$C$17="Normal",D112,C112)*RESULTADOS!$C$18,0)</f>
        <v>0</v>
      </c>
      <c r="G112" s="4">
        <f ca="1">IFERROR(IF(RESULTADOS!$C$17="Normal",0,D112)*IF(RESULTADOS!$C$17="Normal",RESULTADOS!$C$18,RESULTADOS!$C$16),0)</f>
        <v>0</v>
      </c>
      <c r="H112" s="4">
        <f ca="1">IF(RESULTADOS!$C$17="Normal",E112,0)</f>
        <v>0</v>
      </c>
      <c r="I112" s="4">
        <f ca="1">(E112+H112+G112)*PREMISSAS!$C$60</f>
        <v>0</v>
      </c>
      <c r="J112" s="4">
        <f ca="1">D112*IF(RESULTADOS!$C$17="Normal",PREMISSAS!$C$62,0)</f>
        <v>0</v>
      </c>
      <c r="K112" s="116">
        <f ca="1">IFERROR(K111*(1+PREMISSAS!$C$18)+(E112+H112-IF(RESULTADOS!$C$17="Normal",I112,0)-J112)*IF(MONTH(B112)=12,2,1),0)</f>
        <v>0</v>
      </c>
      <c r="L112" s="116">
        <f ca="1">IFERROR((L111+G112-IF(RESULTADOS!$C$17="Normal",0,I112))*(1+PREMISSAS!$C$18)+F112,0)</f>
        <v>0</v>
      </c>
      <c r="N112" s="73">
        <f t="shared" ca="1" si="8"/>
        <v>0</v>
      </c>
      <c r="P112" s="164">
        <f t="shared" ca="1" si="9"/>
        <v>46812</v>
      </c>
      <c r="Q112" s="140">
        <f ca="1">IF(C112="","",Q111+(E112+H112-IF(RESULTADOS!$C$17="Normal",I112,0)-J112)/2+(F112+G112-IF(RESULTADOS!$C$17="Normal",0,I112)))</f>
        <v>0</v>
      </c>
      <c r="R112" s="140">
        <f ca="1">IF(C112="","",R111+(E112+H112-IF(RESULTADOS!$C$17="Normal",I112,0)-J112)/2)</f>
        <v>0</v>
      </c>
      <c r="S112" s="140">
        <f t="shared" ca="1" si="12"/>
        <v>0</v>
      </c>
      <c r="U112" s="164" t="str">
        <f t="shared" ca="1" si="13"/>
        <v/>
      </c>
      <c r="V112" s="164" t="str">
        <f t="shared" ca="1" si="10"/>
        <v/>
      </c>
      <c r="W112" s="140">
        <f ca="1">IF(OR((W111-13/12*Z111)*(1+PREMISSAS!$C$16)&lt;0,W111=""),0,(W111-13/12*Z111)*(1+PREMISSAS!$C$16))</f>
        <v>0</v>
      </c>
      <c r="X112" s="140">
        <f ca="1">IF(OR((X111-13/12*AA111)*(1+PREMISSAS!$C$16)&lt;0,X111=""),0,(X111-13/12*AA111)*(1+PREMISSAS!$C$16))</f>
        <v>0</v>
      </c>
      <c r="Y112" s="140">
        <f t="shared" ca="1" si="11"/>
        <v>0</v>
      </c>
      <c r="Z112" s="167">
        <f t="shared" ca="1" si="14"/>
        <v>0</v>
      </c>
      <c r="AA112" s="167">
        <f t="shared" ca="1" si="15"/>
        <v>0</v>
      </c>
    </row>
    <row r="113" spans="2:27" x14ac:dyDescent="0.25">
      <c r="B113" s="21">
        <f ca="1">IF(B112="","",IF(EOMONTH(B112,1)&gt;EOMONTH(ELEGIBILIDADE!$J$17,0),"",EOMONTH(B112,1)))</f>
        <v>46843</v>
      </c>
      <c r="C113" s="22">
        <f ca="1">IF(B113="","",IF(MONTH(B113)=1,C112*(1+PREMISSAS!$C$57),C112))</f>
        <v>0</v>
      </c>
      <c r="D113" s="22">
        <f ca="1">IF(RESULTADOS!$C$17="Normal",IFERROR(MAX(C113-PREMISSAS!$C$13,0),0),IF(Painel!$I$23=0,0,MAX(10*PREMISSAS!$C$38,RESULTADOS!$F$17)))</f>
        <v>0</v>
      </c>
      <c r="E113" s="4">
        <f ca="1">D113*IF(RESULTADOS!$C$17="Normal",RESULTADOS!$C$16,0)</f>
        <v>0</v>
      </c>
      <c r="F113" s="4">
        <f ca="1">IFERROR(IF(RESULTADOS!$C$17="Normal",D113,C113)*RESULTADOS!$C$18,0)</f>
        <v>0</v>
      </c>
      <c r="G113" s="4">
        <f ca="1">IFERROR(IF(RESULTADOS!$C$17="Normal",0,D113)*IF(RESULTADOS!$C$17="Normal",RESULTADOS!$C$18,RESULTADOS!$C$16),0)</f>
        <v>0</v>
      </c>
      <c r="H113" s="4">
        <f ca="1">IF(RESULTADOS!$C$17="Normal",E113,0)</f>
        <v>0</v>
      </c>
      <c r="I113" s="4">
        <f ca="1">(E113+H113+G113)*PREMISSAS!$C$60</f>
        <v>0</v>
      </c>
      <c r="J113" s="4">
        <f ca="1">D113*IF(RESULTADOS!$C$17="Normal",PREMISSAS!$C$62,0)</f>
        <v>0</v>
      </c>
      <c r="K113" s="116">
        <f ca="1">IFERROR(K112*(1+PREMISSAS!$C$18)+(E113+H113-IF(RESULTADOS!$C$17="Normal",I113,0)-J113)*IF(MONTH(B113)=12,2,1),0)</f>
        <v>0</v>
      </c>
      <c r="L113" s="116">
        <f ca="1">IFERROR((L112+G113-IF(RESULTADOS!$C$17="Normal",0,I113))*(1+PREMISSAS!$C$18)+F113,0)</f>
        <v>0</v>
      </c>
      <c r="N113" s="73">
        <f t="shared" ca="1" si="8"/>
        <v>0</v>
      </c>
      <c r="P113" s="164">
        <f t="shared" ca="1" si="9"/>
        <v>46843</v>
      </c>
      <c r="Q113" s="140">
        <f ca="1">IF(C113="","",Q112+(E113+H113-IF(RESULTADOS!$C$17="Normal",I113,0)-J113)/2+(F113+G113-IF(RESULTADOS!$C$17="Normal",0,I113)))</f>
        <v>0</v>
      </c>
      <c r="R113" s="140">
        <f ca="1">IF(C113="","",R112+(E113+H113-IF(RESULTADOS!$C$17="Normal",I113,0)-J113)/2)</f>
        <v>0</v>
      </c>
      <c r="S113" s="140">
        <f t="shared" ca="1" si="12"/>
        <v>0</v>
      </c>
      <c r="U113" s="164" t="str">
        <f t="shared" ca="1" si="13"/>
        <v/>
      </c>
      <c r="V113" s="164" t="str">
        <f t="shared" ca="1" si="10"/>
        <v/>
      </c>
      <c r="W113" s="140">
        <f ca="1">IF(OR((W112-13/12*Z112)*(1+PREMISSAS!$C$16)&lt;0,W112=""),0,(W112-13/12*Z112)*(1+PREMISSAS!$C$16))</f>
        <v>0</v>
      </c>
      <c r="X113" s="140">
        <f ca="1">IF(OR((X112-13/12*AA112)*(1+PREMISSAS!$C$16)&lt;0,X112=""),0,(X112-13/12*AA112)*(1+PREMISSAS!$C$16))</f>
        <v>0</v>
      </c>
      <c r="Y113" s="140">
        <f t="shared" ca="1" si="11"/>
        <v>0</v>
      </c>
      <c r="Z113" s="167">
        <f t="shared" ca="1" si="14"/>
        <v>0</v>
      </c>
      <c r="AA113" s="167">
        <f t="shared" ca="1" si="15"/>
        <v>0</v>
      </c>
    </row>
    <row r="114" spans="2:27" x14ac:dyDescent="0.25">
      <c r="B114" s="21">
        <f ca="1">IF(B113="","",IF(EOMONTH(B113,1)&gt;EOMONTH(ELEGIBILIDADE!$J$17,0),"",EOMONTH(B113,1)))</f>
        <v>46873</v>
      </c>
      <c r="C114" s="22">
        <f ca="1">IF(B114="","",IF(MONTH(B114)=1,C113*(1+PREMISSAS!$C$57),C113))</f>
        <v>0</v>
      </c>
      <c r="D114" s="22">
        <f ca="1">IF(RESULTADOS!$C$17="Normal",IFERROR(MAX(C114-PREMISSAS!$C$13,0),0),IF(Painel!$I$23=0,0,MAX(10*PREMISSAS!$C$38,RESULTADOS!$F$17)))</f>
        <v>0</v>
      </c>
      <c r="E114" s="4">
        <f ca="1">D114*IF(RESULTADOS!$C$17="Normal",RESULTADOS!$C$16,0)</f>
        <v>0</v>
      </c>
      <c r="F114" s="4">
        <f ca="1">IFERROR(IF(RESULTADOS!$C$17="Normal",D114,C114)*RESULTADOS!$C$18,0)</f>
        <v>0</v>
      </c>
      <c r="G114" s="4">
        <f ca="1">IFERROR(IF(RESULTADOS!$C$17="Normal",0,D114)*IF(RESULTADOS!$C$17="Normal",RESULTADOS!$C$18,RESULTADOS!$C$16),0)</f>
        <v>0</v>
      </c>
      <c r="H114" s="4">
        <f ca="1">IF(RESULTADOS!$C$17="Normal",E114,0)</f>
        <v>0</v>
      </c>
      <c r="I114" s="4">
        <f ca="1">(E114+H114+G114)*PREMISSAS!$C$60</f>
        <v>0</v>
      </c>
      <c r="J114" s="4">
        <f ca="1">D114*IF(RESULTADOS!$C$17="Normal",PREMISSAS!$C$62,0)</f>
        <v>0</v>
      </c>
      <c r="K114" s="116">
        <f ca="1">IFERROR(K113*(1+PREMISSAS!$C$18)+(E114+H114-IF(RESULTADOS!$C$17="Normal",I114,0)-J114)*IF(MONTH(B114)=12,2,1),0)</f>
        <v>0</v>
      </c>
      <c r="L114" s="116">
        <f ca="1">IFERROR((L113+G114-IF(RESULTADOS!$C$17="Normal",0,I114))*(1+PREMISSAS!$C$18)+F114,0)</f>
        <v>0</v>
      </c>
      <c r="N114" s="73">
        <f t="shared" ca="1" si="8"/>
        <v>0</v>
      </c>
      <c r="P114" s="164">
        <f t="shared" ca="1" si="9"/>
        <v>46873</v>
      </c>
      <c r="Q114" s="140">
        <f ca="1">IF(C114="","",Q113+(E114+H114-IF(RESULTADOS!$C$17="Normal",I114,0)-J114)/2+(F114+G114-IF(RESULTADOS!$C$17="Normal",0,I114)))</f>
        <v>0</v>
      </c>
      <c r="R114" s="140">
        <f ca="1">IF(C114="","",R113+(E114+H114-IF(RESULTADOS!$C$17="Normal",I114,0)-J114)/2)</f>
        <v>0</v>
      </c>
      <c r="S114" s="140">
        <f t="shared" ca="1" si="12"/>
        <v>0</v>
      </c>
      <c r="U114" s="164" t="str">
        <f t="shared" ca="1" si="13"/>
        <v/>
      </c>
      <c r="V114" s="164" t="str">
        <f t="shared" ca="1" si="10"/>
        <v/>
      </c>
      <c r="W114" s="140">
        <f ca="1">IF(OR((W113-13/12*Z113)*(1+PREMISSAS!$C$16)&lt;0,W113=""),0,(W113-13/12*Z113)*(1+PREMISSAS!$C$16))</f>
        <v>0</v>
      </c>
      <c r="X114" s="140">
        <f ca="1">IF(OR((X113-13/12*AA113)*(1+PREMISSAS!$C$16)&lt;0,X113=""),0,(X113-13/12*AA113)*(1+PREMISSAS!$C$16))</f>
        <v>0</v>
      </c>
      <c r="Y114" s="140">
        <f t="shared" ca="1" si="11"/>
        <v>0</v>
      </c>
      <c r="Z114" s="167">
        <f t="shared" ca="1" si="14"/>
        <v>0</v>
      </c>
      <c r="AA114" s="167">
        <f t="shared" ca="1" si="15"/>
        <v>0</v>
      </c>
    </row>
    <row r="115" spans="2:27" x14ac:dyDescent="0.25">
      <c r="B115" s="21">
        <f ca="1">IF(B114="","",IF(EOMONTH(B114,1)&gt;EOMONTH(ELEGIBILIDADE!$J$17,0),"",EOMONTH(B114,1)))</f>
        <v>46904</v>
      </c>
      <c r="C115" s="22">
        <f ca="1">IF(B115="","",IF(MONTH(B115)=1,C114*(1+PREMISSAS!$C$57),C114))</f>
        <v>0</v>
      </c>
      <c r="D115" s="22">
        <f ca="1">IF(RESULTADOS!$C$17="Normal",IFERROR(MAX(C115-PREMISSAS!$C$13,0),0),IF(Painel!$I$23=0,0,MAX(10*PREMISSAS!$C$38,RESULTADOS!$F$17)))</f>
        <v>0</v>
      </c>
      <c r="E115" s="4">
        <f ca="1">D115*IF(RESULTADOS!$C$17="Normal",RESULTADOS!$C$16,0)</f>
        <v>0</v>
      </c>
      <c r="F115" s="4">
        <f ca="1">IFERROR(IF(RESULTADOS!$C$17="Normal",D115,C115)*RESULTADOS!$C$18,0)</f>
        <v>0</v>
      </c>
      <c r="G115" s="4">
        <f ca="1">IFERROR(IF(RESULTADOS!$C$17="Normal",0,D115)*IF(RESULTADOS!$C$17="Normal",RESULTADOS!$C$18,RESULTADOS!$C$16),0)</f>
        <v>0</v>
      </c>
      <c r="H115" s="4">
        <f ca="1">IF(RESULTADOS!$C$17="Normal",E115,0)</f>
        <v>0</v>
      </c>
      <c r="I115" s="4">
        <f ca="1">(E115+H115+G115)*PREMISSAS!$C$60</f>
        <v>0</v>
      </c>
      <c r="J115" s="4">
        <f ca="1">D115*IF(RESULTADOS!$C$17="Normal",PREMISSAS!$C$62,0)</f>
        <v>0</v>
      </c>
      <c r="K115" s="116">
        <f ca="1">IFERROR(K114*(1+PREMISSAS!$C$18)+(E115+H115-IF(RESULTADOS!$C$17="Normal",I115,0)-J115)*IF(MONTH(B115)=12,2,1),0)</f>
        <v>0</v>
      </c>
      <c r="L115" s="116">
        <f ca="1">IFERROR((L114+G115-IF(RESULTADOS!$C$17="Normal",0,I115))*(1+PREMISSAS!$C$18)+F115,0)</f>
        <v>0</v>
      </c>
      <c r="N115" s="73">
        <f t="shared" ca="1" si="8"/>
        <v>0</v>
      </c>
      <c r="P115" s="164">
        <f t="shared" ca="1" si="9"/>
        <v>46904</v>
      </c>
      <c r="Q115" s="140">
        <f ca="1">IF(C115="","",Q114+(E115+H115-IF(RESULTADOS!$C$17="Normal",I115,0)-J115)/2+(F115+G115-IF(RESULTADOS!$C$17="Normal",0,I115)))</f>
        <v>0</v>
      </c>
      <c r="R115" s="140">
        <f ca="1">IF(C115="","",R114+(E115+H115-IF(RESULTADOS!$C$17="Normal",I115,0)-J115)/2)</f>
        <v>0</v>
      </c>
      <c r="S115" s="140">
        <f t="shared" ca="1" si="12"/>
        <v>0</v>
      </c>
      <c r="U115" s="164" t="str">
        <f t="shared" ca="1" si="13"/>
        <v/>
      </c>
      <c r="V115" s="164" t="str">
        <f t="shared" ca="1" si="10"/>
        <v/>
      </c>
      <c r="W115" s="140">
        <f ca="1">IF(OR((W114-13/12*Z114)*(1+PREMISSAS!$C$16)&lt;0,W114=""),0,(W114-13/12*Z114)*(1+PREMISSAS!$C$16))</f>
        <v>0</v>
      </c>
      <c r="X115" s="140">
        <f ca="1">IF(OR((X114-13/12*AA114)*(1+PREMISSAS!$C$16)&lt;0,X114=""),0,(X114-13/12*AA114)*(1+PREMISSAS!$C$16))</f>
        <v>0</v>
      </c>
      <c r="Y115" s="140">
        <f t="shared" ca="1" si="11"/>
        <v>0</v>
      </c>
      <c r="Z115" s="167">
        <f t="shared" ca="1" si="14"/>
        <v>0</v>
      </c>
      <c r="AA115" s="167">
        <f t="shared" ca="1" si="15"/>
        <v>0</v>
      </c>
    </row>
    <row r="116" spans="2:27" x14ac:dyDescent="0.25">
      <c r="B116" s="21">
        <f ca="1">IF(B115="","",IF(EOMONTH(B115,1)&gt;EOMONTH(ELEGIBILIDADE!$J$17,0),"",EOMONTH(B115,1)))</f>
        <v>46934</v>
      </c>
      <c r="C116" s="22">
        <f ca="1">IF(B116="","",IF(MONTH(B116)=1,C115*(1+PREMISSAS!$C$57),C115))</f>
        <v>0</v>
      </c>
      <c r="D116" s="22">
        <f ca="1">IF(RESULTADOS!$C$17="Normal",IFERROR(MAX(C116-PREMISSAS!$C$13,0),0),IF(Painel!$I$23=0,0,MAX(10*PREMISSAS!$C$38,RESULTADOS!$F$17)))</f>
        <v>0</v>
      </c>
      <c r="E116" s="4">
        <f ca="1">D116*IF(RESULTADOS!$C$17="Normal",RESULTADOS!$C$16,0)</f>
        <v>0</v>
      </c>
      <c r="F116" s="4">
        <f ca="1">IFERROR(IF(RESULTADOS!$C$17="Normal",D116,C116)*RESULTADOS!$C$18,0)</f>
        <v>0</v>
      </c>
      <c r="G116" s="4">
        <f ca="1">IFERROR(IF(RESULTADOS!$C$17="Normal",0,D116)*IF(RESULTADOS!$C$17="Normal",RESULTADOS!$C$18,RESULTADOS!$C$16),0)</f>
        <v>0</v>
      </c>
      <c r="H116" s="4">
        <f ca="1">IF(RESULTADOS!$C$17="Normal",E116,0)</f>
        <v>0</v>
      </c>
      <c r="I116" s="4">
        <f ca="1">(E116+H116+G116)*PREMISSAS!$C$60</f>
        <v>0</v>
      </c>
      <c r="J116" s="4">
        <f ca="1">D116*IF(RESULTADOS!$C$17="Normal",PREMISSAS!$C$62,0)</f>
        <v>0</v>
      </c>
      <c r="K116" s="116">
        <f ca="1">IFERROR(K115*(1+PREMISSAS!$C$18)+(E116+H116-IF(RESULTADOS!$C$17="Normal",I116,0)-J116)*IF(MONTH(B116)=12,2,1),0)</f>
        <v>0</v>
      </c>
      <c r="L116" s="116">
        <f ca="1">IFERROR((L115+G116-IF(RESULTADOS!$C$17="Normal",0,I116))*(1+PREMISSAS!$C$18)+F116,0)</f>
        <v>0</v>
      </c>
      <c r="N116" s="73">
        <f t="shared" ca="1" si="8"/>
        <v>0</v>
      </c>
      <c r="P116" s="164">
        <f t="shared" ca="1" si="9"/>
        <v>46934</v>
      </c>
      <c r="Q116" s="140">
        <f ca="1">IF(C116="","",Q115+(E116+H116-IF(RESULTADOS!$C$17="Normal",I116,0)-J116)/2+(F116+G116-IF(RESULTADOS!$C$17="Normal",0,I116)))</f>
        <v>0</v>
      </c>
      <c r="R116" s="140">
        <f ca="1">IF(C116="","",R115+(E116+H116-IF(RESULTADOS!$C$17="Normal",I116,0)-J116)/2)</f>
        <v>0</v>
      </c>
      <c r="S116" s="140">
        <f t="shared" ca="1" si="12"/>
        <v>0</v>
      </c>
      <c r="U116" s="164" t="str">
        <f t="shared" ca="1" si="13"/>
        <v/>
      </c>
      <c r="V116" s="164" t="str">
        <f t="shared" ca="1" si="10"/>
        <v/>
      </c>
      <c r="W116" s="140">
        <f ca="1">IF(OR((W115-13/12*Z115)*(1+PREMISSAS!$C$16)&lt;0,W115=""),0,(W115-13/12*Z115)*(1+PREMISSAS!$C$16))</f>
        <v>0</v>
      </c>
      <c r="X116" s="140">
        <f ca="1">IF(OR((X115-13/12*AA115)*(1+PREMISSAS!$C$16)&lt;0,X115=""),0,(X115-13/12*AA115)*(1+PREMISSAS!$C$16))</f>
        <v>0</v>
      </c>
      <c r="Y116" s="140">
        <f t="shared" ca="1" si="11"/>
        <v>0</v>
      </c>
      <c r="Z116" s="167">
        <f t="shared" ca="1" si="14"/>
        <v>0</v>
      </c>
      <c r="AA116" s="167">
        <f t="shared" ca="1" si="15"/>
        <v>0</v>
      </c>
    </row>
    <row r="117" spans="2:27" x14ac:dyDescent="0.25">
      <c r="B117" s="21">
        <f ca="1">IF(B116="","",IF(EOMONTH(B116,1)&gt;EOMONTH(ELEGIBILIDADE!$J$17,0),"",EOMONTH(B116,1)))</f>
        <v>46965</v>
      </c>
      <c r="C117" s="22">
        <f ca="1">IF(B117="","",IF(MONTH(B117)=1,C116*(1+PREMISSAS!$C$57),C116))</f>
        <v>0</v>
      </c>
      <c r="D117" s="22">
        <f ca="1">IF(RESULTADOS!$C$17="Normal",IFERROR(MAX(C117-PREMISSAS!$C$13,0),0),IF(Painel!$I$23=0,0,MAX(10*PREMISSAS!$C$38,RESULTADOS!$F$17)))</f>
        <v>0</v>
      </c>
      <c r="E117" s="4">
        <f ca="1">D117*IF(RESULTADOS!$C$17="Normal",RESULTADOS!$C$16,0)</f>
        <v>0</v>
      </c>
      <c r="F117" s="4">
        <f ca="1">IFERROR(IF(RESULTADOS!$C$17="Normal",D117,C117)*RESULTADOS!$C$18,0)</f>
        <v>0</v>
      </c>
      <c r="G117" s="4">
        <f ca="1">IFERROR(IF(RESULTADOS!$C$17="Normal",0,D117)*IF(RESULTADOS!$C$17="Normal",RESULTADOS!$C$18,RESULTADOS!$C$16),0)</f>
        <v>0</v>
      </c>
      <c r="H117" s="4">
        <f ca="1">IF(RESULTADOS!$C$17="Normal",E117,0)</f>
        <v>0</v>
      </c>
      <c r="I117" s="4">
        <f ca="1">(E117+H117+G117)*PREMISSAS!$C$60</f>
        <v>0</v>
      </c>
      <c r="J117" s="4">
        <f ca="1">D117*IF(RESULTADOS!$C$17="Normal",PREMISSAS!$C$62,0)</f>
        <v>0</v>
      </c>
      <c r="K117" s="116">
        <f ca="1">IFERROR(K116*(1+PREMISSAS!$C$18)+(E117+H117-IF(RESULTADOS!$C$17="Normal",I117,0)-J117)*IF(MONTH(B117)=12,2,1),0)</f>
        <v>0</v>
      </c>
      <c r="L117" s="116">
        <f ca="1">IFERROR((L116+G117-IF(RESULTADOS!$C$17="Normal",0,I117))*(1+PREMISSAS!$C$18)+F117,0)</f>
        <v>0</v>
      </c>
      <c r="N117" s="73">
        <f t="shared" ca="1" si="8"/>
        <v>0</v>
      </c>
      <c r="P117" s="164">
        <f t="shared" ca="1" si="9"/>
        <v>46965</v>
      </c>
      <c r="Q117" s="140">
        <f ca="1">IF(C117="","",Q116+(E117+H117-IF(RESULTADOS!$C$17="Normal",I117,0)-J117)/2+(F117+G117-IF(RESULTADOS!$C$17="Normal",0,I117)))</f>
        <v>0</v>
      </c>
      <c r="R117" s="140">
        <f ca="1">IF(C117="","",R116+(E117+H117-IF(RESULTADOS!$C$17="Normal",I117,0)-J117)/2)</f>
        <v>0</v>
      </c>
      <c r="S117" s="140">
        <f t="shared" ca="1" si="12"/>
        <v>0</v>
      </c>
      <c r="U117" s="164" t="str">
        <f t="shared" ca="1" si="13"/>
        <v/>
      </c>
      <c r="V117" s="164" t="str">
        <f t="shared" ca="1" si="10"/>
        <v/>
      </c>
      <c r="W117" s="140">
        <f ca="1">IF(OR((W116-13/12*Z116)*(1+PREMISSAS!$C$16)&lt;0,W116=""),0,(W116-13/12*Z116)*(1+PREMISSAS!$C$16))</f>
        <v>0</v>
      </c>
      <c r="X117" s="140">
        <f ca="1">IF(OR((X116-13/12*AA116)*(1+PREMISSAS!$C$16)&lt;0,X116=""),0,(X116-13/12*AA116)*(1+PREMISSAS!$C$16))</f>
        <v>0</v>
      </c>
      <c r="Y117" s="140">
        <f t="shared" ca="1" si="11"/>
        <v>0</v>
      </c>
      <c r="Z117" s="167">
        <f t="shared" ca="1" si="14"/>
        <v>0</v>
      </c>
      <c r="AA117" s="167">
        <f t="shared" ca="1" si="15"/>
        <v>0</v>
      </c>
    </row>
    <row r="118" spans="2:27" x14ac:dyDescent="0.25">
      <c r="B118" s="21">
        <f ca="1">IF(B117="","",IF(EOMONTH(B117,1)&gt;EOMONTH(ELEGIBILIDADE!$J$17,0),"",EOMONTH(B117,1)))</f>
        <v>46996</v>
      </c>
      <c r="C118" s="22">
        <f ca="1">IF(B118="","",IF(MONTH(B118)=1,C117*(1+PREMISSAS!$C$57),C117))</f>
        <v>0</v>
      </c>
      <c r="D118" s="22">
        <f ca="1">IF(RESULTADOS!$C$17="Normal",IFERROR(MAX(C118-PREMISSAS!$C$13,0),0),IF(Painel!$I$23=0,0,MAX(10*PREMISSAS!$C$38,RESULTADOS!$F$17)))</f>
        <v>0</v>
      </c>
      <c r="E118" s="4">
        <f ca="1">D118*IF(RESULTADOS!$C$17="Normal",RESULTADOS!$C$16,0)</f>
        <v>0</v>
      </c>
      <c r="F118" s="4">
        <f ca="1">IFERROR(IF(RESULTADOS!$C$17="Normal",D118,C118)*RESULTADOS!$C$18,0)</f>
        <v>0</v>
      </c>
      <c r="G118" s="4">
        <f ca="1">IFERROR(IF(RESULTADOS!$C$17="Normal",0,D118)*IF(RESULTADOS!$C$17="Normal",RESULTADOS!$C$18,RESULTADOS!$C$16),0)</f>
        <v>0</v>
      </c>
      <c r="H118" s="4">
        <f ca="1">IF(RESULTADOS!$C$17="Normal",E118,0)</f>
        <v>0</v>
      </c>
      <c r="I118" s="4">
        <f ca="1">(E118+H118+G118)*PREMISSAS!$C$60</f>
        <v>0</v>
      </c>
      <c r="J118" s="4">
        <f ca="1">D118*IF(RESULTADOS!$C$17="Normal",PREMISSAS!$C$62,0)</f>
        <v>0</v>
      </c>
      <c r="K118" s="116">
        <f ca="1">IFERROR(K117*(1+PREMISSAS!$C$18)+(E118+H118-IF(RESULTADOS!$C$17="Normal",I118,0)-J118)*IF(MONTH(B118)=12,2,1),0)</f>
        <v>0</v>
      </c>
      <c r="L118" s="116">
        <f ca="1">IFERROR((L117+G118-IF(RESULTADOS!$C$17="Normal",0,I118))*(1+PREMISSAS!$C$18)+F118,0)</f>
        <v>0</v>
      </c>
      <c r="N118" s="73">
        <f t="shared" ca="1" si="8"/>
        <v>0</v>
      </c>
      <c r="P118" s="164">
        <f t="shared" ca="1" si="9"/>
        <v>46996</v>
      </c>
      <c r="Q118" s="140">
        <f ca="1">IF(C118="","",Q117+(E118+H118-IF(RESULTADOS!$C$17="Normal",I118,0)-J118)/2+(F118+G118-IF(RESULTADOS!$C$17="Normal",0,I118)))</f>
        <v>0</v>
      </c>
      <c r="R118" s="140">
        <f ca="1">IF(C118="","",R117+(E118+H118-IF(RESULTADOS!$C$17="Normal",I118,0)-J118)/2)</f>
        <v>0</v>
      </c>
      <c r="S118" s="140">
        <f t="shared" ca="1" si="12"/>
        <v>0</v>
      </c>
      <c r="U118" s="164" t="str">
        <f t="shared" ca="1" si="13"/>
        <v/>
      </c>
      <c r="V118" s="164" t="str">
        <f t="shared" ca="1" si="10"/>
        <v/>
      </c>
      <c r="W118" s="140">
        <f ca="1">IF(OR((W117-13/12*Z117)*(1+PREMISSAS!$C$16)&lt;0,W117=""),0,(W117-13/12*Z117)*(1+PREMISSAS!$C$16))</f>
        <v>0</v>
      </c>
      <c r="X118" s="140">
        <f ca="1">IF(OR((X117-13/12*AA117)*(1+PREMISSAS!$C$16)&lt;0,X117=""),0,(X117-13/12*AA117)*(1+PREMISSAS!$C$16))</f>
        <v>0</v>
      </c>
      <c r="Y118" s="140">
        <f t="shared" ca="1" si="11"/>
        <v>0</v>
      </c>
      <c r="Z118" s="167">
        <f t="shared" ca="1" si="14"/>
        <v>0</v>
      </c>
      <c r="AA118" s="167">
        <f t="shared" ca="1" si="15"/>
        <v>0</v>
      </c>
    </row>
    <row r="119" spans="2:27" x14ac:dyDescent="0.25">
      <c r="B119" s="21">
        <f ca="1">IF(B118="","",IF(EOMONTH(B118,1)&gt;EOMONTH(ELEGIBILIDADE!$J$17,0),"",EOMONTH(B118,1)))</f>
        <v>47026</v>
      </c>
      <c r="C119" s="22">
        <f ca="1">IF(B119="","",IF(MONTH(B119)=1,C118*(1+PREMISSAS!$C$57),C118))</f>
        <v>0</v>
      </c>
      <c r="D119" s="22">
        <f ca="1">IF(RESULTADOS!$C$17="Normal",IFERROR(MAX(C119-PREMISSAS!$C$13,0),0),IF(Painel!$I$23=0,0,MAX(10*PREMISSAS!$C$38,RESULTADOS!$F$17)))</f>
        <v>0</v>
      </c>
      <c r="E119" s="4">
        <f ca="1">D119*IF(RESULTADOS!$C$17="Normal",RESULTADOS!$C$16,0)</f>
        <v>0</v>
      </c>
      <c r="F119" s="4">
        <f ca="1">IFERROR(IF(RESULTADOS!$C$17="Normal",D119,C119)*RESULTADOS!$C$18,0)</f>
        <v>0</v>
      </c>
      <c r="G119" s="4">
        <f ca="1">IFERROR(IF(RESULTADOS!$C$17="Normal",0,D119)*IF(RESULTADOS!$C$17="Normal",RESULTADOS!$C$18,RESULTADOS!$C$16),0)</f>
        <v>0</v>
      </c>
      <c r="H119" s="4">
        <f ca="1">IF(RESULTADOS!$C$17="Normal",E119,0)</f>
        <v>0</v>
      </c>
      <c r="I119" s="4">
        <f ca="1">(E119+H119+G119)*PREMISSAS!$C$60</f>
        <v>0</v>
      </c>
      <c r="J119" s="4">
        <f ca="1">D119*IF(RESULTADOS!$C$17="Normal",PREMISSAS!$C$62,0)</f>
        <v>0</v>
      </c>
      <c r="K119" s="116">
        <f ca="1">IFERROR(K118*(1+PREMISSAS!$C$18)+(E119+H119-IF(RESULTADOS!$C$17="Normal",I119,0)-J119)*IF(MONTH(B119)=12,2,1),0)</f>
        <v>0</v>
      </c>
      <c r="L119" s="116">
        <f ca="1">IFERROR((L118+G119-IF(RESULTADOS!$C$17="Normal",0,I119))*(1+PREMISSAS!$C$18)+F119,0)</f>
        <v>0</v>
      </c>
      <c r="N119" s="73">
        <f t="shared" ca="1" si="8"/>
        <v>0</v>
      </c>
      <c r="P119" s="164">
        <f t="shared" ca="1" si="9"/>
        <v>47026</v>
      </c>
      <c r="Q119" s="140">
        <f ca="1">IF(C119="","",Q118+(E119+H119-IF(RESULTADOS!$C$17="Normal",I119,0)-J119)/2+(F119+G119-IF(RESULTADOS!$C$17="Normal",0,I119)))</f>
        <v>0</v>
      </c>
      <c r="R119" s="140">
        <f ca="1">IF(C119="","",R118+(E119+H119-IF(RESULTADOS!$C$17="Normal",I119,0)-J119)/2)</f>
        <v>0</v>
      </c>
      <c r="S119" s="140">
        <f t="shared" ca="1" si="12"/>
        <v>0</v>
      </c>
      <c r="U119" s="164" t="str">
        <f t="shared" ca="1" si="13"/>
        <v/>
      </c>
      <c r="V119" s="164" t="str">
        <f t="shared" ca="1" si="10"/>
        <v/>
      </c>
      <c r="W119" s="140">
        <f ca="1">IF(OR((W118-13/12*Z118)*(1+PREMISSAS!$C$16)&lt;0,W118=""),0,(W118-13/12*Z118)*(1+PREMISSAS!$C$16))</f>
        <v>0</v>
      </c>
      <c r="X119" s="140">
        <f ca="1">IF(OR((X118-13/12*AA118)*(1+PREMISSAS!$C$16)&lt;0,X118=""),0,(X118-13/12*AA118)*(1+PREMISSAS!$C$16))</f>
        <v>0</v>
      </c>
      <c r="Y119" s="140">
        <f t="shared" ca="1" si="11"/>
        <v>0</v>
      </c>
      <c r="Z119" s="167">
        <f t="shared" ca="1" si="14"/>
        <v>0</v>
      </c>
      <c r="AA119" s="167">
        <f t="shared" ca="1" si="15"/>
        <v>0</v>
      </c>
    </row>
    <row r="120" spans="2:27" x14ac:dyDescent="0.25">
      <c r="B120" s="21">
        <f ca="1">IF(B119="","",IF(EOMONTH(B119,1)&gt;EOMONTH(ELEGIBILIDADE!$J$17,0),"",EOMONTH(B119,1)))</f>
        <v>47057</v>
      </c>
      <c r="C120" s="22">
        <f ca="1">IF(B120="","",IF(MONTH(B120)=1,C119*(1+PREMISSAS!$C$57),C119))</f>
        <v>0</v>
      </c>
      <c r="D120" s="22">
        <f ca="1">IF(RESULTADOS!$C$17="Normal",IFERROR(MAX(C120-PREMISSAS!$C$13,0),0),IF(Painel!$I$23=0,0,MAX(10*PREMISSAS!$C$38,RESULTADOS!$F$17)))</f>
        <v>0</v>
      </c>
      <c r="E120" s="4">
        <f ca="1">D120*IF(RESULTADOS!$C$17="Normal",RESULTADOS!$C$16,0)</f>
        <v>0</v>
      </c>
      <c r="F120" s="4">
        <f ca="1">IFERROR(IF(RESULTADOS!$C$17="Normal",D120,C120)*RESULTADOS!$C$18,0)</f>
        <v>0</v>
      </c>
      <c r="G120" s="4">
        <f ca="1">IFERROR(IF(RESULTADOS!$C$17="Normal",0,D120)*IF(RESULTADOS!$C$17="Normal",RESULTADOS!$C$18,RESULTADOS!$C$16),0)</f>
        <v>0</v>
      </c>
      <c r="H120" s="4">
        <f ca="1">IF(RESULTADOS!$C$17="Normal",E120,0)</f>
        <v>0</v>
      </c>
      <c r="I120" s="4">
        <f ca="1">(E120+H120+G120)*PREMISSAS!$C$60</f>
        <v>0</v>
      </c>
      <c r="J120" s="4">
        <f ca="1">D120*IF(RESULTADOS!$C$17="Normal",PREMISSAS!$C$62,0)</f>
        <v>0</v>
      </c>
      <c r="K120" s="116">
        <f ca="1">IFERROR(K119*(1+PREMISSAS!$C$18)+(E120+H120-IF(RESULTADOS!$C$17="Normal",I120,0)-J120)*IF(MONTH(B120)=12,2,1),0)</f>
        <v>0</v>
      </c>
      <c r="L120" s="116">
        <f ca="1">IFERROR((L119+G120-IF(RESULTADOS!$C$17="Normal",0,I120))*(1+PREMISSAS!$C$18)+F120,0)</f>
        <v>0</v>
      </c>
      <c r="N120" s="73">
        <f t="shared" ca="1" si="8"/>
        <v>0</v>
      </c>
      <c r="P120" s="164">
        <f t="shared" ca="1" si="9"/>
        <v>47057</v>
      </c>
      <c r="Q120" s="140">
        <f ca="1">IF(C120="","",Q119+(E120+H120-IF(RESULTADOS!$C$17="Normal",I120,0)-J120)/2+(F120+G120-IF(RESULTADOS!$C$17="Normal",0,I120)))</f>
        <v>0</v>
      </c>
      <c r="R120" s="140">
        <f ca="1">IF(C120="","",R119+(E120+H120-IF(RESULTADOS!$C$17="Normal",I120,0)-J120)/2)</f>
        <v>0</v>
      </c>
      <c r="S120" s="140">
        <f t="shared" ca="1" si="12"/>
        <v>0</v>
      </c>
      <c r="U120" s="164" t="str">
        <f t="shared" ca="1" si="13"/>
        <v/>
      </c>
      <c r="V120" s="164" t="str">
        <f t="shared" ca="1" si="10"/>
        <v/>
      </c>
      <c r="W120" s="140">
        <f ca="1">IF(OR((W119-13/12*Z119)*(1+PREMISSAS!$C$16)&lt;0,W119=""),0,(W119-13/12*Z119)*(1+PREMISSAS!$C$16))</f>
        <v>0</v>
      </c>
      <c r="X120" s="140">
        <f ca="1">IF(OR((X119-13/12*AA119)*(1+PREMISSAS!$C$16)&lt;0,X119=""),0,(X119-13/12*AA119)*(1+PREMISSAS!$C$16))</f>
        <v>0</v>
      </c>
      <c r="Y120" s="140">
        <f t="shared" ca="1" si="11"/>
        <v>0</v>
      </c>
      <c r="Z120" s="167">
        <f t="shared" ca="1" si="14"/>
        <v>0</v>
      </c>
      <c r="AA120" s="167">
        <f t="shared" ca="1" si="15"/>
        <v>0</v>
      </c>
    </row>
    <row r="121" spans="2:27" x14ac:dyDescent="0.25">
      <c r="B121" s="21">
        <f ca="1">IF(B120="","",IF(EOMONTH(B120,1)&gt;EOMONTH(ELEGIBILIDADE!$J$17,0),"",EOMONTH(B120,1)))</f>
        <v>47087</v>
      </c>
      <c r="C121" s="22">
        <f ca="1">IF(B121="","",IF(MONTH(B121)=1,C120*(1+PREMISSAS!$C$57),C120))</f>
        <v>0</v>
      </c>
      <c r="D121" s="22">
        <f ca="1">IF(RESULTADOS!$C$17="Normal",IFERROR(MAX(C121-PREMISSAS!$C$13,0),0),IF(Painel!$I$23=0,0,MAX(10*PREMISSAS!$C$38,RESULTADOS!$F$17)))</f>
        <v>0</v>
      </c>
      <c r="E121" s="4">
        <f ca="1">D121*IF(RESULTADOS!$C$17="Normal",RESULTADOS!$C$16,0)</f>
        <v>0</v>
      </c>
      <c r="F121" s="4">
        <f ca="1">IFERROR(IF(RESULTADOS!$C$17="Normal",D121,C121)*RESULTADOS!$C$18,0)</f>
        <v>0</v>
      </c>
      <c r="G121" s="4">
        <f ca="1">IFERROR(IF(RESULTADOS!$C$17="Normal",0,D121)*IF(RESULTADOS!$C$17="Normal",RESULTADOS!$C$18,RESULTADOS!$C$16),0)</f>
        <v>0</v>
      </c>
      <c r="H121" s="4">
        <f ca="1">IF(RESULTADOS!$C$17="Normal",E121,0)</f>
        <v>0</v>
      </c>
      <c r="I121" s="4">
        <f ca="1">(E121+H121+G121)*PREMISSAS!$C$60</f>
        <v>0</v>
      </c>
      <c r="J121" s="4">
        <f ca="1">D121*IF(RESULTADOS!$C$17="Normal",PREMISSAS!$C$62,0)</f>
        <v>0</v>
      </c>
      <c r="K121" s="116">
        <f ca="1">IFERROR(K120*(1+PREMISSAS!$C$18)+(E121+H121-IF(RESULTADOS!$C$17="Normal",I121,0)-J121)*IF(MONTH(B121)=12,2,1),0)</f>
        <v>0</v>
      </c>
      <c r="L121" s="116">
        <f ca="1">IFERROR((L120+G121-IF(RESULTADOS!$C$17="Normal",0,I121))*(1+PREMISSAS!$C$18)+F121,0)</f>
        <v>0</v>
      </c>
      <c r="N121" s="73">
        <f t="shared" ca="1" si="8"/>
        <v>0</v>
      </c>
      <c r="P121" s="164">
        <f t="shared" ca="1" si="9"/>
        <v>47087</v>
      </c>
      <c r="Q121" s="140">
        <f ca="1">IF(C121="","",Q120+(E121+H121-IF(RESULTADOS!$C$17="Normal",I121,0)-J121)/2+(F121+G121-IF(RESULTADOS!$C$17="Normal",0,I121)))</f>
        <v>0</v>
      </c>
      <c r="R121" s="140">
        <f ca="1">IF(C121="","",R120+(E121+H121-IF(RESULTADOS!$C$17="Normal",I121,0)-J121)/2)</f>
        <v>0</v>
      </c>
      <c r="S121" s="140">
        <f t="shared" ca="1" si="12"/>
        <v>0</v>
      </c>
      <c r="U121" s="164" t="str">
        <f t="shared" ca="1" si="13"/>
        <v/>
      </c>
      <c r="V121" s="164" t="str">
        <f t="shared" ca="1" si="10"/>
        <v/>
      </c>
      <c r="W121" s="140">
        <f ca="1">IF(OR((W120-13/12*Z120)*(1+PREMISSAS!$C$16)&lt;0,W120=""),0,(W120-13/12*Z120)*(1+PREMISSAS!$C$16))</f>
        <v>0</v>
      </c>
      <c r="X121" s="140">
        <f ca="1">IF(OR((X120-13/12*AA120)*(1+PREMISSAS!$C$16)&lt;0,X120=""),0,(X120-13/12*AA120)*(1+PREMISSAS!$C$16))</f>
        <v>0</v>
      </c>
      <c r="Y121" s="140">
        <f t="shared" ca="1" si="11"/>
        <v>0</v>
      </c>
      <c r="Z121" s="167">
        <f t="shared" ca="1" si="14"/>
        <v>0</v>
      </c>
      <c r="AA121" s="167">
        <f t="shared" ca="1" si="15"/>
        <v>0</v>
      </c>
    </row>
    <row r="122" spans="2:27" x14ac:dyDescent="0.25">
      <c r="B122" s="21">
        <f ca="1">IF(B121="","",IF(EOMONTH(B121,1)&gt;EOMONTH(ELEGIBILIDADE!$J$17,0),"",EOMONTH(B121,1)))</f>
        <v>47118</v>
      </c>
      <c r="C122" s="22">
        <f ca="1">IF(B122="","",IF(MONTH(B122)=1,C121*(1+PREMISSAS!$C$57),C121))</f>
        <v>0</v>
      </c>
      <c r="D122" s="22">
        <f ca="1">IF(RESULTADOS!$C$17="Normal",IFERROR(MAX(C122-PREMISSAS!$C$13,0),0),IF(Painel!$I$23=0,0,MAX(10*PREMISSAS!$C$38,RESULTADOS!$F$17)))</f>
        <v>0</v>
      </c>
      <c r="E122" s="4">
        <f ca="1">D122*IF(RESULTADOS!$C$17="Normal",RESULTADOS!$C$16,0)</f>
        <v>0</v>
      </c>
      <c r="F122" s="4">
        <f ca="1">IFERROR(IF(RESULTADOS!$C$17="Normal",D122,C122)*RESULTADOS!$C$18,0)</f>
        <v>0</v>
      </c>
      <c r="G122" s="4">
        <f ca="1">IFERROR(IF(RESULTADOS!$C$17="Normal",0,D122)*IF(RESULTADOS!$C$17="Normal",RESULTADOS!$C$18,RESULTADOS!$C$16),0)</f>
        <v>0</v>
      </c>
      <c r="H122" s="4">
        <f ca="1">IF(RESULTADOS!$C$17="Normal",E122,0)</f>
        <v>0</v>
      </c>
      <c r="I122" s="4">
        <f ca="1">(E122+H122+G122)*PREMISSAS!$C$60</f>
        <v>0</v>
      </c>
      <c r="J122" s="4">
        <f ca="1">D122*IF(RESULTADOS!$C$17="Normal",PREMISSAS!$C$62,0)</f>
        <v>0</v>
      </c>
      <c r="K122" s="116">
        <f ca="1">IFERROR(K121*(1+PREMISSAS!$C$18)+(E122+H122-IF(RESULTADOS!$C$17="Normal",I122,0)-J122)*IF(MONTH(B122)=12,2,1),0)</f>
        <v>0</v>
      </c>
      <c r="L122" s="116">
        <f ca="1">IFERROR((L121+G122-IF(RESULTADOS!$C$17="Normal",0,I122))*(1+PREMISSAS!$C$18)+F122,0)</f>
        <v>0</v>
      </c>
      <c r="N122" s="73">
        <f t="shared" ca="1" si="8"/>
        <v>0</v>
      </c>
      <c r="P122" s="164">
        <f t="shared" ca="1" si="9"/>
        <v>47118</v>
      </c>
      <c r="Q122" s="140">
        <f ca="1">IF(C122="","",Q121+(E122+H122-IF(RESULTADOS!$C$17="Normal",I122,0)-J122)/2+(F122+G122-IF(RESULTADOS!$C$17="Normal",0,I122)))</f>
        <v>0</v>
      </c>
      <c r="R122" s="140">
        <f ca="1">IF(C122="","",R121+(E122+H122-IF(RESULTADOS!$C$17="Normal",I122,0)-J122)/2)</f>
        <v>0</v>
      </c>
      <c r="S122" s="140">
        <f t="shared" ca="1" si="12"/>
        <v>0</v>
      </c>
      <c r="U122" s="164" t="str">
        <f t="shared" ca="1" si="13"/>
        <v/>
      </c>
      <c r="V122" s="164" t="str">
        <f t="shared" ca="1" si="10"/>
        <v/>
      </c>
      <c r="W122" s="140">
        <f ca="1">IF(OR((W121-13/12*Z121)*(1+PREMISSAS!$C$16)&lt;0,W121=""),0,(W121-13/12*Z121)*(1+PREMISSAS!$C$16))</f>
        <v>0</v>
      </c>
      <c r="X122" s="140">
        <f ca="1">IF(OR((X121-13/12*AA121)*(1+PREMISSAS!$C$16)&lt;0,X121=""),0,(X121-13/12*AA121)*(1+PREMISSAS!$C$16))</f>
        <v>0</v>
      </c>
      <c r="Y122" s="140">
        <f t="shared" ca="1" si="11"/>
        <v>0</v>
      </c>
      <c r="Z122" s="167">
        <f t="shared" ca="1" si="14"/>
        <v>0</v>
      </c>
      <c r="AA122" s="167">
        <f t="shared" ca="1" si="15"/>
        <v>0</v>
      </c>
    </row>
    <row r="123" spans="2:27" x14ac:dyDescent="0.25">
      <c r="B123" s="21">
        <f ca="1">IF(B122="","",IF(EOMONTH(B122,1)&gt;EOMONTH(ELEGIBILIDADE!$J$17,0),"",EOMONTH(B122,1)))</f>
        <v>47149</v>
      </c>
      <c r="C123" s="22">
        <f ca="1">IF(B123="","",IF(MONTH(B123)=1,C122*(1+PREMISSAS!$C$57),C122))</f>
        <v>0</v>
      </c>
      <c r="D123" s="22">
        <f ca="1">IF(RESULTADOS!$C$17="Normal",IFERROR(MAX(C123-PREMISSAS!$C$13,0),0),IF(Painel!$I$23=0,0,MAX(10*PREMISSAS!$C$38,RESULTADOS!$F$17)))</f>
        <v>0</v>
      </c>
      <c r="E123" s="4">
        <f ca="1">D123*IF(RESULTADOS!$C$17="Normal",RESULTADOS!$C$16,0)</f>
        <v>0</v>
      </c>
      <c r="F123" s="4">
        <f ca="1">IFERROR(IF(RESULTADOS!$C$17="Normal",D123,C123)*RESULTADOS!$C$18,0)</f>
        <v>0</v>
      </c>
      <c r="G123" s="4">
        <f ca="1">IFERROR(IF(RESULTADOS!$C$17="Normal",0,D123)*IF(RESULTADOS!$C$17="Normal",RESULTADOS!$C$18,RESULTADOS!$C$16),0)</f>
        <v>0</v>
      </c>
      <c r="H123" s="4">
        <f ca="1">IF(RESULTADOS!$C$17="Normal",E123,0)</f>
        <v>0</v>
      </c>
      <c r="I123" s="4">
        <f ca="1">(E123+H123+G123)*PREMISSAS!$C$60</f>
        <v>0</v>
      </c>
      <c r="J123" s="4">
        <f ca="1">D123*IF(RESULTADOS!$C$17="Normal",PREMISSAS!$C$62,0)</f>
        <v>0</v>
      </c>
      <c r="K123" s="116">
        <f ca="1">IFERROR(K122*(1+PREMISSAS!$C$18)+(E123+H123-IF(RESULTADOS!$C$17="Normal",I123,0)-J123)*IF(MONTH(B123)=12,2,1),0)</f>
        <v>0</v>
      </c>
      <c r="L123" s="116">
        <f ca="1">IFERROR((L122+G123-IF(RESULTADOS!$C$17="Normal",0,I123))*(1+PREMISSAS!$C$18)+F123,0)</f>
        <v>0</v>
      </c>
      <c r="N123" s="73">
        <f t="shared" ca="1" si="8"/>
        <v>0</v>
      </c>
      <c r="P123" s="164">
        <f t="shared" ca="1" si="9"/>
        <v>47149</v>
      </c>
      <c r="Q123" s="140">
        <f ca="1">IF(C123="","",Q122+(E123+H123-IF(RESULTADOS!$C$17="Normal",I123,0)-J123)/2+(F123+G123-IF(RESULTADOS!$C$17="Normal",0,I123)))</f>
        <v>0</v>
      </c>
      <c r="R123" s="140">
        <f ca="1">IF(C123="","",R122+(E123+H123-IF(RESULTADOS!$C$17="Normal",I123,0)-J123)/2)</f>
        <v>0</v>
      </c>
      <c r="S123" s="140">
        <f t="shared" ca="1" si="12"/>
        <v>0</v>
      </c>
      <c r="U123" s="164" t="str">
        <f t="shared" ca="1" si="13"/>
        <v/>
      </c>
      <c r="V123" s="164" t="str">
        <f t="shared" ca="1" si="10"/>
        <v/>
      </c>
      <c r="W123" s="140">
        <f ca="1">IF(OR((W122-13/12*Z122)*(1+PREMISSAS!$C$16)&lt;0,W122=""),0,(W122-13/12*Z122)*(1+PREMISSAS!$C$16))</f>
        <v>0</v>
      </c>
      <c r="X123" s="140">
        <f ca="1">IF(OR((X122-13/12*AA122)*(1+PREMISSAS!$C$16)&lt;0,X122=""),0,(X122-13/12*AA122)*(1+PREMISSAS!$C$16))</f>
        <v>0</v>
      </c>
      <c r="Y123" s="140">
        <f t="shared" ca="1" si="11"/>
        <v>0</v>
      </c>
      <c r="Z123" s="167">
        <f t="shared" ca="1" si="14"/>
        <v>0</v>
      </c>
      <c r="AA123" s="167">
        <f t="shared" ca="1" si="15"/>
        <v>0</v>
      </c>
    </row>
    <row r="124" spans="2:27" x14ac:dyDescent="0.25">
      <c r="B124" s="21">
        <f ca="1">IF(B123="","",IF(EOMONTH(B123,1)&gt;EOMONTH(ELEGIBILIDADE!$J$17,0),"",EOMONTH(B123,1)))</f>
        <v>47177</v>
      </c>
      <c r="C124" s="22">
        <f ca="1">IF(B124="","",IF(MONTH(B124)=1,C123*(1+PREMISSAS!$C$57),C123))</f>
        <v>0</v>
      </c>
      <c r="D124" s="22">
        <f ca="1">IF(RESULTADOS!$C$17="Normal",IFERROR(MAX(C124-PREMISSAS!$C$13,0),0),IF(Painel!$I$23=0,0,MAX(10*PREMISSAS!$C$38,RESULTADOS!$F$17)))</f>
        <v>0</v>
      </c>
      <c r="E124" s="4">
        <f ca="1">D124*IF(RESULTADOS!$C$17="Normal",RESULTADOS!$C$16,0)</f>
        <v>0</v>
      </c>
      <c r="F124" s="4">
        <f ca="1">IFERROR(IF(RESULTADOS!$C$17="Normal",D124,C124)*RESULTADOS!$C$18,0)</f>
        <v>0</v>
      </c>
      <c r="G124" s="4">
        <f ca="1">IFERROR(IF(RESULTADOS!$C$17="Normal",0,D124)*IF(RESULTADOS!$C$17="Normal",RESULTADOS!$C$18,RESULTADOS!$C$16),0)</f>
        <v>0</v>
      </c>
      <c r="H124" s="4">
        <f ca="1">IF(RESULTADOS!$C$17="Normal",E124,0)</f>
        <v>0</v>
      </c>
      <c r="I124" s="4">
        <f ca="1">(E124+H124+G124)*PREMISSAS!$C$60</f>
        <v>0</v>
      </c>
      <c r="J124" s="4">
        <f ca="1">D124*IF(RESULTADOS!$C$17="Normal",PREMISSAS!$C$62,0)</f>
        <v>0</v>
      </c>
      <c r="K124" s="116">
        <f ca="1">IFERROR(K123*(1+PREMISSAS!$C$18)+(E124+H124-IF(RESULTADOS!$C$17="Normal",I124,0)-J124)*IF(MONTH(B124)=12,2,1),0)</f>
        <v>0</v>
      </c>
      <c r="L124" s="116">
        <f ca="1">IFERROR((L123+G124-IF(RESULTADOS!$C$17="Normal",0,I124))*(1+PREMISSAS!$C$18)+F124,0)</f>
        <v>0</v>
      </c>
      <c r="N124" s="73">
        <f t="shared" ca="1" si="8"/>
        <v>0</v>
      </c>
      <c r="P124" s="164">
        <f t="shared" ca="1" si="9"/>
        <v>47177</v>
      </c>
      <c r="Q124" s="140">
        <f ca="1">IF(C124="","",Q123+(E124+H124-IF(RESULTADOS!$C$17="Normal",I124,0)-J124)/2+(F124+G124-IF(RESULTADOS!$C$17="Normal",0,I124)))</f>
        <v>0</v>
      </c>
      <c r="R124" s="140">
        <f ca="1">IF(C124="","",R123+(E124+H124-IF(RESULTADOS!$C$17="Normal",I124,0)-J124)/2)</f>
        <v>0</v>
      </c>
      <c r="S124" s="140">
        <f t="shared" ca="1" si="12"/>
        <v>0</v>
      </c>
      <c r="U124" s="164" t="str">
        <f t="shared" ca="1" si="13"/>
        <v/>
      </c>
      <c r="V124" s="164" t="str">
        <f t="shared" ca="1" si="10"/>
        <v/>
      </c>
      <c r="W124" s="140">
        <f ca="1">IF(OR((W123-13/12*Z123)*(1+PREMISSAS!$C$16)&lt;0,W123=""),0,(W123-13/12*Z123)*(1+PREMISSAS!$C$16))</f>
        <v>0</v>
      </c>
      <c r="X124" s="140">
        <f ca="1">IF(OR((X123-13/12*AA123)*(1+PREMISSAS!$C$16)&lt;0,X123=""),0,(X123-13/12*AA123)*(1+PREMISSAS!$C$16))</f>
        <v>0</v>
      </c>
      <c r="Y124" s="140">
        <f t="shared" ca="1" si="11"/>
        <v>0</v>
      </c>
      <c r="Z124" s="167">
        <f t="shared" ca="1" si="14"/>
        <v>0</v>
      </c>
      <c r="AA124" s="167">
        <f t="shared" ca="1" si="15"/>
        <v>0</v>
      </c>
    </row>
    <row r="125" spans="2:27" x14ac:dyDescent="0.25">
      <c r="B125" s="21">
        <f ca="1">IF(B124="","",IF(EOMONTH(B124,1)&gt;EOMONTH(ELEGIBILIDADE!$J$17,0),"",EOMONTH(B124,1)))</f>
        <v>47208</v>
      </c>
      <c r="C125" s="22">
        <f ca="1">IF(B125="","",IF(MONTH(B125)=1,C124*(1+PREMISSAS!$C$57),C124))</f>
        <v>0</v>
      </c>
      <c r="D125" s="22">
        <f ca="1">IF(RESULTADOS!$C$17="Normal",IFERROR(MAX(C125-PREMISSAS!$C$13,0),0),IF(Painel!$I$23=0,0,MAX(10*PREMISSAS!$C$38,RESULTADOS!$F$17)))</f>
        <v>0</v>
      </c>
      <c r="E125" s="4">
        <f ca="1">D125*IF(RESULTADOS!$C$17="Normal",RESULTADOS!$C$16,0)</f>
        <v>0</v>
      </c>
      <c r="F125" s="4">
        <f ca="1">IFERROR(IF(RESULTADOS!$C$17="Normal",D125,C125)*RESULTADOS!$C$18,0)</f>
        <v>0</v>
      </c>
      <c r="G125" s="4">
        <f ca="1">IFERROR(IF(RESULTADOS!$C$17="Normal",0,D125)*IF(RESULTADOS!$C$17="Normal",RESULTADOS!$C$18,RESULTADOS!$C$16),0)</f>
        <v>0</v>
      </c>
      <c r="H125" s="4">
        <f ca="1">IF(RESULTADOS!$C$17="Normal",E125,0)</f>
        <v>0</v>
      </c>
      <c r="I125" s="4">
        <f ca="1">(E125+H125+G125)*PREMISSAS!$C$60</f>
        <v>0</v>
      </c>
      <c r="J125" s="4">
        <f ca="1">D125*IF(RESULTADOS!$C$17="Normal",PREMISSAS!$C$62,0)</f>
        <v>0</v>
      </c>
      <c r="K125" s="116">
        <f ca="1">IFERROR(K124*(1+PREMISSAS!$C$18)+(E125+H125-IF(RESULTADOS!$C$17="Normal",I125,0)-J125)*IF(MONTH(B125)=12,2,1),0)</f>
        <v>0</v>
      </c>
      <c r="L125" s="116">
        <f ca="1">IFERROR((L124+G125-IF(RESULTADOS!$C$17="Normal",0,I125))*(1+PREMISSAS!$C$18)+F125,0)</f>
        <v>0</v>
      </c>
      <c r="N125" s="73">
        <f t="shared" ca="1" si="8"/>
        <v>0</v>
      </c>
      <c r="P125" s="164">
        <f t="shared" ca="1" si="9"/>
        <v>47208</v>
      </c>
      <c r="Q125" s="140">
        <f ca="1">IF(C125="","",Q124+(E125+H125-IF(RESULTADOS!$C$17="Normal",I125,0)-J125)/2+(F125+G125-IF(RESULTADOS!$C$17="Normal",0,I125)))</f>
        <v>0</v>
      </c>
      <c r="R125" s="140">
        <f ca="1">IF(C125="","",R124+(E125+H125-IF(RESULTADOS!$C$17="Normal",I125,0)-J125)/2)</f>
        <v>0</v>
      </c>
      <c r="S125" s="140">
        <f t="shared" ca="1" si="12"/>
        <v>0</v>
      </c>
      <c r="U125" s="164" t="str">
        <f t="shared" ca="1" si="13"/>
        <v/>
      </c>
      <c r="V125" s="164" t="str">
        <f t="shared" ca="1" si="10"/>
        <v/>
      </c>
      <c r="W125" s="140">
        <f ca="1">IF(OR((W124-13/12*Z124)*(1+PREMISSAS!$C$16)&lt;0,W124=""),0,(W124-13/12*Z124)*(1+PREMISSAS!$C$16))</f>
        <v>0</v>
      </c>
      <c r="X125" s="140">
        <f ca="1">IF(OR((X124-13/12*AA124)*(1+PREMISSAS!$C$16)&lt;0,X124=""),0,(X124-13/12*AA124)*(1+PREMISSAS!$C$16))</f>
        <v>0</v>
      </c>
      <c r="Y125" s="140">
        <f t="shared" ca="1" si="11"/>
        <v>0</v>
      </c>
      <c r="Z125" s="167">
        <f t="shared" ca="1" si="14"/>
        <v>0</v>
      </c>
      <c r="AA125" s="167">
        <f t="shared" ca="1" si="15"/>
        <v>0</v>
      </c>
    </row>
    <row r="126" spans="2:27" x14ac:dyDescent="0.25">
      <c r="B126" s="21">
        <f ca="1">IF(B125="","",IF(EOMONTH(B125,1)&gt;EOMONTH(ELEGIBILIDADE!$J$17,0),"",EOMONTH(B125,1)))</f>
        <v>47238</v>
      </c>
      <c r="C126" s="22">
        <f ca="1">IF(B126="","",IF(MONTH(B126)=1,C125*(1+PREMISSAS!$C$57),C125))</f>
        <v>0</v>
      </c>
      <c r="D126" s="22">
        <f ca="1">IF(RESULTADOS!$C$17="Normal",IFERROR(MAX(C126-PREMISSAS!$C$13,0),0),IF(Painel!$I$23=0,0,MAX(10*PREMISSAS!$C$38,RESULTADOS!$F$17)))</f>
        <v>0</v>
      </c>
      <c r="E126" s="4">
        <f ca="1">D126*IF(RESULTADOS!$C$17="Normal",RESULTADOS!$C$16,0)</f>
        <v>0</v>
      </c>
      <c r="F126" s="4">
        <f ca="1">IFERROR(IF(RESULTADOS!$C$17="Normal",D126,C126)*RESULTADOS!$C$18,0)</f>
        <v>0</v>
      </c>
      <c r="G126" s="4">
        <f ca="1">IFERROR(IF(RESULTADOS!$C$17="Normal",0,D126)*IF(RESULTADOS!$C$17="Normal",RESULTADOS!$C$18,RESULTADOS!$C$16),0)</f>
        <v>0</v>
      </c>
      <c r="H126" s="4">
        <f ca="1">IF(RESULTADOS!$C$17="Normal",E126,0)</f>
        <v>0</v>
      </c>
      <c r="I126" s="4">
        <f ca="1">(E126+H126+G126)*PREMISSAS!$C$60</f>
        <v>0</v>
      </c>
      <c r="J126" s="4">
        <f ca="1">D126*IF(RESULTADOS!$C$17="Normal",PREMISSAS!$C$62,0)</f>
        <v>0</v>
      </c>
      <c r="K126" s="116">
        <f ca="1">IFERROR(K125*(1+PREMISSAS!$C$18)+(E126+H126-IF(RESULTADOS!$C$17="Normal",I126,0)-J126)*IF(MONTH(B126)=12,2,1),0)</f>
        <v>0</v>
      </c>
      <c r="L126" s="116">
        <f ca="1">IFERROR((L125+G126-IF(RESULTADOS!$C$17="Normal",0,I126))*(1+PREMISSAS!$C$18)+F126,0)</f>
        <v>0</v>
      </c>
      <c r="N126" s="73">
        <f t="shared" ca="1" si="8"/>
        <v>0</v>
      </c>
      <c r="P126" s="164">
        <f t="shared" ca="1" si="9"/>
        <v>47238</v>
      </c>
      <c r="Q126" s="140">
        <f ca="1">IF(C126="","",Q125+(E126+H126-IF(RESULTADOS!$C$17="Normal",I126,0)-J126)/2+(F126+G126-IF(RESULTADOS!$C$17="Normal",0,I126)))</f>
        <v>0</v>
      </c>
      <c r="R126" s="140">
        <f ca="1">IF(C126="","",R125+(E126+H126-IF(RESULTADOS!$C$17="Normal",I126,0)-J126)/2)</f>
        <v>0</v>
      </c>
      <c r="S126" s="140">
        <f t="shared" ca="1" si="12"/>
        <v>0</v>
      </c>
      <c r="U126" s="164" t="str">
        <f t="shared" ca="1" si="13"/>
        <v/>
      </c>
      <c r="V126" s="164" t="str">
        <f t="shared" ca="1" si="10"/>
        <v/>
      </c>
      <c r="W126" s="140">
        <f ca="1">IF(OR((W125-13/12*Z125)*(1+PREMISSAS!$C$16)&lt;0,W125=""),0,(W125-13/12*Z125)*(1+PREMISSAS!$C$16))</f>
        <v>0</v>
      </c>
      <c r="X126" s="140">
        <f ca="1">IF(OR((X125-13/12*AA125)*(1+PREMISSAS!$C$16)&lt;0,X125=""),0,(X125-13/12*AA125)*(1+PREMISSAS!$C$16))</f>
        <v>0</v>
      </c>
      <c r="Y126" s="140">
        <f t="shared" ca="1" si="11"/>
        <v>0</v>
      </c>
      <c r="Z126" s="167">
        <f t="shared" ca="1" si="14"/>
        <v>0</v>
      </c>
      <c r="AA126" s="167">
        <f t="shared" ca="1" si="15"/>
        <v>0</v>
      </c>
    </row>
    <row r="127" spans="2:27" x14ac:dyDescent="0.25">
      <c r="B127" s="21">
        <f ca="1">IF(B126="","",IF(EOMONTH(B126,1)&gt;EOMONTH(ELEGIBILIDADE!$J$17,0),"",EOMONTH(B126,1)))</f>
        <v>47269</v>
      </c>
      <c r="C127" s="22">
        <f ca="1">IF(B127="","",IF(MONTH(B127)=1,C126*(1+PREMISSAS!$C$57),C126))</f>
        <v>0</v>
      </c>
      <c r="D127" s="22">
        <f ca="1">IF(RESULTADOS!$C$17="Normal",IFERROR(MAX(C127-PREMISSAS!$C$13,0),0),IF(Painel!$I$23=0,0,MAX(10*PREMISSAS!$C$38,RESULTADOS!$F$17)))</f>
        <v>0</v>
      </c>
      <c r="E127" s="4">
        <f ca="1">D127*IF(RESULTADOS!$C$17="Normal",RESULTADOS!$C$16,0)</f>
        <v>0</v>
      </c>
      <c r="F127" s="4">
        <f ca="1">IFERROR(IF(RESULTADOS!$C$17="Normal",D127,C127)*RESULTADOS!$C$18,0)</f>
        <v>0</v>
      </c>
      <c r="G127" s="4">
        <f ca="1">IFERROR(IF(RESULTADOS!$C$17="Normal",0,D127)*IF(RESULTADOS!$C$17="Normal",RESULTADOS!$C$18,RESULTADOS!$C$16),0)</f>
        <v>0</v>
      </c>
      <c r="H127" s="4">
        <f ca="1">IF(RESULTADOS!$C$17="Normal",E127,0)</f>
        <v>0</v>
      </c>
      <c r="I127" s="4">
        <f ca="1">(E127+H127+G127)*PREMISSAS!$C$60</f>
        <v>0</v>
      </c>
      <c r="J127" s="4">
        <f ca="1">D127*IF(RESULTADOS!$C$17="Normal",PREMISSAS!$C$62,0)</f>
        <v>0</v>
      </c>
      <c r="K127" s="116">
        <f ca="1">IFERROR(K126*(1+PREMISSAS!$C$18)+(E127+H127-IF(RESULTADOS!$C$17="Normal",I127,0)-J127)*IF(MONTH(B127)=12,2,1),0)</f>
        <v>0</v>
      </c>
      <c r="L127" s="116">
        <f ca="1">IFERROR((L126+G127-IF(RESULTADOS!$C$17="Normal",0,I127))*(1+PREMISSAS!$C$18)+F127,0)</f>
        <v>0</v>
      </c>
      <c r="N127" s="73">
        <f t="shared" ca="1" si="8"/>
        <v>0</v>
      </c>
      <c r="P127" s="164">
        <f t="shared" ca="1" si="9"/>
        <v>47269</v>
      </c>
      <c r="Q127" s="140">
        <f ca="1">IF(C127="","",Q126+(E127+H127-IF(RESULTADOS!$C$17="Normal",I127,0)-J127)/2+(F127+G127-IF(RESULTADOS!$C$17="Normal",0,I127)))</f>
        <v>0</v>
      </c>
      <c r="R127" s="140">
        <f ca="1">IF(C127="","",R126+(E127+H127-IF(RESULTADOS!$C$17="Normal",I127,0)-J127)/2)</f>
        <v>0</v>
      </c>
      <c r="S127" s="140">
        <f t="shared" ca="1" si="12"/>
        <v>0</v>
      </c>
      <c r="U127" s="164" t="str">
        <f t="shared" ca="1" si="13"/>
        <v/>
      </c>
      <c r="V127" s="164" t="str">
        <f t="shared" ca="1" si="10"/>
        <v/>
      </c>
      <c r="W127" s="140">
        <f ca="1">IF(OR((W126-13/12*Z126)*(1+PREMISSAS!$C$16)&lt;0,W126=""),0,(W126-13/12*Z126)*(1+PREMISSAS!$C$16))</f>
        <v>0</v>
      </c>
      <c r="X127" s="140">
        <f ca="1">IF(OR((X126-13/12*AA126)*(1+PREMISSAS!$C$16)&lt;0,X126=""),0,(X126-13/12*AA126)*(1+PREMISSAS!$C$16))</f>
        <v>0</v>
      </c>
      <c r="Y127" s="140">
        <f t="shared" ca="1" si="11"/>
        <v>0</v>
      </c>
      <c r="Z127" s="167">
        <f t="shared" ca="1" si="14"/>
        <v>0</v>
      </c>
      <c r="AA127" s="167">
        <f t="shared" ca="1" si="15"/>
        <v>0</v>
      </c>
    </row>
    <row r="128" spans="2:27" x14ac:dyDescent="0.25">
      <c r="B128" s="21">
        <f ca="1">IF(B127="","",IF(EOMONTH(B127,1)&gt;EOMONTH(ELEGIBILIDADE!$J$17,0),"",EOMONTH(B127,1)))</f>
        <v>47299</v>
      </c>
      <c r="C128" s="22">
        <f ca="1">IF(B128="","",IF(MONTH(B128)=1,C127*(1+PREMISSAS!$C$57),C127))</f>
        <v>0</v>
      </c>
      <c r="D128" s="22">
        <f ca="1">IF(RESULTADOS!$C$17="Normal",IFERROR(MAX(C128-PREMISSAS!$C$13,0),0),IF(Painel!$I$23=0,0,MAX(10*PREMISSAS!$C$38,RESULTADOS!$F$17)))</f>
        <v>0</v>
      </c>
      <c r="E128" s="4">
        <f ca="1">D128*IF(RESULTADOS!$C$17="Normal",RESULTADOS!$C$16,0)</f>
        <v>0</v>
      </c>
      <c r="F128" s="4">
        <f ca="1">IFERROR(IF(RESULTADOS!$C$17="Normal",D128,C128)*RESULTADOS!$C$18,0)</f>
        <v>0</v>
      </c>
      <c r="G128" s="4">
        <f ca="1">IFERROR(IF(RESULTADOS!$C$17="Normal",0,D128)*IF(RESULTADOS!$C$17="Normal",RESULTADOS!$C$18,RESULTADOS!$C$16),0)</f>
        <v>0</v>
      </c>
      <c r="H128" s="4">
        <f ca="1">IF(RESULTADOS!$C$17="Normal",E128,0)</f>
        <v>0</v>
      </c>
      <c r="I128" s="4">
        <f ca="1">(E128+H128+G128)*PREMISSAS!$C$60</f>
        <v>0</v>
      </c>
      <c r="J128" s="4">
        <f ca="1">D128*IF(RESULTADOS!$C$17="Normal",PREMISSAS!$C$62,0)</f>
        <v>0</v>
      </c>
      <c r="K128" s="116">
        <f ca="1">IFERROR(K127*(1+PREMISSAS!$C$18)+(E128+H128-IF(RESULTADOS!$C$17="Normal",I128,0)-J128)*IF(MONTH(B128)=12,2,1),0)</f>
        <v>0</v>
      </c>
      <c r="L128" s="116">
        <f ca="1">IFERROR((L127+G128-IF(RESULTADOS!$C$17="Normal",0,I128))*(1+PREMISSAS!$C$18)+F128,0)</f>
        <v>0</v>
      </c>
      <c r="N128" s="73">
        <f t="shared" ca="1" si="8"/>
        <v>0</v>
      </c>
      <c r="P128" s="164">
        <f t="shared" ca="1" si="9"/>
        <v>47299</v>
      </c>
      <c r="Q128" s="140">
        <f ca="1">IF(C128="","",Q127+(E128+H128-IF(RESULTADOS!$C$17="Normal",I128,0)-J128)/2+(F128+G128-IF(RESULTADOS!$C$17="Normal",0,I128)))</f>
        <v>0</v>
      </c>
      <c r="R128" s="140">
        <f ca="1">IF(C128="","",R127+(E128+H128-IF(RESULTADOS!$C$17="Normal",I128,0)-J128)/2)</f>
        <v>0</v>
      </c>
      <c r="S128" s="140">
        <f t="shared" ca="1" si="12"/>
        <v>0</v>
      </c>
      <c r="U128" s="164" t="str">
        <f t="shared" ca="1" si="13"/>
        <v/>
      </c>
      <c r="V128" s="164" t="str">
        <f t="shared" ca="1" si="10"/>
        <v/>
      </c>
      <c r="W128" s="140">
        <f ca="1">IF(OR((W127-13/12*Z127)*(1+PREMISSAS!$C$16)&lt;0,W127=""),0,(W127-13/12*Z127)*(1+PREMISSAS!$C$16))</f>
        <v>0</v>
      </c>
      <c r="X128" s="140">
        <f ca="1">IF(OR((X127-13/12*AA127)*(1+PREMISSAS!$C$16)&lt;0,X127=""),0,(X127-13/12*AA127)*(1+PREMISSAS!$C$16))</f>
        <v>0</v>
      </c>
      <c r="Y128" s="140">
        <f t="shared" ca="1" si="11"/>
        <v>0</v>
      </c>
      <c r="Z128" s="167">
        <f t="shared" ca="1" si="14"/>
        <v>0</v>
      </c>
      <c r="AA128" s="167">
        <f t="shared" ca="1" si="15"/>
        <v>0</v>
      </c>
    </row>
    <row r="129" spans="2:27" x14ac:dyDescent="0.25">
      <c r="B129" s="21">
        <f ca="1">IF(B128="","",IF(EOMONTH(B128,1)&gt;EOMONTH(ELEGIBILIDADE!$J$17,0),"",EOMONTH(B128,1)))</f>
        <v>47330</v>
      </c>
      <c r="C129" s="22">
        <f ca="1">IF(B129="","",IF(MONTH(B129)=1,C128*(1+PREMISSAS!$C$57),C128))</f>
        <v>0</v>
      </c>
      <c r="D129" s="22">
        <f ca="1">IF(RESULTADOS!$C$17="Normal",IFERROR(MAX(C129-PREMISSAS!$C$13,0),0),IF(Painel!$I$23=0,0,MAX(10*PREMISSAS!$C$38,RESULTADOS!$F$17)))</f>
        <v>0</v>
      </c>
      <c r="E129" s="4">
        <f ca="1">D129*IF(RESULTADOS!$C$17="Normal",RESULTADOS!$C$16,0)</f>
        <v>0</v>
      </c>
      <c r="F129" s="4">
        <f ca="1">IFERROR(IF(RESULTADOS!$C$17="Normal",D129,C129)*RESULTADOS!$C$18,0)</f>
        <v>0</v>
      </c>
      <c r="G129" s="4">
        <f ca="1">IFERROR(IF(RESULTADOS!$C$17="Normal",0,D129)*IF(RESULTADOS!$C$17="Normal",RESULTADOS!$C$18,RESULTADOS!$C$16),0)</f>
        <v>0</v>
      </c>
      <c r="H129" s="4">
        <f ca="1">IF(RESULTADOS!$C$17="Normal",E129,0)</f>
        <v>0</v>
      </c>
      <c r="I129" s="4">
        <f ca="1">(E129+H129+G129)*PREMISSAS!$C$60</f>
        <v>0</v>
      </c>
      <c r="J129" s="4">
        <f ca="1">D129*IF(RESULTADOS!$C$17="Normal",PREMISSAS!$C$62,0)</f>
        <v>0</v>
      </c>
      <c r="K129" s="116">
        <f ca="1">IFERROR(K128*(1+PREMISSAS!$C$18)+(E129+H129-IF(RESULTADOS!$C$17="Normal",I129,0)-J129)*IF(MONTH(B129)=12,2,1),0)</f>
        <v>0</v>
      </c>
      <c r="L129" s="116">
        <f ca="1">IFERROR((L128+G129-IF(RESULTADOS!$C$17="Normal",0,I129))*(1+PREMISSAS!$C$18)+F129,0)</f>
        <v>0</v>
      </c>
      <c r="N129" s="73">
        <f t="shared" ca="1" si="8"/>
        <v>0</v>
      </c>
      <c r="P129" s="164">
        <f t="shared" ca="1" si="9"/>
        <v>47330</v>
      </c>
      <c r="Q129" s="140">
        <f ca="1">IF(C129="","",Q128+(E129+H129-IF(RESULTADOS!$C$17="Normal",I129,0)-J129)/2+(F129+G129-IF(RESULTADOS!$C$17="Normal",0,I129)))</f>
        <v>0</v>
      </c>
      <c r="R129" s="140">
        <f ca="1">IF(C129="","",R128+(E129+H129-IF(RESULTADOS!$C$17="Normal",I129,0)-J129)/2)</f>
        <v>0</v>
      </c>
      <c r="S129" s="140">
        <f t="shared" ca="1" si="12"/>
        <v>0</v>
      </c>
      <c r="U129" s="164" t="str">
        <f t="shared" ca="1" si="13"/>
        <v/>
      </c>
      <c r="V129" s="164" t="str">
        <f t="shared" ca="1" si="10"/>
        <v/>
      </c>
      <c r="W129" s="140">
        <f ca="1">IF(OR((W128-13/12*Z128)*(1+PREMISSAS!$C$16)&lt;0,W128=""),0,(W128-13/12*Z128)*(1+PREMISSAS!$C$16))</f>
        <v>0</v>
      </c>
      <c r="X129" s="140">
        <f ca="1">IF(OR((X128-13/12*AA128)*(1+PREMISSAS!$C$16)&lt;0,X128=""),0,(X128-13/12*AA128)*(1+PREMISSAS!$C$16))</f>
        <v>0</v>
      </c>
      <c r="Y129" s="140">
        <f t="shared" ca="1" si="11"/>
        <v>0</v>
      </c>
      <c r="Z129" s="167">
        <f t="shared" ca="1" si="14"/>
        <v>0</v>
      </c>
      <c r="AA129" s="167">
        <f t="shared" ca="1" si="15"/>
        <v>0</v>
      </c>
    </row>
    <row r="130" spans="2:27" x14ac:dyDescent="0.25">
      <c r="B130" s="21">
        <f ca="1">IF(B129="","",IF(EOMONTH(B129,1)&gt;EOMONTH(ELEGIBILIDADE!$J$17,0),"",EOMONTH(B129,1)))</f>
        <v>47361</v>
      </c>
      <c r="C130" s="22">
        <f ca="1">IF(B130="","",IF(MONTH(B130)=1,C129*(1+PREMISSAS!$C$57),C129))</f>
        <v>0</v>
      </c>
      <c r="D130" s="22">
        <f ca="1">IF(RESULTADOS!$C$17="Normal",IFERROR(MAX(C130-PREMISSAS!$C$13,0),0),IF(Painel!$I$23=0,0,MAX(10*PREMISSAS!$C$38,RESULTADOS!$F$17)))</f>
        <v>0</v>
      </c>
      <c r="E130" s="4">
        <f ca="1">D130*IF(RESULTADOS!$C$17="Normal",RESULTADOS!$C$16,0)</f>
        <v>0</v>
      </c>
      <c r="F130" s="4">
        <f ca="1">IFERROR(IF(RESULTADOS!$C$17="Normal",D130,C130)*RESULTADOS!$C$18,0)</f>
        <v>0</v>
      </c>
      <c r="G130" s="4">
        <f ca="1">IFERROR(IF(RESULTADOS!$C$17="Normal",0,D130)*IF(RESULTADOS!$C$17="Normal",RESULTADOS!$C$18,RESULTADOS!$C$16),0)</f>
        <v>0</v>
      </c>
      <c r="H130" s="4">
        <f ca="1">IF(RESULTADOS!$C$17="Normal",E130,0)</f>
        <v>0</v>
      </c>
      <c r="I130" s="4">
        <f ca="1">(E130+H130+G130)*PREMISSAS!$C$60</f>
        <v>0</v>
      </c>
      <c r="J130" s="4">
        <f ca="1">D130*IF(RESULTADOS!$C$17="Normal",PREMISSAS!$C$62,0)</f>
        <v>0</v>
      </c>
      <c r="K130" s="116">
        <f ca="1">IFERROR(K129*(1+PREMISSAS!$C$18)+(E130+H130-IF(RESULTADOS!$C$17="Normal",I130,0)-J130)*IF(MONTH(B130)=12,2,1),0)</f>
        <v>0</v>
      </c>
      <c r="L130" s="116">
        <f ca="1">IFERROR((L129+G130-IF(RESULTADOS!$C$17="Normal",0,I130))*(1+PREMISSAS!$C$18)+F130,0)</f>
        <v>0</v>
      </c>
      <c r="N130" s="73">
        <f t="shared" ca="1" si="8"/>
        <v>0</v>
      </c>
      <c r="P130" s="164">
        <f t="shared" ca="1" si="9"/>
        <v>47361</v>
      </c>
      <c r="Q130" s="140">
        <f ca="1">IF(C130="","",Q129+(E130+H130-IF(RESULTADOS!$C$17="Normal",I130,0)-J130)/2+(F130+G130-IF(RESULTADOS!$C$17="Normal",0,I130)))</f>
        <v>0</v>
      </c>
      <c r="R130" s="140">
        <f ca="1">IF(C130="","",R129+(E130+H130-IF(RESULTADOS!$C$17="Normal",I130,0)-J130)/2)</f>
        <v>0</v>
      </c>
      <c r="S130" s="140">
        <f t="shared" ca="1" si="12"/>
        <v>0</v>
      </c>
      <c r="U130" s="164" t="str">
        <f t="shared" ca="1" si="13"/>
        <v/>
      </c>
      <c r="V130" s="164" t="str">
        <f t="shared" ca="1" si="10"/>
        <v/>
      </c>
      <c r="W130" s="140">
        <f ca="1">IF(OR((W129-13/12*Z129)*(1+PREMISSAS!$C$16)&lt;0,W129=""),0,(W129-13/12*Z129)*(1+PREMISSAS!$C$16))</f>
        <v>0</v>
      </c>
      <c r="X130" s="140">
        <f ca="1">IF(OR((X129-13/12*AA129)*(1+PREMISSAS!$C$16)&lt;0,X129=""),0,(X129-13/12*AA129)*(1+PREMISSAS!$C$16))</f>
        <v>0</v>
      </c>
      <c r="Y130" s="140">
        <f t="shared" ca="1" si="11"/>
        <v>0</v>
      </c>
      <c r="Z130" s="167">
        <f t="shared" ca="1" si="14"/>
        <v>0</v>
      </c>
      <c r="AA130" s="167">
        <f t="shared" ca="1" si="15"/>
        <v>0</v>
      </c>
    </row>
    <row r="131" spans="2:27" x14ac:dyDescent="0.25">
      <c r="B131" s="21">
        <f ca="1">IF(B130="","",IF(EOMONTH(B130,1)&gt;EOMONTH(ELEGIBILIDADE!$J$17,0),"",EOMONTH(B130,1)))</f>
        <v>47391</v>
      </c>
      <c r="C131" s="22">
        <f ca="1">IF(B131="","",IF(MONTH(B131)=1,C130*(1+PREMISSAS!$C$57),C130))</f>
        <v>0</v>
      </c>
      <c r="D131" s="22">
        <f ca="1">IF(RESULTADOS!$C$17="Normal",IFERROR(MAX(C131-PREMISSAS!$C$13,0),0),IF(Painel!$I$23=0,0,MAX(10*PREMISSAS!$C$38,RESULTADOS!$F$17)))</f>
        <v>0</v>
      </c>
      <c r="E131" s="4">
        <f ca="1">D131*IF(RESULTADOS!$C$17="Normal",RESULTADOS!$C$16,0)</f>
        <v>0</v>
      </c>
      <c r="F131" s="4">
        <f ca="1">IFERROR(IF(RESULTADOS!$C$17="Normal",D131,C131)*RESULTADOS!$C$18,0)</f>
        <v>0</v>
      </c>
      <c r="G131" s="4">
        <f ca="1">IFERROR(IF(RESULTADOS!$C$17="Normal",0,D131)*IF(RESULTADOS!$C$17="Normal",RESULTADOS!$C$18,RESULTADOS!$C$16),0)</f>
        <v>0</v>
      </c>
      <c r="H131" s="4">
        <f ca="1">IF(RESULTADOS!$C$17="Normal",E131,0)</f>
        <v>0</v>
      </c>
      <c r="I131" s="4">
        <f ca="1">(E131+H131+G131)*PREMISSAS!$C$60</f>
        <v>0</v>
      </c>
      <c r="J131" s="4">
        <f ca="1">D131*IF(RESULTADOS!$C$17="Normal",PREMISSAS!$C$62,0)</f>
        <v>0</v>
      </c>
      <c r="K131" s="116">
        <f ca="1">IFERROR(K130*(1+PREMISSAS!$C$18)+(E131+H131-IF(RESULTADOS!$C$17="Normal",I131,0)-J131)*IF(MONTH(B131)=12,2,1),0)</f>
        <v>0</v>
      </c>
      <c r="L131" s="116">
        <f ca="1">IFERROR((L130+G131-IF(RESULTADOS!$C$17="Normal",0,I131))*(1+PREMISSAS!$C$18)+F131,0)</f>
        <v>0</v>
      </c>
      <c r="N131" s="73">
        <f t="shared" ca="1" si="8"/>
        <v>0</v>
      </c>
      <c r="P131" s="164">
        <f t="shared" ca="1" si="9"/>
        <v>47391</v>
      </c>
      <c r="Q131" s="140">
        <f ca="1">IF(C131="","",Q130+(E131+H131-IF(RESULTADOS!$C$17="Normal",I131,0)-J131)/2+(F131+G131-IF(RESULTADOS!$C$17="Normal",0,I131)))</f>
        <v>0</v>
      </c>
      <c r="R131" s="140">
        <f ca="1">IF(C131="","",R130+(E131+H131-IF(RESULTADOS!$C$17="Normal",I131,0)-J131)/2)</f>
        <v>0</v>
      </c>
      <c r="S131" s="140">
        <f t="shared" ca="1" si="12"/>
        <v>0</v>
      </c>
      <c r="U131" s="164" t="str">
        <f t="shared" ca="1" si="13"/>
        <v/>
      </c>
      <c r="V131" s="164" t="str">
        <f t="shared" ca="1" si="10"/>
        <v/>
      </c>
      <c r="W131" s="140">
        <f ca="1">IF(OR((W130-13/12*Z130)*(1+PREMISSAS!$C$16)&lt;0,W130=""),0,(W130-13/12*Z130)*(1+PREMISSAS!$C$16))</f>
        <v>0</v>
      </c>
      <c r="X131" s="140">
        <f ca="1">IF(OR((X130-13/12*AA130)*(1+PREMISSAS!$C$16)&lt;0,X130=""),0,(X130-13/12*AA130)*(1+PREMISSAS!$C$16))</f>
        <v>0</v>
      </c>
      <c r="Y131" s="140">
        <f t="shared" ca="1" si="11"/>
        <v>0</v>
      </c>
      <c r="Z131" s="167">
        <f t="shared" ca="1" si="14"/>
        <v>0</v>
      </c>
      <c r="AA131" s="167">
        <f t="shared" ca="1" si="15"/>
        <v>0</v>
      </c>
    </row>
    <row r="132" spans="2:27" x14ac:dyDescent="0.25">
      <c r="B132" s="21">
        <f ca="1">IF(B131="","",IF(EOMONTH(B131,1)&gt;EOMONTH(ELEGIBILIDADE!$J$17,0),"",EOMONTH(B131,1)))</f>
        <v>47422</v>
      </c>
      <c r="C132" s="22">
        <f ca="1">IF(B132="","",IF(MONTH(B132)=1,C131*(1+PREMISSAS!$C$57),C131))</f>
        <v>0</v>
      </c>
      <c r="D132" s="22">
        <f ca="1">IF(RESULTADOS!$C$17="Normal",IFERROR(MAX(C132-PREMISSAS!$C$13,0),0),IF(Painel!$I$23=0,0,MAX(10*PREMISSAS!$C$38,RESULTADOS!$F$17)))</f>
        <v>0</v>
      </c>
      <c r="E132" s="4">
        <f ca="1">D132*IF(RESULTADOS!$C$17="Normal",RESULTADOS!$C$16,0)</f>
        <v>0</v>
      </c>
      <c r="F132" s="4">
        <f ca="1">IFERROR(IF(RESULTADOS!$C$17="Normal",D132,C132)*RESULTADOS!$C$18,0)</f>
        <v>0</v>
      </c>
      <c r="G132" s="4">
        <f ca="1">IFERROR(IF(RESULTADOS!$C$17="Normal",0,D132)*IF(RESULTADOS!$C$17="Normal",RESULTADOS!$C$18,RESULTADOS!$C$16),0)</f>
        <v>0</v>
      </c>
      <c r="H132" s="4">
        <f ca="1">IF(RESULTADOS!$C$17="Normal",E132,0)</f>
        <v>0</v>
      </c>
      <c r="I132" s="4">
        <f ca="1">(E132+H132+G132)*PREMISSAS!$C$60</f>
        <v>0</v>
      </c>
      <c r="J132" s="4">
        <f ca="1">D132*IF(RESULTADOS!$C$17="Normal",PREMISSAS!$C$62,0)</f>
        <v>0</v>
      </c>
      <c r="K132" s="116">
        <f ca="1">IFERROR(K131*(1+PREMISSAS!$C$18)+(E132+H132-IF(RESULTADOS!$C$17="Normal",I132,0)-J132)*IF(MONTH(B132)=12,2,1),0)</f>
        <v>0</v>
      </c>
      <c r="L132" s="116">
        <f ca="1">IFERROR((L131+G132-IF(RESULTADOS!$C$17="Normal",0,I132))*(1+PREMISSAS!$C$18)+F132,0)</f>
        <v>0</v>
      </c>
      <c r="N132" s="73">
        <f t="shared" ca="1" si="8"/>
        <v>0</v>
      </c>
      <c r="P132" s="164">
        <f t="shared" ca="1" si="9"/>
        <v>47422</v>
      </c>
      <c r="Q132" s="140">
        <f ca="1">IF(C132="","",Q131+(E132+H132-IF(RESULTADOS!$C$17="Normal",I132,0)-J132)/2+(F132+G132-IF(RESULTADOS!$C$17="Normal",0,I132)))</f>
        <v>0</v>
      </c>
      <c r="R132" s="140">
        <f ca="1">IF(C132="","",R131+(E132+H132-IF(RESULTADOS!$C$17="Normal",I132,0)-J132)/2)</f>
        <v>0</v>
      </c>
      <c r="S132" s="140">
        <f t="shared" ca="1" si="12"/>
        <v>0</v>
      </c>
      <c r="U132" s="164" t="str">
        <f t="shared" ca="1" si="13"/>
        <v/>
      </c>
      <c r="V132" s="164" t="str">
        <f t="shared" ca="1" si="10"/>
        <v/>
      </c>
      <c r="W132" s="140">
        <f ca="1">IF(OR((W131-13/12*Z131)*(1+PREMISSAS!$C$16)&lt;0,W131=""),0,(W131-13/12*Z131)*(1+PREMISSAS!$C$16))</f>
        <v>0</v>
      </c>
      <c r="X132" s="140">
        <f ca="1">IF(OR((X131-13/12*AA131)*(1+PREMISSAS!$C$16)&lt;0,X131=""),0,(X131-13/12*AA131)*(1+PREMISSAS!$C$16))</f>
        <v>0</v>
      </c>
      <c r="Y132" s="140">
        <f t="shared" ca="1" si="11"/>
        <v>0</v>
      </c>
      <c r="Z132" s="167">
        <f t="shared" ca="1" si="14"/>
        <v>0</v>
      </c>
      <c r="AA132" s="167">
        <f t="shared" ca="1" si="15"/>
        <v>0</v>
      </c>
    </row>
    <row r="133" spans="2:27" x14ac:dyDescent="0.25">
      <c r="B133" s="21">
        <f ca="1">IF(B132="","",IF(EOMONTH(B132,1)&gt;EOMONTH(ELEGIBILIDADE!$J$17,0),"",EOMONTH(B132,1)))</f>
        <v>47452</v>
      </c>
      <c r="C133" s="22">
        <f ca="1">IF(B133="","",IF(MONTH(B133)=1,C132*(1+PREMISSAS!$C$57),C132))</f>
        <v>0</v>
      </c>
      <c r="D133" s="22">
        <f ca="1">IF(RESULTADOS!$C$17="Normal",IFERROR(MAX(C133-PREMISSAS!$C$13,0),0),IF(Painel!$I$23=0,0,MAX(10*PREMISSAS!$C$38,RESULTADOS!$F$17)))</f>
        <v>0</v>
      </c>
      <c r="E133" s="4">
        <f ca="1">D133*IF(RESULTADOS!$C$17="Normal",RESULTADOS!$C$16,0)</f>
        <v>0</v>
      </c>
      <c r="F133" s="4">
        <f ca="1">IFERROR(IF(RESULTADOS!$C$17="Normal",D133,C133)*RESULTADOS!$C$18,0)</f>
        <v>0</v>
      </c>
      <c r="G133" s="4">
        <f ca="1">IFERROR(IF(RESULTADOS!$C$17="Normal",0,D133)*IF(RESULTADOS!$C$17="Normal",RESULTADOS!$C$18,RESULTADOS!$C$16),0)</f>
        <v>0</v>
      </c>
      <c r="H133" s="4">
        <f ca="1">IF(RESULTADOS!$C$17="Normal",E133,0)</f>
        <v>0</v>
      </c>
      <c r="I133" s="4">
        <f ca="1">(E133+H133+G133)*PREMISSAS!$C$60</f>
        <v>0</v>
      </c>
      <c r="J133" s="4">
        <f ca="1">D133*IF(RESULTADOS!$C$17="Normal",PREMISSAS!$C$62,0)</f>
        <v>0</v>
      </c>
      <c r="K133" s="116">
        <f ca="1">IFERROR(K132*(1+PREMISSAS!$C$18)+(E133+H133-IF(RESULTADOS!$C$17="Normal",I133,0)-J133)*IF(MONTH(B133)=12,2,1),0)</f>
        <v>0</v>
      </c>
      <c r="L133" s="116">
        <f ca="1">IFERROR((L132+G133-IF(RESULTADOS!$C$17="Normal",0,I133))*(1+PREMISSAS!$C$18)+F133,0)</f>
        <v>0</v>
      </c>
      <c r="N133" s="73">
        <f t="shared" ca="1" si="8"/>
        <v>0</v>
      </c>
      <c r="P133" s="164">
        <f t="shared" ca="1" si="9"/>
        <v>47452</v>
      </c>
      <c r="Q133" s="140">
        <f ca="1">IF(C133="","",Q132+(E133+H133-IF(RESULTADOS!$C$17="Normal",I133,0)-J133)/2+(F133+G133-IF(RESULTADOS!$C$17="Normal",0,I133)))</f>
        <v>0</v>
      </c>
      <c r="R133" s="140">
        <f ca="1">IF(C133="","",R132+(E133+H133-IF(RESULTADOS!$C$17="Normal",I133,0)-J133)/2)</f>
        <v>0</v>
      </c>
      <c r="S133" s="140">
        <f t="shared" ca="1" si="12"/>
        <v>0</v>
      </c>
      <c r="U133" s="164" t="str">
        <f t="shared" ca="1" si="13"/>
        <v/>
      </c>
      <c r="V133" s="164" t="str">
        <f t="shared" ca="1" si="10"/>
        <v/>
      </c>
      <c r="W133" s="140">
        <f ca="1">IF(OR((W132-13/12*Z132)*(1+PREMISSAS!$C$16)&lt;0,W132=""),0,(W132-13/12*Z132)*(1+PREMISSAS!$C$16))</f>
        <v>0</v>
      </c>
      <c r="X133" s="140">
        <f ca="1">IF(OR((X132-13/12*AA132)*(1+PREMISSAS!$C$16)&lt;0,X132=""),0,(X132-13/12*AA132)*(1+PREMISSAS!$C$16))</f>
        <v>0</v>
      </c>
      <c r="Y133" s="140">
        <f t="shared" ca="1" si="11"/>
        <v>0</v>
      </c>
      <c r="Z133" s="167">
        <f t="shared" ca="1" si="14"/>
        <v>0</v>
      </c>
      <c r="AA133" s="167">
        <f t="shared" ca="1" si="15"/>
        <v>0</v>
      </c>
    </row>
    <row r="134" spans="2:27" x14ac:dyDescent="0.25">
      <c r="B134" s="21">
        <f ca="1">IF(B133="","",IF(EOMONTH(B133,1)&gt;EOMONTH(ELEGIBILIDADE!$J$17,0),"",EOMONTH(B133,1)))</f>
        <v>47483</v>
      </c>
      <c r="C134" s="22">
        <f ca="1">IF(B134="","",IF(MONTH(B134)=1,C133*(1+PREMISSAS!$C$57),C133))</f>
        <v>0</v>
      </c>
      <c r="D134" s="22">
        <f ca="1">IF(RESULTADOS!$C$17="Normal",IFERROR(MAX(C134-PREMISSAS!$C$13,0),0),IF(Painel!$I$23=0,0,MAX(10*PREMISSAS!$C$38,RESULTADOS!$F$17)))</f>
        <v>0</v>
      </c>
      <c r="E134" s="4">
        <f ca="1">D134*IF(RESULTADOS!$C$17="Normal",RESULTADOS!$C$16,0)</f>
        <v>0</v>
      </c>
      <c r="F134" s="4">
        <f ca="1">IFERROR(IF(RESULTADOS!$C$17="Normal",D134,C134)*RESULTADOS!$C$18,0)</f>
        <v>0</v>
      </c>
      <c r="G134" s="4">
        <f ca="1">IFERROR(IF(RESULTADOS!$C$17="Normal",0,D134)*IF(RESULTADOS!$C$17="Normal",RESULTADOS!$C$18,RESULTADOS!$C$16),0)</f>
        <v>0</v>
      </c>
      <c r="H134" s="4">
        <f ca="1">IF(RESULTADOS!$C$17="Normal",E134,0)</f>
        <v>0</v>
      </c>
      <c r="I134" s="4">
        <f ca="1">(E134+H134+G134)*PREMISSAS!$C$60</f>
        <v>0</v>
      </c>
      <c r="J134" s="4">
        <f ca="1">D134*IF(RESULTADOS!$C$17="Normal",PREMISSAS!$C$62,0)</f>
        <v>0</v>
      </c>
      <c r="K134" s="116">
        <f ca="1">IFERROR(K133*(1+PREMISSAS!$C$18)+(E134+H134-IF(RESULTADOS!$C$17="Normal",I134,0)-J134)*IF(MONTH(B134)=12,2,1),0)</f>
        <v>0</v>
      </c>
      <c r="L134" s="116">
        <f ca="1">IFERROR((L133+G134-IF(RESULTADOS!$C$17="Normal",0,I134))*(1+PREMISSAS!$C$18)+F134,0)</f>
        <v>0</v>
      </c>
      <c r="N134" s="73">
        <f t="shared" ref="N134:N197" ca="1" si="16">IFERROR((E134+F134+G134)/C134,0)</f>
        <v>0</v>
      </c>
      <c r="P134" s="164">
        <f t="shared" ref="P134:P197" ca="1" si="17">IF(C134="","",B134)</f>
        <v>47483</v>
      </c>
      <c r="Q134" s="140">
        <f ca="1">IF(C134="","",Q133+(E134+H134-IF(RESULTADOS!$C$17="Normal",I134,0)-J134)/2+(F134+G134-IF(RESULTADOS!$C$17="Normal",0,I134)))</f>
        <v>0</v>
      </c>
      <c r="R134" s="140">
        <f ca="1">IF(C134="","",R133+(E134+H134-IF(RESULTADOS!$C$17="Normal",I134,0)-J134)/2)</f>
        <v>0</v>
      </c>
      <c r="S134" s="140">
        <f t="shared" ca="1" si="12"/>
        <v>0</v>
      </c>
      <c r="U134" s="164" t="str">
        <f t="shared" ca="1" si="13"/>
        <v/>
      </c>
      <c r="V134" s="164" t="str">
        <f t="shared" ref="V134:V197" ca="1" si="18">IF(AA134&lt;&gt;"",U134,"")</f>
        <v/>
      </c>
      <c r="W134" s="140">
        <f ca="1">IF(OR((W133-13/12*Z133)*(1+PREMISSAS!$C$16)&lt;0,W133=""),0,(W133-13/12*Z133)*(1+PREMISSAS!$C$16))</f>
        <v>0</v>
      </c>
      <c r="X134" s="140">
        <f ca="1">IF(OR((X133-13/12*AA133)*(1+PREMISSAS!$C$16)&lt;0,X133=""),0,(X133-13/12*AA133)*(1+PREMISSAS!$C$16))</f>
        <v>0</v>
      </c>
      <c r="Y134" s="140">
        <f t="shared" ref="Y134:Y197" ca="1" si="19">SUM(W134:X134)</f>
        <v>0</v>
      </c>
      <c r="Z134" s="167">
        <f t="shared" ca="1" si="14"/>
        <v>0</v>
      </c>
      <c r="AA134" s="167">
        <f t="shared" ca="1" si="15"/>
        <v>0</v>
      </c>
    </row>
    <row r="135" spans="2:27" x14ac:dyDescent="0.25">
      <c r="B135" s="21">
        <f ca="1">IF(B134="","",IF(EOMONTH(B134,1)&gt;EOMONTH(ELEGIBILIDADE!$J$17,0),"",EOMONTH(B134,1)))</f>
        <v>47514</v>
      </c>
      <c r="C135" s="22">
        <f ca="1">IF(B135="","",IF(MONTH(B135)=1,C134*(1+PREMISSAS!$C$57),C134))</f>
        <v>0</v>
      </c>
      <c r="D135" s="22">
        <f ca="1">IF(RESULTADOS!$C$17="Normal",IFERROR(MAX(C135-PREMISSAS!$C$13,0),0),IF(Painel!$I$23=0,0,MAX(10*PREMISSAS!$C$38,RESULTADOS!$F$17)))</f>
        <v>0</v>
      </c>
      <c r="E135" s="4">
        <f ca="1">D135*IF(RESULTADOS!$C$17="Normal",RESULTADOS!$C$16,0)</f>
        <v>0</v>
      </c>
      <c r="F135" s="4">
        <f ca="1">IFERROR(IF(RESULTADOS!$C$17="Normal",D135,C135)*RESULTADOS!$C$18,0)</f>
        <v>0</v>
      </c>
      <c r="G135" s="4">
        <f ca="1">IFERROR(IF(RESULTADOS!$C$17="Normal",0,D135)*IF(RESULTADOS!$C$17="Normal",RESULTADOS!$C$18,RESULTADOS!$C$16),0)</f>
        <v>0</v>
      </c>
      <c r="H135" s="4">
        <f ca="1">IF(RESULTADOS!$C$17="Normal",E135,0)</f>
        <v>0</v>
      </c>
      <c r="I135" s="4">
        <f ca="1">(E135+H135+G135)*PREMISSAS!$C$60</f>
        <v>0</v>
      </c>
      <c r="J135" s="4">
        <f ca="1">D135*IF(RESULTADOS!$C$17="Normal",PREMISSAS!$C$62,0)</f>
        <v>0</v>
      </c>
      <c r="K135" s="116">
        <f ca="1">IFERROR(K134*(1+PREMISSAS!$C$18)+(E135+H135-IF(RESULTADOS!$C$17="Normal",I135,0)-J135)*IF(MONTH(B135)=12,2,1),0)</f>
        <v>0</v>
      </c>
      <c r="L135" s="116">
        <f ca="1">IFERROR((L134+G135-IF(RESULTADOS!$C$17="Normal",0,I135))*(1+PREMISSAS!$C$18)+F135,0)</f>
        <v>0</v>
      </c>
      <c r="N135" s="73">
        <f t="shared" ca="1" si="16"/>
        <v>0</v>
      </c>
      <c r="P135" s="164">
        <f t="shared" ca="1" si="17"/>
        <v>47514</v>
      </c>
      <c r="Q135" s="140">
        <f ca="1">IF(C135="","",Q134+(E135+H135-IF(RESULTADOS!$C$17="Normal",I135,0)-J135)/2+(F135+G135-IF(RESULTADOS!$C$17="Normal",0,I135)))</f>
        <v>0</v>
      </c>
      <c r="R135" s="140">
        <f ca="1">IF(C135="","",R134+(E135+H135-IF(RESULTADOS!$C$17="Normal",I135,0)-J135)/2)</f>
        <v>0</v>
      </c>
      <c r="S135" s="140">
        <f t="shared" ref="S135:S198" ca="1" si="20">SUM(K135:L135)-SUM(Q135:R135)</f>
        <v>0</v>
      </c>
      <c r="U135" s="164" t="str">
        <f t="shared" ref="U135:U198" ca="1" si="21">IF(Y135=0,"",EOMONTH(U134,1))</f>
        <v/>
      </c>
      <c r="V135" s="164" t="str">
        <f t="shared" ca="1" si="18"/>
        <v/>
      </c>
      <c r="W135" s="140">
        <f ca="1">IF(OR((W134-13/12*Z134)*(1+PREMISSAS!$C$16)&lt;0,W134=""),0,(W134-13/12*Z134)*(1+PREMISSAS!$C$16))</f>
        <v>0</v>
      </c>
      <c r="X135" s="140">
        <f ca="1">IF(OR((X134-13/12*AA134)*(1+PREMISSAS!$C$16)&lt;0,X134=""),0,(X134-13/12*AA134)*(1+PREMISSAS!$C$16))</f>
        <v>0</v>
      </c>
      <c r="Y135" s="140">
        <f t="shared" ca="1" si="19"/>
        <v>0</v>
      </c>
      <c r="Z135" s="167">
        <f t="shared" ref="Z135:Z198" ca="1" si="22">IF(W135&lt;&gt;0,Z134,0)</f>
        <v>0</v>
      </c>
      <c r="AA135" s="167">
        <f t="shared" ref="AA135:AA198" ca="1" si="23">IF(X135&lt;&gt;0,AA134,0)</f>
        <v>0</v>
      </c>
    </row>
    <row r="136" spans="2:27" x14ac:dyDescent="0.25">
      <c r="B136" s="21">
        <f ca="1">IF(B135="","",IF(EOMONTH(B135,1)&gt;EOMONTH(ELEGIBILIDADE!$J$17,0),"",EOMONTH(B135,1)))</f>
        <v>47542</v>
      </c>
      <c r="C136" s="22">
        <f ca="1">IF(B136="","",IF(MONTH(B136)=1,C135*(1+PREMISSAS!$C$57),C135))</f>
        <v>0</v>
      </c>
      <c r="D136" s="22">
        <f ca="1">IF(RESULTADOS!$C$17="Normal",IFERROR(MAX(C136-PREMISSAS!$C$13,0),0),IF(Painel!$I$23=0,0,MAX(10*PREMISSAS!$C$38,RESULTADOS!$F$17)))</f>
        <v>0</v>
      </c>
      <c r="E136" s="4">
        <f ca="1">D136*IF(RESULTADOS!$C$17="Normal",RESULTADOS!$C$16,0)</f>
        <v>0</v>
      </c>
      <c r="F136" s="4">
        <f ca="1">IFERROR(IF(RESULTADOS!$C$17="Normal",D136,C136)*RESULTADOS!$C$18,0)</f>
        <v>0</v>
      </c>
      <c r="G136" s="4">
        <f ca="1">IFERROR(IF(RESULTADOS!$C$17="Normal",0,D136)*IF(RESULTADOS!$C$17="Normal",RESULTADOS!$C$18,RESULTADOS!$C$16),0)</f>
        <v>0</v>
      </c>
      <c r="H136" s="4">
        <f ca="1">IF(RESULTADOS!$C$17="Normal",E136,0)</f>
        <v>0</v>
      </c>
      <c r="I136" s="4">
        <f ca="1">(E136+H136+G136)*PREMISSAS!$C$60</f>
        <v>0</v>
      </c>
      <c r="J136" s="4">
        <f ca="1">D136*IF(RESULTADOS!$C$17="Normal",PREMISSAS!$C$62,0)</f>
        <v>0</v>
      </c>
      <c r="K136" s="116">
        <f ca="1">IFERROR(K135*(1+PREMISSAS!$C$18)+(E136+H136-IF(RESULTADOS!$C$17="Normal",I136,0)-J136)*IF(MONTH(B136)=12,2,1),0)</f>
        <v>0</v>
      </c>
      <c r="L136" s="116">
        <f ca="1">IFERROR((L135+G136-IF(RESULTADOS!$C$17="Normal",0,I136))*(1+PREMISSAS!$C$18)+F136,0)</f>
        <v>0</v>
      </c>
      <c r="N136" s="73">
        <f t="shared" ca="1" si="16"/>
        <v>0</v>
      </c>
      <c r="P136" s="164">
        <f t="shared" ca="1" si="17"/>
        <v>47542</v>
      </c>
      <c r="Q136" s="140">
        <f ca="1">IF(C136="","",Q135+(E136+H136-IF(RESULTADOS!$C$17="Normal",I136,0)-J136)/2+(F136+G136-IF(RESULTADOS!$C$17="Normal",0,I136)))</f>
        <v>0</v>
      </c>
      <c r="R136" s="140">
        <f ca="1">IF(C136="","",R135+(E136+H136-IF(RESULTADOS!$C$17="Normal",I136,0)-J136)/2)</f>
        <v>0</v>
      </c>
      <c r="S136" s="140">
        <f t="shared" ca="1" si="20"/>
        <v>0</v>
      </c>
      <c r="U136" s="164" t="str">
        <f t="shared" ca="1" si="21"/>
        <v/>
      </c>
      <c r="V136" s="164" t="str">
        <f t="shared" ca="1" si="18"/>
        <v/>
      </c>
      <c r="W136" s="140">
        <f ca="1">IF(OR((W135-13/12*Z135)*(1+PREMISSAS!$C$16)&lt;0,W135=""),0,(W135-13/12*Z135)*(1+PREMISSAS!$C$16))</f>
        <v>0</v>
      </c>
      <c r="X136" s="140">
        <f ca="1">IF(OR((X135-13/12*AA135)*(1+PREMISSAS!$C$16)&lt;0,X135=""),0,(X135-13/12*AA135)*(1+PREMISSAS!$C$16))</f>
        <v>0</v>
      </c>
      <c r="Y136" s="140">
        <f t="shared" ca="1" si="19"/>
        <v>0</v>
      </c>
      <c r="Z136" s="167">
        <f t="shared" ca="1" si="22"/>
        <v>0</v>
      </c>
      <c r="AA136" s="167">
        <f t="shared" ca="1" si="23"/>
        <v>0</v>
      </c>
    </row>
    <row r="137" spans="2:27" x14ac:dyDescent="0.25">
      <c r="B137" s="21">
        <f ca="1">IF(B136="","",IF(EOMONTH(B136,1)&gt;EOMONTH(ELEGIBILIDADE!$J$17,0),"",EOMONTH(B136,1)))</f>
        <v>47573</v>
      </c>
      <c r="C137" s="22">
        <f ca="1">IF(B137="","",IF(MONTH(B137)=1,C136*(1+PREMISSAS!$C$57),C136))</f>
        <v>0</v>
      </c>
      <c r="D137" s="22">
        <f ca="1">IF(RESULTADOS!$C$17="Normal",IFERROR(MAX(C137-PREMISSAS!$C$13,0),0),IF(Painel!$I$23=0,0,MAX(10*PREMISSAS!$C$38,RESULTADOS!$F$17)))</f>
        <v>0</v>
      </c>
      <c r="E137" s="4">
        <f ca="1">D137*IF(RESULTADOS!$C$17="Normal",RESULTADOS!$C$16,0)</f>
        <v>0</v>
      </c>
      <c r="F137" s="4">
        <f ca="1">IFERROR(IF(RESULTADOS!$C$17="Normal",D137,C137)*RESULTADOS!$C$18,0)</f>
        <v>0</v>
      </c>
      <c r="G137" s="4">
        <f ca="1">IFERROR(IF(RESULTADOS!$C$17="Normal",0,D137)*IF(RESULTADOS!$C$17="Normal",RESULTADOS!$C$18,RESULTADOS!$C$16),0)</f>
        <v>0</v>
      </c>
      <c r="H137" s="4">
        <f ca="1">IF(RESULTADOS!$C$17="Normal",E137,0)</f>
        <v>0</v>
      </c>
      <c r="I137" s="4">
        <f ca="1">(E137+H137+G137)*PREMISSAS!$C$60</f>
        <v>0</v>
      </c>
      <c r="J137" s="4">
        <f ca="1">D137*IF(RESULTADOS!$C$17="Normal",PREMISSAS!$C$62,0)</f>
        <v>0</v>
      </c>
      <c r="K137" s="116">
        <f ca="1">IFERROR(K136*(1+PREMISSAS!$C$18)+(E137+H137-IF(RESULTADOS!$C$17="Normal",I137,0)-J137)*IF(MONTH(B137)=12,2,1),0)</f>
        <v>0</v>
      </c>
      <c r="L137" s="116">
        <f ca="1">IFERROR((L136+G137-IF(RESULTADOS!$C$17="Normal",0,I137))*(1+PREMISSAS!$C$18)+F137,0)</f>
        <v>0</v>
      </c>
      <c r="N137" s="73">
        <f t="shared" ca="1" si="16"/>
        <v>0</v>
      </c>
      <c r="P137" s="164">
        <f t="shared" ca="1" si="17"/>
        <v>47573</v>
      </c>
      <c r="Q137" s="140">
        <f ca="1">IF(C137="","",Q136+(E137+H137-IF(RESULTADOS!$C$17="Normal",I137,0)-J137)/2+(F137+G137-IF(RESULTADOS!$C$17="Normal",0,I137)))</f>
        <v>0</v>
      </c>
      <c r="R137" s="140">
        <f ca="1">IF(C137="","",R136+(E137+H137-IF(RESULTADOS!$C$17="Normal",I137,0)-J137)/2)</f>
        <v>0</v>
      </c>
      <c r="S137" s="140">
        <f t="shared" ca="1" si="20"/>
        <v>0</v>
      </c>
      <c r="U137" s="164" t="str">
        <f t="shared" ca="1" si="21"/>
        <v/>
      </c>
      <c r="V137" s="164" t="str">
        <f t="shared" ca="1" si="18"/>
        <v/>
      </c>
      <c r="W137" s="140">
        <f ca="1">IF(OR((W136-13/12*Z136)*(1+PREMISSAS!$C$16)&lt;0,W136=""),0,(W136-13/12*Z136)*(1+PREMISSAS!$C$16))</f>
        <v>0</v>
      </c>
      <c r="X137" s="140">
        <f ca="1">IF(OR((X136-13/12*AA136)*(1+PREMISSAS!$C$16)&lt;0,X136=""),0,(X136-13/12*AA136)*(1+PREMISSAS!$C$16))</f>
        <v>0</v>
      </c>
      <c r="Y137" s="140">
        <f t="shared" ca="1" si="19"/>
        <v>0</v>
      </c>
      <c r="Z137" s="167">
        <f t="shared" ca="1" si="22"/>
        <v>0</v>
      </c>
      <c r="AA137" s="167">
        <f t="shared" ca="1" si="23"/>
        <v>0</v>
      </c>
    </row>
    <row r="138" spans="2:27" x14ac:dyDescent="0.25">
      <c r="B138" s="21">
        <f ca="1">IF(B137="","",IF(EOMONTH(B137,1)&gt;EOMONTH(ELEGIBILIDADE!$J$17,0),"",EOMONTH(B137,1)))</f>
        <v>47603</v>
      </c>
      <c r="C138" s="22">
        <f ca="1">IF(B138="","",IF(MONTH(B138)=1,C137*(1+PREMISSAS!$C$57),C137))</f>
        <v>0</v>
      </c>
      <c r="D138" s="22">
        <f ca="1">IF(RESULTADOS!$C$17="Normal",IFERROR(MAX(C138-PREMISSAS!$C$13,0),0),IF(Painel!$I$23=0,0,MAX(10*PREMISSAS!$C$38,RESULTADOS!$F$17)))</f>
        <v>0</v>
      </c>
      <c r="E138" s="4">
        <f ca="1">D138*IF(RESULTADOS!$C$17="Normal",RESULTADOS!$C$16,0)</f>
        <v>0</v>
      </c>
      <c r="F138" s="4">
        <f ca="1">IFERROR(IF(RESULTADOS!$C$17="Normal",D138,C138)*RESULTADOS!$C$18,0)</f>
        <v>0</v>
      </c>
      <c r="G138" s="4">
        <f ca="1">IFERROR(IF(RESULTADOS!$C$17="Normal",0,D138)*IF(RESULTADOS!$C$17="Normal",RESULTADOS!$C$18,RESULTADOS!$C$16),0)</f>
        <v>0</v>
      </c>
      <c r="H138" s="4">
        <f ca="1">IF(RESULTADOS!$C$17="Normal",E138,0)</f>
        <v>0</v>
      </c>
      <c r="I138" s="4">
        <f ca="1">(E138+H138+G138)*PREMISSAS!$C$60</f>
        <v>0</v>
      </c>
      <c r="J138" s="4">
        <f ca="1">D138*IF(RESULTADOS!$C$17="Normal",PREMISSAS!$C$62,0)</f>
        <v>0</v>
      </c>
      <c r="K138" s="116">
        <f ca="1">IFERROR(K137*(1+PREMISSAS!$C$18)+(E138+H138-IF(RESULTADOS!$C$17="Normal",I138,0)-J138)*IF(MONTH(B138)=12,2,1),0)</f>
        <v>0</v>
      </c>
      <c r="L138" s="116">
        <f ca="1">IFERROR((L137+G138-IF(RESULTADOS!$C$17="Normal",0,I138))*(1+PREMISSAS!$C$18)+F138,0)</f>
        <v>0</v>
      </c>
      <c r="N138" s="73">
        <f t="shared" ca="1" si="16"/>
        <v>0</v>
      </c>
      <c r="P138" s="164">
        <f t="shared" ca="1" si="17"/>
        <v>47603</v>
      </c>
      <c r="Q138" s="140">
        <f ca="1">IF(C138="","",Q137+(E138+H138-IF(RESULTADOS!$C$17="Normal",I138,0)-J138)/2+(F138+G138-IF(RESULTADOS!$C$17="Normal",0,I138)))</f>
        <v>0</v>
      </c>
      <c r="R138" s="140">
        <f ca="1">IF(C138="","",R137+(E138+H138-IF(RESULTADOS!$C$17="Normal",I138,0)-J138)/2)</f>
        <v>0</v>
      </c>
      <c r="S138" s="140">
        <f t="shared" ca="1" si="20"/>
        <v>0</v>
      </c>
      <c r="U138" s="164" t="str">
        <f t="shared" ca="1" si="21"/>
        <v/>
      </c>
      <c r="V138" s="164" t="str">
        <f t="shared" ca="1" si="18"/>
        <v/>
      </c>
      <c r="W138" s="140">
        <f ca="1">IF(OR((W137-13/12*Z137)*(1+PREMISSAS!$C$16)&lt;0,W137=""),0,(W137-13/12*Z137)*(1+PREMISSAS!$C$16))</f>
        <v>0</v>
      </c>
      <c r="X138" s="140">
        <f ca="1">IF(OR((X137-13/12*AA137)*(1+PREMISSAS!$C$16)&lt;0,X137=""),0,(X137-13/12*AA137)*(1+PREMISSAS!$C$16))</f>
        <v>0</v>
      </c>
      <c r="Y138" s="140">
        <f t="shared" ca="1" si="19"/>
        <v>0</v>
      </c>
      <c r="Z138" s="167">
        <f t="shared" ca="1" si="22"/>
        <v>0</v>
      </c>
      <c r="AA138" s="167">
        <f t="shared" ca="1" si="23"/>
        <v>0</v>
      </c>
    </row>
    <row r="139" spans="2:27" x14ac:dyDescent="0.25">
      <c r="B139" s="21">
        <f ca="1">IF(B138="","",IF(EOMONTH(B138,1)&gt;EOMONTH(ELEGIBILIDADE!$J$17,0),"",EOMONTH(B138,1)))</f>
        <v>47634</v>
      </c>
      <c r="C139" s="22">
        <f ca="1">IF(B139="","",IF(MONTH(B139)=1,C138*(1+PREMISSAS!$C$57),C138))</f>
        <v>0</v>
      </c>
      <c r="D139" s="22">
        <f ca="1">IF(RESULTADOS!$C$17="Normal",IFERROR(MAX(C139-PREMISSAS!$C$13,0),0),IF(Painel!$I$23=0,0,MAX(10*PREMISSAS!$C$38,RESULTADOS!$F$17)))</f>
        <v>0</v>
      </c>
      <c r="E139" s="4">
        <f ca="1">D139*IF(RESULTADOS!$C$17="Normal",RESULTADOS!$C$16,0)</f>
        <v>0</v>
      </c>
      <c r="F139" s="4">
        <f ca="1">IFERROR(IF(RESULTADOS!$C$17="Normal",D139,C139)*RESULTADOS!$C$18,0)</f>
        <v>0</v>
      </c>
      <c r="G139" s="4">
        <f ca="1">IFERROR(IF(RESULTADOS!$C$17="Normal",0,D139)*IF(RESULTADOS!$C$17="Normal",RESULTADOS!$C$18,RESULTADOS!$C$16),0)</f>
        <v>0</v>
      </c>
      <c r="H139" s="4">
        <f ca="1">IF(RESULTADOS!$C$17="Normal",E139,0)</f>
        <v>0</v>
      </c>
      <c r="I139" s="4">
        <f ca="1">(E139+H139+G139)*PREMISSAS!$C$60</f>
        <v>0</v>
      </c>
      <c r="J139" s="4">
        <f ca="1">D139*IF(RESULTADOS!$C$17="Normal",PREMISSAS!$C$62,0)</f>
        <v>0</v>
      </c>
      <c r="K139" s="116">
        <f ca="1">IFERROR(K138*(1+PREMISSAS!$C$18)+(E139+H139-IF(RESULTADOS!$C$17="Normal",I139,0)-J139)*IF(MONTH(B139)=12,2,1),0)</f>
        <v>0</v>
      </c>
      <c r="L139" s="116">
        <f ca="1">IFERROR((L138+G139-IF(RESULTADOS!$C$17="Normal",0,I139))*(1+PREMISSAS!$C$18)+F139,0)</f>
        <v>0</v>
      </c>
      <c r="N139" s="73">
        <f t="shared" ca="1" si="16"/>
        <v>0</v>
      </c>
      <c r="P139" s="164">
        <f t="shared" ca="1" si="17"/>
        <v>47634</v>
      </c>
      <c r="Q139" s="140">
        <f ca="1">IF(C139="","",Q138+(E139+H139-IF(RESULTADOS!$C$17="Normal",I139,0)-J139)/2+(F139+G139-IF(RESULTADOS!$C$17="Normal",0,I139)))</f>
        <v>0</v>
      </c>
      <c r="R139" s="140">
        <f ca="1">IF(C139="","",R138+(E139+H139-IF(RESULTADOS!$C$17="Normal",I139,0)-J139)/2)</f>
        <v>0</v>
      </c>
      <c r="S139" s="140">
        <f t="shared" ca="1" si="20"/>
        <v>0</v>
      </c>
      <c r="U139" s="164" t="str">
        <f t="shared" ca="1" si="21"/>
        <v/>
      </c>
      <c r="V139" s="164" t="str">
        <f t="shared" ca="1" si="18"/>
        <v/>
      </c>
      <c r="W139" s="140">
        <f ca="1">IF(OR((W138-13/12*Z138)*(1+PREMISSAS!$C$16)&lt;0,W138=""),0,(W138-13/12*Z138)*(1+PREMISSAS!$C$16))</f>
        <v>0</v>
      </c>
      <c r="X139" s="140">
        <f ca="1">IF(OR((X138-13/12*AA138)*(1+PREMISSAS!$C$16)&lt;0,X138=""),0,(X138-13/12*AA138)*(1+PREMISSAS!$C$16))</f>
        <v>0</v>
      </c>
      <c r="Y139" s="140">
        <f t="shared" ca="1" si="19"/>
        <v>0</v>
      </c>
      <c r="Z139" s="167">
        <f t="shared" ca="1" si="22"/>
        <v>0</v>
      </c>
      <c r="AA139" s="167">
        <f t="shared" ca="1" si="23"/>
        <v>0</v>
      </c>
    </row>
    <row r="140" spans="2:27" x14ac:dyDescent="0.25">
      <c r="B140" s="21">
        <f ca="1">IF(B139="","",IF(EOMONTH(B139,1)&gt;EOMONTH(ELEGIBILIDADE!$J$17,0),"",EOMONTH(B139,1)))</f>
        <v>47664</v>
      </c>
      <c r="C140" s="22">
        <f ca="1">IF(B140="","",IF(MONTH(B140)=1,C139*(1+PREMISSAS!$C$57),C139))</f>
        <v>0</v>
      </c>
      <c r="D140" s="22">
        <f ca="1">IF(RESULTADOS!$C$17="Normal",IFERROR(MAX(C140-PREMISSAS!$C$13,0),0),IF(Painel!$I$23=0,0,MAX(10*PREMISSAS!$C$38,RESULTADOS!$F$17)))</f>
        <v>0</v>
      </c>
      <c r="E140" s="4">
        <f ca="1">D140*IF(RESULTADOS!$C$17="Normal",RESULTADOS!$C$16,0)</f>
        <v>0</v>
      </c>
      <c r="F140" s="4">
        <f ca="1">IFERROR(IF(RESULTADOS!$C$17="Normal",D140,C140)*RESULTADOS!$C$18,0)</f>
        <v>0</v>
      </c>
      <c r="G140" s="4">
        <f ca="1">IFERROR(IF(RESULTADOS!$C$17="Normal",0,D140)*IF(RESULTADOS!$C$17="Normal",RESULTADOS!$C$18,RESULTADOS!$C$16),0)</f>
        <v>0</v>
      </c>
      <c r="H140" s="4">
        <f ca="1">IF(RESULTADOS!$C$17="Normal",E140,0)</f>
        <v>0</v>
      </c>
      <c r="I140" s="4">
        <f ca="1">(E140+H140+G140)*PREMISSAS!$C$60</f>
        <v>0</v>
      </c>
      <c r="J140" s="4">
        <f ca="1">D140*IF(RESULTADOS!$C$17="Normal",PREMISSAS!$C$62,0)</f>
        <v>0</v>
      </c>
      <c r="K140" s="116">
        <f ca="1">IFERROR(K139*(1+PREMISSAS!$C$18)+(E140+H140-IF(RESULTADOS!$C$17="Normal",I140,0)-J140)*IF(MONTH(B140)=12,2,1),0)</f>
        <v>0</v>
      </c>
      <c r="L140" s="116">
        <f ca="1">IFERROR((L139+G140-IF(RESULTADOS!$C$17="Normal",0,I140))*(1+PREMISSAS!$C$18)+F140,0)</f>
        <v>0</v>
      </c>
      <c r="N140" s="73">
        <f t="shared" ca="1" si="16"/>
        <v>0</v>
      </c>
      <c r="P140" s="164">
        <f t="shared" ca="1" si="17"/>
        <v>47664</v>
      </c>
      <c r="Q140" s="140">
        <f ca="1">IF(C140="","",Q139+(E140+H140-IF(RESULTADOS!$C$17="Normal",I140,0)-J140)/2+(F140+G140-IF(RESULTADOS!$C$17="Normal",0,I140)))</f>
        <v>0</v>
      </c>
      <c r="R140" s="140">
        <f ca="1">IF(C140="","",R139+(E140+H140-IF(RESULTADOS!$C$17="Normal",I140,0)-J140)/2)</f>
        <v>0</v>
      </c>
      <c r="S140" s="140">
        <f t="shared" ca="1" si="20"/>
        <v>0</v>
      </c>
      <c r="U140" s="164" t="str">
        <f t="shared" ca="1" si="21"/>
        <v/>
      </c>
      <c r="V140" s="164" t="str">
        <f t="shared" ca="1" si="18"/>
        <v/>
      </c>
      <c r="W140" s="140">
        <f ca="1">IF(OR((W139-13/12*Z139)*(1+PREMISSAS!$C$16)&lt;0,W139=""),0,(W139-13/12*Z139)*(1+PREMISSAS!$C$16))</f>
        <v>0</v>
      </c>
      <c r="X140" s="140">
        <f ca="1">IF(OR((X139-13/12*AA139)*(1+PREMISSAS!$C$16)&lt;0,X139=""),0,(X139-13/12*AA139)*(1+PREMISSAS!$C$16))</f>
        <v>0</v>
      </c>
      <c r="Y140" s="140">
        <f t="shared" ca="1" si="19"/>
        <v>0</v>
      </c>
      <c r="Z140" s="167">
        <f t="shared" ca="1" si="22"/>
        <v>0</v>
      </c>
      <c r="AA140" s="167">
        <f t="shared" ca="1" si="23"/>
        <v>0</v>
      </c>
    </row>
    <row r="141" spans="2:27" x14ac:dyDescent="0.25">
      <c r="B141" s="21">
        <f ca="1">IF(B140="","",IF(EOMONTH(B140,1)&gt;EOMONTH(ELEGIBILIDADE!$J$17,0),"",EOMONTH(B140,1)))</f>
        <v>47695</v>
      </c>
      <c r="C141" s="22">
        <f ca="1">IF(B141="","",IF(MONTH(B141)=1,C140*(1+PREMISSAS!$C$57),C140))</f>
        <v>0</v>
      </c>
      <c r="D141" s="22">
        <f ca="1">IF(RESULTADOS!$C$17="Normal",IFERROR(MAX(C141-PREMISSAS!$C$13,0),0),IF(Painel!$I$23=0,0,MAX(10*PREMISSAS!$C$38,RESULTADOS!$F$17)))</f>
        <v>0</v>
      </c>
      <c r="E141" s="4">
        <f ca="1">D141*IF(RESULTADOS!$C$17="Normal",RESULTADOS!$C$16,0)</f>
        <v>0</v>
      </c>
      <c r="F141" s="4">
        <f ca="1">IFERROR(IF(RESULTADOS!$C$17="Normal",D141,C141)*RESULTADOS!$C$18,0)</f>
        <v>0</v>
      </c>
      <c r="G141" s="4">
        <f ca="1">IFERROR(IF(RESULTADOS!$C$17="Normal",0,D141)*IF(RESULTADOS!$C$17="Normal",RESULTADOS!$C$18,RESULTADOS!$C$16),0)</f>
        <v>0</v>
      </c>
      <c r="H141" s="4">
        <f ca="1">IF(RESULTADOS!$C$17="Normal",E141,0)</f>
        <v>0</v>
      </c>
      <c r="I141" s="4">
        <f ca="1">(E141+H141+G141)*PREMISSAS!$C$60</f>
        <v>0</v>
      </c>
      <c r="J141" s="4">
        <f ca="1">D141*IF(RESULTADOS!$C$17="Normal",PREMISSAS!$C$62,0)</f>
        <v>0</v>
      </c>
      <c r="K141" s="116">
        <f ca="1">IFERROR(K140*(1+PREMISSAS!$C$18)+(E141+H141-IF(RESULTADOS!$C$17="Normal",I141,0)-J141)*IF(MONTH(B141)=12,2,1),0)</f>
        <v>0</v>
      </c>
      <c r="L141" s="116">
        <f ca="1">IFERROR((L140+G141-IF(RESULTADOS!$C$17="Normal",0,I141))*(1+PREMISSAS!$C$18)+F141,0)</f>
        <v>0</v>
      </c>
      <c r="N141" s="73">
        <f t="shared" ca="1" si="16"/>
        <v>0</v>
      </c>
      <c r="P141" s="164">
        <f t="shared" ca="1" si="17"/>
        <v>47695</v>
      </c>
      <c r="Q141" s="140">
        <f ca="1">IF(C141="","",Q140+(E141+H141-IF(RESULTADOS!$C$17="Normal",I141,0)-J141)/2+(F141+G141-IF(RESULTADOS!$C$17="Normal",0,I141)))</f>
        <v>0</v>
      </c>
      <c r="R141" s="140">
        <f ca="1">IF(C141="","",R140+(E141+H141-IF(RESULTADOS!$C$17="Normal",I141,0)-J141)/2)</f>
        <v>0</v>
      </c>
      <c r="S141" s="140">
        <f t="shared" ca="1" si="20"/>
        <v>0</v>
      </c>
      <c r="U141" s="164" t="str">
        <f t="shared" ca="1" si="21"/>
        <v/>
      </c>
      <c r="V141" s="164" t="str">
        <f t="shared" ca="1" si="18"/>
        <v/>
      </c>
      <c r="W141" s="140">
        <f ca="1">IF(OR((W140-13/12*Z140)*(1+PREMISSAS!$C$16)&lt;0,W140=""),0,(W140-13/12*Z140)*(1+PREMISSAS!$C$16))</f>
        <v>0</v>
      </c>
      <c r="X141" s="140">
        <f ca="1">IF(OR((X140-13/12*AA140)*(1+PREMISSAS!$C$16)&lt;0,X140=""),0,(X140-13/12*AA140)*(1+PREMISSAS!$C$16))</f>
        <v>0</v>
      </c>
      <c r="Y141" s="140">
        <f t="shared" ca="1" si="19"/>
        <v>0</v>
      </c>
      <c r="Z141" s="167">
        <f t="shared" ca="1" si="22"/>
        <v>0</v>
      </c>
      <c r="AA141" s="167">
        <f t="shared" ca="1" si="23"/>
        <v>0</v>
      </c>
    </row>
    <row r="142" spans="2:27" x14ac:dyDescent="0.25">
      <c r="B142" s="21">
        <f ca="1">IF(B141="","",IF(EOMONTH(B141,1)&gt;EOMONTH(ELEGIBILIDADE!$J$17,0),"",EOMONTH(B141,1)))</f>
        <v>47726</v>
      </c>
      <c r="C142" s="22">
        <f ca="1">IF(B142="","",IF(MONTH(B142)=1,C141*(1+PREMISSAS!$C$57),C141))</f>
        <v>0</v>
      </c>
      <c r="D142" s="22">
        <f ca="1">IF(RESULTADOS!$C$17="Normal",IFERROR(MAX(C142-PREMISSAS!$C$13,0),0),IF(Painel!$I$23=0,0,MAX(10*PREMISSAS!$C$38,RESULTADOS!$F$17)))</f>
        <v>0</v>
      </c>
      <c r="E142" s="4">
        <f ca="1">D142*IF(RESULTADOS!$C$17="Normal",RESULTADOS!$C$16,0)</f>
        <v>0</v>
      </c>
      <c r="F142" s="4">
        <f ca="1">IFERROR(IF(RESULTADOS!$C$17="Normal",D142,C142)*RESULTADOS!$C$18,0)</f>
        <v>0</v>
      </c>
      <c r="G142" s="4">
        <f ca="1">IFERROR(IF(RESULTADOS!$C$17="Normal",0,D142)*IF(RESULTADOS!$C$17="Normal",RESULTADOS!$C$18,RESULTADOS!$C$16),0)</f>
        <v>0</v>
      </c>
      <c r="H142" s="4">
        <f ca="1">IF(RESULTADOS!$C$17="Normal",E142,0)</f>
        <v>0</v>
      </c>
      <c r="I142" s="4">
        <f ca="1">(E142+H142+G142)*PREMISSAS!$C$60</f>
        <v>0</v>
      </c>
      <c r="J142" s="4">
        <f ca="1">D142*IF(RESULTADOS!$C$17="Normal",PREMISSAS!$C$62,0)</f>
        <v>0</v>
      </c>
      <c r="K142" s="116">
        <f ca="1">IFERROR(K141*(1+PREMISSAS!$C$18)+(E142+H142-IF(RESULTADOS!$C$17="Normal",I142,0)-J142)*IF(MONTH(B142)=12,2,1),0)</f>
        <v>0</v>
      </c>
      <c r="L142" s="116">
        <f ca="1">IFERROR((L141+G142-IF(RESULTADOS!$C$17="Normal",0,I142))*(1+PREMISSAS!$C$18)+F142,0)</f>
        <v>0</v>
      </c>
      <c r="N142" s="73">
        <f t="shared" ca="1" si="16"/>
        <v>0</v>
      </c>
      <c r="P142" s="164">
        <f t="shared" ca="1" si="17"/>
        <v>47726</v>
      </c>
      <c r="Q142" s="140">
        <f ca="1">IF(C142="","",Q141+(E142+H142-IF(RESULTADOS!$C$17="Normal",I142,0)-J142)/2+(F142+G142-IF(RESULTADOS!$C$17="Normal",0,I142)))</f>
        <v>0</v>
      </c>
      <c r="R142" s="140">
        <f ca="1">IF(C142="","",R141+(E142+H142-IF(RESULTADOS!$C$17="Normal",I142,0)-J142)/2)</f>
        <v>0</v>
      </c>
      <c r="S142" s="140">
        <f t="shared" ca="1" si="20"/>
        <v>0</v>
      </c>
      <c r="U142" s="164" t="str">
        <f t="shared" ca="1" si="21"/>
        <v/>
      </c>
      <c r="V142" s="164" t="str">
        <f t="shared" ca="1" si="18"/>
        <v/>
      </c>
      <c r="W142" s="140">
        <f ca="1">IF(OR((W141-13/12*Z141)*(1+PREMISSAS!$C$16)&lt;0,W141=""),0,(W141-13/12*Z141)*(1+PREMISSAS!$C$16))</f>
        <v>0</v>
      </c>
      <c r="X142" s="140">
        <f ca="1">IF(OR((X141-13/12*AA141)*(1+PREMISSAS!$C$16)&lt;0,X141=""),0,(X141-13/12*AA141)*(1+PREMISSAS!$C$16))</f>
        <v>0</v>
      </c>
      <c r="Y142" s="140">
        <f t="shared" ca="1" si="19"/>
        <v>0</v>
      </c>
      <c r="Z142" s="167">
        <f t="shared" ca="1" si="22"/>
        <v>0</v>
      </c>
      <c r="AA142" s="167">
        <f t="shared" ca="1" si="23"/>
        <v>0</v>
      </c>
    </row>
    <row r="143" spans="2:27" x14ac:dyDescent="0.25">
      <c r="B143" s="21">
        <f ca="1">IF(B142="","",IF(EOMONTH(B142,1)&gt;EOMONTH(ELEGIBILIDADE!$J$17,0),"",EOMONTH(B142,1)))</f>
        <v>47756</v>
      </c>
      <c r="C143" s="22">
        <f ca="1">IF(B143="","",IF(MONTH(B143)=1,C142*(1+PREMISSAS!$C$57),C142))</f>
        <v>0</v>
      </c>
      <c r="D143" s="22">
        <f ca="1">IF(RESULTADOS!$C$17="Normal",IFERROR(MAX(C143-PREMISSAS!$C$13,0),0),IF(Painel!$I$23=0,0,MAX(10*PREMISSAS!$C$38,RESULTADOS!$F$17)))</f>
        <v>0</v>
      </c>
      <c r="E143" s="4">
        <f ca="1">D143*IF(RESULTADOS!$C$17="Normal",RESULTADOS!$C$16,0)</f>
        <v>0</v>
      </c>
      <c r="F143" s="4">
        <f ca="1">IFERROR(IF(RESULTADOS!$C$17="Normal",D143,C143)*RESULTADOS!$C$18,0)</f>
        <v>0</v>
      </c>
      <c r="G143" s="4">
        <f ca="1">IFERROR(IF(RESULTADOS!$C$17="Normal",0,D143)*IF(RESULTADOS!$C$17="Normal",RESULTADOS!$C$18,RESULTADOS!$C$16),0)</f>
        <v>0</v>
      </c>
      <c r="H143" s="4">
        <f ca="1">IF(RESULTADOS!$C$17="Normal",E143,0)</f>
        <v>0</v>
      </c>
      <c r="I143" s="4">
        <f ca="1">(E143+H143+G143)*PREMISSAS!$C$60</f>
        <v>0</v>
      </c>
      <c r="J143" s="4">
        <f ca="1">D143*IF(RESULTADOS!$C$17="Normal",PREMISSAS!$C$62,0)</f>
        <v>0</v>
      </c>
      <c r="K143" s="116">
        <f ca="1">IFERROR(K142*(1+PREMISSAS!$C$18)+(E143+H143-IF(RESULTADOS!$C$17="Normal",I143,0)-J143)*IF(MONTH(B143)=12,2,1),0)</f>
        <v>0</v>
      </c>
      <c r="L143" s="116">
        <f ca="1">IFERROR((L142+G143-IF(RESULTADOS!$C$17="Normal",0,I143))*(1+PREMISSAS!$C$18)+F143,0)</f>
        <v>0</v>
      </c>
      <c r="N143" s="73">
        <f t="shared" ca="1" si="16"/>
        <v>0</v>
      </c>
      <c r="P143" s="164">
        <f t="shared" ca="1" si="17"/>
        <v>47756</v>
      </c>
      <c r="Q143" s="140">
        <f ca="1">IF(C143="","",Q142+(E143+H143-IF(RESULTADOS!$C$17="Normal",I143,0)-J143)/2+(F143+G143-IF(RESULTADOS!$C$17="Normal",0,I143)))</f>
        <v>0</v>
      </c>
      <c r="R143" s="140">
        <f ca="1">IF(C143="","",R142+(E143+H143-IF(RESULTADOS!$C$17="Normal",I143,0)-J143)/2)</f>
        <v>0</v>
      </c>
      <c r="S143" s="140">
        <f t="shared" ca="1" si="20"/>
        <v>0</v>
      </c>
      <c r="U143" s="164" t="str">
        <f t="shared" ca="1" si="21"/>
        <v/>
      </c>
      <c r="V143" s="164" t="str">
        <f t="shared" ca="1" si="18"/>
        <v/>
      </c>
      <c r="W143" s="140">
        <f ca="1">IF(OR((W142-13/12*Z142)*(1+PREMISSAS!$C$16)&lt;0,W142=""),0,(W142-13/12*Z142)*(1+PREMISSAS!$C$16))</f>
        <v>0</v>
      </c>
      <c r="X143" s="140">
        <f ca="1">IF(OR((X142-13/12*AA142)*(1+PREMISSAS!$C$16)&lt;0,X142=""),0,(X142-13/12*AA142)*(1+PREMISSAS!$C$16))</f>
        <v>0</v>
      </c>
      <c r="Y143" s="140">
        <f t="shared" ca="1" si="19"/>
        <v>0</v>
      </c>
      <c r="Z143" s="167">
        <f t="shared" ca="1" si="22"/>
        <v>0</v>
      </c>
      <c r="AA143" s="167">
        <f t="shared" ca="1" si="23"/>
        <v>0</v>
      </c>
    </row>
    <row r="144" spans="2:27" x14ac:dyDescent="0.25">
      <c r="B144" s="21">
        <f ca="1">IF(B143="","",IF(EOMONTH(B143,1)&gt;EOMONTH(ELEGIBILIDADE!$J$17,0),"",EOMONTH(B143,1)))</f>
        <v>47787</v>
      </c>
      <c r="C144" s="22">
        <f ca="1">IF(B144="","",IF(MONTH(B144)=1,C143*(1+PREMISSAS!$C$57),C143))</f>
        <v>0</v>
      </c>
      <c r="D144" s="22">
        <f ca="1">IF(RESULTADOS!$C$17="Normal",IFERROR(MAX(C144-PREMISSAS!$C$13,0),0),IF(Painel!$I$23=0,0,MAX(10*PREMISSAS!$C$38,RESULTADOS!$F$17)))</f>
        <v>0</v>
      </c>
      <c r="E144" s="4">
        <f ca="1">D144*IF(RESULTADOS!$C$17="Normal",RESULTADOS!$C$16,0)</f>
        <v>0</v>
      </c>
      <c r="F144" s="4">
        <f ca="1">IFERROR(IF(RESULTADOS!$C$17="Normal",D144,C144)*RESULTADOS!$C$18,0)</f>
        <v>0</v>
      </c>
      <c r="G144" s="4">
        <f ca="1">IFERROR(IF(RESULTADOS!$C$17="Normal",0,D144)*IF(RESULTADOS!$C$17="Normal",RESULTADOS!$C$18,RESULTADOS!$C$16),0)</f>
        <v>0</v>
      </c>
      <c r="H144" s="4">
        <f ca="1">IF(RESULTADOS!$C$17="Normal",E144,0)</f>
        <v>0</v>
      </c>
      <c r="I144" s="4">
        <f ca="1">(E144+H144+G144)*PREMISSAS!$C$60</f>
        <v>0</v>
      </c>
      <c r="J144" s="4">
        <f ca="1">D144*IF(RESULTADOS!$C$17="Normal",PREMISSAS!$C$62,0)</f>
        <v>0</v>
      </c>
      <c r="K144" s="116">
        <f ca="1">IFERROR(K143*(1+PREMISSAS!$C$18)+(E144+H144-IF(RESULTADOS!$C$17="Normal",I144,0)-J144)*IF(MONTH(B144)=12,2,1),0)</f>
        <v>0</v>
      </c>
      <c r="L144" s="116">
        <f ca="1">IFERROR((L143+G144-IF(RESULTADOS!$C$17="Normal",0,I144))*(1+PREMISSAS!$C$18)+F144,0)</f>
        <v>0</v>
      </c>
      <c r="N144" s="73">
        <f t="shared" ca="1" si="16"/>
        <v>0</v>
      </c>
      <c r="P144" s="164">
        <f t="shared" ca="1" si="17"/>
        <v>47787</v>
      </c>
      <c r="Q144" s="140">
        <f ca="1">IF(C144="","",Q143+(E144+H144-IF(RESULTADOS!$C$17="Normal",I144,0)-J144)/2+(F144+G144-IF(RESULTADOS!$C$17="Normal",0,I144)))</f>
        <v>0</v>
      </c>
      <c r="R144" s="140">
        <f ca="1">IF(C144="","",R143+(E144+H144-IF(RESULTADOS!$C$17="Normal",I144,0)-J144)/2)</f>
        <v>0</v>
      </c>
      <c r="S144" s="140">
        <f t="shared" ca="1" si="20"/>
        <v>0</v>
      </c>
      <c r="U144" s="164" t="str">
        <f t="shared" ca="1" si="21"/>
        <v/>
      </c>
      <c r="V144" s="164" t="str">
        <f t="shared" ca="1" si="18"/>
        <v/>
      </c>
      <c r="W144" s="140">
        <f ca="1">IF(OR((W143-13/12*Z143)*(1+PREMISSAS!$C$16)&lt;0,W143=""),0,(W143-13/12*Z143)*(1+PREMISSAS!$C$16))</f>
        <v>0</v>
      </c>
      <c r="X144" s="140">
        <f ca="1">IF(OR((X143-13/12*AA143)*(1+PREMISSAS!$C$16)&lt;0,X143=""),0,(X143-13/12*AA143)*(1+PREMISSAS!$C$16))</f>
        <v>0</v>
      </c>
      <c r="Y144" s="140">
        <f t="shared" ca="1" si="19"/>
        <v>0</v>
      </c>
      <c r="Z144" s="167">
        <f t="shared" ca="1" si="22"/>
        <v>0</v>
      </c>
      <c r="AA144" s="167">
        <f t="shared" ca="1" si="23"/>
        <v>0</v>
      </c>
    </row>
    <row r="145" spans="2:27" x14ac:dyDescent="0.25">
      <c r="B145" s="21">
        <f ca="1">IF(B144="","",IF(EOMONTH(B144,1)&gt;EOMONTH(ELEGIBILIDADE!$J$17,0),"",EOMONTH(B144,1)))</f>
        <v>47817</v>
      </c>
      <c r="C145" s="22">
        <f ca="1">IF(B145="","",IF(MONTH(B145)=1,C144*(1+PREMISSAS!$C$57),C144))</f>
        <v>0</v>
      </c>
      <c r="D145" s="22">
        <f ca="1">IF(RESULTADOS!$C$17="Normal",IFERROR(MAX(C145-PREMISSAS!$C$13,0),0),IF(Painel!$I$23=0,0,MAX(10*PREMISSAS!$C$38,RESULTADOS!$F$17)))</f>
        <v>0</v>
      </c>
      <c r="E145" s="4">
        <f ca="1">D145*IF(RESULTADOS!$C$17="Normal",RESULTADOS!$C$16,0)</f>
        <v>0</v>
      </c>
      <c r="F145" s="4">
        <f ca="1">IFERROR(IF(RESULTADOS!$C$17="Normal",D145,C145)*RESULTADOS!$C$18,0)</f>
        <v>0</v>
      </c>
      <c r="G145" s="4">
        <f ca="1">IFERROR(IF(RESULTADOS!$C$17="Normal",0,D145)*IF(RESULTADOS!$C$17="Normal",RESULTADOS!$C$18,RESULTADOS!$C$16),0)</f>
        <v>0</v>
      </c>
      <c r="H145" s="4">
        <f ca="1">IF(RESULTADOS!$C$17="Normal",E145,0)</f>
        <v>0</v>
      </c>
      <c r="I145" s="4">
        <f ca="1">(E145+H145+G145)*PREMISSAS!$C$60</f>
        <v>0</v>
      </c>
      <c r="J145" s="4">
        <f ca="1">D145*IF(RESULTADOS!$C$17="Normal",PREMISSAS!$C$62,0)</f>
        <v>0</v>
      </c>
      <c r="K145" s="116">
        <f ca="1">IFERROR(K144*(1+PREMISSAS!$C$18)+(E145+H145-IF(RESULTADOS!$C$17="Normal",I145,0)-J145)*IF(MONTH(B145)=12,2,1),0)</f>
        <v>0</v>
      </c>
      <c r="L145" s="116">
        <f ca="1">IFERROR((L144+G145-IF(RESULTADOS!$C$17="Normal",0,I145))*(1+PREMISSAS!$C$18)+F145,0)</f>
        <v>0</v>
      </c>
      <c r="N145" s="73">
        <f t="shared" ca="1" si="16"/>
        <v>0</v>
      </c>
      <c r="P145" s="164">
        <f t="shared" ca="1" si="17"/>
        <v>47817</v>
      </c>
      <c r="Q145" s="140">
        <f ca="1">IF(C145="","",Q144+(E145+H145-IF(RESULTADOS!$C$17="Normal",I145,0)-J145)/2+(F145+G145-IF(RESULTADOS!$C$17="Normal",0,I145)))</f>
        <v>0</v>
      </c>
      <c r="R145" s="140">
        <f ca="1">IF(C145="","",R144+(E145+H145-IF(RESULTADOS!$C$17="Normal",I145,0)-J145)/2)</f>
        <v>0</v>
      </c>
      <c r="S145" s="140">
        <f t="shared" ca="1" si="20"/>
        <v>0</v>
      </c>
      <c r="U145" s="164" t="str">
        <f t="shared" ca="1" si="21"/>
        <v/>
      </c>
      <c r="V145" s="164" t="str">
        <f t="shared" ca="1" si="18"/>
        <v/>
      </c>
      <c r="W145" s="140">
        <f ca="1">IF(OR((W144-13/12*Z144)*(1+PREMISSAS!$C$16)&lt;0,W144=""),0,(W144-13/12*Z144)*(1+PREMISSAS!$C$16))</f>
        <v>0</v>
      </c>
      <c r="X145" s="140">
        <f ca="1">IF(OR((X144-13/12*AA144)*(1+PREMISSAS!$C$16)&lt;0,X144=""),0,(X144-13/12*AA144)*(1+PREMISSAS!$C$16))</f>
        <v>0</v>
      </c>
      <c r="Y145" s="140">
        <f t="shared" ca="1" si="19"/>
        <v>0</v>
      </c>
      <c r="Z145" s="167">
        <f t="shared" ca="1" si="22"/>
        <v>0</v>
      </c>
      <c r="AA145" s="167">
        <f t="shared" ca="1" si="23"/>
        <v>0</v>
      </c>
    </row>
    <row r="146" spans="2:27" x14ac:dyDescent="0.25">
      <c r="B146" s="21">
        <f ca="1">IF(B145="","",IF(EOMONTH(B145,1)&gt;EOMONTH(ELEGIBILIDADE!$J$17,0),"",EOMONTH(B145,1)))</f>
        <v>47848</v>
      </c>
      <c r="C146" s="22">
        <f ca="1">IF(B146="","",IF(MONTH(B146)=1,C145*(1+PREMISSAS!$C$57),C145))</f>
        <v>0</v>
      </c>
      <c r="D146" s="22">
        <f ca="1">IF(RESULTADOS!$C$17="Normal",IFERROR(MAX(C146-PREMISSAS!$C$13,0),0),IF(Painel!$I$23=0,0,MAX(10*PREMISSAS!$C$38,RESULTADOS!$F$17)))</f>
        <v>0</v>
      </c>
      <c r="E146" s="4">
        <f ca="1">D146*IF(RESULTADOS!$C$17="Normal",RESULTADOS!$C$16,0)</f>
        <v>0</v>
      </c>
      <c r="F146" s="4">
        <f ca="1">IFERROR(IF(RESULTADOS!$C$17="Normal",D146,C146)*RESULTADOS!$C$18,0)</f>
        <v>0</v>
      </c>
      <c r="G146" s="4">
        <f ca="1">IFERROR(IF(RESULTADOS!$C$17="Normal",0,D146)*IF(RESULTADOS!$C$17="Normal",RESULTADOS!$C$18,RESULTADOS!$C$16),0)</f>
        <v>0</v>
      </c>
      <c r="H146" s="4">
        <f ca="1">IF(RESULTADOS!$C$17="Normal",E146,0)</f>
        <v>0</v>
      </c>
      <c r="I146" s="4">
        <f ca="1">(E146+H146+G146)*PREMISSAS!$C$60</f>
        <v>0</v>
      </c>
      <c r="J146" s="4">
        <f ca="1">D146*IF(RESULTADOS!$C$17="Normal",PREMISSAS!$C$62,0)</f>
        <v>0</v>
      </c>
      <c r="K146" s="116">
        <f ca="1">IFERROR(K145*(1+PREMISSAS!$C$18)+(E146+H146-IF(RESULTADOS!$C$17="Normal",I146,0)-J146)*IF(MONTH(B146)=12,2,1),0)</f>
        <v>0</v>
      </c>
      <c r="L146" s="116">
        <f ca="1">IFERROR((L145+G146-IF(RESULTADOS!$C$17="Normal",0,I146))*(1+PREMISSAS!$C$18)+F146,0)</f>
        <v>0</v>
      </c>
      <c r="N146" s="73">
        <f t="shared" ca="1" si="16"/>
        <v>0</v>
      </c>
      <c r="P146" s="164">
        <f t="shared" ca="1" si="17"/>
        <v>47848</v>
      </c>
      <c r="Q146" s="140">
        <f ca="1">IF(C146="","",Q145+(E146+H146-IF(RESULTADOS!$C$17="Normal",I146,0)-J146)/2+(F146+G146-IF(RESULTADOS!$C$17="Normal",0,I146)))</f>
        <v>0</v>
      </c>
      <c r="R146" s="140">
        <f ca="1">IF(C146="","",R145+(E146+H146-IF(RESULTADOS!$C$17="Normal",I146,0)-J146)/2)</f>
        <v>0</v>
      </c>
      <c r="S146" s="140">
        <f t="shared" ca="1" si="20"/>
        <v>0</v>
      </c>
      <c r="U146" s="164" t="str">
        <f t="shared" ca="1" si="21"/>
        <v/>
      </c>
      <c r="V146" s="164" t="str">
        <f t="shared" ca="1" si="18"/>
        <v/>
      </c>
      <c r="W146" s="140">
        <f ca="1">IF(OR((W145-13/12*Z145)*(1+PREMISSAS!$C$16)&lt;0,W145=""),0,(W145-13/12*Z145)*(1+PREMISSAS!$C$16))</f>
        <v>0</v>
      </c>
      <c r="X146" s="140">
        <f ca="1">IF(OR((X145-13/12*AA145)*(1+PREMISSAS!$C$16)&lt;0,X145=""),0,(X145-13/12*AA145)*(1+PREMISSAS!$C$16))</f>
        <v>0</v>
      </c>
      <c r="Y146" s="140">
        <f t="shared" ca="1" si="19"/>
        <v>0</v>
      </c>
      <c r="Z146" s="167">
        <f t="shared" ca="1" si="22"/>
        <v>0</v>
      </c>
      <c r="AA146" s="167">
        <f t="shared" ca="1" si="23"/>
        <v>0</v>
      </c>
    </row>
    <row r="147" spans="2:27" x14ac:dyDescent="0.25">
      <c r="B147" s="21">
        <f ca="1">IF(B146="","",IF(EOMONTH(B146,1)&gt;EOMONTH(ELEGIBILIDADE!$J$17,0),"",EOMONTH(B146,1)))</f>
        <v>47879</v>
      </c>
      <c r="C147" s="22">
        <f ca="1">IF(B147="","",IF(MONTH(B147)=1,C146*(1+PREMISSAS!$C$57),C146))</f>
        <v>0</v>
      </c>
      <c r="D147" s="22">
        <f ca="1">IF(RESULTADOS!$C$17="Normal",IFERROR(MAX(C147-PREMISSAS!$C$13,0),0),IF(Painel!$I$23=0,0,MAX(10*PREMISSAS!$C$38,RESULTADOS!$F$17)))</f>
        <v>0</v>
      </c>
      <c r="E147" s="4">
        <f ca="1">D147*IF(RESULTADOS!$C$17="Normal",RESULTADOS!$C$16,0)</f>
        <v>0</v>
      </c>
      <c r="F147" s="4">
        <f ca="1">IFERROR(IF(RESULTADOS!$C$17="Normal",D147,C147)*RESULTADOS!$C$18,0)</f>
        <v>0</v>
      </c>
      <c r="G147" s="4">
        <f ca="1">IFERROR(IF(RESULTADOS!$C$17="Normal",0,D147)*IF(RESULTADOS!$C$17="Normal",RESULTADOS!$C$18,RESULTADOS!$C$16),0)</f>
        <v>0</v>
      </c>
      <c r="H147" s="4">
        <f ca="1">IF(RESULTADOS!$C$17="Normal",E147,0)</f>
        <v>0</v>
      </c>
      <c r="I147" s="4">
        <f ca="1">(E147+H147+G147)*PREMISSAS!$C$60</f>
        <v>0</v>
      </c>
      <c r="J147" s="4">
        <f ca="1">D147*IF(RESULTADOS!$C$17="Normal",PREMISSAS!$C$62,0)</f>
        <v>0</v>
      </c>
      <c r="K147" s="116">
        <f ca="1">IFERROR(K146*(1+PREMISSAS!$C$18)+(E147+H147-IF(RESULTADOS!$C$17="Normal",I147,0)-J147)*IF(MONTH(B147)=12,2,1),0)</f>
        <v>0</v>
      </c>
      <c r="L147" s="116">
        <f ca="1">IFERROR((L146+G147-IF(RESULTADOS!$C$17="Normal",0,I147))*(1+PREMISSAS!$C$18)+F147,0)</f>
        <v>0</v>
      </c>
      <c r="N147" s="73">
        <f t="shared" ca="1" si="16"/>
        <v>0</v>
      </c>
      <c r="P147" s="164">
        <f t="shared" ca="1" si="17"/>
        <v>47879</v>
      </c>
      <c r="Q147" s="140">
        <f ca="1">IF(C147="","",Q146+(E147+H147-IF(RESULTADOS!$C$17="Normal",I147,0)-J147)/2+(F147+G147-IF(RESULTADOS!$C$17="Normal",0,I147)))</f>
        <v>0</v>
      </c>
      <c r="R147" s="140">
        <f ca="1">IF(C147="","",R146+(E147+H147-IF(RESULTADOS!$C$17="Normal",I147,0)-J147)/2)</f>
        <v>0</v>
      </c>
      <c r="S147" s="140">
        <f t="shared" ca="1" si="20"/>
        <v>0</v>
      </c>
      <c r="U147" s="164" t="str">
        <f t="shared" ca="1" si="21"/>
        <v/>
      </c>
      <c r="V147" s="164" t="str">
        <f t="shared" ca="1" si="18"/>
        <v/>
      </c>
      <c r="W147" s="140">
        <f ca="1">IF(OR((W146-13/12*Z146)*(1+PREMISSAS!$C$16)&lt;0,W146=""),0,(W146-13/12*Z146)*(1+PREMISSAS!$C$16))</f>
        <v>0</v>
      </c>
      <c r="X147" s="140">
        <f ca="1">IF(OR((X146-13/12*AA146)*(1+PREMISSAS!$C$16)&lt;0,X146=""),0,(X146-13/12*AA146)*(1+PREMISSAS!$C$16))</f>
        <v>0</v>
      </c>
      <c r="Y147" s="140">
        <f t="shared" ca="1" si="19"/>
        <v>0</v>
      </c>
      <c r="Z147" s="167">
        <f t="shared" ca="1" si="22"/>
        <v>0</v>
      </c>
      <c r="AA147" s="167">
        <f t="shared" ca="1" si="23"/>
        <v>0</v>
      </c>
    </row>
    <row r="148" spans="2:27" x14ac:dyDescent="0.25">
      <c r="B148" s="21">
        <f ca="1">IF(B147="","",IF(EOMONTH(B147,1)&gt;EOMONTH(ELEGIBILIDADE!$J$17,0),"",EOMONTH(B147,1)))</f>
        <v>47907</v>
      </c>
      <c r="C148" s="22">
        <f ca="1">IF(B148="","",IF(MONTH(B148)=1,C147*(1+PREMISSAS!$C$57),C147))</f>
        <v>0</v>
      </c>
      <c r="D148" s="22">
        <f ca="1">IF(RESULTADOS!$C$17="Normal",IFERROR(MAX(C148-PREMISSAS!$C$13,0),0),IF(Painel!$I$23=0,0,MAX(10*PREMISSAS!$C$38,RESULTADOS!$F$17)))</f>
        <v>0</v>
      </c>
      <c r="E148" s="4">
        <f ca="1">D148*IF(RESULTADOS!$C$17="Normal",RESULTADOS!$C$16,0)</f>
        <v>0</v>
      </c>
      <c r="F148" s="4">
        <f ca="1">IFERROR(IF(RESULTADOS!$C$17="Normal",D148,C148)*RESULTADOS!$C$18,0)</f>
        <v>0</v>
      </c>
      <c r="G148" s="4">
        <f ca="1">IFERROR(IF(RESULTADOS!$C$17="Normal",0,D148)*IF(RESULTADOS!$C$17="Normal",RESULTADOS!$C$18,RESULTADOS!$C$16),0)</f>
        <v>0</v>
      </c>
      <c r="H148" s="4">
        <f ca="1">IF(RESULTADOS!$C$17="Normal",E148,0)</f>
        <v>0</v>
      </c>
      <c r="I148" s="4">
        <f ca="1">(E148+H148+G148)*PREMISSAS!$C$60</f>
        <v>0</v>
      </c>
      <c r="J148" s="4">
        <f ca="1">D148*IF(RESULTADOS!$C$17="Normal",PREMISSAS!$C$62,0)</f>
        <v>0</v>
      </c>
      <c r="K148" s="116">
        <f ca="1">IFERROR(K147*(1+PREMISSAS!$C$18)+(E148+H148-IF(RESULTADOS!$C$17="Normal",I148,0)-J148)*IF(MONTH(B148)=12,2,1),0)</f>
        <v>0</v>
      </c>
      <c r="L148" s="116">
        <f ca="1">IFERROR((L147+G148-IF(RESULTADOS!$C$17="Normal",0,I148))*(1+PREMISSAS!$C$18)+F148,0)</f>
        <v>0</v>
      </c>
      <c r="N148" s="73">
        <f t="shared" ca="1" si="16"/>
        <v>0</v>
      </c>
      <c r="P148" s="164">
        <f t="shared" ca="1" si="17"/>
        <v>47907</v>
      </c>
      <c r="Q148" s="140">
        <f ca="1">IF(C148="","",Q147+(E148+H148-IF(RESULTADOS!$C$17="Normal",I148,0)-J148)/2+(F148+G148-IF(RESULTADOS!$C$17="Normal",0,I148)))</f>
        <v>0</v>
      </c>
      <c r="R148" s="140">
        <f ca="1">IF(C148="","",R147+(E148+H148-IF(RESULTADOS!$C$17="Normal",I148,0)-J148)/2)</f>
        <v>0</v>
      </c>
      <c r="S148" s="140">
        <f t="shared" ca="1" si="20"/>
        <v>0</v>
      </c>
      <c r="U148" s="164" t="str">
        <f t="shared" ca="1" si="21"/>
        <v/>
      </c>
      <c r="V148" s="164" t="str">
        <f t="shared" ca="1" si="18"/>
        <v/>
      </c>
      <c r="W148" s="140">
        <f ca="1">IF(OR((W147-13/12*Z147)*(1+PREMISSAS!$C$16)&lt;0,W147=""),0,(W147-13/12*Z147)*(1+PREMISSAS!$C$16))</f>
        <v>0</v>
      </c>
      <c r="X148" s="140">
        <f ca="1">IF(OR((X147-13/12*AA147)*(1+PREMISSAS!$C$16)&lt;0,X147=""),0,(X147-13/12*AA147)*(1+PREMISSAS!$C$16))</f>
        <v>0</v>
      </c>
      <c r="Y148" s="140">
        <f t="shared" ca="1" si="19"/>
        <v>0</v>
      </c>
      <c r="Z148" s="167">
        <f t="shared" ca="1" si="22"/>
        <v>0</v>
      </c>
      <c r="AA148" s="167">
        <f t="shared" ca="1" si="23"/>
        <v>0</v>
      </c>
    </row>
    <row r="149" spans="2:27" x14ac:dyDescent="0.25">
      <c r="B149" s="21">
        <f ca="1">IF(B148="","",IF(EOMONTH(B148,1)&gt;EOMONTH(ELEGIBILIDADE!$J$17,0),"",EOMONTH(B148,1)))</f>
        <v>47938</v>
      </c>
      <c r="C149" s="22">
        <f ca="1">IF(B149="","",IF(MONTH(B149)=1,C148*(1+PREMISSAS!$C$57),C148))</f>
        <v>0</v>
      </c>
      <c r="D149" s="22">
        <f ca="1">IF(RESULTADOS!$C$17="Normal",IFERROR(MAX(C149-PREMISSAS!$C$13,0),0),IF(Painel!$I$23=0,0,MAX(10*PREMISSAS!$C$38,RESULTADOS!$F$17)))</f>
        <v>0</v>
      </c>
      <c r="E149" s="4">
        <f ca="1">D149*IF(RESULTADOS!$C$17="Normal",RESULTADOS!$C$16,0)</f>
        <v>0</v>
      </c>
      <c r="F149" s="4">
        <f ca="1">IFERROR(IF(RESULTADOS!$C$17="Normal",D149,C149)*RESULTADOS!$C$18,0)</f>
        <v>0</v>
      </c>
      <c r="G149" s="4">
        <f ca="1">IFERROR(IF(RESULTADOS!$C$17="Normal",0,D149)*IF(RESULTADOS!$C$17="Normal",RESULTADOS!$C$18,RESULTADOS!$C$16),0)</f>
        <v>0</v>
      </c>
      <c r="H149" s="4">
        <f ca="1">IF(RESULTADOS!$C$17="Normal",E149,0)</f>
        <v>0</v>
      </c>
      <c r="I149" s="4">
        <f ca="1">(E149+H149+G149)*PREMISSAS!$C$60</f>
        <v>0</v>
      </c>
      <c r="J149" s="4">
        <f ca="1">D149*IF(RESULTADOS!$C$17="Normal",PREMISSAS!$C$62,0)</f>
        <v>0</v>
      </c>
      <c r="K149" s="116">
        <f ca="1">IFERROR(K148*(1+PREMISSAS!$C$18)+(E149+H149-IF(RESULTADOS!$C$17="Normal",I149,0)-J149)*IF(MONTH(B149)=12,2,1),0)</f>
        <v>0</v>
      </c>
      <c r="L149" s="116">
        <f ca="1">IFERROR((L148+G149-IF(RESULTADOS!$C$17="Normal",0,I149))*(1+PREMISSAS!$C$18)+F149,0)</f>
        <v>0</v>
      </c>
      <c r="N149" s="73">
        <f t="shared" ca="1" si="16"/>
        <v>0</v>
      </c>
      <c r="P149" s="164">
        <f t="shared" ca="1" si="17"/>
        <v>47938</v>
      </c>
      <c r="Q149" s="140">
        <f ca="1">IF(C149="","",Q148+(E149+H149-IF(RESULTADOS!$C$17="Normal",I149,0)-J149)/2+(F149+G149-IF(RESULTADOS!$C$17="Normal",0,I149)))</f>
        <v>0</v>
      </c>
      <c r="R149" s="140">
        <f ca="1">IF(C149="","",R148+(E149+H149-IF(RESULTADOS!$C$17="Normal",I149,0)-J149)/2)</f>
        <v>0</v>
      </c>
      <c r="S149" s="140">
        <f t="shared" ca="1" si="20"/>
        <v>0</v>
      </c>
      <c r="U149" s="164" t="str">
        <f t="shared" ca="1" si="21"/>
        <v/>
      </c>
      <c r="V149" s="164" t="str">
        <f t="shared" ca="1" si="18"/>
        <v/>
      </c>
      <c r="W149" s="140">
        <f ca="1">IF(OR((W148-13/12*Z148)*(1+PREMISSAS!$C$16)&lt;0,W148=""),0,(W148-13/12*Z148)*(1+PREMISSAS!$C$16))</f>
        <v>0</v>
      </c>
      <c r="X149" s="140">
        <f ca="1">IF(OR((X148-13/12*AA148)*(1+PREMISSAS!$C$16)&lt;0,X148=""),0,(X148-13/12*AA148)*(1+PREMISSAS!$C$16))</f>
        <v>0</v>
      </c>
      <c r="Y149" s="140">
        <f t="shared" ca="1" si="19"/>
        <v>0</v>
      </c>
      <c r="Z149" s="167">
        <f t="shared" ca="1" si="22"/>
        <v>0</v>
      </c>
      <c r="AA149" s="167">
        <f t="shared" ca="1" si="23"/>
        <v>0</v>
      </c>
    </row>
    <row r="150" spans="2:27" x14ac:dyDescent="0.25">
      <c r="B150" s="21">
        <f ca="1">IF(B149="","",IF(EOMONTH(B149,1)&gt;EOMONTH(ELEGIBILIDADE!$J$17,0),"",EOMONTH(B149,1)))</f>
        <v>47968</v>
      </c>
      <c r="C150" s="22">
        <f ca="1">IF(B150="","",IF(MONTH(B150)=1,C149*(1+PREMISSAS!$C$57),C149))</f>
        <v>0</v>
      </c>
      <c r="D150" s="22">
        <f ca="1">IF(RESULTADOS!$C$17="Normal",IFERROR(MAX(C150-PREMISSAS!$C$13,0),0),IF(Painel!$I$23=0,0,MAX(10*PREMISSAS!$C$38,RESULTADOS!$F$17)))</f>
        <v>0</v>
      </c>
      <c r="E150" s="4">
        <f ca="1">D150*IF(RESULTADOS!$C$17="Normal",RESULTADOS!$C$16,0)</f>
        <v>0</v>
      </c>
      <c r="F150" s="4">
        <f ca="1">IFERROR(IF(RESULTADOS!$C$17="Normal",D150,C150)*RESULTADOS!$C$18,0)</f>
        <v>0</v>
      </c>
      <c r="G150" s="4">
        <f ca="1">IFERROR(IF(RESULTADOS!$C$17="Normal",0,D150)*IF(RESULTADOS!$C$17="Normal",RESULTADOS!$C$18,RESULTADOS!$C$16),0)</f>
        <v>0</v>
      </c>
      <c r="H150" s="4">
        <f ca="1">IF(RESULTADOS!$C$17="Normal",E150,0)</f>
        <v>0</v>
      </c>
      <c r="I150" s="4">
        <f ca="1">(E150+H150+G150)*PREMISSAS!$C$60</f>
        <v>0</v>
      </c>
      <c r="J150" s="4">
        <f ca="1">D150*IF(RESULTADOS!$C$17="Normal",PREMISSAS!$C$62,0)</f>
        <v>0</v>
      </c>
      <c r="K150" s="116">
        <f ca="1">IFERROR(K149*(1+PREMISSAS!$C$18)+(E150+H150-IF(RESULTADOS!$C$17="Normal",I150,0)-J150)*IF(MONTH(B150)=12,2,1),0)</f>
        <v>0</v>
      </c>
      <c r="L150" s="116">
        <f ca="1">IFERROR((L149+G150-IF(RESULTADOS!$C$17="Normal",0,I150))*(1+PREMISSAS!$C$18)+F150,0)</f>
        <v>0</v>
      </c>
      <c r="N150" s="73">
        <f t="shared" ca="1" si="16"/>
        <v>0</v>
      </c>
      <c r="P150" s="164">
        <f t="shared" ca="1" si="17"/>
        <v>47968</v>
      </c>
      <c r="Q150" s="140">
        <f ca="1">IF(C150="","",Q149+(E150+H150-IF(RESULTADOS!$C$17="Normal",I150,0)-J150)/2+(F150+G150-IF(RESULTADOS!$C$17="Normal",0,I150)))</f>
        <v>0</v>
      </c>
      <c r="R150" s="140">
        <f ca="1">IF(C150="","",R149+(E150+H150-IF(RESULTADOS!$C$17="Normal",I150,0)-J150)/2)</f>
        <v>0</v>
      </c>
      <c r="S150" s="140">
        <f t="shared" ca="1" si="20"/>
        <v>0</v>
      </c>
      <c r="U150" s="164" t="str">
        <f t="shared" ca="1" si="21"/>
        <v/>
      </c>
      <c r="V150" s="164" t="str">
        <f t="shared" ca="1" si="18"/>
        <v/>
      </c>
      <c r="W150" s="140">
        <f ca="1">IF(OR((W149-13/12*Z149)*(1+PREMISSAS!$C$16)&lt;0,W149=""),0,(W149-13/12*Z149)*(1+PREMISSAS!$C$16))</f>
        <v>0</v>
      </c>
      <c r="X150" s="140">
        <f ca="1">IF(OR((X149-13/12*AA149)*(1+PREMISSAS!$C$16)&lt;0,X149=""),0,(X149-13/12*AA149)*(1+PREMISSAS!$C$16))</f>
        <v>0</v>
      </c>
      <c r="Y150" s="140">
        <f t="shared" ca="1" si="19"/>
        <v>0</v>
      </c>
      <c r="Z150" s="167">
        <f t="shared" ca="1" si="22"/>
        <v>0</v>
      </c>
      <c r="AA150" s="167">
        <f t="shared" ca="1" si="23"/>
        <v>0</v>
      </c>
    </row>
    <row r="151" spans="2:27" x14ac:dyDescent="0.25">
      <c r="B151" s="21">
        <f ca="1">IF(B150="","",IF(EOMONTH(B150,1)&gt;EOMONTH(ELEGIBILIDADE!$J$17,0),"",EOMONTH(B150,1)))</f>
        <v>47999</v>
      </c>
      <c r="C151" s="22">
        <f ca="1">IF(B151="","",IF(MONTH(B151)=1,C150*(1+PREMISSAS!$C$57),C150))</f>
        <v>0</v>
      </c>
      <c r="D151" s="22">
        <f ca="1">IF(RESULTADOS!$C$17="Normal",IFERROR(MAX(C151-PREMISSAS!$C$13,0),0),IF(Painel!$I$23=0,0,MAX(10*PREMISSAS!$C$38,RESULTADOS!$F$17)))</f>
        <v>0</v>
      </c>
      <c r="E151" s="4">
        <f ca="1">D151*IF(RESULTADOS!$C$17="Normal",RESULTADOS!$C$16,0)</f>
        <v>0</v>
      </c>
      <c r="F151" s="4">
        <f ca="1">IFERROR(IF(RESULTADOS!$C$17="Normal",D151,C151)*RESULTADOS!$C$18,0)</f>
        <v>0</v>
      </c>
      <c r="G151" s="4">
        <f ca="1">IFERROR(IF(RESULTADOS!$C$17="Normal",0,D151)*IF(RESULTADOS!$C$17="Normal",RESULTADOS!$C$18,RESULTADOS!$C$16),0)</f>
        <v>0</v>
      </c>
      <c r="H151" s="4">
        <f ca="1">IF(RESULTADOS!$C$17="Normal",E151,0)</f>
        <v>0</v>
      </c>
      <c r="I151" s="4">
        <f ca="1">(E151+H151+G151)*PREMISSAS!$C$60</f>
        <v>0</v>
      </c>
      <c r="J151" s="4">
        <f ca="1">D151*IF(RESULTADOS!$C$17="Normal",PREMISSAS!$C$62,0)</f>
        <v>0</v>
      </c>
      <c r="K151" s="116">
        <f ca="1">IFERROR(K150*(1+PREMISSAS!$C$18)+(E151+H151-IF(RESULTADOS!$C$17="Normal",I151,0)-J151)*IF(MONTH(B151)=12,2,1),0)</f>
        <v>0</v>
      </c>
      <c r="L151" s="116">
        <f ca="1">IFERROR((L150+G151-IF(RESULTADOS!$C$17="Normal",0,I151))*(1+PREMISSAS!$C$18)+F151,0)</f>
        <v>0</v>
      </c>
      <c r="N151" s="73">
        <f t="shared" ca="1" si="16"/>
        <v>0</v>
      </c>
      <c r="P151" s="164">
        <f t="shared" ca="1" si="17"/>
        <v>47999</v>
      </c>
      <c r="Q151" s="140">
        <f ca="1">IF(C151="","",Q150+(E151+H151-IF(RESULTADOS!$C$17="Normal",I151,0)-J151)/2+(F151+G151-IF(RESULTADOS!$C$17="Normal",0,I151)))</f>
        <v>0</v>
      </c>
      <c r="R151" s="140">
        <f ca="1">IF(C151="","",R150+(E151+H151-IF(RESULTADOS!$C$17="Normal",I151,0)-J151)/2)</f>
        <v>0</v>
      </c>
      <c r="S151" s="140">
        <f t="shared" ca="1" si="20"/>
        <v>0</v>
      </c>
      <c r="U151" s="164" t="str">
        <f t="shared" ca="1" si="21"/>
        <v/>
      </c>
      <c r="V151" s="164" t="str">
        <f t="shared" ca="1" si="18"/>
        <v/>
      </c>
      <c r="W151" s="140">
        <f ca="1">IF(OR((W150-13/12*Z150)*(1+PREMISSAS!$C$16)&lt;0,W150=""),0,(W150-13/12*Z150)*(1+PREMISSAS!$C$16))</f>
        <v>0</v>
      </c>
      <c r="X151" s="140">
        <f ca="1">IF(OR((X150-13/12*AA150)*(1+PREMISSAS!$C$16)&lt;0,X150=""),0,(X150-13/12*AA150)*(1+PREMISSAS!$C$16))</f>
        <v>0</v>
      </c>
      <c r="Y151" s="140">
        <f t="shared" ca="1" si="19"/>
        <v>0</v>
      </c>
      <c r="Z151" s="167">
        <f t="shared" ca="1" si="22"/>
        <v>0</v>
      </c>
      <c r="AA151" s="167">
        <f t="shared" ca="1" si="23"/>
        <v>0</v>
      </c>
    </row>
    <row r="152" spans="2:27" x14ac:dyDescent="0.25">
      <c r="B152" s="21">
        <f ca="1">IF(B151="","",IF(EOMONTH(B151,1)&gt;EOMONTH(ELEGIBILIDADE!$J$17,0),"",EOMONTH(B151,1)))</f>
        <v>48029</v>
      </c>
      <c r="C152" s="22">
        <f ca="1">IF(B152="","",IF(MONTH(B152)=1,C151*(1+PREMISSAS!$C$57),C151))</f>
        <v>0</v>
      </c>
      <c r="D152" s="22">
        <f ca="1">IF(RESULTADOS!$C$17="Normal",IFERROR(MAX(C152-PREMISSAS!$C$13,0),0),IF(Painel!$I$23=0,0,MAX(10*PREMISSAS!$C$38,RESULTADOS!$F$17)))</f>
        <v>0</v>
      </c>
      <c r="E152" s="4">
        <f ca="1">D152*IF(RESULTADOS!$C$17="Normal",RESULTADOS!$C$16,0)</f>
        <v>0</v>
      </c>
      <c r="F152" s="4">
        <f ca="1">IFERROR(IF(RESULTADOS!$C$17="Normal",D152,C152)*RESULTADOS!$C$18,0)</f>
        <v>0</v>
      </c>
      <c r="G152" s="4">
        <f ca="1">IFERROR(IF(RESULTADOS!$C$17="Normal",0,D152)*IF(RESULTADOS!$C$17="Normal",RESULTADOS!$C$18,RESULTADOS!$C$16),0)</f>
        <v>0</v>
      </c>
      <c r="H152" s="4">
        <f ca="1">IF(RESULTADOS!$C$17="Normal",E152,0)</f>
        <v>0</v>
      </c>
      <c r="I152" s="4">
        <f ca="1">(E152+H152+G152)*PREMISSAS!$C$60</f>
        <v>0</v>
      </c>
      <c r="J152" s="4">
        <f ca="1">D152*IF(RESULTADOS!$C$17="Normal",PREMISSAS!$C$62,0)</f>
        <v>0</v>
      </c>
      <c r="K152" s="116">
        <f ca="1">IFERROR(K151*(1+PREMISSAS!$C$18)+(E152+H152-IF(RESULTADOS!$C$17="Normal",I152,0)-J152)*IF(MONTH(B152)=12,2,1),0)</f>
        <v>0</v>
      </c>
      <c r="L152" s="116">
        <f ca="1">IFERROR((L151+G152-IF(RESULTADOS!$C$17="Normal",0,I152))*(1+PREMISSAS!$C$18)+F152,0)</f>
        <v>0</v>
      </c>
      <c r="N152" s="73">
        <f t="shared" ca="1" si="16"/>
        <v>0</v>
      </c>
      <c r="P152" s="164">
        <f t="shared" ca="1" si="17"/>
        <v>48029</v>
      </c>
      <c r="Q152" s="140">
        <f ca="1">IF(C152="","",Q151+(E152+H152-IF(RESULTADOS!$C$17="Normal",I152,0)-J152)/2+(F152+G152-IF(RESULTADOS!$C$17="Normal",0,I152)))</f>
        <v>0</v>
      </c>
      <c r="R152" s="140">
        <f ca="1">IF(C152="","",R151+(E152+H152-IF(RESULTADOS!$C$17="Normal",I152,0)-J152)/2)</f>
        <v>0</v>
      </c>
      <c r="S152" s="140">
        <f t="shared" ca="1" si="20"/>
        <v>0</v>
      </c>
      <c r="U152" s="164" t="str">
        <f t="shared" ca="1" si="21"/>
        <v/>
      </c>
      <c r="V152" s="164" t="str">
        <f t="shared" ca="1" si="18"/>
        <v/>
      </c>
      <c r="W152" s="140">
        <f ca="1">IF(OR((W151-13/12*Z151)*(1+PREMISSAS!$C$16)&lt;0,W151=""),0,(W151-13/12*Z151)*(1+PREMISSAS!$C$16))</f>
        <v>0</v>
      </c>
      <c r="X152" s="140">
        <f ca="1">IF(OR((X151-13/12*AA151)*(1+PREMISSAS!$C$16)&lt;0,X151=""),0,(X151-13/12*AA151)*(1+PREMISSAS!$C$16))</f>
        <v>0</v>
      </c>
      <c r="Y152" s="140">
        <f t="shared" ca="1" si="19"/>
        <v>0</v>
      </c>
      <c r="Z152" s="167">
        <f t="shared" ca="1" si="22"/>
        <v>0</v>
      </c>
      <c r="AA152" s="167">
        <f t="shared" ca="1" si="23"/>
        <v>0</v>
      </c>
    </row>
    <row r="153" spans="2:27" x14ac:dyDescent="0.25">
      <c r="B153" s="21">
        <f ca="1">IF(B152="","",IF(EOMONTH(B152,1)&gt;EOMONTH(ELEGIBILIDADE!$J$17,0),"",EOMONTH(B152,1)))</f>
        <v>48060</v>
      </c>
      <c r="C153" s="22">
        <f ca="1">IF(B153="","",IF(MONTH(B153)=1,C152*(1+PREMISSAS!$C$57),C152))</f>
        <v>0</v>
      </c>
      <c r="D153" s="22">
        <f ca="1">IF(RESULTADOS!$C$17="Normal",IFERROR(MAX(C153-PREMISSAS!$C$13,0),0),IF(Painel!$I$23=0,0,MAX(10*PREMISSAS!$C$38,RESULTADOS!$F$17)))</f>
        <v>0</v>
      </c>
      <c r="E153" s="4">
        <f ca="1">D153*IF(RESULTADOS!$C$17="Normal",RESULTADOS!$C$16,0)</f>
        <v>0</v>
      </c>
      <c r="F153" s="4">
        <f ca="1">IFERROR(IF(RESULTADOS!$C$17="Normal",D153,C153)*RESULTADOS!$C$18,0)</f>
        <v>0</v>
      </c>
      <c r="G153" s="4">
        <f ca="1">IFERROR(IF(RESULTADOS!$C$17="Normal",0,D153)*IF(RESULTADOS!$C$17="Normal",RESULTADOS!$C$18,RESULTADOS!$C$16),0)</f>
        <v>0</v>
      </c>
      <c r="H153" s="4">
        <f ca="1">IF(RESULTADOS!$C$17="Normal",E153,0)</f>
        <v>0</v>
      </c>
      <c r="I153" s="4">
        <f ca="1">(E153+H153+G153)*PREMISSAS!$C$60</f>
        <v>0</v>
      </c>
      <c r="J153" s="4">
        <f ca="1">D153*IF(RESULTADOS!$C$17="Normal",PREMISSAS!$C$62,0)</f>
        <v>0</v>
      </c>
      <c r="K153" s="116">
        <f ca="1">IFERROR(K152*(1+PREMISSAS!$C$18)+(E153+H153-IF(RESULTADOS!$C$17="Normal",I153,0)-J153)*IF(MONTH(B153)=12,2,1),0)</f>
        <v>0</v>
      </c>
      <c r="L153" s="116">
        <f ca="1">IFERROR((L152+G153-IF(RESULTADOS!$C$17="Normal",0,I153))*(1+PREMISSAS!$C$18)+F153,0)</f>
        <v>0</v>
      </c>
      <c r="N153" s="73">
        <f t="shared" ca="1" si="16"/>
        <v>0</v>
      </c>
      <c r="P153" s="164">
        <f t="shared" ca="1" si="17"/>
        <v>48060</v>
      </c>
      <c r="Q153" s="140">
        <f ca="1">IF(C153="","",Q152+(E153+H153-IF(RESULTADOS!$C$17="Normal",I153,0)-J153)/2+(F153+G153-IF(RESULTADOS!$C$17="Normal",0,I153)))</f>
        <v>0</v>
      </c>
      <c r="R153" s="140">
        <f ca="1">IF(C153="","",R152+(E153+H153-IF(RESULTADOS!$C$17="Normal",I153,0)-J153)/2)</f>
        <v>0</v>
      </c>
      <c r="S153" s="140">
        <f t="shared" ca="1" si="20"/>
        <v>0</v>
      </c>
      <c r="U153" s="164" t="str">
        <f t="shared" ca="1" si="21"/>
        <v/>
      </c>
      <c r="V153" s="164" t="str">
        <f t="shared" ca="1" si="18"/>
        <v/>
      </c>
      <c r="W153" s="140">
        <f ca="1">IF(OR((W152-13/12*Z152)*(1+PREMISSAS!$C$16)&lt;0,W152=""),0,(W152-13/12*Z152)*(1+PREMISSAS!$C$16))</f>
        <v>0</v>
      </c>
      <c r="X153" s="140">
        <f ca="1">IF(OR((X152-13/12*AA152)*(1+PREMISSAS!$C$16)&lt;0,X152=""),0,(X152-13/12*AA152)*(1+PREMISSAS!$C$16))</f>
        <v>0</v>
      </c>
      <c r="Y153" s="140">
        <f t="shared" ca="1" si="19"/>
        <v>0</v>
      </c>
      <c r="Z153" s="167">
        <f t="shared" ca="1" si="22"/>
        <v>0</v>
      </c>
      <c r="AA153" s="167">
        <f t="shared" ca="1" si="23"/>
        <v>0</v>
      </c>
    </row>
    <row r="154" spans="2:27" x14ac:dyDescent="0.25">
      <c r="B154" s="21">
        <f ca="1">IF(B153="","",IF(EOMONTH(B153,1)&gt;EOMONTH(ELEGIBILIDADE!$J$17,0),"",EOMONTH(B153,1)))</f>
        <v>48091</v>
      </c>
      <c r="C154" s="22">
        <f ca="1">IF(B154="","",IF(MONTH(B154)=1,C153*(1+PREMISSAS!$C$57),C153))</f>
        <v>0</v>
      </c>
      <c r="D154" s="22">
        <f ca="1">IF(RESULTADOS!$C$17="Normal",IFERROR(MAX(C154-PREMISSAS!$C$13,0),0),IF(Painel!$I$23=0,0,MAX(10*PREMISSAS!$C$38,RESULTADOS!$F$17)))</f>
        <v>0</v>
      </c>
      <c r="E154" s="4">
        <f ca="1">D154*IF(RESULTADOS!$C$17="Normal",RESULTADOS!$C$16,0)</f>
        <v>0</v>
      </c>
      <c r="F154" s="4">
        <f ca="1">IFERROR(IF(RESULTADOS!$C$17="Normal",D154,C154)*RESULTADOS!$C$18,0)</f>
        <v>0</v>
      </c>
      <c r="G154" s="4">
        <f ca="1">IFERROR(IF(RESULTADOS!$C$17="Normal",0,D154)*IF(RESULTADOS!$C$17="Normal",RESULTADOS!$C$18,RESULTADOS!$C$16),0)</f>
        <v>0</v>
      </c>
      <c r="H154" s="4">
        <f ca="1">IF(RESULTADOS!$C$17="Normal",E154,0)</f>
        <v>0</v>
      </c>
      <c r="I154" s="4">
        <f ca="1">(E154+H154+G154)*PREMISSAS!$C$60</f>
        <v>0</v>
      </c>
      <c r="J154" s="4">
        <f ca="1">D154*IF(RESULTADOS!$C$17="Normal",PREMISSAS!$C$62,0)</f>
        <v>0</v>
      </c>
      <c r="K154" s="116">
        <f ca="1">IFERROR(K153*(1+PREMISSAS!$C$18)+(E154+H154-IF(RESULTADOS!$C$17="Normal",I154,0)-J154)*IF(MONTH(B154)=12,2,1),0)</f>
        <v>0</v>
      </c>
      <c r="L154" s="116">
        <f ca="1">IFERROR((L153+G154-IF(RESULTADOS!$C$17="Normal",0,I154))*(1+PREMISSAS!$C$18)+F154,0)</f>
        <v>0</v>
      </c>
      <c r="N154" s="73">
        <f t="shared" ca="1" si="16"/>
        <v>0</v>
      </c>
      <c r="P154" s="164">
        <f t="shared" ca="1" si="17"/>
        <v>48091</v>
      </c>
      <c r="Q154" s="140">
        <f ca="1">IF(C154="","",Q153+(E154+H154-IF(RESULTADOS!$C$17="Normal",I154,0)-J154)/2+(F154+G154-IF(RESULTADOS!$C$17="Normal",0,I154)))</f>
        <v>0</v>
      </c>
      <c r="R154" s="140">
        <f ca="1">IF(C154="","",R153+(E154+H154-IF(RESULTADOS!$C$17="Normal",I154,0)-J154)/2)</f>
        <v>0</v>
      </c>
      <c r="S154" s="140">
        <f t="shared" ca="1" si="20"/>
        <v>0</v>
      </c>
      <c r="U154" s="164" t="str">
        <f t="shared" ca="1" si="21"/>
        <v/>
      </c>
      <c r="V154" s="164" t="str">
        <f t="shared" ca="1" si="18"/>
        <v/>
      </c>
      <c r="W154" s="140">
        <f ca="1">IF(OR((W153-13/12*Z153)*(1+PREMISSAS!$C$16)&lt;0,W153=""),0,(W153-13/12*Z153)*(1+PREMISSAS!$C$16))</f>
        <v>0</v>
      </c>
      <c r="X154" s="140">
        <f ca="1">IF(OR((X153-13/12*AA153)*(1+PREMISSAS!$C$16)&lt;0,X153=""),0,(X153-13/12*AA153)*(1+PREMISSAS!$C$16))</f>
        <v>0</v>
      </c>
      <c r="Y154" s="140">
        <f t="shared" ca="1" si="19"/>
        <v>0</v>
      </c>
      <c r="Z154" s="167">
        <f t="shared" ca="1" si="22"/>
        <v>0</v>
      </c>
      <c r="AA154" s="167">
        <f t="shared" ca="1" si="23"/>
        <v>0</v>
      </c>
    </row>
    <row r="155" spans="2:27" x14ac:dyDescent="0.25">
      <c r="B155" s="21">
        <f ca="1">IF(B154="","",IF(EOMONTH(B154,1)&gt;EOMONTH(ELEGIBILIDADE!$J$17,0),"",EOMONTH(B154,1)))</f>
        <v>48121</v>
      </c>
      <c r="C155" s="22">
        <f ca="1">IF(B155="","",IF(MONTH(B155)=1,C154*(1+PREMISSAS!$C$57),C154))</f>
        <v>0</v>
      </c>
      <c r="D155" s="22">
        <f ca="1">IF(RESULTADOS!$C$17="Normal",IFERROR(MAX(C155-PREMISSAS!$C$13,0),0),IF(Painel!$I$23=0,0,MAX(10*PREMISSAS!$C$38,RESULTADOS!$F$17)))</f>
        <v>0</v>
      </c>
      <c r="E155" s="4">
        <f ca="1">D155*IF(RESULTADOS!$C$17="Normal",RESULTADOS!$C$16,0)</f>
        <v>0</v>
      </c>
      <c r="F155" s="4">
        <f ca="1">IFERROR(IF(RESULTADOS!$C$17="Normal",D155,C155)*RESULTADOS!$C$18,0)</f>
        <v>0</v>
      </c>
      <c r="G155" s="4">
        <f ca="1">IFERROR(IF(RESULTADOS!$C$17="Normal",0,D155)*IF(RESULTADOS!$C$17="Normal",RESULTADOS!$C$18,RESULTADOS!$C$16),0)</f>
        <v>0</v>
      </c>
      <c r="H155" s="4">
        <f ca="1">IF(RESULTADOS!$C$17="Normal",E155,0)</f>
        <v>0</v>
      </c>
      <c r="I155" s="4">
        <f ca="1">(E155+H155+G155)*PREMISSAS!$C$60</f>
        <v>0</v>
      </c>
      <c r="J155" s="4">
        <f ca="1">D155*IF(RESULTADOS!$C$17="Normal",PREMISSAS!$C$62,0)</f>
        <v>0</v>
      </c>
      <c r="K155" s="116">
        <f ca="1">IFERROR(K154*(1+PREMISSAS!$C$18)+(E155+H155-IF(RESULTADOS!$C$17="Normal",I155,0)-J155)*IF(MONTH(B155)=12,2,1),0)</f>
        <v>0</v>
      </c>
      <c r="L155" s="116">
        <f ca="1">IFERROR((L154+G155-IF(RESULTADOS!$C$17="Normal",0,I155))*(1+PREMISSAS!$C$18)+F155,0)</f>
        <v>0</v>
      </c>
      <c r="N155" s="73">
        <f t="shared" ca="1" si="16"/>
        <v>0</v>
      </c>
      <c r="P155" s="164">
        <f t="shared" ca="1" si="17"/>
        <v>48121</v>
      </c>
      <c r="Q155" s="140">
        <f ca="1">IF(C155="","",Q154+(E155+H155-IF(RESULTADOS!$C$17="Normal",I155,0)-J155)/2+(F155+G155-IF(RESULTADOS!$C$17="Normal",0,I155)))</f>
        <v>0</v>
      </c>
      <c r="R155" s="140">
        <f ca="1">IF(C155="","",R154+(E155+H155-IF(RESULTADOS!$C$17="Normal",I155,0)-J155)/2)</f>
        <v>0</v>
      </c>
      <c r="S155" s="140">
        <f t="shared" ca="1" si="20"/>
        <v>0</v>
      </c>
      <c r="U155" s="164" t="str">
        <f t="shared" ca="1" si="21"/>
        <v/>
      </c>
      <c r="V155" s="164" t="str">
        <f t="shared" ca="1" si="18"/>
        <v/>
      </c>
      <c r="W155" s="140">
        <f ca="1">IF(OR((W154-13/12*Z154)*(1+PREMISSAS!$C$16)&lt;0,W154=""),0,(W154-13/12*Z154)*(1+PREMISSAS!$C$16))</f>
        <v>0</v>
      </c>
      <c r="X155" s="140">
        <f ca="1">IF(OR((X154-13/12*AA154)*(1+PREMISSAS!$C$16)&lt;0,X154=""),0,(X154-13/12*AA154)*(1+PREMISSAS!$C$16))</f>
        <v>0</v>
      </c>
      <c r="Y155" s="140">
        <f t="shared" ca="1" si="19"/>
        <v>0</v>
      </c>
      <c r="Z155" s="167">
        <f t="shared" ca="1" si="22"/>
        <v>0</v>
      </c>
      <c r="AA155" s="167">
        <f t="shared" ca="1" si="23"/>
        <v>0</v>
      </c>
    </row>
    <row r="156" spans="2:27" x14ac:dyDescent="0.25">
      <c r="B156" s="21">
        <f ca="1">IF(B155="","",IF(EOMONTH(B155,1)&gt;EOMONTH(ELEGIBILIDADE!$J$17,0),"",EOMONTH(B155,1)))</f>
        <v>48152</v>
      </c>
      <c r="C156" s="22">
        <f ca="1">IF(B156="","",IF(MONTH(B156)=1,C155*(1+PREMISSAS!$C$57),C155))</f>
        <v>0</v>
      </c>
      <c r="D156" s="22">
        <f ca="1">IF(RESULTADOS!$C$17="Normal",IFERROR(MAX(C156-PREMISSAS!$C$13,0),0),IF(Painel!$I$23=0,0,MAX(10*PREMISSAS!$C$38,RESULTADOS!$F$17)))</f>
        <v>0</v>
      </c>
      <c r="E156" s="4">
        <f ca="1">D156*IF(RESULTADOS!$C$17="Normal",RESULTADOS!$C$16,0)</f>
        <v>0</v>
      </c>
      <c r="F156" s="4">
        <f ca="1">IFERROR(IF(RESULTADOS!$C$17="Normal",D156,C156)*RESULTADOS!$C$18,0)</f>
        <v>0</v>
      </c>
      <c r="G156" s="4">
        <f ca="1">IFERROR(IF(RESULTADOS!$C$17="Normal",0,D156)*IF(RESULTADOS!$C$17="Normal",RESULTADOS!$C$18,RESULTADOS!$C$16),0)</f>
        <v>0</v>
      </c>
      <c r="H156" s="4">
        <f ca="1">IF(RESULTADOS!$C$17="Normal",E156,0)</f>
        <v>0</v>
      </c>
      <c r="I156" s="4">
        <f ca="1">(E156+H156+G156)*PREMISSAS!$C$60</f>
        <v>0</v>
      </c>
      <c r="J156" s="4">
        <f ca="1">D156*IF(RESULTADOS!$C$17="Normal",PREMISSAS!$C$62,0)</f>
        <v>0</v>
      </c>
      <c r="K156" s="116">
        <f ca="1">IFERROR(K155*(1+PREMISSAS!$C$18)+(E156+H156-IF(RESULTADOS!$C$17="Normal",I156,0)-J156)*IF(MONTH(B156)=12,2,1),0)</f>
        <v>0</v>
      </c>
      <c r="L156" s="116">
        <f ca="1">IFERROR((L155+G156-IF(RESULTADOS!$C$17="Normal",0,I156))*(1+PREMISSAS!$C$18)+F156,0)</f>
        <v>0</v>
      </c>
      <c r="N156" s="73">
        <f t="shared" ca="1" si="16"/>
        <v>0</v>
      </c>
      <c r="P156" s="164">
        <f t="shared" ca="1" si="17"/>
        <v>48152</v>
      </c>
      <c r="Q156" s="140">
        <f ca="1">IF(C156="","",Q155+(E156+H156-IF(RESULTADOS!$C$17="Normal",I156,0)-J156)/2+(F156+G156-IF(RESULTADOS!$C$17="Normal",0,I156)))</f>
        <v>0</v>
      </c>
      <c r="R156" s="140">
        <f ca="1">IF(C156="","",R155+(E156+H156-IF(RESULTADOS!$C$17="Normal",I156,0)-J156)/2)</f>
        <v>0</v>
      </c>
      <c r="S156" s="140">
        <f t="shared" ca="1" si="20"/>
        <v>0</v>
      </c>
      <c r="U156" s="164" t="str">
        <f t="shared" ca="1" si="21"/>
        <v/>
      </c>
      <c r="V156" s="164" t="str">
        <f t="shared" ca="1" si="18"/>
        <v/>
      </c>
      <c r="W156" s="140">
        <f ca="1">IF(OR((W155-13/12*Z155)*(1+PREMISSAS!$C$16)&lt;0,W155=""),0,(W155-13/12*Z155)*(1+PREMISSAS!$C$16))</f>
        <v>0</v>
      </c>
      <c r="X156" s="140">
        <f ca="1">IF(OR((X155-13/12*AA155)*(1+PREMISSAS!$C$16)&lt;0,X155=""),0,(X155-13/12*AA155)*(1+PREMISSAS!$C$16))</f>
        <v>0</v>
      </c>
      <c r="Y156" s="140">
        <f t="shared" ca="1" si="19"/>
        <v>0</v>
      </c>
      <c r="Z156" s="167">
        <f t="shared" ca="1" si="22"/>
        <v>0</v>
      </c>
      <c r="AA156" s="167">
        <f t="shared" ca="1" si="23"/>
        <v>0</v>
      </c>
    </row>
    <row r="157" spans="2:27" x14ac:dyDescent="0.25">
      <c r="B157" s="21">
        <f ca="1">IF(B156="","",IF(EOMONTH(B156,1)&gt;EOMONTH(ELEGIBILIDADE!$J$17,0),"",EOMONTH(B156,1)))</f>
        <v>48182</v>
      </c>
      <c r="C157" s="22">
        <f ca="1">IF(B157="","",IF(MONTH(B157)=1,C156*(1+PREMISSAS!$C$57),C156))</f>
        <v>0</v>
      </c>
      <c r="D157" s="22">
        <f ca="1">IF(RESULTADOS!$C$17="Normal",IFERROR(MAX(C157-PREMISSAS!$C$13,0),0),IF(Painel!$I$23=0,0,MAX(10*PREMISSAS!$C$38,RESULTADOS!$F$17)))</f>
        <v>0</v>
      </c>
      <c r="E157" s="4">
        <f ca="1">D157*IF(RESULTADOS!$C$17="Normal",RESULTADOS!$C$16,0)</f>
        <v>0</v>
      </c>
      <c r="F157" s="4">
        <f ca="1">IFERROR(IF(RESULTADOS!$C$17="Normal",D157,C157)*RESULTADOS!$C$18,0)</f>
        <v>0</v>
      </c>
      <c r="G157" s="4">
        <f ca="1">IFERROR(IF(RESULTADOS!$C$17="Normal",0,D157)*IF(RESULTADOS!$C$17="Normal",RESULTADOS!$C$18,RESULTADOS!$C$16),0)</f>
        <v>0</v>
      </c>
      <c r="H157" s="4">
        <f ca="1">IF(RESULTADOS!$C$17="Normal",E157,0)</f>
        <v>0</v>
      </c>
      <c r="I157" s="4">
        <f ca="1">(E157+H157+G157)*PREMISSAS!$C$60</f>
        <v>0</v>
      </c>
      <c r="J157" s="4">
        <f ca="1">D157*IF(RESULTADOS!$C$17="Normal",PREMISSAS!$C$62,0)</f>
        <v>0</v>
      </c>
      <c r="K157" s="116">
        <f ca="1">IFERROR(K156*(1+PREMISSAS!$C$18)+(E157+H157-IF(RESULTADOS!$C$17="Normal",I157,0)-J157)*IF(MONTH(B157)=12,2,1),0)</f>
        <v>0</v>
      </c>
      <c r="L157" s="116">
        <f ca="1">IFERROR((L156+G157-IF(RESULTADOS!$C$17="Normal",0,I157))*(1+PREMISSAS!$C$18)+F157,0)</f>
        <v>0</v>
      </c>
      <c r="N157" s="73">
        <f t="shared" ca="1" si="16"/>
        <v>0</v>
      </c>
      <c r="P157" s="164">
        <f t="shared" ca="1" si="17"/>
        <v>48182</v>
      </c>
      <c r="Q157" s="140">
        <f ca="1">IF(C157="","",Q156+(E157+H157-IF(RESULTADOS!$C$17="Normal",I157,0)-J157)/2+(F157+G157-IF(RESULTADOS!$C$17="Normal",0,I157)))</f>
        <v>0</v>
      </c>
      <c r="R157" s="140">
        <f ca="1">IF(C157="","",R156+(E157+H157-IF(RESULTADOS!$C$17="Normal",I157,0)-J157)/2)</f>
        <v>0</v>
      </c>
      <c r="S157" s="140">
        <f t="shared" ca="1" si="20"/>
        <v>0</v>
      </c>
      <c r="U157" s="164" t="str">
        <f t="shared" ca="1" si="21"/>
        <v/>
      </c>
      <c r="V157" s="164" t="str">
        <f t="shared" ca="1" si="18"/>
        <v/>
      </c>
      <c r="W157" s="140">
        <f ca="1">IF(OR((W156-13/12*Z156)*(1+PREMISSAS!$C$16)&lt;0,W156=""),0,(W156-13/12*Z156)*(1+PREMISSAS!$C$16))</f>
        <v>0</v>
      </c>
      <c r="X157" s="140">
        <f ca="1">IF(OR((X156-13/12*AA156)*(1+PREMISSAS!$C$16)&lt;0,X156=""),0,(X156-13/12*AA156)*(1+PREMISSAS!$C$16))</f>
        <v>0</v>
      </c>
      <c r="Y157" s="140">
        <f t="shared" ca="1" si="19"/>
        <v>0</v>
      </c>
      <c r="Z157" s="167">
        <f t="shared" ca="1" si="22"/>
        <v>0</v>
      </c>
      <c r="AA157" s="167">
        <f t="shared" ca="1" si="23"/>
        <v>0</v>
      </c>
    </row>
    <row r="158" spans="2:27" x14ac:dyDescent="0.25">
      <c r="B158" s="21">
        <f ca="1">IF(B157="","",IF(EOMONTH(B157,1)&gt;EOMONTH(ELEGIBILIDADE!$J$17,0),"",EOMONTH(B157,1)))</f>
        <v>48213</v>
      </c>
      <c r="C158" s="22">
        <f ca="1">IF(B158="","",IF(MONTH(B158)=1,C157*(1+PREMISSAS!$C$57),C157))</f>
        <v>0</v>
      </c>
      <c r="D158" s="22">
        <f ca="1">IF(RESULTADOS!$C$17="Normal",IFERROR(MAX(C158-PREMISSAS!$C$13,0),0),IF(Painel!$I$23=0,0,MAX(10*PREMISSAS!$C$38,RESULTADOS!$F$17)))</f>
        <v>0</v>
      </c>
      <c r="E158" s="4">
        <f ca="1">D158*IF(RESULTADOS!$C$17="Normal",RESULTADOS!$C$16,0)</f>
        <v>0</v>
      </c>
      <c r="F158" s="4">
        <f ca="1">IFERROR(IF(RESULTADOS!$C$17="Normal",D158,C158)*RESULTADOS!$C$18,0)</f>
        <v>0</v>
      </c>
      <c r="G158" s="4">
        <f ca="1">IFERROR(IF(RESULTADOS!$C$17="Normal",0,D158)*IF(RESULTADOS!$C$17="Normal",RESULTADOS!$C$18,RESULTADOS!$C$16),0)</f>
        <v>0</v>
      </c>
      <c r="H158" s="4">
        <f ca="1">IF(RESULTADOS!$C$17="Normal",E158,0)</f>
        <v>0</v>
      </c>
      <c r="I158" s="4">
        <f ca="1">(E158+H158+G158)*PREMISSAS!$C$60</f>
        <v>0</v>
      </c>
      <c r="J158" s="4">
        <f ca="1">D158*IF(RESULTADOS!$C$17="Normal",PREMISSAS!$C$62,0)</f>
        <v>0</v>
      </c>
      <c r="K158" s="116">
        <f ca="1">IFERROR(K157*(1+PREMISSAS!$C$18)+(E158+H158-IF(RESULTADOS!$C$17="Normal",I158,0)-J158)*IF(MONTH(B158)=12,2,1),0)</f>
        <v>0</v>
      </c>
      <c r="L158" s="116">
        <f ca="1">IFERROR((L157+G158-IF(RESULTADOS!$C$17="Normal",0,I158))*(1+PREMISSAS!$C$18)+F158,0)</f>
        <v>0</v>
      </c>
      <c r="N158" s="73">
        <f t="shared" ca="1" si="16"/>
        <v>0</v>
      </c>
      <c r="P158" s="164">
        <f t="shared" ca="1" si="17"/>
        <v>48213</v>
      </c>
      <c r="Q158" s="140">
        <f ca="1">IF(C158="","",Q157+(E158+H158-IF(RESULTADOS!$C$17="Normal",I158,0)-J158)/2+(F158+G158-IF(RESULTADOS!$C$17="Normal",0,I158)))</f>
        <v>0</v>
      </c>
      <c r="R158" s="140">
        <f ca="1">IF(C158="","",R157+(E158+H158-IF(RESULTADOS!$C$17="Normal",I158,0)-J158)/2)</f>
        <v>0</v>
      </c>
      <c r="S158" s="140">
        <f t="shared" ca="1" si="20"/>
        <v>0</v>
      </c>
      <c r="U158" s="164" t="str">
        <f t="shared" ca="1" si="21"/>
        <v/>
      </c>
      <c r="V158" s="164" t="str">
        <f t="shared" ca="1" si="18"/>
        <v/>
      </c>
      <c r="W158" s="140">
        <f ca="1">IF(OR((W157-13/12*Z157)*(1+PREMISSAS!$C$16)&lt;0,W157=""),0,(W157-13/12*Z157)*(1+PREMISSAS!$C$16))</f>
        <v>0</v>
      </c>
      <c r="X158" s="140">
        <f ca="1">IF(OR((X157-13/12*AA157)*(1+PREMISSAS!$C$16)&lt;0,X157=""),0,(X157-13/12*AA157)*(1+PREMISSAS!$C$16))</f>
        <v>0</v>
      </c>
      <c r="Y158" s="140">
        <f t="shared" ca="1" si="19"/>
        <v>0</v>
      </c>
      <c r="Z158" s="167">
        <f t="shared" ca="1" si="22"/>
        <v>0</v>
      </c>
      <c r="AA158" s="167">
        <f t="shared" ca="1" si="23"/>
        <v>0</v>
      </c>
    </row>
    <row r="159" spans="2:27" x14ac:dyDescent="0.25">
      <c r="B159" s="21">
        <f ca="1">IF(B158="","",IF(EOMONTH(B158,1)&gt;EOMONTH(ELEGIBILIDADE!$J$17,0),"",EOMONTH(B158,1)))</f>
        <v>48244</v>
      </c>
      <c r="C159" s="22">
        <f ca="1">IF(B159="","",IF(MONTH(B159)=1,C158*(1+PREMISSAS!$C$57),C158))</f>
        <v>0</v>
      </c>
      <c r="D159" s="22">
        <f ca="1">IF(RESULTADOS!$C$17="Normal",IFERROR(MAX(C159-PREMISSAS!$C$13,0),0),IF(Painel!$I$23=0,0,MAX(10*PREMISSAS!$C$38,RESULTADOS!$F$17)))</f>
        <v>0</v>
      </c>
      <c r="E159" s="4">
        <f ca="1">D159*IF(RESULTADOS!$C$17="Normal",RESULTADOS!$C$16,0)</f>
        <v>0</v>
      </c>
      <c r="F159" s="4">
        <f ca="1">IFERROR(IF(RESULTADOS!$C$17="Normal",D159,C159)*RESULTADOS!$C$18,0)</f>
        <v>0</v>
      </c>
      <c r="G159" s="4">
        <f ca="1">IFERROR(IF(RESULTADOS!$C$17="Normal",0,D159)*IF(RESULTADOS!$C$17="Normal",RESULTADOS!$C$18,RESULTADOS!$C$16),0)</f>
        <v>0</v>
      </c>
      <c r="H159" s="4">
        <f ca="1">IF(RESULTADOS!$C$17="Normal",E159,0)</f>
        <v>0</v>
      </c>
      <c r="I159" s="4">
        <f ca="1">(E159+H159+G159)*PREMISSAS!$C$60</f>
        <v>0</v>
      </c>
      <c r="J159" s="4">
        <f ca="1">D159*IF(RESULTADOS!$C$17="Normal",PREMISSAS!$C$62,0)</f>
        <v>0</v>
      </c>
      <c r="K159" s="116">
        <f ca="1">IFERROR(K158*(1+PREMISSAS!$C$18)+(E159+H159-IF(RESULTADOS!$C$17="Normal",I159,0)-J159)*IF(MONTH(B159)=12,2,1),0)</f>
        <v>0</v>
      </c>
      <c r="L159" s="116">
        <f ca="1">IFERROR((L158+G159-IF(RESULTADOS!$C$17="Normal",0,I159))*(1+PREMISSAS!$C$18)+F159,0)</f>
        <v>0</v>
      </c>
      <c r="N159" s="73">
        <f t="shared" ca="1" si="16"/>
        <v>0</v>
      </c>
      <c r="P159" s="164">
        <f t="shared" ca="1" si="17"/>
        <v>48244</v>
      </c>
      <c r="Q159" s="140">
        <f ca="1">IF(C159="","",Q158+(E159+H159-IF(RESULTADOS!$C$17="Normal",I159,0)-J159)/2+(F159+G159-IF(RESULTADOS!$C$17="Normal",0,I159)))</f>
        <v>0</v>
      </c>
      <c r="R159" s="140">
        <f ca="1">IF(C159="","",R158+(E159+H159-IF(RESULTADOS!$C$17="Normal",I159,0)-J159)/2)</f>
        <v>0</v>
      </c>
      <c r="S159" s="140">
        <f t="shared" ca="1" si="20"/>
        <v>0</v>
      </c>
      <c r="U159" s="164" t="str">
        <f t="shared" ca="1" si="21"/>
        <v/>
      </c>
      <c r="V159" s="164" t="str">
        <f t="shared" ca="1" si="18"/>
        <v/>
      </c>
      <c r="W159" s="140">
        <f ca="1">IF(OR((W158-13/12*Z158)*(1+PREMISSAS!$C$16)&lt;0,W158=""),0,(W158-13/12*Z158)*(1+PREMISSAS!$C$16))</f>
        <v>0</v>
      </c>
      <c r="X159" s="140">
        <f ca="1">IF(OR((X158-13/12*AA158)*(1+PREMISSAS!$C$16)&lt;0,X158=""),0,(X158-13/12*AA158)*(1+PREMISSAS!$C$16))</f>
        <v>0</v>
      </c>
      <c r="Y159" s="140">
        <f t="shared" ca="1" si="19"/>
        <v>0</v>
      </c>
      <c r="Z159" s="167">
        <f t="shared" ca="1" si="22"/>
        <v>0</v>
      </c>
      <c r="AA159" s="167">
        <f t="shared" ca="1" si="23"/>
        <v>0</v>
      </c>
    </row>
    <row r="160" spans="2:27" x14ac:dyDescent="0.25">
      <c r="B160" s="21">
        <f ca="1">IF(B159="","",IF(EOMONTH(B159,1)&gt;EOMONTH(ELEGIBILIDADE!$J$17,0),"",EOMONTH(B159,1)))</f>
        <v>48273</v>
      </c>
      <c r="C160" s="22">
        <f ca="1">IF(B160="","",IF(MONTH(B160)=1,C159*(1+PREMISSAS!$C$57),C159))</f>
        <v>0</v>
      </c>
      <c r="D160" s="22">
        <f ca="1">IF(RESULTADOS!$C$17="Normal",IFERROR(MAX(C160-PREMISSAS!$C$13,0),0),IF(Painel!$I$23=0,0,MAX(10*PREMISSAS!$C$38,RESULTADOS!$F$17)))</f>
        <v>0</v>
      </c>
      <c r="E160" s="4">
        <f ca="1">D160*IF(RESULTADOS!$C$17="Normal",RESULTADOS!$C$16,0)</f>
        <v>0</v>
      </c>
      <c r="F160" s="4">
        <f ca="1">IFERROR(IF(RESULTADOS!$C$17="Normal",D160,C160)*RESULTADOS!$C$18,0)</f>
        <v>0</v>
      </c>
      <c r="G160" s="4">
        <f ca="1">IFERROR(IF(RESULTADOS!$C$17="Normal",0,D160)*IF(RESULTADOS!$C$17="Normal",RESULTADOS!$C$18,RESULTADOS!$C$16),0)</f>
        <v>0</v>
      </c>
      <c r="H160" s="4">
        <f ca="1">IF(RESULTADOS!$C$17="Normal",E160,0)</f>
        <v>0</v>
      </c>
      <c r="I160" s="4">
        <f ca="1">(E160+H160+G160)*PREMISSAS!$C$60</f>
        <v>0</v>
      </c>
      <c r="J160" s="4">
        <f ca="1">D160*IF(RESULTADOS!$C$17="Normal",PREMISSAS!$C$62,0)</f>
        <v>0</v>
      </c>
      <c r="K160" s="116">
        <f ca="1">IFERROR(K159*(1+PREMISSAS!$C$18)+(E160+H160-IF(RESULTADOS!$C$17="Normal",I160,0)-J160)*IF(MONTH(B160)=12,2,1),0)</f>
        <v>0</v>
      </c>
      <c r="L160" s="116">
        <f ca="1">IFERROR((L159+G160-IF(RESULTADOS!$C$17="Normal",0,I160))*(1+PREMISSAS!$C$18)+F160,0)</f>
        <v>0</v>
      </c>
      <c r="N160" s="73">
        <f t="shared" ca="1" si="16"/>
        <v>0</v>
      </c>
      <c r="P160" s="164">
        <f t="shared" ca="1" si="17"/>
        <v>48273</v>
      </c>
      <c r="Q160" s="140">
        <f ca="1">IF(C160="","",Q159+(E160+H160-IF(RESULTADOS!$C$17="Normal",I160,0)-J160)/2+(F160+G160-IF(RESULTADOS!$C$17="Normal",0,I160)))</f>
        <v>0</v>
      </c>
      <c r="R160" s="140">
        <f ca="1">IF(C160="","",R159+(E160+H160-IF(RESULTADOS!$C$17="Normal",I160,0)-J160)/2)</f>
        <v>0</v>
      </c>
      <c r="S160" s="140">
        <f t="shared" ca="1" si="20"/>
        <v>0</v>
      </c>
      <c r="U160" s="164" t="str">
        <f t="shared" ca="1" si="21"/>
        <v/>
      </c>
      <c r="V160" s="164" t="str">
        <f t="shared" ca="1" si="18"/>
        <v/>
      </c>
      <c r="W160" s="140">
        <f ca="1">IF(OR((W159-13/12*Z159)*(1+PREMISSAS!$C$16)&lt;0,W159=""),0,(W159-13/12*Z159)*(1+PREMISSAS!$C$16))</f>
        <v>0</v>
      </c>
      <c r="X160" s="140">
        <f ca="1">IF(OR((X159-13/12*AA159)*(1+PREMISSAS!$C$16)&lt;0,X159=""),0,(X159-13/12*AA159)*(1+PREMISSAS!$C$16))</f>
        <v>0</v>
      </c>
      <c r="Y160" s="140">
        <f t="shared" ca="1" si="19"/>
        <v>0</v>
      </c>
      <c r="Z160" s="167">
        <f t="shared" ca="1" si="22"/>
        <v>0</v>
      </c>
      <c r="AA160" s="167">
        <f t="shared" ca="1" si="23"/>
        <v>0</v>
      </c>
    </row>
    <row r="161" spans="2:27" x14ac:dyDescent="0.25">
      <c r="B161" s="21">
        <f ca="1">IF(B160="","",IF(EOMONTH(B160,1)&gt;EOMONTH(ELEGIBILIDADE!$J$17,0),"",EOMONTH(B160,1)))</f>
        <v>48304</v>
      </c>
      <c r="C161" s="22">
        <f ca="1">IF(B161="","",IF(MONTH(B161)=1,C160*(1+PREMISSAS!$C$57),C160))</f>
        <v>0</v>
      </c>
      <c r="D161" s="22">
        <f ca="1">IF(RESULTADOS!$C$17="Normal",IFERROR(MAX(C161-PREMISSAS!$C$13,0),0),IF(Painel!$I$23=0,0,MAX(10*PREMISSAS!$C$38,RESULTADOS!$F$17)))</f>
        <v>0</v>
      </c>
      <c r="E161" s="4">
        <f ca="1">D161*IF(RESULTADOS!$C$17="Normal",RESULTADOS!$C$16,0)</f>
        <v>0</v>
      </c>
      <c r="F161" s="4">
        <f ca="1">IFERROR(IF(RESULTADOS!$C$17="Normal",D161,C161)*RESULTADOS!$C$18,0)</f>
        <v>0</v>
      </c>
      <c r="G161" s="4">
        <f ca="1">IFERROR(IF(RESULTADOS!$C$17="Normal",0,D161)*IF(RESULTADOS!$C$17="Normal",RESULTADOS!$C$18,RESULTADOS!$C$16),0)</f>
        <v>0</v>
      </c>
      <c r="H161" s="4">
        <f ca="1">IF(RESULTADOS!$C$17="Normal",E161,0)</f>
        <v>0</v>
      </c>
      <c r="I161" s="4">
        <f ca="1">(E161+H161+G161)*PREMISSAS!$C$60</f>
        <v>0</v>
      </c>
      <c r="J161" s="4">
        <f ca="1">D161*IF(RESULTADOS!$C$17="Normal",PREMISSAS!$C$62,0)</f>
        <v>0</v>
      </c>
      <c r="K161" s="116">
        <f ca="1">IFERROR(K160*(1+PREMISSAS!$C$18)+(E161+H161-IF(RESULTADOS!$C$17="Normal",I161,0)-J161)*IF(MONTH(B161)=12,2,1),0)</f>
        <v>0</v>
      </c>
      <c r="L161" s="116">
        <f ca="1">IFERROR((L160+G161-IF(RESULTADOS!$C$17="Normal",0,I161))*(1+PREMISSAS!$C$18)+F161,0)</f>
        <v>0</v>
      </c>
      <c r="N161" s="73">
        <f t="shared" ca="1" si="16"/>
        <v>0</v>
      </c>
      <c r="P161" s="164">
        <f t="shared" ca="1" si="17"/>
        <v>48304</v>
      </c>
      <c r="Q161" s="140">
        <f ca="1">IF(C161="","",Q160+(E161+H161-IF(RESULTADOS!$C$17="Normal",I161,0)-J161)/2+(F161+G161-IF(RESULTADOS!$C$17="Normal",0,I161)))</f>
        <v>0</v>
      </c>
      <c r="R161" s="140">
        <f ca="1">IF(C161="","",R160+(E161+H161-IF(RESULTADOS!$C$17="Normal",I161,0)-J161)/2)</f>
        <v>0</v>
      </c>
      <c r="S161" s="140">
        <f t="shared" ca="1" si="20"/>
        <v>0</v>
      </c>
      <c r="U161" s="164" t="str">
        <f t="shared" ca="1" si="21"/>
        <v/>
      </c>
      <c r="V161" s="164" t="str">
        <f t="shared" ca="1" si="18"/>
        <v/>
      </c>
      <c r="W161" s="140">
        <f ca="1">IF(OR((W160-13/12*Z160)*(1+PREMISSAS!$C$16)&lt;0,W160=""),0,(W160-13/12*Z160)*(1+PREMISSAS!$C$16))</f>
        <v>0</v>
      </c>
      <c r="X161" s="140">
        <f ca="1">IF(OR((X160-13/12*AA160)*(1+PREMISSAS!$C$16)&lt;0,X160=""),0,(X160-13/12*AA160)*(1+PREMISSAS!$C$16))</f>
        <v>0</v>
      </c>
      <c r="Y161" s="140">
        <f t="shared" ca="1" si="19"/>
        <v>0</v>
      </c>
      <c r="Z161" s="167">
        <f t="shared" ca="1" si="22"/>
        <v>0</v>
      </c>
      <c r="AA161" s="167">
        <f t="shared" ca="1" si="23"/>
        <v>0</v>
      </c>
    </row>
    <row r="162" spans="2:27" x14ac:dyDescent="0.25">
      <c r="B162" s="21">
        <f ca="1">IF(B161="","",IF(EOMONTH(B161,1)&gt;EOMONTH(ELEGIBILIDADE!$J$17,0),"",EOMONTH(B161,1)))</f>
        <v>48334</v>
      </c>
      <c r="C162" s="22">
        <f ca="1">IF(B162="","",IF(MONTH(B162)=1,C161*(1+PREMISSAS!$C$57),C161))</f>
        <v>0</v>
      </c>
      <c r="D162" s="22">
        <f ca="1">IF(RESULTADOS!$C$17="Normal",IFERROR(MAX(C162-PREMISSAS!$C$13,0),0),IF(Painel!$I$23=0,0,MAX(10*PREMISSAS!$C$38,RESULTADOS!$F$17)))</f>
        <v>0</v>
      </c>
      <c r="E162" s="4">
        <f ca="1">D162*IF(RESULTADOS!$C$17="Normal",RESULTADOS!$C$16,0)</f>
        <v>0</v>
      </c>
      <c r="F162" s="4">
        <f ca="1">IFERROR(IF(RESULTADOS!$C$17="Normal",D162,C162)*RESULTADOS!$C$18,0)</f>
        <v>0</v>
      </c>
      <c r="G162" s="4">
        <f ca="1">IFERROR(IF(RESULTADOS!$C$17="Normal",0,D162)*IF(RESULTADOS!$C$17="Normal",RESULTADOS!$C$18,RESULTADOS!$C$16),0)</f>
        <v>0</v>
      </c>
      <c r="H162" s="4">
        <f ca="1">IF(RESULTADOS!$C$17="Normal",E162,0)</f>
        <v>0</v>
      </c>
      <c r="I162" s="4">
        <f ca="1">(E162+H162+G162)*PREMISSAS!$C$60</f>
        <v>0</v>
      </c>
      <c r="J162" s="4">
        <f ca="1">D162*IF(RESULTADOS!$C$17="Normal",PREMISSAS!$C$62,0)</f>
        <v>0</v>
      </c>
      <c r="K162" s="116">
        <f ca="1">IFERROR(K161*(1+PREMISSAS!$C$18)+(E162+H162-IF(RESULTADOS!$C$17="Normal",I162,0)-J162)*IF(MONTH(B162)=12,2,1),0)</f>
        <v>0</v>
      </c>
      <c r="L162" s="116">
        <f ca="1">IFERROR((L161+G162-IF(RESULTADOS!$C$17="Normal",0,I162))*(1+PREMISSAS!$C$18)+F162,0)</f>
        <v>0</v>
      </c>
      <c r="N162" s="73">
        <f t="shared" ca="1" si="16"/>
        <v>0</v>
      </c>
      <c r="P162" s="164">
        <f t="shared" ca="1" si="17"/>
        <v>48334</v>
      </c>
      <c r="Q162" s="140">
        <f ca="1">IF(C162="","",Q161+(E162+H162-IF(RESULTADOS!$C$17="Normal",I162,0)-J162)/2+(F162+G162-IF(RESULTADOS!$C$17="Normal",0,I162)))</f>
        <v>0</v>
      </c>
      <c r="R162" s="140">
        <f ca="1">IF(C162="","",R161+(E162+H162-IF(RESULTADOS!$C$17="Normal",I162,0)-J162)/2)</f>
        <v>0</v>
      </c>
      <c r="S162" s="140">
        <f t="shared" ca="1" si="20"/>
        <v>0</v>
      </c>
      <c r="U162" s="164" t="str">
        <f t="shared" ca="1" si="21"/>
        <v/>
      </c>
      <c r="V162" s="164" t="str">
        <f t="shared" ca="1" si="18"/>
        <v/>
      </c>
      <c r="W162" s="140">
        <f ca="1">IF(OR((W161-13/12*Z161)*(1+PREMISSAS!$C$16)&lt;0,W161=""),0,(W161-13/12*Z161)*(1+PREMISSAS!$C$16))</f>
        <v>0</v>
      </c>
      <c r="X162" s="140">
        <f ca="1">IF(OR((X161-13/12*AA161)*(1+PREMISSAS!$C$16)&lt;0,X161=""),0,(X161-13/12*AA161)*(1+PREMISSAS!$C$16))</f>
        <v>0</v>
      </c>
      <c r="Y162" s="140">
        <f t="shared" ca="1" si="19"/>
        <v>0</v>
      </c>
      <c r="Z162" s="167">
        <f t="shared" ca="1" si="22"/>
        <v>0</v>
      </c>
      <c r="AA162" s="167">
        <f t="shared" ca="1" si="23"/>
        <v>0</v>
      </c>
    </row>
    <row r="163" spans="2:27" x14ac:dyDescent="0.25">
      <c r="B163" s="21">
        <f ca="1">IF(B162="","",IF(EOMONTH(B162,1)&gt;EOMONTH(ELEGIBILIDADE!$J$17,0),"",EOMONTH(B162,1)))</f>
        <v>48365</v>
      </c>
      <c r="C163" s="22">
        <f ca="1">IF(B163="","",IF(MONTH(B163)=1,C162*(1+PREMISSAS!$C$57),C162))</f>
        <v>0</v>
      </c>
      <c r="D163" s="22">
        <f ca="1">IF(RESULTADOS!$C$17="Normal",IFERROR(MAX(C163-PREMISSAS!$C$13,0),0),IF(Painel!$I$23=0,0,MAX(10*PREMISSAS!$C$38,RESULTADOS!$F$17)))</f>
        <v>0</v>
      </c>
      <c r="E163" s="4">
        <f ca="1">D163*IF(RESULTADOS!$C$17="Normal",RESULTADOS!$C$16,0)</f>
        <v>0</v>
      </c>
      <c r="F163" s="4">
        <f ca="1">IFERROR(IF(RESULTADOS!$C$17="Normal",D163,C163)*RESULTADOS!$C$18,0)</f>
        <v>0</v>
      </c>
      <c r="G163" s="4">
        <f ca="1">IFERROR(IF(RESULTADOS!$C$17="Normal",0,D163)*IF(RESULTADOS!$C$17="Normal",RESULTADOS!$C$18,RESULTADOS!$C$16),0)</f>
        <v>0</v>
      </c>
      <c r="H163" s="4">
        <f ca="1">IF(RESULTADOS!$C$17="Normal",E163,0)</f>
        <v>0</v>
      </c>
      <c r="I163" s="4">
        <f ca="1">(E163+H163+G163)*PREMISSAS!$C$60</f>
        <v>0</v>
      </c>
      <c r="J163" s="4">
        <f ca="1">D163*IF(RESULTADOS!$C$17="Normal",PREMISSAS!$C$62,0)</f>
        <v>0</v>
      </c>
      <c r="K163" s="116">
        <f ca="1">IFERROR(K162*(1+PREMISSAS!$C$18)+(E163+H163-IF(RESULTADOS!$C$17="Normal",I163,0)-J163)*IF(MONTH(B163)=12,2,1),0)</f>
        <v>0</v>
      </c>
      <c r="L163" s="116">
        <f ca="1">IFERROR((L162+G163-IF(RESULTADOS!$C$17="Normal",0,I163))*(1+PREMISSAS!$C$18)+F163,0)</f>
        <v>0</v>
      </c>
      <c r="N163" s="73">
        <f t="shared" ca="1" si="16"/>
        <v>0</v>
      </c>
      <c r="P163" s="164">
        <f t="shared" ca="1" si="17"/>
        <v>48365</v>
      </c>
      <c r="Q163" s="140">
        <f ca="1">IF(C163="","",Q162+(E163+H163-IF(RESULTADOS!$C$17="Normal",I163,0)-J163)/2+(F163+G163-IF(RESULTADOS!$C$17="Normal",0,I163)))</f>
        <v>0</v>
      </c>
      <c r="R163" s="140">
        <f ca="1">IF(C163="","",R162+(E163+H163-IF(RESULTADOS!$C$17="Normal",I163,0)-J163)/2)</f>
        <v>0</v>
      </c>
      <c r="S163" s="140">
        <f t="shared" ca="1" si="20"/>
        <v>0</v>
      </c>
      <c r="U163" s="164" t="str">
        <f t="shared" ca="1" si="21"/>
        <v/>
      </c>
      <c r="V163" s="164" t="str">
        <f t="shared" ca="1" si="18"/>
        <v/>
      </c>
      <c r="W163" s="140">
        <f ca="1">IF(OR((W162-13/12*Z162)*(1+PREMISSAS!$C$16)&lt;0,W162=""),0,(W162-13/12*Z162)*(1+PREMISSAS!$C$16))</f>
        <v>0</v>
      </c>
      <c r="X163" s="140">
        <f ca="1">IF(OR((X162-13/12*AA162)*(1+PREMISSAS!$C$16)&lt;0,X162=""),0,(X162-13/12*AA162)*(1+PREMISSAS!$C$16))</f>
        <v>0</v>
      </c>
      <c r="Y163" s="140">
        <f t="shared" ca="1" si="19"/>
        <v>0</v>
      </c>
      <c r="Z163" s="167">
        <f t="shared" ca="1" si="22"/>
        <v>0</v>
      </c>
      <c r="AA163" s="167">
        <f t="shared" ca="1" si="23"/>
        <v>0</v>
      </c>
    </row>
    <row r="164" spans="2:27" x14ac:dyDescent="0.25">
      <c r="B164" s="21">
        <f ca="1">IF(B163="","",IF(EOMONTH(B163,1)&gt;EOMONTH(ELEGIBILIDADE!$J$17,0),"",EOMONTH(B163,1)))</f>
        <v>48395</v>
      </c>
      <c r="C164" s="22">
        <f ca="1">IF(B164="","",IF(MONTH(B164)=1,C163*(1+PREMISSAS!$C$57),C163))</f>
        <v>0</v>
      </c>
      <c r="D164" s="22">
        <f ca="1">IF(RESULTADOS!$C$17="Normal",IFERROR(MAX(C164-PREMISSAS!$C$13,0),0),IF(Painel!$I$23=0,0,MAX(10*PREMISSAS!$C$38,RESULTADOS!$F$17)))</f>
        <v>0</v>
      </c>
      <c r="E164" s="4">
        <f ca="1">D164*IF(RESULTADOS!$C$17="Normal",RESULTADOS!$C$16,0)</f>
        <v>0</v>
      </c>
      <c r="F164" s="4">
        <f ca="1">IFERROR(IF(RESULTADOS!$C$17="Normal",D164,C164)*RESULTADOS!$C$18,0)</f>
        <v>0</v>
      </c>
      <c r="G164" s="4">
        <f ca="1">IFERROR(IF(RESULTADOS!$C$17="Normal",0,D164)*IF(RESULTADOS!$C$17="Normal",RESULTADOS!$C$18,RESULTADOS!$C$16),0)</f>
        <v>0</v>
      </c>
      <c r="H164" s="4">
        <f ca="1">IF(RESULTADOS!$C$17="Normal",E164,0)</f>
        <v>0</v>
      </c>
      <c r="I164" s="4">
        <f ca="1">(E164+H164+G164)*PREMISSAS!$C$60</f>
        <v>0</v>
      </c>
      <c r="J164" s="4">
        <f ca="1">D164*IF(RESULTADOS!$C$17="Normal",PREMISSAS!$C$62,0)</f>
        <v>0</v>
      </c>
      <c r="K164" s="116">
        <f ca="1">IFERROR(K163*(1+PREMISSAS!$C$18)+(E164+H164-IF(RESULTADOS!$C$17="Normal",I164,0)-J164)*IF(MONTH(B164)=12,2,1),0)</f>
        <v>0</v>
      </c>
      <c r="L164" s="116">
        <f ca="1">IFERROR((L163+G164-IF(RESULTADOS!$C$17="Normal",0,I164))*(1+PREMISSAS!$C$18)+F164,0)</f>
        <v>0</v>
      </c>
      <c r="N164" s="73">
        <f t="shared" ca="1" si="16"/>
        <v>0</v>
      </c>
      <c r="P164" s="164">
        <f t="shared" ca="1" si="17"/>
        <v>48395</v>
      </c>
      <c r="Q164" s="140">
        <f ca="1">IF(C164="","",Q163+(E164+H164-IF(RESULTADOS!$C$17="Normal",I164,0)-J164)/2+(F164+G164-IF(RESULTADOS!$C$17="Normal",0,I164)))</f>
        <v>0</v>
      </c>
      <c r="R164" s="140">
        <f ca="1">IF(C164="","",R163+(E164+H164-IF(RESULTADOS!$C$17="Normal",I164,0)-J164)/2)</f>
        <v>0</v>
      </c>
      <c r="S164" s="140">
        <f t="shared" ca="1" si="20"/>
        <v>0</v>
      </c>
      <c r="U164" s="164" t="str">
        <f t="shared" ca="1" si="21"/>
        <v/>
      </c>
      <c r="V164" s="164" t="str">
        <f t="shared" ca="1" si="18"/>
        <v/>
      </c>
      <c r="W164" s="140">
        <f ca="1">IF(OR((W163-13/12*Z163)*(1+PREMISSAS!$C$16)&lt;0,W163=""),0,(W163-13/12*Z163)*(1+PREMISSAS!$C$16))</f>
        <v>0</v>
      </c>
      <c r="X164" s="140">
        <f ca="1">IF(OR((X163-13/12*AA163)*(1+PREMISSAS!$C$16)&lt;0,X163=""),0,(X163-13/12*AA163)*(1+PREMISSAS!$C$16))</f>
        <v>0</v>
      </c>
      <c r="Y164" s="140">
        <f t="shared" ca="1" si="19"/>
        <v>0</v>
      </c>
      <c r="Z164" s="167">
        <f t="shared" ca="1" si="22"/>
        <v>0</v>
      </c>
      <c r="AA164" s="167">
        <f t="shared" ca="1" si="23"/>
        <v>0</v>
      </c>
    </row>
    <row r="165" spans="2:27" x14ac:dyDescent="0.25">
      <c r="B165" s="21">
        <f ca="1">IF(B164="","",IF(EOMONTH(B164,1)&gt;EOMONTH(ELEGIBILIDADE!$J$17,0),"",EOMONTH(B164,1)))</f>
        <v>48426</v>
      </c>
      <c r="C165" s="22">
        <f ca="1">IF(B165="","",IF(MONTH(B165)=1,C164*(1+PREMISSAS!$C$57),C164))</f>
        <v>0</v>
      </c>
      <c r="D165" s="22">
        <f ca="1">IF(RESULTADOS!$C$17="Normal",IFERROR(MAX(C165-PREMISSAS!$C$13,0),0),IF(Painel!$I$23=0,0,MAX(10*PREMISSAS!$C$38,RESULTADOS!$F$17)))</f>
        <v>0</v>
      </c>
      <c r="E165" s="4">
        <f ca="1">D165*IF(RESULTADOS!$C$17="Normal",RESULTADOS!$C$16,0)</f>
        <v>0</v>
      </c>
      <c r="F165" s="4">
        <f ca="1">IFERROR(IF(RESULTADOS!$C$17="Normal",D165,C165)*RESULTADOS!$C$18,0)</f>
        <v>0</v>
      </c>
      <c r="G165" s="4">
        <f ca="1">IFERROR(IF(RESULTADOS!$C$17="Normal",0,D165)*IF(RESULTADOS!$C$17="Normal",RESULTADOS!$C$18,RESULTADOS!$C$16),0)</f>
        <v>0</v>
      </c>
      <c r="H165" s="4">
        <f ca="1">IF(RESULTADOS!$C$17="Normal",E165,0)</f>
        <v>0</v>
      </c>
      <c r="I165" s="4">
        <f ca="1">(E165+H165+G165)*PREMISSAS!$C$60</f>
        <v>0</v>
      </c>
      <c r="J165" s="4">
        <f ca="1">D165*IF(RESULTADOS!$C$17="Normal",PREMISSAS!$C$62,0)</f>
        <v>0</v>
      </c>
      <c r="K165" s="116">
        <f ca="1">IFERROR(K164*(1+PREMISSAS!$C$18)+(E165+H165-IF(RESULTADOS!$C$17="Normal",I165,0)-J165)*IF(MONTH(B165)=12,2,1),0)</f>
        <v>0</v>
      </c>
      <c r="L165" s="116">
        <f ca="1">IFERROR((L164+G165-IF(RESULTADOS!$C$17="Normal",0,I165))*(1+PREMISSAS!$C$18)+F165,0)</f>
        <v>0</v>
      </c>
      <c r="N165" s="73">
        <f t="shared" ca="1" si="16"/>
        <v>0</v>
      </c>
      <c r="P165" s="164">
        <f t="shared" ca="1" si="17"/>
        <v>48426</v>
      </c>
      <c r="Q165" s="140">
        <f ca="1">IF(C165="","",Q164+(E165+H165-IF(RESULTADOS!$C$17="Normal",I165,0)-J165)/2+(F165+G165-IF(RESULTADOS!$C$17="Normal",0,I165)))</f>
        <v>0</v>
      </c>
      <c r="R165" s="140">
        <f ca="1">IF(C165="","",R164+(E165+H165-IF(RESULTADOS!$C$17="Normal",I165,0)-J165)/2)</f>
        <v>0</v>
      </c>
      <c r="S165" s="140">
        <f t="shared" ca="1" si="20"/>
        <v>0</v>
      </c>
      <c r="U165" s="164" t="str">
        <f t="shared" ca="1" si="21"/>
        <v/>
      </c>
      <c r="V165" s="164" t="str">
        <f t="shared" ca="1" si="18"/>
        <v/>
      </c>
      <c r="W165" s="140">
        <f ca="1">IF(OR((W164-13/12*Z164)*(1+PREMISSAS!$C$16)&lt;0,W164=""),0,(W164-13/12*Z164)*(1+PREMISSAS!$C$16))</f>
        <v>0</v>
      </c>
      <c r="X165" s="140">
        <f ca="1">IF(OR((X164-13/12*AA164)*(1+PREMISSAS!$C$16)&lt;0,X164=""),0,(X164-13/12*AA164)*(1+PREMISSAS!$C$16))</f>
        <v>0</v>
      </c>
      <c r="Y165" s="140">
        <f t="shared" ca="1" si="19"/>
        <v>0</v>
      </c>
      <c r="Z165" s="167">
        <f t="shared" ca="1" si="22"/>
        <v>0</v>
      </c>
      <c r="AA165" s="167">
        <f t="shared" ca="1" si="23"/>
        <v>0</v>
      </c>
    </row>
    <row r="166" spans="2:27" x14ac:dyDescent="0.25">
      <c r="B166" s="21">
        <f ca="1">IF(B165="","",IF(EOMONTH(B165,1)&gt;EOMONTH(ELEGIBILIDADE!$J$17,0),"",EOMONTH(B165,1)))</f>
        <v>48457</v>
      </c>
      <c r="C166" s="22">
        <f ca="1">IF(B166="","",IF(MONTH(B166)=1,C165*(1+PREMISSAS!$C$57),C165))</f>
        <v>0</v>
      </c>
      <c r="D166" s="22">
        <f ca="1">IF(RESULTADOS!$C$17="Normal",IFERROR(MAX(C166-PREMISSAS!$C$13,0),0),IF(Painel!$I$23=0,0,MAX(10*PREMISSAS!$C$38,RESULTADOS!$F$17)))</f>
        <v>0</v>
      </c>
      <c r="E166" s="4">
        <f ca="1">D166*IF(RESULTADOS!$C$17="Normal",RESULTADOS!$C$16,0)</f>
        <v>0</v>
      </c>
      <c r="F166" s="4">
        <f ca="1">IFERROR(IF(RESULTADOS!$C$17="Normal",D166,C166)*RESULTADOS!$C$18,0)</f>
        <v>0</v>
      </c>
      <c r="G166" s="4">
        <f ca="1">IFERROR(IF(RESULTADOS!$C$17="Normal",0,D166)*IF(RESULTADOS!$C$17="Normal",RESULTADOS!$C$18,RESULTADOS!$C$16),0)</f>
        <v>0</v>
      </c>
      <c r="H166" s="4">
        <f ca="1">IF(RESULTADOS!$C$17="Normal",E166,0)</f>
        <v>0</v>
      </c>
      <c r="I166" s="4">
        <f ca="1">(E166+H166+G166)*PREMISSAS!$C$60</f>
        <v>0</v>
      </c>
      <c r="J166" s="4">
        <f ca="1">D166*IF(RESULTADOS!$C$17="Normal",PREMISSAS!$C$62,0)</f>
        <v>0</v>
      </c>
      <c r="K166" s="116">
        <f ca="1">IFERROR(K165*(1+PREMISSAS!$C$18)+(E166+H166-IF(RESULTADOS!$C$17="Normal",I166,0)-J166)*IF(MONTH(B166)=12,2,1),0)</f>
        <v>0</v>
      </c>
      <c r="L166" s="116">
        <f ca="1">IFERROR((L165+G166-IF(RESULTADOS!$C$17="Normal",0,I166))*(1+PREMISSAS!$C$18)+F166,0)</f>
        <v>0</v>
      </c>
      <c r="N166" s="73">
        <f t="shared" ca="1" si="16"/>
        <v>0</v>
      </c>
      <c r="P166" s="164">
        <f t="shared" ca="1" si="17"/>
        <v>48457</v>
      </c>
      <c r="Q166" s="140">
        <f ca="1">IF(C166="","",Q165+(E166+H166-IF(RESULTADOS!$C$17="Normal",I166,0)-J166)/2+(F166+G166-IF(RESULTADOS!$C$17="Normal",0,I166)))</f>
        <v>0</v>
      </c>
      <c r="R166" s="140">
        <f ca="1">IF(C166="","",R165+(E166+H166-IF(RESULTADOS!$C$17="Normal",I166,0)-J166)/2)</f>
        <v>0</v>
      </c>
      <c r="S166" s="140">
        <f t="shared" ca="1" si="20"/>
        <v>0</v>
      </c>
      <c r="U166" s="164" t="str">
        <f t="shared" ca="1" si="21"/>
        <v/>
      </c>
      <c r="V166" s="164" t="str">
        <f t="shared" ca="1" si="18"/>
        <v/>
      </c>
      <c r="W166" s="140">
        <f ca="1">IF(OR((W165-13/12*Z165)*(1+PREMISSAS!$C$16)&lt;0,W165=""),0,(W165-13/12*Z165)*(1+PREMISSAS!$C$16))</f>
        <v>0</v>
      </c>
      <c r="X166" s="140">
        <f ca="1">IF(OR((X165-13/12*AA165)*(1+PREMISSAS!$C$16)&lt;0,X165=""),0,(X165-13/12*AA165)*(1+PREMISSAS!$C$16))</f>
        <v>0</v>
      </c>
      <c r="Y166" s="140">
        <f t="shared" ca="1" si="19"/>
        <v>0</v>
      </c>
      <c r="Z166" s="167">
        <f t="shared" ca="1" si="22"/>
        <v>0</v>
      </c>
      <c r="AA166" s="167">
        <f t="shared" ca="1" si="23"/>
        <v>0</v>
      </c>
    </row>
    <row r="167" spans="2:27" x14ac:dyDescent="0.25">
      <c r="B167" s="21">
        <f ca="1">IF(B166="","",IF(EOMONTH(B166,1)&gt;EOMONTH(ELEGIBILIDADE!$J$17,0),"",EOMONTH(B166,1)))</f>
        <v>48487</v>
      </c>
      <c r="C167" s="22">
        <f ca="1">IF(B167="","",IF(MONTH(B167)=1,C166*(1+PREMISSAS!$C$57),C166))</f>
        <v>0</v>
      </c>
      <c r="D167" s="22">
        <f ca="1">IF(RESULTADOS!$C$17="Normal",IFERROR(MAX(C167-PREMISSAS!$C$13,0),0),IF(Painel!$I$23=0,0,MAX(10*PREMISSAS!$C$38,RESULTADOS!$F$17)))</f>
        <v>0</v>
      </c>
      <c r="E167" s="4">
        <f ca="1">D167*IF(RESULTADOS!$C$17="Normal",RESULTADOS!$C$16,0)</f>
        <v>0</v>
      </c>
      <c r="F167" s="4">
        <f ca="1">IFERROR(IF(RESULTADOS!$C$17="Normal",D167,C167)*RESULTADOS!$C$18,0)</f>
        <v>0</v>
      </c>
      <c r="G167" s="4">
        <f ca="1">IFERROR(IF(RESULTADOS!$C$17="Normal",0,D167)*IF(RESULTADOS!$C$17="Normal",RESULTADOS!$C$18,RESULTADOS!$C$16),0)</f>
        <v>0</v>
      </c>
      <c r="H167" s="4">
        <f ca="1">IF(RESULTADOS!$C$17="Normal",E167,0)</f>
        <v>0</v>
      </c>
      <c r="I167" s="4">
        <f ca="1">(E167+H167+G167)*PREMISSAS!$C$60</f>
        <v>0</v>
      </c>
      <c r="J167" s="4">
        <f ca="1">D167*IF(RESULTADOS!$C$17="Normal",PREMISSAS!$C$62,0)</f>
        <v>0</v>
      </c>
      <c r="K167" s="116">
        <f ca="1">IFERROR(K166*(1+PREMISSAS!$C$18)+(E167+H167-IF(RESULTADOS!$C$17="Normal",I167,0)-J167)*IF(MONTH(B167)=12,2,1),0)</f>
        <v>0</v>
      </c>
      <c r="L167" s="116">
        <f ca="1">IFERROR((L166+G167-IF(RESULTADOS!$C$17="Normal",0,I167))*(1+PREMISSAS!$C$18)+F167,0)</f>
        <v>0</v>
      </c>
      <c r="N167" s="73">
        <f t="shared" ca="1" si="16"/>
        <v>0</v>
      </c>
      <c r="P167" s="164">
        <f t="shared" ca="1" si="17"/>
        <v>48487</v>
      </c>
      <c r="Q167" s="140">
        <f ca="1">IF(C167="","",Q166+(E167+H167-IF(RESULTADOS!$C$17="Normal",I167,0)-J167)/2+(F167+G167-IF(RESULTADOS!$C$17="Normal",0,I167)))</f>
        <v>0</v>
      </c>
      <c r="R167" s="140">
        <f ca="1">IF(C167="","",R166+(E167+H167-IF(RESULTADOS!$C$17="Normal",I167,0)-J167)/2)</f>
        <v>0</v>
      </c>
      <c r="S167" s="140">
        <f t="shared" ca="1" si="20"/>
        <v>0</v>
      </c>
      <c r="U167" s="164" t="str">
        <f t="shared" ca="1" si="21"/>
        <v/>
      </c>
      <c r="V167" s="164" t="str">
        <f t="shared" ca="1" si="18"/>
        <v/>
      </c>
      <c r="W167" s="140">
        <f ca="1">IF(OR((W166-13/12*Z166)*(1+PREMISSAS!$C$16)&lt;0,W166=""),0,(W166-13/12*Z166)*(1+PREMISSAS!$C$16))</f>
        <v>0</v>
      </c>
      <c r="X167" s="140">
        <f ca="1">IF(OR((X166-13/12*AA166)*(1+PREMISSAS!$C$16)&lt;0,X166=""),0,(X166-13/12*AA166)*(1+PREMISSAS!$C$16))</f>
        <v>0</v>
      </c>
      <c r="Y167" s="140">
        <f t="shared" ca="1" si="19"/>
        <v>0</v>
      </c>
      <c r="Z167" s="167">
        <f t="shared" ca="1" si="22"/>
        <v>0</v>
      </c>
      <c r="AA167" s="167">
        <f t="shared" ca="1" si="23"/>
        <v>0</v>
      </c>
    </row>
    <row r="168" spans="2:27" x14ac:dyDescent="0.25">
      <c r="B168" s="21">
        <f ca="1">IF(B167="","",IF(EOMONTH(B167,1)&gt;EOMONTH(ELEGIBILIDADE!$J$17,0),"",EOMONTH(B167,1)))</f>
        <v>48518</v>
      </c>
      <c r="C168" s="22">
        <f ca="1">IF(B168="","",IF(MONTH(B168)=1,C167*(1+PREMISSAS!$C$57),C167))</f>
        <v>0</v>
      </c>
      <c r="D168" s="22">
        <f ca="1">IF(RESULTADOS!$C$17="Normal",IFERROR(MAX(C168-PREMISSAS!$C$13,0),0),IF(Painel!$I$23=0,0,MAX(10*PREMISSAS!$C$38,RESULTADOS!$F$17)))</f>
        <v>0</v>
      </c>
      <c r="E168" s="4">
        <f ca="1">D168*IF(RESULTADOS!$C$17="Normal",RESULTADOS!$C$16,0)</f>
        <v>0</v>
      </c>
      <c r="F168" s="4">
        <f ca="1">IFERROR(IF(RESULTADOS!$C$17="Normal",D168,C168)*RESULTADOS!$C$18,0)</f>
        <v>0</v>
      </c>
      <c r="G168" s="4">
        <f ca="1">IFERROR(IF(RESULTADOS!$C$17="Normal",0,D168)*IF(RESULTADOS!$C$17="Normal",RESULTADOS!$C$18,RESULTADOS!$C$16),0)</f>
        <v>0</v>
      </c>
      <c r="H168" s="4">
        <f ca="1">IF(RESULTADOS!$C$17="Normal",E168,0)</f>
        <v>0</v>
      </c>
      <c r="I168" s="4">
        <f ca="1">(E168+H168+G168)*PREMISSAS!$C$60</f>
        <v>0</v>
      </c>
      <c r="J168" s="4">
        <f ca="1">D168*IF(RESULTADOS!$C$17="Normal",PREMISSAS!$C$62,0)</f>
        <v>0</v>
      </c>
      <c r="K168" s="116">
        <f ca="1">IFERROR(K167*(1+PREMISSAS!$C$18)+(E168+H168-IF(RESULTADOS!$C$17="Normal",I168,0)-J168)*IF(MONTH(B168)=12,2,1),0)</f>
        <v>0</v>
      </c>
      <c r="L168" s="116">
        <f ca="1">IFERROR((L167+G168-IF(RESULTADOS!$C$17="Normal",0,I168))*(1+PREMISSAS!$C$18)+F168,0)</f>
        <v>0</v>
      </c>
      <c r="N168" s="73">
        <f t="shared" ca="1" si="16"/>
        <v>0</v>
      </c>
      <c r="P168" s="164">
        <f t="shared" ca="1" si="17"/>
        <v>48518</v>
      </c>
      <c r="Q168" s="140">
        <f ca="1">IF(C168="","",Q167+(E168+H168-IF(RESULTADOS!$C$17="Normal",I168,0)-J168)/2+(F168+G168-IF(RESULTADOS!$C$17="Normal",0,I168)))</f>
        <v>0</v>
      </c>
      <c r="R168" s="140">
        <f ca="1">IF(C168="","",R167+(E168+H168-IF(RESULTADOS!$C$17="Normal",I168,0)-J168)/2)</f>
        <v>0</v>
      </c>
      <c r="S168" s="140">
        <f t="shared" ca="1" si="20"/>
        <v>0</v>
      </c>
      <c r="U168" s="164" t="str">
        <f t="shared" ca="1" si="21"/>
        <v/>
      </c>
      <c r="V168" s="164" t="str">
        <f t="shared" ca="1" si="18"/>
        <v/>
      </c>
      <c r="W168" s="140">
        <f ca="1">IF(OR((W167-13/12*Z167)*(1+PREMISSAS!$C$16)&lt;0,W167=""),0,(W167-13/12*Z167)*(1+PREMISSAS!$C$16))</f>
        <v>0</v>
      </c>
      <c r="X168" s="140">
        <f ca="1">IF(OR((X167-13/12*AA167)*(1+PREMISSAS!$C$16)&lt;0,X167=""),0,(X167-13/12*AA167)*(1+PREMISSAS!$C$16))</f>
        <v>0</v>
      </c>
      <c r="Y168" s="140">
        <f t="shared" ca="1" si="19"/>
        <v>0</v>
      </c>
      <c r="Z168" s="167">
        <f t="shared" ca="1" si="22"/>
        <v>0</v>
      </c>
      <c r="AA168" s="167">
        <f t="shared" ca="1" si="23"/>
        <v>0</v>
      </c>
    </row>
    <row r="169" spans="2:27" x14ac:dyDescent="0.25">
      <c r="B169" s="21">
        <f ca="1">IF(B168="","",IF(EOMONTH(B168,1)&gt;EOMONTH(ELEGIBILIDADE!$J$17,0),"",EOMONTH(B168,1)))</f>
        <v>48548</v>
      </c>
      <c r="C169" s="22">
        <f ca="1">IF(B169="","",IF(MONTH(B169)=1,C168*(1+PREMISSAS!$C$57),C168))</f>
        <v>0</v>
      </c>
      <c r="D169" s="22">
        <f ca="1">IF(RESULTADOS!$C$17="Normal",IFERROR(MAX(C169-PREMISSAS!$C$13,0),0),IF(Painel!$I$23=0,0,MAX(10*PREMISSAS!$C$38,RESULTADOS!$F$17)))</f>
        <v>0</v>
      </c>
      <c r="E169" s="4">
        <f ca="1">D169*IF(RESULTADOS!$C$17="Normal",RESULTADOS!$C$16,0)</f>
        <v>0</v>
      </c>
      <c r="F169" s="4">
        <f ca="1">IFERROR(IF(RESULTADOS!$C$17="Normal",D169,C169)*RESULTADOS!$C$18,0)</f>
        <v>0</v>
      </c>
      <c r="G169" s="4">
        <f ca="1">IFERROR(IF(RESULTADOS!$C$17="Normal",0,D169)*IF(RESULTADOS!$C$17="Normal",RESULTADOS!$C$18,RESULTADOS!$C$16),0)</f>
        <v>0</v>
      </c>
      <c r="H169" s="4">
        <f ca="1">IF(RESULTADOS!$C$17="Normal",E169,0)</f>
        <v>0</v>
      </c>
      <c r="I169" s="4">
        <f ca="1">(E169+H169+G169)*PREMISSAS!$C$60</f>
        <v>0</v>
      </c>
      <c r="J169" s="4">
        <f ca="1">D169*IF(RESULTADOS!$C$17="Normal",PREMISSAS!$C$62,0)</f>
        <v>0</v>
      </c>
      <c r="K169" s="116">
        <f ca="1">IFERROR(K168*(1+PREMISSAS!$C$18)+(E169+H169-IF(RESULTADOS!$C$17="Normal",I169,0)-J169)*IF(MONTH(B169)=12,2,1),0)</f>
        <v>0</v>
      </c>
      <c r="L169" s="116">
        <f ca="1">IFERROR((L168+G169-IF(RESULTADOS!$C$17="Normal",0,I169))*(1+PREMISSAS!$C$18)+F169,0)</f>
        <v>0</v>
      </c>
      <c r="N169" s="73">
        <f t="shared" ca="1" si="16"/>
        <v>0</v>
      </c>
      <c r="P169" s="164">
        <f t="shared" ca="1" si="17"/>
        <v>48548</v>
      </c>
      <c r="Q169" s="140">
        <f ca="1">IF(C169="","",Q168+(E169+H169-IF(RESULTADOS!$C$17="Normal",I169,0)-J169)/2+(F169+G169-IF(RESULTADOS!$C$17="Normal",0,I169)))</f>
        <v>0</v>
      </c>
      <c r="R169" s="140">
        <f ca="1">IF(C169="","",R168+(E169+H169-IF(RESULTADOS!$C$17="Normal",I169,0)-J169)/2)</f>
        <v>0</v>
      </c>
      <c r="S169" s="140">
        <f t="shared" ca="1" si="20"/>
        <v>0</v>
      </c>
      <c r="U169" s="164" t="str">
        <f t="shared" ca="1" si="21"/>
        <v/>
      </c>
      <c r="V169" s="164" t="str">
        <f t="shared" ca="1" si="18"/>
        <v/>
      </c>
      <c r="W169" s="140">
        <f ca="1">IF(OR((W168-13/12*Z168)*(1+PREMISSAS!$C$16)&lt;0,W168=""),0,(W168-13/12*Z168)*(1+PREMISSAS!$C$16))</f>
        <v>0</v>
      </c>
      <c r="X169" s="140">
        <f ca="1">IF(OR((X168-13/12*AA168)*(1+PREMISSAS!$C$16)&lt;0,X168=""),0,(X168-13/12*AA168)*(1+PREMISSAS!$C$16))</f>
        <v>0</v>
      </c>
      <c r="Y169" s="140">
        <f t="shared" ca="1" si="19"/>
        <v>0</v>
      </c>
      <c r="Z169" s="167">
        <f t="shared" ca="1" si="22"/>
        <v>0</v>
      </c>
      <c r="AA169" s="167">
        <f t="shared" ca="1" si="23"/>
        <v>0</v>
      </c>
    </row>
    <row r="170" spans="2:27" x14ac:dyDescent="0.25">
      <c r="B170" s="21">
        <f ca="1">IF(B169="","",IF(EOMONTH(B169,1)&gt;EOMONTH(ELEGIBILIDADE!$J$17,0),"",EOMONTH(B169,1)))</f>
        <v>48579</v>
      </c>
      <c r="C170" s="22">
        <f ca="1">IF(B170="","",IF(MONTH(B170)=1,C169*(1+PREMISSAS!$C$57),C169))</f>
        <v>0</v>
      </c>
      <c r="D170" s="22">
        <f ca="1">IF(RESULTADOS!$C$17="Normal",IFERROR(MAX(C170-PREMISSAS!$C$13,0),0),IF(Painel!$I$23=0,0,MAX(10*PREMISSAS!$C$38,RESULTADOS!$F$17)))</f>
        <v>0</v>
      </c>
      <c r="E170" s="4">
        <f ca="1">D170*IF(RESULTADOS!$C$17="Normal",RESULTADOS!$C$16,0)</f>
        <v>0</v>
      </c>
      <c r="F170" s="4">
        <f ca="1">IFERROR(IF(RESULTADOS!$C$17="Normal",D170,C170)*RESULTADOS!$C$18,0)</f>
        <v>0</v>
      </c>
      <c r="G170" s="4">
        <f ca="1">IFERROR(IF(RESULTADOS!$C$17="Normal",0,D170)*IF(RESULTADOS!$C$17="Normal",RESULTADOS!$C$18,RESULTADOS!$C$16),0)</f>
        <v>0</v>
      </c>
      <c r="H170" s="4">
        <f ca="1">IF(RESULTADOS!$C$17="Normal",E170,0)</f>
        <v>0</v>
      </c>
      <c r="I170" s="4">
        <f ca="1">(E170+H170+G170)*PREMISSAS!$C$60</f>
        <v>0</v>
      </c>
      <c r="J170" s="4">
        <f ca="1">D170*IF(RESULTADOS!$C$17="Normal",PREMISSAS!$C$62,0)</f>
        <v>0</v>
      </c>
      <c r="K170" s="116">
        <f ca="1">IFERROR(K169*(1+PREMISSAS!$C$18)+(E170+H170-IF(RESULTADOS!$C$17="Normal",I170,0)-J170)*IF(MONTH(B170)=12,2,1),0)</f>
        <v>0</v>
      </c>
      <c r="L170" s="116">
        <f ca="1">IFERROR((L169+G170-IF(RESULTADOS!$C$17="Normal",0,I170))*(1+PREMISSAS!$C$18)+F170,0)</f>
        <v>0</v>
      </c>
      <c r="N170" s="73">
        <f t="shared" ca="1" si="16"/>
        <v>0</v>
      </c>
      <c r="P170" s="164">
        <f t="shared" ca="1" si="17"/>
        <v>48579</v>
      </c>
      <c r="Q170" s="140">
        <f ca="1">IF(C170="","",Q169+(E170+H170-IF(RESULTADOS!$C$17="Normal",I170,0)-J170)/2+(F170+G170-IF(RESULTADOS!$C$17="Normal",0,I170)))</f>
        <v>0</v>
      </c>
      <c r="R170" s="140">
        <f ca="1">IF(C170="","",R169+(E170+H170-IF(RESULTADOS!$C$17="Normal",I170,0)-J170)/2)</f>
        <v>0</v>
      </c>
      <c r="S170" s="140">
        <f t="shared" ca="1" si="20"/>
        <v>0</v>
      </c>
      <c r="U170" s="164" t="str">
        <f t="shared" ca="1" si="21"/>
        <v/>
      </c>
      <c r="V170" s="164" t="str">
        <f t="shared" ca="1" si="18"/>
        <v/>
      </c>
      <c r="W170" s="140">
        <f ca="1">IF(OR((W169-13/12*Z169)*(1+PREMISSAS!$C$16)&lt;0,W169=""),0,(W169-13/12*Z169)*(1+PREMISSAS!$C$16))</f>
        <v>0</v>
      </c>
      <c r="X170" s="140">
        <f ca="1">IF(OR((X169-13/12*AA169)*(1+PREMISSAS!$C$16)&lt;0,X169=""),0,(X169-13/12*AA169)*(1+PREMISSAS!$C$16))</f>
        <v>0</v>
      </c>
      <c r="Y170" s="140">
        <f t="shared" ca="1" si="19"/>
        <v>0</v>
      </c>
      <c r="Z170" s="167">
        <f t="shared" ca="1" si="22"/>
        <v>0</v>
      </c>
      <c r="AA170" s="167">
        <f t="shared" ca="1" si="23"/>
        <v>0</v>
      </c>
    </row>
    <row r="171" spans="2:27" x14ac:dyDescent="0.25">
      <c r="B171" s="21">
        <f ca="1">IF(B170="","",IF(EOMONTH(B170,1)&gt;EOMONTH(ELEGIBILIDADE!$J$17,0),"",EOMONTH(B170,1)))</f>
        <v>48610</v>
      </c>
      <c r="C171" s="22">
        <f ca="1">IF(B171="","",IF(MONTH(B171)=1,C170*(1+PREMISSAS!$C$57),C170))</f>
        <v>0</v>
      </c>
      <c r="D171" s="22">
        <f ca="1">IF(RESULTADOS!$C$17="Normal",IFERROR(MAX(C171-PREMISSAS!$C$13,0),0),IF(Painel!$I$23=0,0,MAX(10*PREMISSAS!$C$38,RESULTADOS!$F$17)))</f>
        <v>0</v>
      </c>
      <c r="E171" s="4">
        <f ca="1">D171*IF(RESULTADOS!$C$17="Normal",RESULTADOS!$C$16,0)</f>
        <v>0</v>
      </c>
      <c r="F171" s="4">
        <f ca="1">IFERROR(IF(RESULTADOS!$C$17="Normal",D171,C171)*RESULTADOS!$C$18,0)</f>
        <v>0</v>
      </c>
      <c r="G171" s="4">
        <f ca="1">IFERROR(IF(RESULTADOS!$C$17="Normal",0,D171)*IF(RESULTADOS!$C$17="Normal",RESULTADOS!$C$18,RESULTADOS!$C$16),0)</f>
        <v>0</v>
      </c>
      <c r="H171" s="4">
        <f ca="1">IF(RESULTADOS!$C$17="Normal",E171,0)</f>
        <v>0</v>
      </c>
      <c r="I171" s="4">
        <f ca="1">(E171+H171+G171)*PREMISSAS!$C$60</f>
        <v>0</v>
      </c>
      <c r="J171" s="4">
        <f ca="1">D171*IF(RESULTADOS!$C$17="Normal",PREMISSAS!$C$62,0)</f>
        <v>0</v>
      </c>
      <c r="K171" s="116">
        <f ca="1">IFERROR(K170*(1+PREMISSAS!$C$18)+(E171+H171-IF(RESULTADOS!$C$17="Normal",I171,0)-J171)*IF(MONTH(B171)=12,2,1),0)</f>
        <v>0</v>
      </c>
      <c r="L171" s="116">
        <f ca="1">IFERROR((L170+G171-IF(RESULTADOS!$C$17="Normal",0,I171))*(1+PREMISSAS!$C$18)+F171,0)</f>
        <v>0</v>
      </c>
      <c r="N171" s="73">
        <f t="shared" ca="1" si="16"/>
        <v>0</v>
      </c>
      <c r="P171" s="164">
        <f t="shared" ca="1" si="17"/>
        <v>48610</v>
      </c>
      <c r="Q171" s="140">
        <f ca="1">IF(C171="","",Q170+(E171+H171-IF(RESULTADOS!$C$17="Normal",I171,0)-J171)/2+(F171+G171-IF(RESULTADOS!$C$17="Normal",0,I171)))</f>
        <v>0</v>
      </c>
      <c r="R171" s="140">
        <f ca="1">IF(C171="","",R170+(E171+H171-IF(RESULTADOS!$C$17="Normal",I171,0)-J171)/2)</f>
        <v>0</v>
      </c>
      <c r="S171" s="140">
        <f t="shared" ca="1" si="20"/>
        <v>0</v>
      </c>
      <c r="U171" s="164" t="str">
        <f t="shared" ca="1" si="21"/>
        <v/>
      </c>
      <c r="V171" s="164" t="str">
        <f t="shared" ca="1" si="18"/>
        <v/>
      </c>
      <c r="W171" s="140">
        <f ca="1">IF(OR((W170-13/12*Z170)*(1+PREMISSAS!$C$16)&lt;0,W170=""),0,(W170-13/12*Z170)*(1+PREMISSAS!$C$16))</f>
        <v>0</v>
      </c>
      <c r="X171" s="140">
        <f ca="1">IF(OR((X170-13/12*AA170)*(1+PREMISSAS!$C$16)&lt;0,X170=""),0,(X170-13/12*AA170)*(1+PREMISSAS!$C$16))</f>
        <v>0</v>
      </c>
      <c r="Y171" s="140">
        <f t="shared" ca="1" si="19"/>
        <v>0</v>
      </c>
      <c r="Z171" s="167">
        <f t="shared" ca="1" si="22"/>
        <v>0</v>
      </c>
      <c r="AA171" s="167">
        <f t="shared" ca="1" si="23"/>
        <v>0</v>
      </c>
    </row>
    <row r="172" spans="2:27" x14ac:dyDescent="0.25">
      <c r="B172" s="21">
        <f ca="1">IF(B171="","",IF(EOMONTH(B171,1)&gt;EOMONTH(ELEGIBILIDADE!$J$17,0),"",EOMONTH(B171,1)))</f>
        <v>48638</v>
      </c>
      <c r="C172" s="22">
        <f ca="1">IF(B172="","",IF(MONTH(B172)=1,C171*(1+PREMISSAS!$C$57),C171))</f>
        <v>0</v>
      </c>
      <c r="D172" s="22">
        <f ca="1">IF(RESULTADOS!$C$17="Normal",IFERROR(MAX(C172-PREMISSAS!$C$13,0),0),IF(Painel!$I$23=0,0,MAX(10*PREMISSAS!$C$38,RESULTADOS!$F$17)))</f>
        <v>0</v>
      </c>
      <c r="E172" s="4">
        <f ca="1">D172*IF(RESULTADOS!$C$17="Normal",RESULTADOS!$C$16,0)</f>
        <v>0</v>
      </c>
      <c r="F172" s="4">
        <f ca="1">IFERROR(IF(RESULTADOS!$C$17="Normal",D172,C172)*RESULTADOS!$C$18,0)</f>
        <v>0</v>
      </c>
      <c r="G172" s="4">
        <f ca="1">IFERROR(IF(RESULTADOS!$C$17="Normal",0,D172)*IF(RESULTADOS!$C$17="Normal",RESULTADOS!$C$18,RESULTADOS!$C$16),0)</f>
        <v>0</v>
      </c>
      <c r="H172" s="4">
        <f ca="1">IF(RESULTADOS!$C$17="Normal",E172,0)</f>
        <v>0</v>
      </c>
      <c r="I172" s="4">
        <f ca="1">(E172+H172+G172)*PREMISSAS!$C$60</f>
        <v>0</v>
      </c>
      <c r="J172" s="4">
        <f ca="1">D172*IF(RESULTADOS!$C$17="Normal",PREMISSAS!$C$62,0)</f>
        <v>0</v>
      </c>
      <c r="K172" s="116">
        <f ca="1">IFERROR(K171*(1+PREMISSAS!$C$18)+(E172+H172-IF(RESULTADOS!$C$17="Normal",I172,0)-J172)*IF(MONTH(B172)=12,2,1),0)</f>
        <v>0</v>
      </c>
      <c r="L172" s="116">
        <f ca="1">IFERROR((L171+G172-IF(RESULTADOS!$C$17="Normal",0,I172))*(1+PREMISSAS!$C$18)+F172,0)</f>
        <v>0</v>
      </c>
      <c r="N172" s="73">
        <f t="shared" ca="1" si="16"/>
        <v>0</v>
      </c>
      <c r="P172" s="164">
        <f t="shared" ca="1" si="17"/>
        <v>48638</v>
      </c>
      <c r="Q172" s="140">
        <f ca="1">IF(C172="","",Q171+(E172+H172-IF(RESULTADOS!$C$17="Normal",I172,0)-J172)/2+(F172+G172-IF(RESULTADOS!$C$17="Normal",0,I172)))</f>
        <v>0</v>
      </c>
      <c r="R172" s="140">
        <f ca="1">IF(C172="","",R171+(E172+H172-IF(RESULTADOS!$C$17="Normal",I172,0)-J172)/2)</f>
        <v>0</v>
      </c>
      <c r="S172" s="140">
        <f t="shared" ca="1" si="20"/>
        <v>0</v>
      </c>
      <c r="U172" s="164" t="str">
        <f t="shared" ca="1" si="21"/>
        <v/>
      </c>
      <c r="V172" s="164" t="str">
        <f t="shared" ca="1" si="18"/>
        <v/>
      </c>
      <c r="W172" s="140">
        <f ca="1">IF(OR((W171-13/12*Z171)*(1+PREMISSAS!$C$16)&lt;0,W171=""),0,(W171-13/12*Z171)*(1+PREMISSAS!$C$16))</f>
        <v>0</v>
      </c>
      <c r="X172" s="140">
        <f ca="1">IF(OR((X171-13/12*AA171)*(1+PREMISSAS!$C$16)&lt;0,X171=""),0,(X171-13/12*AA171)*(1+PREMISSAS!$C$16))</f>
        <v>0</v>
      </c>
      <c r="Y172" s="140">
        <f t="shared" ca="1" si="19"/>
        <v>0</v>
      </c>
      <c r="Z172" s="167">
        <f t="shared" ca="1" si="22"/>
        <v>0</v>
      </c>
      <c r="AA172" s="167">
        <f t="shared" ca="1" si="23"/>
        <v>0</v>
      </c>
    </row>
    <row r="173" spans="2:27" x14ac:dyDescent="0.25">
      <c r="B173" s="21">
        <f ca="1">IF(B172="","",IF(EOMONTH(B172,1)&gt;EOMONTH(ELEGIBILIDADE!$J$17,0),"",EOMONTH(B172,1)))</f>
        <v>48669</v>
      </c>
      <c r="C173" s="22">
        <f ca="1">IF(B173="","",IF(MONTH(B173)=1,C172*(1+PREMISSAS!$C$57),C172))</f>
        <v>0</v>
      </c>
      <c r="D173" s="22">
        <f ca="1">IF(RESULTADOS!$C$17="Normal",IFERROR(MAX(C173-PREMISSAS!$C$13,0),0),IF(Painel!$I$23=0,0,MAX(10*PREMISSAS!$C$38,RESULTADOS!$F$17)))</f>
        <v>0</v>
      </c>
      <c r="E173" s="4">
        <f ca="1">D173*IF(RESULTADOS!$C$17="Normal",RESULTADOS!$C$16,0)</f>
        <v>0</v>
      </c>
      <c r="F173" s="4">
        <f ca="1">IFERROR(IF(RESULTADOS!$C$17="Normal",D173,C173)*RESULTADOS!$C$18,0)</f>
        <v>0</v>
      </c>
      <c r="G173" s="4">
        <f ca="1">IFERROR(IF(RESULTADOS!$C$17="Normal",0,D173)*IF(RESULTADOS!$C$17="Normal",RESULTADOS!$C$18,RESULTADOS!$C$16),0)</f>
        <v>0</v>
      </c>
      <c r="H173" s="4">
        <f ca="1">IF(RESULTADOS!$C$17="Normal",E173,0)</f>
        <v>0</v>
      </c>
      <c r="I173" s="4">
        <f ca="1">(E173+H173+G173)*PREMISSAS!$C$60</f>
        <v>0</v>
      </c>
      <c r="J173" s="4">
        <f ca="1">D173*IF(RESULTADOS!$C$17="Normal",PREMISSAS!$C$62,0)</f>
        <v>0</v>
      </c>
      <c r="K173" s="116">
        <f ca="1">IFERROR(K172*(1+PREMISSAS!$C$18)+(E173+H173-IF(RESULTADOS!$C$17="Normal",I173,0)-J173)*IF(MONTH(B173)=12,2,1),0)</f>
        <v>0</v>
      </c>
      <c r="L173" s="116">
        <f ca="1">IFERROR((L172+G173-IF(RESULTADOS!$C$17="Normal",0,I173))*(1+PREMISSAS!$C$18)+F173,0)</f>
        <v>0</v>
      </c>
      <c r="N173" s="73">
        <f t="shared" ca="1" si="16"/>
        <v>0</v>
      </c>
      <c r="P173" s="164">
        <f t="shared" ca="1" si="17"/>
        <v>48669</v>
      </c>
      <c r="Q173" s="140">
        <f ca="1">IF(C173="","",Q172+(E173+H173-IF(RESULTADOS!$C$17="Normal",I173,0)-J173)/2+(F173+G173-IF(RESULTADOS!$C$17="Normal",0,I173)))</f>
        <v>0</v>
      </c>
      <c r="R173" s="140">
        <f ca="1">IF(C173="","",R172+(E173+H173-IF(RESULTADOS!$C$17="Normal",I173,0)-J173)/2)</f>
        <v>0</v>
      </c>
      <c r="S173" s="140">
        <f t="shared" ca="1" si="20"/>
        <v>0</v>
      </c>
      <c r="U173" s="164" t="str">
        <f t="shared" ca="1" si="21"/>
        <v/>
      </c>
      <c r="V173" s="164" t="str">
        <f t="shared" ca="1" si="18"/>
        <v/>
      </c>
      <c r="W173" s="140">
        <f ca="1">IF(OR((W172-13/12*Z172)*(1+PREMISSAS!$C$16)&lt;0,W172=""),0,(W172-13/12*Z172)*(1+PREMISSAS!$C$16))</f>
        <v>0</v>
      </c>
      <c r="X173" s="140">
        <f ca="1">IF(OR((X172-13/12*AA172)*(1+PREMISSAS!$C$16)&lt;0,X172=""),0,(X172-13/12*AA172)*(1+PREMISSAS!$C$16))</f>
        <v>0</v>
      </c>
      <c r="Y173" s="140">
        <f t="shared" ca="1" si="19"/>
        <v>0</v>
      </c>
      <c r="Z173" s="167">
        <f t="shared" ca="1" si="22"/>
        <v>0</v>
      </c>
      <c r="AA173" s="167">
        <f t="shared" ca="1" si="23"/>
        <v>0</v>
      </c>
    </row>
    <row r="174" spans="2:27" x14ac:dyDescent="0.25">
      <c r="B174" s="21">
        <f ca="1">IF(B173="","",IF(EOMONTH(B173,1)&gt;EOMONTH(ELEGIBILIDADE!$J$17,0),"",EOMONTH(B173,1)))</f>
        <v>48699</v>
      </c>
      <c r="C174" s="22">
        <f ca="1">IF(B174="","",IF(MONTH(B174)=1,C173*(1+PREMISSAS!$C$57),C173))</f>
        <v>0</v>
      </c>
      <c r="D174" s="22">
        <f ca="1">IF(RESULTADOS!$C$17="Normal",IFERROR(MAX(C174-PREMISSAS!$C$13,0),0),IF(Painel!$I$23=0,0,MAX(10*PREMISSAS!$C$38,RESULTADOS!$F$17)))</f>
        <v>0</v>
      </c>
      <c r="E174" s="4">
        <f ca="1">D174*IF(RESULTADOS!$C$17="Normal",RESULTADOS!$C$16,0)</f>
        <v>0</v>
      </c>
      <c r="F174" s="4">
        <f ca="1">IFERROR(IF(RESULTADOS!$C$17="Normal",D174,C174)*RESULTADOS!$C$18,0)</f>
        <v>0</v>
      </c>
      <c r="G174" s="4">
        <f ca="1">IFERROR(IF(RESULTADOS!$C$17="Normal",0,D174)*IF(RESULTADOS!$C$17="Normal",RESULTADOS!$C$18,RESULTADOS!$C$16),0)</f>
        <v>0</v>
      </c>
      <c r="H174" s="4">
        <f ca="1">IF(RESULTADOS!$C$17="Normal",E174,0)</f>
        <v>0</v>
      </c>
      <c r="I174" s="4">
        <f ca="1">(E174+H174+G174)*PREMISSAS!$C$60</f>
        <v>0</v>
      </c>
      <c r="J174" s="4">
        <f ca="1">D174*IF(RESULTADOS!$C$17="Normal",PREMISSAS!$C$62,0)</f>
        <v>0</v>
      </c>
      <c r="K174" s="116">
        <f ca="1">IFERROR(K173*(1+PREMISSAS!$C$18)+(E174+H174-IF(RESULTADOS!$C$17="Normal",I174,0)-J174)*IF(MONTH(B174)=12,2,1),0)</f>
        <v>0</v>
      </c>
      <c r="L174" s="116">
        <f ca="1">IFERROR((L173+G174-IF(RESULTADOS!$C$17="Normal",0,I174))*(1+PREMISSAS!$C$18)+F174,0)</f>
        <v>0</v>
      </c>
      <c r="N174" s="73">
        <f t="shared" ca="1" si="16"/>
        <v>0</v>
      </c>
      <c r="P174" s="164">
        <f t="shared" ca="1" si="17"/>
        <v>48699</v>
      </c>
      <c r="Q174" s="140">
        <f ca="1">IF(C174="","",Q173+(E174+H174-IF(RESULTADOS!$C$17="Normal",I174,0)-J174)/2+(F174+G174-IF(RESULTADOS!$C$17="Normal",0,I174)))</f>
        <v>0</v>
      </c>
      <c r="R174" s="140">
        <f ca="1">IF(C174="","",R173+(E174+H174-IF(RESULTADOS!$C$17="Normal",I174,0)-J174)/2)</f>
        <v>0</v>
      </c>
      <c r="S174" s="140">
        <f t="shared" ca="1" si="20"/>
        <v>0</v>
      </c>
      <c r="U174" s="164" t="str">
        <f t="shared" ca="1" si="21"/>
        <v/>
      </c>
      <c r="V174" s="164" t="str">
        <f t="shared" ca="1" si="18"/>
        <v/>
      </c>
      <c r="W174" s="140">
        <f ca="1">IF(OR((W173-13/12*Z173)*(1+PREMISSAS!$C$16)&lt;0,W173=""),0,(W173-13/12*Z173)*(1+PREMISSAS!$C$16))</f>
        <v>0</v>
      </c>
      <c r="X174" s="140">
        <f ca="1">IF(OR((X173-13/12*AA173)*(1+PREMISSAS!$C$16)&lt;0,X173=""),0,(X173-13/12*AA173)*(1+PREMISSAS!$C$16))</f>
        <v>0</v>
      </c>
      <c r="Y174" s="140">
        <f t="shared" ca="1" si="19"/>
        <v>0</v>
      </c>
      <c r="Z174" s="167">
        <f t="shared" ca="1" si="22"/>
        <v>0</v>
      </c>
      <c r="AA174" s="167">
        <f t="shared" ca="1" si="23"/>
        <v>0</v>
      </c>
    </row>
    <row r="175" spans="2:27" x14ac:dyDescent="0.25">
      <c r="B175" s="21">
        <f ca="1">IF(B174="","",IF(EOMONTH(B174,1)&gt;EOMONTH(ELEGIBILIDADE!$J$17,0),"",EOMONTH(B174,1)))</f>
        <v>48730</v>
      </c>
      <c r="C175" s="22">
        <f ca="1">IF(B175="","",IF(MONTH(B175)=1,C174*(1+PREMISSAS!$C$57),C174))</f>
        <v>0</v>
      </c>
      <c r="D175" s="22">
        <f ca="1">IF(RESULTADOS!$C$17="Normal",IFERROR(MAX(C175-PREMISSAS!$C$13,0),0),IF(Painel!$I$23=0,0,MAX(10*PREMISSAS!$C$38,RESULTADOS!$F$17)))</f>
        <v>0</v>
      </c>
      <c r="E175" s="4">
        <f ca="1">D175*IF(RESULTADOS!$C$17="Normal",RESULTADOS!$C$16,0)</f>
        <v>0</v>
      </c>
      <c r="F175" s="4">
        <f ca="1">IFERROR(IF(RESULTADOS!$C$17="Normal",D175,C175)*RESULTADOS!$C$18,0)</f>
        <v>0</v>
      </c>
      <c r="G175" s="4">
        <f ca="1">IFERROR(IF(RESULTADOS!$C$17="Normal",0,D175)*IF(RESULTADOS!$C$17="Normal",RESULTADOS!$C$18,RESULTADOS!$C$16),0)</f>
        <v>0</v>
      </c>
      <c r="H175" s="4">
        <f ca="1">IF(RESULTADOS!$C$17="Normal",E175,0)</f>
        <v>0</v>
      </c>
      <c r="I175" s="4">
        <f ca="1">(E175+H175+G175)*PREMISSAS!$C$60</f>
        <v>0</v>
      </c>
      <c r="J175" s="4">
        <f ca="1">D175*IF(RESULTADOS!$C$17="Normal",PREMISSAS!$C$62,0)</f>
        <v>0</v>
      </c>
      <c r="K175" s="116">
        <f ca="1">IFERROR(K174*(1+PREMISSAS!$C$18)+(E175+H175-IF(RESULTADOS!$C$17="Normal",I175,0)-J175)*IF(MONTH(B175)=12,2,1),0)</f>
        <v>0</v>
      </c>
      <c r="L175" s="116">
        <f ca="1">IFERROR((L174+G175-IF(RESULTADOS!$C$17="Normal",0,I175))*(1+PREMISSAS!$C$18)+F175,0)</f>
        <v>0</v>
      </c>
      <c r="N175" s="73">
        <f t="shared" ca="1" si="16"/>
        <v>0</v>
      </c>
      <c r="P175" s="164">
        <f t="shared" ca="1" si="17"/>
        <v>48730</v>
      </c>
      <c r="Q175" s="140">
        <f ca="1">IF(C175="","",Q174+(E175+H175-IF(RESULTADOS!$C$17="Normal",I175,0)-J175)/2+(F175+G175-IF(RESULTADOS!$C$17="Normal",0,I175)))</f>
        <v>0</v>
      </c>
      <c r="R175" s="140">
        <f ca="1">IF(C175="","",R174+(E175+H175-IF(RESULTADOS!$C$17="Normal",I175,0)-J175)/2)</f>
        <v>0</v>
      </c>
      <c r="S175" s="140">
        <f t="shared" ca="1" si="20"/>
        <v>0</v>
      </c>
      <c r="U175" s="164" t="str">
        <f t="shared" ca="1" si="21"/>
        <v/>
      </c>
      <c r="V175" s="164" t="str">
        <f t="shared" ca="1" si="18"/>
        <v/>
      </c>
      <c r="W175" s="140">
        <f ca="1">IF(OR((W174-13/12*Z174)*(1+PREMISSAS!$C$16)&lt;0,W174=""),0,(W174-13/12*Z174)*(1+PREMISSAS!$C$16))</f>
        <v>0</v>
      </c>
      <c r="X175" s="140">
        <f ca="1">IF(OR((X174-13/12*AA174)*(1+PREMISSAS!$C$16)&lt;0,X174=""),0,(X174-13/12*AA174)*(1+PREMISSAS!$C$16))</f>
        <v>0</v>
      </c>
      <c r="Y175" s="140">
        <f t="shared" ca="1" si="19"/>
        <v>0</v>
      </c>
      <c r="Z175" s="167">
        <f t="shared" ca="1" si="22"/>
        <v>0</v>
      </c>
      <c r="AA175" s="167">
        <f t="shared" ca="1" si="23"/>
        <v>0</v>
      </c>
    </row>
    <row r="176" spans="2:27" x14ac:dyDescent="0.25">
      <c r="B176" s="21">
        <f ca="1">IF(B175="","",IF(EOMONTH(B175,1)&gt;EOMONTH(ELEGIBILIDADE!$J$17,0),"",EOMONTH(B175,1)))</f>
        <v>48760</v>
      </c>
      <c r="C176" s="22">
        <f ca="1">IF(B176="","",IF(MONTH(B176)=1,C175*(1+PREMISSAS!$C$57),C175))</f>
        <v>0</v>
      </c>
      <c r="D176" s="22">
        <f ca="1">IF(RESULTADOS!$C$17="Normal",IFERROR(MAX(C176-PREMISSAS!$C$13,0),0),IF(Painel!$I$23=0,0,MAX(10*PREMISSAS!$C$38,RESULTADOS!$F$17)))</f>
        <v>0</v>
      </c>
      <c r="E176" s="4">
        <f ca="1">D176*IF(RESULTADOS!$C$17="Normal",RESULTADOS!$C$16,0)</f>
        <v>0</v>
      </c>
      <c r="F176" s="4">
        <f ca="1">IFERROR(IF(RESULTADOS!$C$17="Normal",D176,C176)*RESULTADOS!$C$18,0)</f>
        <v>0</v>
      </c>
      <c r="G176" s="4">
        <f ca="1">IFERROR(IF(RESULTADOS!$C$17="Normal",0,D176)*IF(RESULTADOS!$C$17="Normal",RESULTADOS!$C$18,RESULTADOS!$C$16),0)</f>
        <v>0</v>
      </c>
      <c r="H176" s="4">
        <f ca="1">IF(RESULTADOS!$C$17="Normal",E176,0)</f>
        <v>0</v>
      </c>
      <c r="I176" s="4">
        <f ca="1">(E176+H176+G176)*PREMISSAS!$C$60</f>
        <v>0</v>
      </c>
      <c r="J176" s="4">
        <f ca="1">D176*IF(RESULTADOS!$C$17="Normal",PREMISSAS!$C$62,0)</f>
        <v>0</v>
      </c>
      <c r="K176" s="116">
        <f ca="1">IFERROR(K175*(1+PREMISSAS!$C$18)+(E176+H176-IF(RESULTADOS!$C$17="Normal",I176,0)-J176)*IF(MONTH(B176)=12,2,1),0)</f>
        <v>0</v>
      </c>
      <c r="L176" s="116">
        <f ca="1">IFERROR((L175+G176-IF(RESULTADOS!$C$17="Normal",0,I176))*(1+PREMISSAS!$C$18)+F176,0)</f>
        <v>0</v>
      </c>
      <c r="N176" s="73">
        <f t="shared" ca="1" si="16"/>
        <v>0</v>
      </c>
      <c r="P176" s="164">
        <f t="shared" ca="1" si="17"/>
        <v>48760</v>
      </c>
      <c r="Q176" s="140">
        <f ca="1">IF(C176="","",Q175+(E176+H176-IF(RESULTADOS!$C$17="Normal",I176,0)-J176)/2+(F176+G176-IF(RESULTADOS!$C$17="Normal",0,I176)))</f>
        <v>0</v>
      </c>
      <c r="R176" s="140">
        <f ca="1">IF(C176="","",R175+(E176+H176-IF(RESULTADOS!$C$17="Normal",I176,0)-J176)/2)</f>
        <v>0</v>
      </c>
      <c r="S176" s="140">
        <f t="shared" ca="1" si="20"/>
        <v>0</v>
      </c>
      <c r="U176" s="164" t="str">
        <f t="shared" ca="1" si="21"/>
        <v/>
      </c>
      <c r="V176" s="164" t="str">
        <f t="shared" ca="1" si="18"/>
        <v/>
      </c>
      <c r="W176" s="140">
        <f ca="1">IF(OR((W175-13/12*Z175)*(1+PREMISSAS!$C$16)&lt;0,W175=""),0,(W175-13/12*Z175)*(1+PREMISSAS!$C$16))</f>
        <v>0</v>
      </c>
      <c r="X176" s="140">
        <f ca="1">IF(OR((X175-13/12*AA175)*(1+PREMISSAS!$C$16)&lt;0,X175=""),0,(X175-13/12*AA175)*(1+PREMISSAS!$C$16))</f>
        <v>0</v>
      </c>
      <c r="Y176" s="140">
        <f t="shared" ca="1" si="19"/>
        <v>0</v>
      </c>
      <c r="Z176" s="167">
        <f t="shared" ca="1" si="22"/>
        <v>0</v>
      </c>
      <c r="AA176" s="167">
        <f t="shared" ca="1" si="23"/>
        <v>0</v>
      </c>
    </row>
    <row r="177" spans="2:27" x14ac:dyDescent="0.25">
      <c r="B177" s="21">
        <f ca="1">IF(B176="","",IF(EOMONTH(B176,1)&gt;EOMONTH(ELEGIBILIDADE!$J$17,0),"",EOMONTH(B176,1)))</f>
        <v>48791</v>
      </c>
      <c r="C177" s="22">
        <f ca="1">IF(B177="","",IF(MONTH(B177)=1,C176*(1+PREMISSAS!$C$57),C176))</f>
        <v>0</v>
      </c>
      <c r="D177" s="22">
        <f ca="1">IF(RESULTADOS!$C$17="Normal",IFERROR(MAX(C177-PREMISSAS!$C$13,0),0),IF(Painel!$I$23=0,0,MAX(10*PREMISSAS!$C$38,RESULTADOS!$F$17)))</f>
        <v>0</v>
      </c>
      <c r="E177" s="4">
        <f ca="1">D177*IF(RESULTADOS!$C$17="Normal",RESULTADOS!$C$16,0)</f>
        <v>0</v>
      </c>
      <c r="F177" s="4">
        <f ca="1">IFERROR(IF(RESULTADOS!$C$17="Normal",D177,C177)*RESULTADOS!$C$18,0)</f>
        <v>0</v>
      </c>
      <c r="G177" s="4">
        <f ca="1">IFERROR(IF(RESULTADOS!$C$17="Normal",0,D177)*IF(RESULTADOS!$C$17="Normal",RESULTADOS!$C$18,RESULTADOS!$C$16),0)</f>
        <v>0</v>
      </c>
      <c r="H177" s="4">
        <f ca="1">IF(RESULTADOS!$C$17="Normal",E177,0)</f>
        <v>0</v>
      </c>
      <c r="I177" s="4">
        <f ca="1">(E177+H177+G177)*PREMISSAS!$C$60</f>
        <v>0</v>
      </c>
      <c r="J177" s="4">
        <f ca="1">D177*IF(RESULTADOS!$C$17="Normal",PREMISSAS!$C$62,0)</f>
        <v>0</v>
      </c>
      <c r="K177" s="116">
        <f ca="1">IFERROR(K176*(1+PREMISSAS!$C$18)+(E177+H177-IF(RESULTADOS!$C$17="Normal",I177,0)-J177)*IF(MONTH(B177)=12,2,1),0)</f>
        <v>0</v>
      </c>
      <c r="L177" s="116">
        <f ca="1">IFERROR((L176+G177-IF(RESULTADOS!$C$17="Normal",0,I177))*(1+PREMISSAS!$C$18)+F177,0)</f>
        <v>0</v>
      </c>
      <c r="N177" s="73">
        <f t="shared" ca="1" si="16"/>
        <v>0</v>
      </c>
      <c r="P177" s="164">
        <f t="shared" ca="1" si="17"/>
        <v>48791</v>
      </c>
      <c r="Q177" s="140">
        <f ca="1">IF(C177="","",Q176+(E177+H177-IF(RESULTADOS!$C$17="Normal",I177,0)-J177)/2+(F177+G177-IF(RESULTADOS!$C$17="Normal",0,I177)))</f>
        <v>0</v>
      </c>
      <c r="R177" s="140">
        <f ca="1">IF(C177="","",R176+(E177+H177-IF(RESULTADOS!$C$17="Normal",I177,0)-J177)/2)</f>
        <v>0</v>
      </c>
      <c r="S177" s="140">
        <f t="shared" ca="1" si="20"/>
        <v>0</v>
      </c>
      <c r="U177" s="164" t="str">
        <f t="shared" ca="1" si="21"/>
        <v/>
      </c>
      <c r="V177" s="164" t="str">
        <f t="shared" ca="1" si="18"/>
        <v/>
      </c>
      <c r="W177" s="140">
        <f ca="1">IF(OR((W176-13/12*Z176)*(1+PREMISSAS!$C$16)&lt;0,W176=""),0,(W176-13/12*Z176)*(1+PREMISSAS!$C$16))</f>
        <v>0</v>
      </c>
      <c r="X177" s="140">
        <f ca="1">IF(OR((X176-13/12*AA176)*(1+PREMISSAS!$C$16)&lt;0,X176=""),0,(X176-13/12*AA176)*(1+PREMISSAS!$C$16))</f>
        <v>0</v>
      </c>
      <c r="Y177" s="140">
        <f t="shared" ca="1" si="19"/>
        <v>0</v>
      </c>
      <c r="Z177" s="167">
        <f t="shared" ca="1" si="22"/>
        <v>0</v>
      </c>
      <c r="AA177" s="167">
        <f t="shared" ca="1" si="23"/>
        <v>0</v>
      </c>
    </row>
    <row r="178" spans="2:27" x14ac:dyDescent="0.25">
      <c r="B178" s="21">
        <f ca="1">IF(B177="","",IF(EOMONTH(B177,1)&gt;EOMONTH(ELEGIBILIDADE!$J$17,0),"",EOMONTH(B177,1)))</f>
        <v>48822</v>
      </c>
      <c r="C178" s="22">
        <f ca="1">IF(B178="","",IF(MONTH(B178)=1,C177*(1+PREMISSAS!$C$57),C177))</f>
        <v>0</v>
      </c>
      <c r="D178" s="22">
        <f ca="1">IF(RESULTADOS!$C$17="Normal",IFERROR(MAX(C178-PREMISSAS!$C$13,0),0),IF(Painel!$I$23=0,0,MAX(10*PREMISSAS!$C$38,RESULTADOS!$F$17)))</f>
        <v>0</v>
      </c>
      <c r="E178" s="4">
        <f ca="1">D178*IF(RESULTADOS!$C$17="Normal",RESULTADOS!$C$16,0)</f>
        <v>0</v>
      </c>
      <c r="F178" s="4">
        <f ca="1">IFERROR(IF(RESULTADOS!$C$17="Normal",D178,C178)*RESULTADOS!$C$18,0)</f>
        <v>0</v>
      </c>
      <c r="G178" s="4">
        <f ca="1">IFERROR(IF(RESULTADOS!$C$17="Normal",0,D178)*IF(RESULTADOS!$C$17="Normal",RESULTADOS!$C$18,RESULTADOS!$C$16),0)</f>
        <v>0</v>
      </c>
      <c r="H178" s="4">
        <f ca="1">IF(RESULTADOS!$C$17="Normal",E178,0)</f>
        <v>0</v>
      </c>
      <c r="I178" s="4">
        <f ca="1">(E178+H178+G178)*PREMISSAS!$C$60</f>
        <v>0</v>
      </c>
      <c r="J178" s="4">
        <f ca="1">D178*IF(RESULTADOS!$C$17="Normal",PREMISSAS!$C$62,0)</f>
        <v>0</v>
      </c>
      <c r="K178" s="116">
        <f ca="1">IFERROR(K177*(1+PREMISSAS!$C$18)+(E178+H178-IF(RESULTADOS!$C$17="Normal",I178,0)-J178)*IF(MONTH(B178)=12,2,1),0)</f>
        <v>0</v>
      </c>
      <c r="L178" s="116">
        <f ca="1">IFERROR((L177+G178-IF(RESULTADOS!$C$17="Normal",0,I178))*(1+PREMISSAS!$C$18)+F178,0)</f>
        <v>0</v>
      </c>
      <c r="N178" s="73">
        <f t="shared" ca="1" si="16"/>
        <v>0</v>
      </c>
      <c r="P178" s="164">
        <f t="shared" ca="1" si="17"/>
        <v>48822</v>
      </c>
      <c r="Q178" s="140">
        <f ca="1">IF(C178="","",Q177+(E178+H178-IF(RESULTADOS!$C$17="Normal",I178,0)-J178)/2+(F178+G178-IF(RESULTADOS!$C$17="Normal",0,I178)))</f>
        <v>0</v>
      </c>
      <c r="R178" s="140">
        <f ca="1">IF(C178="","",R177+(E178+H178-IF(RESULTADOS!$C$17="Normal",I178,0)-J178)/2)</f>
        <v>0</v>
      </c>
      <c r="S178" s="140">
        <f t="shared" ca="1" si="20"/>
        <v>0</v>
      </c>
      <c r="U178" s="164" t="str">
        <f t="shared" ca="1" si="21"/>
        <v/>
      </c>
      <c r="V178" s="164" t="str">
        <f t="shared" ca="1" si="18"/>
        <v/>
      </c>
      <c r="W178" s="140">
        <f ca="1">IF(OR((W177-13/12*Z177)*(1+PREMISSAS!$C$16)&lt;0,W177=""),0,(W177-13/12*Z177)*(1+PREMISSAS!$C$16))</f>
        <v>0</v>
      </c>
      <c r="X178" s="140">
        <f ca="1">IF(OR((X177-13/12*AA177)*(1+PREMISSAS!$C$16)&lt;0,X177=""),0,(X177-13/12*AA177)*(1+PREMISSAS!$C$16))</f>
        <v>0</v>
      </c>
      <c r="Y178" s="140">
        <f t="shared" ca="1" si="19"/>
        <v>0</v>
      </c>
      <c r="Z178" s="167">
        <f t="shared" ca="1" si="22"/>
        <v>0</v>
      </c>
      <c r="AA178" s="167">
        <f t="shared" ca="1" si="23"/>
        <v>0</v>
      </c>
    </row>
    <row r="179" spans="2:27" x14ac:dyDescent="0.25">
      <c r="B179" s="21">
        <f ca="1">IF(B178="","",IF(EOMONTH(B178,1)&gt;EOMONTH(ELEGIBILIDADE!$J$17,0),"",EOMONTH(B178,1)))</f>
        <v>48852</v>
      </c>
      <c r="C179" s="22">
        <f ca="1">IF(B179="","",IF(MONTH(B179)=1,C178*(1+PREMISSAS!$C$57),C178))</f>
        <v>0</v>
      </c>
      <c r="D179" s="22">
        <f ca="1">IF(RESULTADOS!$C$17="Normal",IFERROR(MAX(C179-PREMISSAS!$C$13,0),0),IF(Painel!$I$23=0,0,MAX(10*PREMISSAS!$C$38,RESULTADOS!$F$17)))</f>
        <v>0</v>
      </c>
      <c r="E179" s="4">
        <f ca="1">D179*IF(RESULTADOS!$C$17="Normal",RESULTADOS!$C$16,0)</f>
        <v>0</v>
      </c>
      <c r="F179" s="4">
        <f ca="1">IFERROR(IF(RESULTADOS!$C$17="Normal",D179,C179)*RESULTADOS!$C$18,0)</f>
        <v>0</v>
      </c>
      <c r="G179" s="4">
        <f ca="1">IFERROR(IF(RESULTADOS!$C$17="Normal",0,D179)*IF(RESULTADOS!$C$17="Normal",RESULTADOS!$C$18,RESULTADOS!$C$16),0)</f>
        <v>0</v>
      </c>
      <c r="H179" s="4">
        <f ca="1">IF(RESULTADOS!$C$17="Normal",E179,0)</f>
        <v>0</v>
      </c>
      <c r="I179" s="4">
        <f ca="1">(E179+H179+G179)*PREMISSAS!$C$60</f>
        <v>0</v>
      </c>
      <c r="J179" s="4">
        <f ca="1">D179*IF(RESULTADOS!$C$17="Normal",PREMISSAS!$C$62,0)</f>
        <v>0</v>
      </c>
      <c r="K179" s="116">
        <f ca="1">IFERROR(K178*(1+PREMISSAS!$C$18)+(E179+H179-IF(RESULTADOS!$C$17="Normal",I179,0)-J179)*IF(MONTH(B179)=12,2,1),0)</f>
        <v>0</v>
      </c>
      <c r="L179" s="116">
        <f ca="1">IFERROR((L178+G179-IF(RESULTADOS!$C$17="Normal",0,I179))*(1+PREMISSAS!$C$18)+F179,0)</f>
        <v>0</v>
      </c>
      <c r="N179" s="73">
        <f t="shared" ca="1" si="16"/>
        <v>0</v>
      </c>
      <c r="P179" s="164">
        <f t="shared" ca="1" si="17"/>
        <v>48852</v>
      </c>
      <c r="Q179" s="140">
        <f ca="1">IF(C179="","",Q178+(E179+H179-IF(RESULTADOS!$C$17="Normal",I179,0)-J179)/2+(F179+G179-IF(RESULTADOS!$C$17="Normal",0,I179)))</f>
        <v>0</v>
      </c>
      <c r="R179" s="140">
        <f ca="1">IF(C179="","",R178+(E179+H179-IF(RESULTADOS!$C$17="Normal",I179,0)-J179)/2)</f>
        <v>0</v>
      </c>
      <c r="S179" s="140">
        <f t="shared" ca="1" si="20"/>
        <v>0</v>
      </c>
      <c r="U179" s="164" t="str">
        <f t="shared" ca="1" si="21"/>
        <v/>
      </c>
      <c r="V179" s="164" t="str">
        <f t="shared" ca="1" si="18"/>
        <v/>
      </c>
      <c r="W179" s="140">
        <f ca="1">IF(OR((W178-13/12*Z178)*(1+PREMISSAS!$C$16)&lt;0,W178=""),0,(W178-13/12*Z178)*(1+PREMISSAS!$C$16))</f>
        <v>0</v>
      </c>
      <c r="X179" s="140">
        <f ca="1">IF(OR((X178-13/12*AA178)*(1+PREMISSAS!$C$16)&lt;0,X178=""),0,(X178-13/12*AA178)*(1+PREMISSAS!$C$16))</f>
        <v>0</v>
      </c>
      <c r="Y179" s="140">
        <f t="shared" ca="1" si="19"/>
        <v>0</v>
      </c>
      <c r="Z179" s="167">
        <f t="shared" ca="1" si="22"/>
        <v>0</v>
      </c>
      <c r="AA179" s="167">
        <f t="shared" ca="1" si="23"/>
        <v>0</v>
      </c>
    </row>
    <row r="180" spans="2:27" x14ac:dyDescent="0.25">
      <c r="B180" s="21">
        <f ca="1">IF(B179="","",IF(EOMONTH(B179,1)&gt;EOMONTH(ELEGIBILIDADE!$J$17,0),"",EOMONTH(B179,1)))</f>
        <v>48883</v>
      </c>
      <c r="C180" s="22">
        <f ca="1">IF(B180="","",IF(MONTH(B180)=1,C179*(1+PREMISSAS!$C$57),C179))</f>
        <v>0</v>
      </c>
      <c r="D180" s="22">
        <f ca="1">IF(RESULTADOS!$C$17="Normal",IFERROR(MAX(C180-PREMISSAS!$C$13,0),0),IF(Painel!$I$23=0,0,MAX(10*PREMISSAS!$C$38,RESULTADOS!$F$17)))</f>
        <v>0</v>
      </c>
      <c r="E180" s="4">
        <f ca="1">D180*IF(RESULTADOS!$C$17="Normal",RESULTADOS!$C$16,0)</f>
        <v>0</v>
      </c>
      <c r="F180" s="4">
        <f ca="1">IFERROR(IF(RESULTADOS!$C$17="Normal",D180,C180)*RESULTADOS!$C$18,0)</f>
        <v>0</v>
      </c>
      <c r="G180" s="4">
        <f ca="1">IFERROR(IF(RESULTADOS!$C$17="Normal",0,D180)*IF(RESULTADOS!$C$17="Normal",RESULTADOS!$C$18,RESULTADOS!$C$16),0)</f>
        <v>0</v>
      </c>
      <c r="H180" s="4">
        <f ca="1">IF(RESULTADOS!$C$17="Normal",E180,0)</f>
        <v>0</v>
      </c>
      <c r="I180" s="4">
        <f ca="1">(E180+H180+G180)*PREMISSAS!$C$60</f>
        <v>0</v>
      </c>
      <c r="J180" s="4">
        <f ca="1">D180*IF(RESULTADOS!$C$17="Normal",PREMISSAS!$C$62,0)</f>
        <v>0</v>
      </c>
      <c r="K180" s="116">
        <f ca="1">IFERROR(K179*(1+PREMISSAS!$C$18)+(E180+H180-IF(RESULTADOS!$C$17="Normal",I180,0)-J180)*IF(MONTH(B180)=12,2,1),0)</f>
        <v>0</v>
      </c>
      <c r="L180" s="116">
        <f ca="1">IFERROR((L179+G180-IF(RESULTADOS!$C$17="Normal",0,I180))*(1+PREMISSAS!$C$18)+F180,0)</f>
        <v>0</v>
      </c>
      <c r="N180" s="73">
        <f t="shared" ca="1" si="16"/>
        <v>0</v>
      </c>
      <c r="P180" s="164">
        <f t="shared" ca="1" si="17"/>
        <v>48883</v>
      </c>
      <c r="Q180" s="140">
        <f ca="1">IF(C180="","",Q179+(E180+H180-IF(RESULTADOS!$C$17="Normal",I180,0)-J180)/2+(F180+G180-IF(RESULTADOS!$C$17="Normal",0,I180)))</f>
        <v>0</v>
      </c>
      <c r="R180" s="140">
        <f ca="1">IF(C180="","",R179+(E180+H180-IF(RESULTADOS!$C$17="Normal",I180,0)-J180)/2)</f>
        <v>0</v>
      </c>
      <c r="S180" s="140">
        <f t="shared" ca="1" si="20"/>
        <v>0</v>
      </c>
      <c r="U180" s="164" t="str">
        <f t="shared" ca="1" si="21"/>
        <v/>
      </c>
      <c r="V180" s="164" t="str">
        <f t="shared" ca="1" si="18"/>
        <v/>
      </c>
      <c r="W180" s="140">
        <f ca="1">IF(OR((W179-13/12*Z179)*(1+PREMISSAS!$C$16)&lt;0,W179=""),0,(W179-13/12*Z179)*(1+PREMISSAS!$C$16))</f>
        <v>0</v>
      </c>
      <c r="X180" s="140">
        <f ca="1">IF(OR((X179-13/12*AA179)*(1+PREMISSAS!$C$16)&lt;0,X179=""),0,(X179-13/12*AA179)*(1+PREMISSAS!$C$16))</f>
        <v>0</v>
      </c>
      <c r="Y180" s="140">
        <f t="shared" ca="1" si="19"/>
        <v>0</v>
      </c>
      <c r="Z180" s="167">
        <f t="shared" ca="1" si="22"/>
        <v>0</v>
      </c>
      <c r="AA180" s="167">
        <f t="shared" ca="1" si="23"/>
        <v>0</v>
      </c>
    </row>
    <row r="181" spans="2:27" x14ac:dyDescent="0.25">
      <c r="B181" s="21">
        <f ca="1">IF(B180="","",IF(EOMONTH(B180,1)&gt;EOMONTH(ELEGIBILIDADE!$J$17,0),"",EOMONTH(B180,1)))</f>
        <v>48913</v>
      </c>
      <c r="C181" s="22">
        <f ca="1">IF(B181="","",IF(MONTH(B181)=1,C180*(1+PREMISSAS!$C$57),C180))</f>
        <v>0</v>
      </c>
      <c r="D181" s="22">
        <f ca="1">IF(RESULTADOS!$C$17="Normal",IFERROR(MAX(C181-PREMISSAS!$C$13,0),0),IF(Painel!$I$23=0,0,MAX(10*PREMISSAS!$C$38,RESULTADOS!$F$17)))</f>
        <v>0</v>
      </c>
      <c r="E181" s="4">
        <f ca="1">D181*IF(RESULTADOS!$C$17="Normal",RESULTADOS!$C$16,0)</f>
        <v>0</v>
      </c>
      <c r="F181" s="4">
        <f ca="1">IFERROR(IF(RESULTADOS!$C$17="Normal",D181,C181)*RESULTADOS!$C$18,0)</f>
        <v>0</v>
      </c>
      <c r="G181" s="4">
        <f ca="1">IFERROR(IF(RESULTADOS!$C$17="Normal",0,D181)*IF(RESULTADOS!$C$17="Normal",RESULTADOS!$C$18,RESULTADOS!$C$16),0)</f>
        <v>0</v>
      </c>
      <c r="H181" s="4">
        <f ca="1">IF(RESULTADOS!$C$17="Normal",E181,0)</f>
        <v>0</v>
      </c>
      <c r="I181" s="4">
        <f ca="1">(E181+H181+G181)*PREMISSAS!$C$60</f>
        <v>0</v>
      </c>
      <c r="J181" s="4">
        <f ca="1">D181*IF(RESULTADOS!$C$17="Normal",PREMISSAS!$C$62,0)</f>
        <v>0</v>
      </c>
      <c r="K181" s="116">
        <f ca="1">IFERROR(K180*(1+PREMISSAS!$C$18)+(E181+H181-IF(RESULTADOS!$C$17="Normal",I181,0)-J181)*IF(MONTH(B181)=12,2,1),0)</f>
        <v>0</v>
      </c>
      <c r="L181" s="116">
        <f ca="1">IFERROR((L180+G181-IF(RESULTADOS!$C$17="Normal",0,I181))*(1+PREMISSAS!$C$18)+F181,0)</f>
        <v>0</v>
      </c>
      <c r="N181" s="73">
        <f t="shared" ca="1" si="16"/>
        <v>0</v>
      </c>
      <c r="P181" s="164">
        <f t="shared" ca="1" si="17"/>
        <v>48913</v>
      </c>
      <c r="Q181" s="140">
        <f ca="1">IF(C181="","",Q180+(E181+H181-IF(RESULTADOS!$C$17="Normal",I181,0)-J181)/2+(F181+G181-IF(RESULTADOS!$C$17="Normal",0,I181)))</f>
        <v>0</v>
      </c>
      <c r="R181" s="140">
        <f ca="1">IF(C181="","",R180+(E181+H181-IF(RESULTADOS!$C$17="Normal",I181,0)-J181)/2)</f>
        <v>0</v>
      </c>
      <c r="S181" s="140">
        <f t="shared" ca="1" si="20"/>
        <v>0</v>
      </c>
      <c r="U181" s="164" t="str">
        <f t="shared" ca="1" si="21"/>
        <v/>
      </c>
      <c r="V181" s="164" t="str">
        <f t="shared" ca="1" si="18"/>
        <v/>
      </c>
      <c r="W181" s="140">
        <f ca="1">IF(OR((W180-13/12*Z180)*(1+PREMISSAS!$C$16)&lt;0,W180=""),0,(W180-13/12*Z180)*(1+PREMISSAS!$C$16))</f>
        <v>0</v>
      </c>
      <c r="X181" s="140">
        <f ca="1">IF(OR((X180-13/12*AA180)*(1+PREMISSAS!$C$16)&lt;0,X180=""),0,(X180-13/12*AA180)*(1+PREMISSAS!$C$16))</f>
        <v>0</v>
      </c>
      <c r="Y181" s="140">
        <f t="shared" ca="1" si="19"/>
        <v>0</v>
      </c>
      <c r="Z181" s="167">
        <f t="shared" ca="1" si="22"/>
        <v>0</v>
      </c>
      <c r="AA181" s="167">
        <f t="shared" ca="1" si="23"/>
        <v>0</v>
      </c>
    </row>
    <row r="182" spans="2:27" x14ac:dyDescent="0.25">
      <c r="B182" s="21">
        <f ca="1">IF(B181="","",IF(EOMONTH(B181,1)&gt;EOMONTH(ELEGIBILIDADE!$J$17,0),"",EOMONTH(B181,1)))</f>
        <v>48944</v>
      </c>
      <c r="C182" s="22">
        <f ca="1">IF(B182="","",IF(MONTH(B182)=1,C181*(1+PREMISSAS!$C$57),C181))</f>
        <v>0</v>
      </c>
      <c r="D182" s="22">
        <f ca="1">IF(RESULTADOS!$C$17="Normal",IFERROR(MAX(C182-PREMISSAS!$C$13,0),0),IF(Painel!$I$23=0,0,MAX(10*PREMISSAS!$C$38,RESULTADOS!$F$17)))</f>
        <v>0</v>
      </c>
      <c r="E182" s="4">
        <f ca="1">D182*IF(RESULTADOS!$C$17="Normal",RESULTADOS!$C$16,0)</f>
        <v>0</v>
      </c>
      <c r="F182" s="4">
        <f ca="1">IFERROR(IF(RESULTADOS!$C$17="Normal",D182,C182)*RESULTADOS!$C$18,0)</f>
        <v>0</v>
      </c>
      <c r="G182" s="4">
        <f ca="1">IFERROR(IF(RESULTADOS!$C$17="Normal",0,D182)*IF(RESULTADOS!$C$17="Normal",RESULTADOS!$C$18,RESULTADOS!$C$16),0)</f>
        <v>0</v>
      </c>
      <c r="H182" s="4">
        <f ca="1">IF(RESULTADOS!$C$17="Normal",E182,0)</f>
        <v>0</v>
      </c>
      <c r="I182" s="4">
        <f ca="1">(E182+H182+G182)*PREMISSAS!$C$60</f>
        <v>0</v>
      </c>
      <c r="J182" s="4">
        <f ca="1">D182*IF(RESULTADOS!$C$17="Normal",PREMISSAS!$C$62,0)</f>
        <v>0</v>
      </c>
      <c r="K182" s="116">
        <f ca="1">IFERROR(K181*(1+PREMISSAS!$C$18)+(E182+H182-IF(RESULTADOS!$C$17="Normal",I182,0)-J182)*IF(MONTH(B182)=12,2,1),0)</f>
        <v>0</v>
      </c>
      <c r="L182" s="116">
        <f ca="1">IFERROR((L181+G182-IF(RESULTADOS!$C$17="Normal",0,I182))*(1+PREMISSAS!$C$18)+F182,0)</f>
        <v>0</v>
      </c>
      <c r="N182" s="73">
        <f t="shared" ca="1" si="16"/>
        <v>0</v>
      </c>
      <c r="P182" s="164">
        <f t="shared" ca="1" si="17"/>
        <v>48944</v>
      </c>
      <c r="Q182" s="140">
        <f ca="1">IF(C182="","",Q181+(E182+H182-IF(RESULTADOS!$C$17="Normal",I182,0)-J182)/2+(F182+G182-IF(RESULTADOS!$C$17="Normal",0,I182)))</f>
        <v>0</v>
      </c>
      <c r="R182" s="140">
        <f ca="1">IF(C182="","",R181+(E182+H182-IF(RESULTADOS!$C$17="Normal",I182,0)-J182)/2)</f>
        <v>0</v>
      </c>
      <c r="S182" s="140">
        <f t="shared" ca="1" si="20"/>
        <v>0</v>
      </c>
      <c r="U182" s="164" t="str">
        <f t="shared" ca="1" si="21"/>
        <v/>
      </c>
      <c r="V182" s="164" t="str">
        <f t="shared" ca="1" si="18"/>
        <v/>
      </c>
      <c r="W182" s="140">
        <f ca="1">IF(OR((W181-13/12*Z181)*(1+PREMISSAS!$C$16)&lt;0,W181=""),0,(W181-13/12*Z181)*(1+PREMISSAS!$C$16))</f>
        <v>0</v>
      </c>
      <c r="X182" s="140">
        <f ca="1">IF(OR((X181-13/12*AA181)*(1+PREMISSAS!$C$16)&lt;0,X181=""),0,(X181-13/12*AA181)*(1+PREMISSAS!$C$16))</f>
        <v>0</v>
      </c>
      <c r="Y182" s="140">
        <f t="shared" ca="1" si="19"/>
        <v>0</v>
      </c>
      <c r="Z182" s="167">
        <f t="shared" ca="1" si="22"/>
        <v>0</v>
      </c>
      <c r="AA182" s="167">
        <f t="shared" ca="1" si="23"/>
        <v>0</v>
      </c>
    </row>
    <row r="183" spans="2:27" x14ac:dyDescent="0.25">
      <c r="B183" s="21">
        <f ca="1">IF(B182="","",IF(EOMONTH(B182,1)&gt;EOMONTH(ELEGIBILIDADE!$J$17,0),"",EOMONTH(B182,1)))</f>
        <v>48975</v>
      </c>
      <c r="C183" s="22">
        <f ca="1">IF(B183="","",IF(MONTH(B183)=1,C182*(1+PREMISSAS!$C$57),C182))</f>
        <v>0</v>
      </c>
      <c r="D183" s="22">
        <f ca="1">IF(RESULTADOS!$C$17="Normal",IFERROR(MAX(C183-PREMISSAS!$C$13,0),0),IF(Painel!$I$23=0,0,MAX(10*PREMISSAS!$C$38,RESULTADOS!$F$17)))</f>
        <v>0</v>
      </c>
      <c r="E183" s="4">
        <f ca="1">D183*IF(RESULTADOS!$C$17="Normal",RESULTADOS!$C$16,0)</f>
        <v>0</v>
      </c>
      <c r="F183" s="4">
        <f ca="1">IFERROR(IF(RESULTADOS!$C$17="Normal",D183,C183)*RESULTADOS!$C$18,0)</f>
        <v>0</v>
      </c>
      <c r="G183" s="4">
        <f ca="1">IFERROR(IF(RESULTADOS!$C$17="Normal",0,D183)*IF(RESULTADOS!$C$17="Normal",RESULTADOS!$C$18,RESULTADOS!$C$16),0)</f>
        <v>0</v>
      </c>
      <c r="H183" s="4">
        <f ca="1">IF(RESULTADOS!$C$17="Normal",E183,0)</f>
        <v>0</v>
      </c>
      <c r="I183" s="4">
        <f ca="1">(E183+H183+G183)*PREMISSAS!$C$60</f>
        <v>0</v>
      </c>
      <c r="J183" s="4">
        <f ca="1">D183*IF(RESULTADOS!$C$17="Normal",PREMISSAS!$C$62,0)</f>
        <v>0</v>
      </c>
      <c r="K183" s="116">
        <f ca="1">IFERROR(K182*(1+PREMISSAS!$C$18)+(E183+H183-IF(RESULTADOS!$C$17="Normal",I183,0)-J183)*IF(MONTH(B183)=12,2,1),0)</f>
        <v>0</v>
      </c>
      <c r="L183" s="116">
        <f ca="1">IFERROR((L182+G183-IF(RESULTADOS!$C$17="Normal",0,I183))*(1+PREMISSAS!$C$18)+F183,0)</f>
        <v>0</v>
      </c>
      <c r="N183" s="73">
        <f t="shared" ca="1" si="16"/>
        <v>0</v>
      </c>
      <c r="P183" s="164">
        <f t="shared" ca="1" si="17"/>
        <v>48975</v>
      </c>
      <c r="Q183" s="140">
        <f ca="1">IF(C183="","",Q182+(E183+H183-IF(RESULTADOS!$C$17="Normal",I183,0)-J183)/2+(F183+G183-IF(RESULTADOS!$C$17="Normal",0,I183)))</f>
        <v>0</v>
      </c>
      <c r="R183" s="140">
        <f ca="1">IF(C183="","",R182+(E183+H183-IF(RESULTADOS!$C$17="Normal",I183,0)-J183)/2)</f>
        <v>0</v>
      </c>
      <c r="S183" s="140">
        <f t="shared" ca="1" si="20"/>
        <v>0</v>
      </c>
      <c r="U183" s="164" t="str">
        <f t="shared" ca="1" si="21"/>
        <v/>
      </c>
      <c r="V183" s="164" t="str">
        <f t="shared" ca="1" si="18"/>
        <v/>
      </c>
      <c r="W183" s="140">
        <f ca="1">IF(OR((W182-13/12*Z182)*(1+PREMISSAS!$C$16)&lt;0,W182=""),0,(W182-13/12*Z182)*(1+PREMISSAS!$C$16))</f>
        <v>0</v>
      </c>
      <c r="X183" s="140">
        <f ca="1">IF(OR((X182-13/12*AA182)*(1+PREMISSAS!$C$16)&lt;0,X182=""),0,(X182-13/12*AA182)*(1+PREMISSAS!$C$16))</f>
        <v>0</v>
      </c>
      <c r="Y183" s="140">
        <f t="shared" ca="1" si="19"/>
        <v>0</v>
      </c>
      <c r="Z183" s="167">
        <f t="shared" ca="1" si="22"/>
        <v>0</v>
      </c>
      <c r="AA183" s="167">
        <f t="shared" ca="1" si="23"/>
        <v>0</v>
      </c>
    </row>
    <row r="184" spans="2:27" x14ac:dyDescent="0.25">
      <c r="B184" s="21">
        <f ca="1">IF(B183="","",IF(EOMONTH(B183,1)&gt;EOMONTH(ELEGIBILIDADE!$J$17,0),"",EOMONTH(B183,1)))</f>
        <v>49003</v>
      </c>
      <c r="C184" s="22">
        <f ca="1">IF(B184="","",IF(MONTH(B184)=1,C183*(1+PREMISSAS!$C$57),C183))</f>
        <v>0</v>
      </c>
      <c r="D184" s="22">
        <f ca="1">IF(RESULTADOS!$C$17="Normal",IFERROR(MAX(C184-PREMISSAS!$C$13,0),0),IF(Painel!$I$23=0,0,MAX(10*PREMISSAS!$C$38,RESULTADOS!$F$17)))</f>
        <v>0</v>
      </c>
      <c r="E184" s="4">
        <f ca="1">D184*IF(RESULTADOS!$C$17="Normal",RESULTADOS!$C$16,0)</f>
        <v>0</v>
      </c>
      <c r="F184" s="4">
        <f ca="1">IFERROR(IF(RESULTADOS!$C$17="Normal",D184,C184)*RESULTADOS!$C$18,0)</f>
        <v>0</v>
      </c>
      <c r="G184" s="4">
        <f ca="1">IFERROR(IF(RESULTADOS!$C$17="Normal",0,D184)*IF(RESULTADOS!$C$17="Normal",RESULTADOS!$C$18,RESULTADOS!$C$16),0)</f>
        <v>0</v>
      </c>
      <c r="H184" s="4">
        <f ca="1">IF(RESULTADOS!$C$17="Normal",E184,0)</f>
        <v>0</v>
      </c>
      <c r="I184" s="4">
        <f ca="1">(E184+H184+G184)*PREMISSAS!$C$60</f>
        <v>0</v>
      </c>
      <c r="J184" s="4">
        <f ca="1">D184*IF(RESULTADOS!$C$17="Normal",PREMISSAS!$C$62,0)</f>
        <v>0</v>
      </c>
      <c r="K184" s="116">
        <f ca="1">IFERROR(K183*(1+PREMISSAS!$C$18)+(E184+H184-IF(RESULTADOS!$C$17="Normal",I184,0)-J184)*IF(MONTH(B184)=12,2,1),0)</f>
        <v>0</v>
      </c>
      <c r="L184" s="116">
        <f ca="1">IFERROR((L183+G184-IF(RESULTADOS!$C$17="Normal",0,I184))*(1+PREMISSAS!$C$18)+F184,0)</f>
        <v>0</v>
      </c>
      <c r="N184" s="73">
        <f t="shared" ca="1" si="16"/>
        <v>0</v>
      </c>
      <c r="P184" s="164">
        <f t="shared" ca="1" si="17"/>
        <v>49003</v>
      </c>
      <c r="Q184" s="140">
        <f ca="1">IF(C184="","",Q183+(E184+H184-IF(RESULTADOS!$C$17="Normal",I184,0)-J184)/2+(F184+G184-IF(RESULTADOS!$C$17="Normal",0,I184)))</f>
        <v>0</v>
      </c>
      <c r="R184" s="140">
        <f ca="1">IF(C184="","",R183+(E184+H184-IF(RESULTADOS!$C$17="Normal",I184,0)-J184)/2)</f>
        <v>0</v>
      </c>
      <c r="S184" s="140">
        <f t="shared" ca="1" si="20"/>
        <v>0</v>
      </c>
      <c r="U184" s="164" t="str">
        <f t="shared" ca="1" si="21"/>
        <v/>
      </c>
      <c r="V184" s="164" t="str">
        <f t="shared" ca="1" si="18"/>
        <v/>
      </c>
      <c r="W184" s="140">
        <f ca="1">IF(OR((W183-13/12*Z183)*(1+PREMISSAS!$C$16)&lt;0,W183=""),0,(W183-13/12*Z183)*(1+PREMISSAS!$C$16))</f>
        <v>0</v>
      </c>
      <c r="X184" s="140">
        <f ca="1">IF(OR((X183-13/12*AA183)*(1+PREMISSAS!$C$16)&lt;0,X183=""),0,(X183-13/12*AA183)*(1+PREMISSAS!$C$16))</f>
        <v>0</v>
      </c>
      <c r="Y184" s="140">
        <f t="shared" ca="1" si="19"/>
        <v>0</v>
      </c>
      <c r="Z184" s="167">
        <f t="shared" ca="1" si="22"/>
        <v>0</v>
      </c>
      <c r="AA184" s="167">
        <f t="shared" ca="1" si="23"/>
        <v>0</v>
      </c>
    </row>
    <row r="185" spans="2:27" x14ac:dyDescent="0.25">
      <c r="B185" s="21">
        <f ca="1">IF(B184="","",IF(EOMONTH(B184,1)&gt;EOMONTH(ELEGIBILIDADE!$J$17,0),"",EOMONTH(B184,1)))</f>
        <v>49034</v>
      </c>
      <c r="C185" s="22">
        <f ca="1">IF(B185="","",IF(MONTH(B185)=1,C184*(1+PREMISSAS!$C$57),C184))</f>
        <v>0</v>
      </c>
      <c r="D185" s="22">
        <f ca="1">IF(RESULTADOS!$C$17="Normal",IFERROR(MAX(C185-PREMISSAS!$C$13,0),0),IF(Painel!$I$23=0,0,MAX(10*PREMISSAS!$C$38,RESULTADOS!$F$17)))</f>
        <v>0</v>
      </c>
      <c r="E185" s="4">
        <f ca="1">D185*IF(RESULTADOS!$C$17="Normal",RESULTADOS!$C$16,0)</f>
        <v>0</v>
      </c>
      <c r="F185" s="4">
        <f ca="1">IFERROR(IF(RESULTADOS!$C$17="Normal",D185,C185)*RESULTADOS!$C$18,0)</f>
        <v>0</v>
      </c>
      <c r="G185" s="4">
        <f ca="1">IFERROR(IF(RESULTADOS!$C$17="Normal",0,D185)*IF(RESULTADOS!$C$17="Normal",RESULTADOS!$C$18,RESULTADOS!$C$16),0)</f>
        <v>0</v>
      </c>
      <c r="H185" s="4">
        <f ca="1">IF(RESULTADOS!$C$17="Normal",E185,0)</f>
        <v>0</v>
      </c>
      <c r="I185" s="4">
        <f ca="1">(E185+H185+G185)*PREMISSAS!$C$60</f>
        <v>0</v>
      </c>
      <c r="J185" s="4">
        <f ca="1">D185*IF(RESULTADOS!$C$17="Normal",PREMISSAS!$C$62,0)</f>
        <v>0</v>
      </c>
      <c r="K185" s="116">
        <f ca="1">IFERROR(K184*(1+PREMISSAS!$C$18)+(E185+H185-IF(RESULTADOS!$C$17="Normal",I185,0)-J185)*IF(MONTH(B185)=12,2,1),0)</f>
        <v>0</v>
      </c>
      <c r="L185" s="116">
        <f ca="1">IFERROR((L184+G185-IF(RESULTADOS!$C$17="Normal",0,I185))*(1+PREMISSAS!$C$18)+F185,0)</f>
        <v>0</v>
      </c>
      <c r="N185" s="73">
        <f t="shared" ca="1" si="16"/>
        <v>0</v>
      </c>
      <c r="P185" s="164">
        <f t="shared" ca="1" si="17"/>
        <v>49034</v>
      </c>
      <c r="Q185" s="140">
        <f ca="1">IF(C185="","",Q184+(E185+H185-IF(RESULTADOS!$C$17="Normal",I185,0)-J185)/2+(F185+G185-IF(RESULTADOS!$C$17="Normal",0,I185)))</f>
        <v>0</v>
      </c>
      <c r="R185" s="140">
        <f ca="1">IF(C185="","",R184+(E185+H185-IF(RESULTADOS!$C$17="Normal",I185,0)-J185)/2)</f>
        <v>0</v>
      </c>
      <c r="S185" s="140">
        <f t="shared" ca="1" si="20"/>
        <v>0</v>
      </c>
      <c r="U185" s="164" t="str">
        <f t="shared" ca="1" si="21"/>
        <v/>
      </c>
      <c r="V185" s="164" t="str">
        <f t="shared" ca="1" si="18"/>
        <v/>
      </c>
      <c r="W185" s="140">
        <f ca="1">IF(OR((W184-13/12*Z184)*(1+PREMISSAS!$C$16)&lt;0,W184=""),0,(W184-13/12*Z184)*(1+PREMISSAS!$C$16))</f>
        <v>0</v>
      </c>
      <c r="X185" s="140">
        <f ca="1">IF(OR((X184-13/12*AA184)*(1+PREMISSAS!$C$16)&lt;0,X184=""),0,(X184-13/12*AA184)*(1+PREMISSAS!$C$16))</f>
        <v>0</v>
      </c>
      <c r="Y185" s="140">
        <f t="shared" ca="1" si="19"/>
        <v>0</v>
      </c>
      <c r="Z185" s="167">
        <f t="shared" ca="1" si="22"/>
        <v>0</v>
      </c>
      <c r="AA185" s="167">
        <f t="shared" ca="1" si="23"/>
        <v>0</v>
      </c>
    </row>
    <row r="186" spans="2:27" x14ac:dyDescent="0.25">
      <c r="B186" s="21">
        <f ca="1">IF(B185="","",IF(EOMONTH(B185,1)&gt;EOMONTH(ELEGIBILIDADE!$J$17,0),"",EOMONTH(B185,1)))</f>
        <v>49064</v>
      </c>
      <c r="C186" s="22">
        <f ca="1">IF(B186="","",IF(MONTH(B186)=1,C185*(1+PREMISSAS!$C$57),C185))</f>
        <v>0</v>
      </c>
      <c r="D186" s="22">
        <f ca="1">IF(RESULTADOS!$C$17="Normal",IFERROR(MAX(C186-PREMISSAS!$C$13,0),0),IF(Painel!$I$23=0,0,MAX(10*PREMISSAS!$C$38,RESULTADOS!$F$17)))</f>
        <v>0</v>
      </c>
      <c r="E186" s="4">
        <f ca="1">D186*IF(RESULTADOS!$C$17="Normal",RESULTADOS!$C$16,0)</f>
        <v>0</v>
      </c>
      <c r="F186" s="4">
        <f ca="1">IFERROR(IF(RESULTADOS!$C$17="Normal",D186,C186)*RESULTADOS!$C$18,0)</f>
        <v>0</v>
      </c>
      <c r="G186" s="4">
        <f ca="1">IFERROR(IF(RESULTADOS!$C$17="Normal",0,D186)*IF(RESULTADOS!$C$17="Normal",RESULTADOS!$C$18,RESULTADOS!$C$16),0)</f>
        <v>0</v>
      </c>
      <c r="H186" s="4">
        <f ca="1">IF(RESULTADOS!$C$17="Normal",E186,0)</f>
        <v>0</v>
      </c>
      <c r="I186" s="4">
        <f ca="1">(E186+H186+G186)*PREMISSAS!$C$60</f>
        <v>0</v>
      </c>
      <c r="J186" s="4">
        <f ca="1">D186*IF(RESULTADOS!$C$17="Normal",PREMISSAS!$C$62,0)</f>
        <v>0</v>
      </c>
      <c r="K186" s="116">
        <f ca="1">IFERROR(K185*(1+PREMISSAS!$C$18)+(E186+H186-IF(RESULTADOS!$C$17="Normal",I186,0)-J186)*IF(MONTH(B186)=12,2,1),0)</f>
        <v>0</v>
      </c>
      <c r="L186" s="116">
        <f ca="1">IFERROR((L185+G186-IF(RESULTADOS!$C$17="Normal",0,I186))*(1+PREMISSAS!$C$18)+F186,0)</f>
        <v>0</v>
      </c>
      <c r="N186" s="73">
        <f t="shared" ca="1" si="16"/>
        <v>0</v>
      </c>
      <c r="P186" s="164">
        <f t="shared" ca="1" si="17"/>
        <v>49064</v>
      </c>
      <c r="Q186" s="140">
        <f ca="1">IF(C186="","",Q185+(E186+H186-IF(RESULTADOS!$C$17="Normal",I186,0)-J186)/2+(F186+G186-IF(RESULTADOS!$C$17="Normal",0,I186)))</f>
        <v>0</v>
      </c>
      <c r="R186" s="140">
        <f ca="1">IF(C186="","",R185+(E186+H186-IF(RESULTADOS!$C$17="Normal",I186,0)-J186)/2)</f>
        <v>0</v>
      </c>
      <c r="S186" s="140">
        <f t="shared" ca="1" si="20"/>
        <v>0</v>
      </c>
      <c r="U186" s="164" t="str">
        <f t="shared" ca="1" si="21"/>
        <v/>
      </c>
      <c r="V186" s="164" t="str">
        <f t="shared" ca="1" si="18"/>
        <v/>
      </c>
      <c r="W186" s="140">
        <f ca="1">IF(OR((W185-13/12*Z185)*(1+PREMISSAS!$C$16)&lt;0,W185=""),0,(W185-13/12*Z185)*(1+PREMISSAS!$C$16))</f>
        <v>0</v>
      </c>
      <c r="X186" s="140">
        <f ca="1">IF(OR((X185-13/12*AA185)*(1+PREMISSAS!$C$16)&lt;0,X185=""),0,(X185-13/12*AA185)*(1+PREMISSAS!$C$16))</f>
        <v>0</v>
      </c>
      <c r="Y186" s="140">
        <f t="shared" ca="1" si="19"/>
        <v>0</v>
      </c>
      <c r="Z186" s="167">
        <f t="shared" ca="1" si="22"/>
        <v>0</v>
      </c>
      <c r="AA186" s="167">
        <f t="shared" ca="1" si="23"/>
        <v>0</v>
      </c>
    </row>
    <row r="187" spans="2:27" x14ac:dyDescent="0.25">
      <c r="B187" s="21">
        <f ca="1">IF(B186="","",IF(EOMONTH(B186,1)&gt;EOMONTH(ELEGIBILIDADE!$J$17,0),"",EOMONTH(B186,1)))</f>
        <v>49095</v>
      </c>
      <c r="C187" s="22">
        <f ca="1">IF(B187="","",IF(MONTH(B187)=1,C186*(1+PREMISSAS!$C$57),C186))</f>
        <v>0</v>
      </c>
      <c r="D187" s="22">
        <f ca="1">IF(RESULTADOS!$C$17="Normal",IFERROR(MAX(C187-PREMISSAS!$C$13,0),0),IF(Painel!$I$23=0,0,MAX(10*PREMISSAS!$C$38,RESULTADOS!$F$17)))</f>
        <v>0</v>
      </c>
      <c r="E187" s="4">
        <f ca="1">D187*IF(RESULTADOS!$C$17="Normal",RESULTADOS!$C$16,0)</f>
        <v>0</v>
      </c>
      <c r="F187" s="4">
        <f ca="1">IFERROR(IF(RESULTADOS!$C$17="Normal",D187,C187)*RESULTADOS!$C$18,0)</f>
        <v>0</v>
      </c>
      <c r="G187" s="4">
        <f ca="1">IFERROR(IF(RESULTADOS!$C$17="Normal",0,D187)*IF(RESULTADOS!$C$17="Normal",RESULTADOS!$C$18,RESULTADOS!$C$16),0)</f>
        <v>0</v>
      </c>
      <c r="H187" s="4">
        <f ca="1">IF(RESULTADOS!$C$17="Normal",E187,0)</f>
        <v>0</v>
      </c>
      <c r="I187" s="4">
        <f ca="1">(E187+H187+G187)*PREMISSAS!$C$60</f>
        <v>0</v>
      </c>
      <c r="J187" s="4">
        <f ca="1">D187*IF(RESULTADOS!$C$17="Normal",PREMISSAS!$C$62,0)</f>
        <v>0</v>
      </c>
      <c r="K187" s="116">
        <f ca="1">IFERROR(K186*(1+PREMISSAS!$C$18)+(E187+H187-IF(RESULTADOS!$C$17="Normal",I187,0)-J187)*IF(MONTH(B187)=12,2,1),0)</f>
        <v>0</v>
      </c>
      <c r="L187" s="116">
        <f ca="1">IFERROR((L186+G187-IF(RESULTADOS!$C$17="Normal",0,I187))*(1+PREMISSAS!$C$18)+F187,0)</f>
        <v>0</v>
      </c>
      <c r="N187" s="73">
        <f t="shared" ca="1" si="16"/>
        <v>0</v>
      </c>
      <c r="P187" s="164">
        <f t="shared" ca="1" si="17"/>
        <v>49095</v>
      </c>
      <c r="Q187" s="140">
        <f ca="1">IF(C187="","",Q186+(E187+H187-IF(RESULTADOS!$C$17="Normal",I187,0)-J187)/2+(F187+G187-IF(RESULTADOS!$C$17="Normal",0,I187)))</f>
        <v>0</v>
      </c>
      <c r="R187" s="140">
        <f ca="1">IF(C187="","",R186+(E187+H187-IF(RESULTADOS!$C$17="Normal",I187,0)-J187)/2)</f>
        <v>0</v>
      </c>
      <c r="S187" s="140">
        <f t="shared" ca="1" si="20"/>
        <v>0</v>
      </c>
      <c r="U187" s="164" t="str">
        <f t="shared" ca="1" si="21"/>
        <v/>
      </c>
      <c r="V187" s="164" t="str">
        <f t="shared" ca="1" si="18"/>
        <v/>
      </c>
      <c r="W187" s="140">
        <f ca="1">IF(OR((W186-13/12*Z186)*(1+PREMISSAS!$C$16)&lt;0,W186=""),0,(W186-13/12*Z186)*(1+PREMISSAS!$C$16))</f>
        <v>0</v>
      </c>
      <c r="X187" s="140">
        <f ca="1">IF(OR((X186-13/12*AA186)*(1+PREMISSAS!$C$16)&lt;0,X186=""),0,(X186-13/12*AA186)*(1+PREMISSAS!$C$16))</f>
        <v>0</v>
      </c>
      <c r="Y187" s="140">
        <f t="shared" ca="1" si="19"/>
        <v>0</v>
      </c>
      <c r="Z187" s="167">
        <f t="shared" ca="1" si="22"/>
        <v>0</v>
      </c>
      <c r="AA187" s="167">
        <f t="shared" ca="1" si="23"/>
        <v>0</v>
      </c>
    </row>
    <row r="188" spans="2:27" x14ac:dyDescent="0.25">
      <c r="B188" s="21">
        <f ca="1">IF(B187="","",IF(EOMONTH(B187,1)&gt;EOMONTH(ELEGIBILIDADE!$J$17,0),"",EOMONTH(B187,1)))</f>
        <v>49125</v>
      </c>
      <c r="C188" s="22">
        <f ca="1">IF(B188="","",IF(MONTH(B188)=1,C187*(1+PREMISSAS!$C$57),C187))</f>
        <v>0</v>
      </c>
      <c r="D188" s="22">
        <f ca="1">IF(RESULTADOS!$C$17="Normal",IFERROR(MAX(C188-PREMISSAS!$C$13,0),0),IF(Painel!$I$23=0,0,MAX(10*PREMISSAS!$C$38,RESULTADOS!$F$17)))</f>
        <v>0</v>
      </c>
      <c r="E188" s="4">
        <f ca="1">D188*IF(RESULTADOS!$C$17="Normal",RESULTADOS!$C$16,0)</f>
        <v>0</v>
      </c>
      <c r="F188" s="4">
        <f ca="1">IFERROR(IF(RESULTADOS!$C$17="Normal",D188,C188)*RESULTADOS!$C$18,0)</f>
        <v>0</v>
      </c>
      <c r="G188" s="4">
        <f ca="1">IFERROR(IF(RESULTADOS!$C$17="Normal",0,D188)*IF(RESULTADOS!$C$17="Normal",RESULTADOS!$C$18,RESULTADOS!$C$16),0)</f>
        <v>0</v>
      </c>
      <c r="H188" s="4">
        <f ca="1">IF(RESULTADOS!$C$17="Normal",E188,0)</f>
        <v>0</v>
      </c>
      <c r="I188" s="4">
        <f ca="1">(E188+H188+G188)*PREMISSAS!$C$60</f>
        <v>0</v>
      </c>
      <c r="J188" s="4">
        <f ca="1">D188*IF(RESULTADOS!$C$17="Normal",PREMISSAS!$C$62,0)</f>
        <v>0</v>
      </c>
      <c r="K188" s="116">
        <f ca="1">IFERROR(K187*(1+PREMISSAS!$C$18)+(E188+H188-IF(RESULTADOS!$C$17="Normal",I188,0)-J188)*IF(MONTH(B188)=12,2,1),0)</f>
        <v>0</v>
      </c>
      <c r="L188" s="116">
        <f ca="1">IFERROR((L187+G188-IF(RESULTADOS!$C$17="Normal",0,I188))*(1+PREMISSAS!$C$18)+F188,0)</f>
        <v>0</v>
      </c>
      <c r="N188" s="73">
        <f t="shared" ca="1" si="16"/>
        <v>0</v>
      </c>
      <c r="P188" s="164">
        <f t="shared" ca="1" si="17"/>
        <v>49125</v>
      </c>
      <c r="Q188" s="140">
        <f ca="1">IF(C188="","",Q187+(E188+H188-IF(RESULTADOS!$C$17="Normal",I188,0)-J188)/2+(F188+G188-IF(RESULTADOS!$C$17="Normal",0,I188)))</f>
        <v>0</v>
      </c>
      <c r="R188" s="140">
        <f ca="1">IF(C188="","",R187+(E188+H188-IF(RESULTADOS!$C$17="Normal",I188,0)-J188)/2)</f>
        <v>0</v>
      </c>
      <c r="S188" s="140">
        <f t="shared" ca="1" si="20"/>
        <v>0</v>
      </c>
      <c r="U188" s="164" t="str">
        <f t="shared" ca="1" si="21"/>
        <v/>
      </c>
      <c r="V188" s="164" t="str">
        <f t="shared" ca="1" si="18"/>
        <v/>
      </c>
      <c r="W188" s="140">
        <f ca="1">IF(OR((W187-13/12*Z187)*(1+PREMISSAS!$C$16)&lt;0,W187=""),0,(W187-13/12*Z187)*(1+PREMISSAS!$C$16))</f>
        <v>0</v>
      </c>
      <c r="X188" s="140">
        <f ca="1">IF(OR((X187-13/12*AA187)*(1+PREMISSAS!$C$16)&lt;0,X187=""),0,(X187-13/12*AA187)*(1+PREMISSAS!$C$16))</f>
        <v>0</v>
      </c>
      <c r="Y188" s="140">
        <f t="shared" ca="1" si="19"/>
        <v>0</v>
      </c>
      <c r="Z188" s="167">
        <f t="shared" ca="1" si="22"/>
        <v>0</v>
      </c>
      <c r="AA188" s="167">
        <f t="shared" ca="1" si="23"/>
        <v>0</v>
      </c>
    </row>
    <row r="189" spans="2:27" x14ac:dyDescent="0.25">
      <c r="B189" s="21">
        <f ca="1">IF(B188="","",IF(EOMONTH(B188,1)&gt;EOMONTH(ELEGIBILIDADE!$J$17,0),"",EOMONTH(B188,1)))</f>
        <v>49156</v>
      </c>
      <c r="C189" s="22">
        <f ca="1">IF(B189="","",IF(MONTH(B189)=1,C188*(1+PREMISSAS!$C$57),C188))</f>
        <v>0</v>
      </c>
      <c r="D189" s="22">
        <f ca="1">IF(RESULTADOS!$C$17="Normal",IFERROR(MAX(C189-PREMISSAS!$C$13,0),0),IF(Painel!$I$23=0,0,MAX(10*PREMISSAS!$C$38,RESULTADOS!$F$17)))</f>
        <v>0</v>
      </c>
      <c r="E189" s="4">
        <f ca="1">D189*IF(RESULTADOS!$C$17="Normal",RESULTADOS!$C$16,0)</f>
        <v>0</v>
      </c>
      <c r="F189" s="4">
        <f ca="1">IFERROR(IF(RESULTADOS!$C$17="Normal",D189,C189)*RESULTADOS!$C$18,0)</f>
        <v>0</v>
      </c>
      <c r="G189" s="4">
        <f ca="1">IFERROR(IF(RESULTADOS!$C$17="Normal",0,D189)*IF(RESULTADOS!$C$17="Normal",RESULTADOS!$C$18,RESULTADOS!$C$16),0)</f>
        <v>0</v>
      </c>
      <c r="H189" s="4">
        <f ca="1">IF(RESULTADOS!$C$17="Normal",E189,0)</f>
        <v>0</v>
      </c>
      <c r="I189" s="4">
        <f ca="1">(E189+H189+G189)*PREMISSAS!$C$60</f>
        <v>0</v>
      </c>
      <c r="J189" s="4">
        <f ca="1">D189*IF(RESULTADOS!$C$17="Normal",PREMISSAS!$C$62,0)</f>
        <v>0</v>
      </c>
      <c r="K189" s="116">
        <f ca="1">IFERROR(K188*(1+PREMISSAS!$C$18)+(E189+H189-IF(RESULTADOS!$C$17="Normal",I189,0)-J189)*IF(MONTH(B189)=12,2,1),0)</f>
        <v>0</v>
      </c>
      <c r="L189" s="116">
        <f ca="1">IFERROR((L188+G189-IF(RESULTADOS!$C$17="Normal",0,I189))*(1+PREMISSAS!$C$18)+F189,0)</f>
        <v>0</v>
      </c>
      <c r="N189" s="73">
        <f t="shared" ca="1" si="16"/>
        <v>0</v>
      </c>
      <c r="P189" s="164">
        <f t="shared" ca="1" si="17"/>
        <v>49156</v>
      </c>
      <c r="Q189" s="140">
        <f ca="1">IF(C189="","",Q188+(E189+H189-IF(RESULTADOS!$C$17="Normal",I189,0)-J189)/2+(F189+G189-IF(RESULTADOS!$C$17="Normal",0,I189)))</f>
        <v>0</v>
      </c>
      <c r="R189" s="140">
        <f ca="1">IF(C189="","",R188+(E189+H189-IF(RESULTADOS!$C$17="Normal",I189,0)-J189)/2)</f>
        <v>0</v>
      </c>
      <c r="S189" s="140">
        <f t="shared" ca="1" si="20"/>
        <v>0</v>
      </c>
      <c r="U189" s="164" t="str">
        <f t="shared" ca="1" si="21"/>
        <v/>
      </c>
      <c r="V189" s="164" t="str">
        <f t="shared" ca="1" si="18"/>
        <v/>
      </c>
      <c r="W189" s="140">
        <f ca="1">IF(OR((W188-13/12*Z188)*(1+PREMISSAS!$C$16)&lt;0,W188=""),0,(W188-13/12*Z188)*(1+PREMISSAS!$C$16))</f>
        <v>0</v>
      </c>
      <c r="X189" s="140">
        <f ca="1">IF(OR((X188-13/12*AA188)*(1+PREMISSAS!$C$16)&lt;0,X188=""),0,(X188-13/12*AA188)*(1+PREMISSAS!$C$16))</f>
        <v>0</v>
      </c>
      <c r="Y189" s="140">
        <f t="shared" ca="1" si="19"/>
        <v>0</v>
      </c>
      <c r="Z189" s="167">
        <f t="shared" ca="1" si="22"/>
        <v>0</v>
      </c>
      <c r="AA189" s="167">
        <f t="shared" ca="1" si="23"/>
        <v>0</v>
      </c>
    </row>
    <row r="190" spans="2:27" x14ac:dyDescent="0.25">
      <c r="B190" s="21">
        <f ca="1">IF(B189="","",IF(EOMONTH(B189,1)&gt;EOMONTH(ELEGIBILIDADE!$J$17,0),"",EOMONTH(B189,1)))</f>
        <v>49187</v>
      </c>
      <c r="C190" s="22">
        <f ca="1">IF(B190="","",IF(MONTH(B190)=1,C189*(1+PREMISSAS!$C$57),C189))</f>
        <v>0</v>
      </c>
      <c r="D190" s="22">
        <f ca="1">IF(RESULTADOS!$C$17="Normal",IFERROR(MAX(C190-PREMISSAS!$C$13,0),0),IF(Painel!$I$23=0,0,MAX(10*PREMISSAS!$C$38,RESULTADOS!$F$17)))</f>
        <v>0</v>
      </c>
      <c r="E190" s="4">
        <f ca="1">D190*IF(RESULTADOS!$C$17="Normal",RESULTADOS!$C$16,0)</f>
        <v>0</v>
      </c>
      <c r="F190" s="4">
        <f ca="1">IFERROR(IF(RESULTADOS!$C$17="Normal",D190,C190)*RESULTADOS!$C$18,0)</f>
        <v>0</v>
      </c>
      <c r="G190" s="4">
        <f ca="1">IFERROR(IF(RESULTADOS!$C$17="Normal",0,D190)*IF(RESULTADOS!$C$17="Normal",RESULTADOS!$C$18,RESULTADOS!$C$16),0)</f>
        <v>0</v>
      </c>
      <c r="H190" s="4">
        <f ca="1">IF(RESULTADOS!$C$17="Normal",E190,0)</f>
        <v>0</v>
      </c>
      <c r="I190" s="4">
        <f ca="1">(E190+H190+G190)*PREMISSAS!$C$60</f>
        <v>0</v>
      </c>
      <c r="J190" s="4">
        <f ca="1">D190*IF(RESULTADOS!$C$17="Normal",PREMISSAS!$C$62,0)</f>
        <v>0</v>
      </c>
      <c r="K190" s="116">
        <f ca="1">IFERROR(K189*(1+PREMISSAS!$C$18)+(E190+H190-IF(RESULTADOS!$C$17="Normal",I190,0)-J190)*IF(MONTH(B190)=12,2,1),0)</f>
        <v>0</v>
      </c>
      <c r="L190" s="116">
        <f ca="1">IFERROR((L189+G190-IF(RESULTADOS!$C$17="Normal",0,I190))*(1+PREMISSAS!$C$18)+F190,0)</f>
        <v>0</v>
      </c>
      <c r="N190" s="73">
        <f t="shared" ca="1" si="16"/>
        <v>0</v>
      </c>
      <c r="P190" s="164">
        <f t="shared" ca="1" si="17"/>
        <v>49187</v>
      </c>
      <c r="Q190" s="140">
        <f ca="1">IF(C190="","",Q189+(E190+H190-IF(RESULTADOS!$C$17="Normal",I190,0)-J190)/2+(F190+G190-IF(RESULTADOS!$C$17="Normal",0,I190)))</f>
        <v>0</v>
      </c>
      <c r="R190" s="140">
        <f ca="1">IF(C190="","",R189+(E190+H190-IF(RESULTADOS!$C$17="Normal",I190,0)-J190)/2)</f>
        <v>0</v>
      </c>
      <c r="S190" s="140">
        <f t="shared" ca="1" si="20"/>
        <v>0</v>
      </c>
      <c r="U190" s="164" t="str">
        <f t="shared" ca="1" si="21"/>
        <v/>
      </c>
      <c r="V190" s="164" t="str">
        <f t="shared" ca="1" si="18"/>
        <v/>
      </c>
      <c r="W190" s="140">
        <f ca="1">IF(OR((W189-13/12*Z189)*(1+PREMISSAS!$C$16)&lt;0,W189=""),0,(W189-13/12*Z189)*(1+PREMISSAS!$C$16))</f>
        <v>0</v>
      </c>
      <c r="X190" s="140">
        <f ca="1">IF(OR((X189-13/12*AA189)*(1+PREMISSAS!$C$16)&lt;0,X189=""),0,(X189-13/12*AA189)*(1+PREMISSAS!$C$16))</f>
        <v>0</v>
      </c>
      <c r="Y190" s="140">
        <f t="shared" ca="1" si="19"/>
        <v>0</v>
      </c>
      <c r="Z190" s="167">
        <f t="shared" ca="1" si="22"/>
        <v>0</v>
      </c>
      <c r="AA190" s="167">
        <f t="shared" ca="1" si="23"/>
        <v>0</v>
      </c>
    </row>
    <row r="191" spans="2:27" x14ac:dyDescent="0.25">
      <c r="B191" s="21">
        <f ca="1">IF(B190="","",IF(EOMONTH(B190,1)&gt;EOMONTH(ELEGIBILIDADE!$J$17,0),"",EOMONTH(B190,1)))</f>
        <v>49217</v>
      </c>
      <c r="C191" s="22">
        <f ca="1">IF(B191="","",IF(MONTH(B191)=1,C190*(1+PREMISSAS!$C$57),C190))</f>
        <v>0</v>
      </c>
      <c r="D191" s="22">
        <f ca="1">IF(RESULTADOS!$C$17="Normal",IFERROR(MAX(C191-PREMISSAS!$C$13,0),0),IF(Painel!$I$23=0,0,MAX(10*PREMISSAS!$C$38,RESULTADOS!$F$17)))</f>
        <v>0</v>
      </c>
      <c r="E191" s="4">
        <f ca="1">D191*IF(RESULTADOS!$C$17="Normal",RESULTADOS!$C$16,0)</f>
        <v>0</v>
      </c>
      <c r="F191" s="4">
        <f ca="1">IFERROR(IF(RESULTADOS!$C$17="Normal",D191,C191)*RESULTADOS!$C$18,0)</f>
        <v>0</v>
      </c>
      <c r="G191" s="4">
        <f ca="1">IFERROR(IF(RESULTADOS!$C$17="Normal",0,D191)*IF(RESULTADOS!$C$17="Normal",RESULTADOS!$C$18,RESULTADOS!$C$16),0)</f>
        <v>0</v>
      </c>
      <c r="H191" s="4">
        <f ca="1">IF(RESULTADOS!$C$17="Normal",E191,0)</f>
        <v>0</v>
      </c>
      <c r="I191" s="4">
        <f ca="1">(E191+H191+G191)*PREMISSAS!$C$60</f>
        <v>0</v>
      </c>
      <c r="J191" s="4">
        <f ca="1">D191*IF(RESULTADOS!$C$17="Normal",PREMISSAS!$C$62,0)</f>
        <v>0</v>
      </c>
      <c r="K191" s="116">
        <f ca="1">IFERROR(K190*(1+PREMISSAS!$C$18)+(E191+H191-IF(RESULTADOS!$C$17="Normal",I191,0)-J191)*IF(MONTH(B191)=12,2,1),0)</f>
        <v>0</v>
      </c>
      <c r="L191" s="116">
        <f ca="1">IFERROR((L190+G191-IF(RESULTADOS!$C$17="Normal",0,I191))*(1+PREMISSAS!$C$18)+F191,0)</f>
        <v>0</v>
      </c>
      <c r="N191" s="73">
        <f t="shared" ca="1" si="16"/>
        <v>0</v>
      </c>
      <c r="P191" s="164">
        <f t="shared" ca="1" si="17"/>
        <v>49217</v>
      </c>
      <c r="Q191" s="140">
        <f ca="1">IF(C191="","",Q190+(E191+H191-IF(RESULTADOS!$C$17="Normal",I191,0)-J191)/2+(F191+G191-IF(RESULTADOS!$C$17="Normal",0,I191)))</f>
        <v>0</v>
      </c>
      <c r="R191" s="140">
        <f ca="1">IF(C191="","",R190+(E191+H191-IF(RESULTADOS!$C$17="Normal",I191,0)-J191)/2)</f>
        <v>0</v>
      </c>
      <c r="S191" s="140">
        <f t="shared" ca="1" si="20"/>
        <v>0</v>
      </c>
      <c r="U191" s="164" t="str">
        <f t="shared" ca="1" si="21"/>
        <v/>
      </c>
      <c r="V191" s="164" t="str">
        <f t="shared" ca="1" si="18"/>
        <v/>
      </c>
      <c r="W191" s="140">
        <f ca="1">IF(OR((W190-13/12*Z190)*(1+PREMISSAS!$C$16)&lt;0,W190=""),0,(W190-13/12*Z190)*(1+PREMISSAS!$C$16))</f>
        <v>0</v>
      </c>
      <c r="X191" s="140">
        <f ca="1">IF(OR((X190-13/12*AA190)*(1+PREMISSAS!$C$16)&lt;0,X190=""),0,(X190-13/12*AA190)*(1+PREMISSAS!$C$16))</f>
        <v>0</v>
      </c>
      <c r="Y191" s="140">
        <f t="shared" ca="1" si="19"/>
        <v>0</v>
      </c>
      <c r="Z191" s="167">
        <f t="shared" ca="1" si="22"/>
        <v>0</v>
      </c>
      <c r="AA191" s="167">
        <f t="shared" ca="1" si="23"/>
        <v>0</v>
      </c>
    </row>
    <row r="192" spans="2:27" x14ac:dyDescent="0.25">
      <c r="B192" s="21">
        <f ca="1">IF(B191="","",IF(EOMONTH(B191,1)&gt;EOMONTH(ELEGIBILIDADE!$J$17,0),"",EOMONTH(B191,1)))</f>
        <v>49248</v>
      </c>
      <c r="C192" s="22">
        <f ca="1">IF(B192="","",IF(MONTH(B192)=1,C191*(1+PREMISSAS!$C$57),C191))</f>
        <v>0</v>
      </c>
      <c r="D192" s="22">
        <f ca="1">IF(RESULTADOS!$C$17="Normal",IFERROR(MAX(C192-PREMISSAS!$C$13,0),0),IF(Painel!$I$23=0,0,MAX(10*PREMISSAS!$C$38,RESULTADOS!$F$17)))</f>
        <v>0</v>
      </c>
      <c r="E192" s="4">
        <f ca="1">D192*IF(RESULTADOS!$C$17="Normal",RESULTADOS!$C$16,0)</f>
        <v>0</v>
      </c>
      <c r="F192" s="4">
        <f ca="1">IFERROR(IF(RESULTADOS!$C$17="Normal",D192,C192)*RESULTADOS!$C$18,0)</f>
        <v>0</v>
      </c>
      <c r="G192" s="4">
        <f ca="1">IFERROR(IF(RESULTADOS!$C$17="Normal",0,D192)*IF(RESULTADOS!$C$17="Normal",RESULTADOS!$C$18,RESULTADOS!$C$16),0)</f>
        <v>0</v>
      </c>
      <c r="H192" s="4">
        <f ca="1">IF(RESULTADOS!$C$17="Normal",E192,0)</f>
        <v>0</v>
      </c>
      <c r="I192" s="4">
        <f ca="1">(E192+H192+G192)*PREMISSAS!$C$60</f>
        <v>0</v>
      </c>
      <c r="J192" s="4">
        <f ca="1">D192*IF(RESULTADOS!$C$17="Normal",PREMISSAS!$C$62,0)</f>
        <v>0</v>
      </c>
      <c r="K192" s="116">
        <f ca="1">IFERROR(K191*(1+PREMISSAS!$C$18)+(E192+H192-IF(RESULTADOS!$C$17="Normal",I192,0)-J192)*IF(MONTH(B192)=12,2,1),0)</f>
        <v>0</v>
      </c>
      <c r="L192" s="116">
        <f ca="1">IFERROR((L191+G192-IF(RESULTADOS!$C$17="Normal",0,I192))*(1+PREMISSAS!$C$18)+F192,0)</f>
        <v>0</v>
      </c>
      <c r="N192" s="73">
        <f t="shared" ca="1" si="16"/>
        <v>0</v>
      </c>
      <c r="P192" s="164">
        <f t="shared" ca="1" si="17"/>
        <v>49248</v>
      </c>
      <c r="Q192" s="140">
        <f ca="1">IF(C192="","",Q191+(E192+H192-IF(RESULTADOS!$C$17="Normal",I192,0)-J192)/2+(F192+G192-IF(RESULTADOS!$C$17="Normal",0,I192)))</f>
        <v>0</v>
      </c>
      <c r="R192" s="140">
        <f ca="1">IF(C192="","",R191+(E192+H192-IF(RESULTADOS!$C$17="Normal",I192,0)-J192)/2)</f>
        <v>0</v>
      </c>
      <c r="S192" s="140">
        <f t="shared" ca="1" si="20"/>
        <v>0</v>
      </c>
      <c r="U192" s="164" t="str">
        <f t="shared" ca="1" si="21"/>
        <v/>
      </c>
      <c r="V192" s="164" t="str">
        <f t="shared" ca="1" si="18"/>
        <v/>
      </c>
      <c r="W192" s="140">
        <f ca="1">IF(OR((W191-13/12*Z191)*(1+PREMISSAS!$C$16)&lt;0,W191=""),0,(W191-13/12*Z191)*(1+PREMISSAS!$C$16))</f>
        <v>0</v>
      </c>
      <c r="X192" s="140">
        <f ca="1">IF(OR((X191-13/12*AA191)*(1+PREMISSAS!$C$16)&lt;0,X191=""),0,(X191-13/12*AA191)*(1+PREMISSAS!$C$16))</f>
        <v>0</v>
      </c>
      <c r="Y192" s="140">
        <f t="shared" ca="1" si="19"/>
        <v>0</v>
      </c>
      <c r="Z192" s="167">
        <f t="shared" ca="1" si="22"/>
        <v>0</v>
      </c>
      <c r="AA192" s="167">
        <f t="shared" ca="1" si="23"/>
        <v>0</v>
      </c>
    </row>
    <row r="193" spans="2:27" x14ac:dyDescent="0.25">
      <c r="B193" s="21">
        <f ca="1">IF(B192="","",IF(EOMONTH(B192,1)&gt;EOMONTH(ELEGIBILIDADE!$J$17,0),"",EOMONTH(B192,1)))</f>
        <v>49278</v>
      </c>
      <c r="C193" s="22">
        <f ca="1">IF(B193="","",IF(MONTH(B193)=1,C192*(1+PREMISSAS!$C$57),C192))</f>
        <v>0</v>
      </c>
      <c r="D193" s="22">
        <f ca="1">IF(RESULTADOS!$C$17="Normal",IFERROR(MAX(C193-PREMISSAS!$C$13,0),0),IF(Painel!$I$23=0,0,MAX(10*PREMISSAS!$C$38,RESULTADOS!$F$17)))</f>
        <v>0</v>
      </c>
      <c r="E193" s="4">
        <f ca="1">D193*IF(RESULTADOS!$C$17="Normal",RESULTADOS!$C$16,0)</f>
        <v>0</v>
      </c>
      <c r="F193" s="4">
        <f ca="1">IFERROR(IF(RESULTADOS!$C$17="Normal",D193,C193)*RESULTADOS!$C$18,0)</f>
        <v>0</v>
      </c>
      <c r="G193" s="4">
        <f ca="1">IFERROR(IF(RESULTADOS!$C$17="Normal",0,D193)*IF(RESULTADOS!$C$17="Normal",RESULTADOS!$C$18,RESULTADOS!$C$16),0)</f>
        <v>0</v>
      </c>
      <c r="H193" s="4">
        <f ca="1">IF(RESULTADOS!$C$17="Normal",E193,0)</f>
        <v>0</v>
      </c>
      <c r="I193" s="4">
        <f ca="1">(E193+H193+G193)*PREMISSAS!$C$60</f>
        <v>0</v>
      </c>
      <c r="J193" s="4">
        <f ca="1">D193*IF(RESULTADOS!$C$17="Normal",PREMISSAS!$C$62,0)</f>
        <v>0</v>
      </c>
      <c r="K193" s="116">
        <f ca="1">IFERROR(K192*(1+PREMISSAS!$C$18)+(E193+H193-IF(RESULTADOS!$C$17="Normal",I193,0)-J193)*IF(MONTH(B193)=12,2,1),0)</f>
        <v>0</v>
      </c>
      <c r="L193" s="116">
        <f ca="1">IFERROR((L192+G193-IF(RESULTADOS!$C$17="Normal",0,I193))*(1+PREMISSAS!$C$18)+F193,0)</f>
        <v>0</v>
      </c>
      <c r="N193" s="73">
        <f t="shared" ca="1" si="16"/>
        <v>0</v>
      </c>
      <c r="P193" s="164">
        <f t="shared" ca="1" si="17"/>
        <v>49278</v>
      </c>
      <c r="Q193" s="140">
        <f ca="1">IF(C193="","",Q192+(E193+H193-IF(RESULTADOS!$C$17="Normal",I193,0)-J193)/2+(F193+G193-IF(RESULTADOS!$C$17="Normal",0,I193)))</f>
        <v>0</v>
      </c>
      <c r="R193" s="140">
        <f ca="1">IF(C193="","",R192+(E193+H193-IF(RESULTADOS!$C$17="Normal",I193,0)-J193)/2)</f>
        <v>0</v>
      </c>
      <c r="S193" s="140">
        <f t="shared" ca="1" si="20"/>
        <v>0</v>
      </c>
      <c r="U193" s="164" t="str">
        <f t="shared" ca="1" si="21"/>
        <v/>
      </c>
      <c r="V193" s="164" t="str">
        <f t="shared" ca="1" si="18"/>
        <v/>
      </c>
      <c r="W193" s="140">
        <f ca="1">IF(OR((W192-13/12*Z192)*(1+PREMISSAS!$C$16)&lt;0,W192=""),0,(W192-13/12*Z192)*(1+PREMISSAS!$C$16))</f>
        <v>0</v>
      </c>
      <c r="X193" s="140">
        <f ca="1">IF(OR((X192-13/12*AA192)*(1+PREMISSAS!$C$16)&lt;0,X192=""),0,(X192-13/12*AA192)*(1+PREMISSAS!$C$16))</f>
        <v>0</v>
      </c>
      <c r="Y193" s="140">
        <f t="shared" ca="1" si="19"/>
        <v>0</v>
      </c>
      <c r="Z193" s="167">
        <f t="shared" ca="1" si="22"/>
        <v>0</v>
      </c>
      <c r="AA193" s="167">
        <f t="shared" ca="1" si="23"/>
        <v>0</v>
      </c>
    </row>
    <row r="194" spans="2:27" x14ac:dyDescent="0.25">
      <c r="B194" s="21">
        <f ca="1">IF(B193="","",IF(EOMONTH(B193,1)&gt;EOMONTH(ELEGIBILIDADE!$J$17,0),"",EOMONTH(B193,1)))</f>
        <v>49309</v>
      </c>
      <c r="C194" s="22">
        <f ca="1">IF(B194="","",IF(MONTH(B194)=1,C193*(1+PREMISSAS!$C$57),C193))</f>
        <v>0</v>
      </c>
      <c r="D194" s="22">
        <f ca="1">IF(RESULTADOS!$C$17="Normal",IFERROR(MAX(C194-PREMISSAS!$C$13,0),0),IF(Painel!$I$23=0,0,MAX(10*PREMISSAS!$C$38,RESULTADOS!$F$17)))</f>
        <v>0</v>
      </c>
      <c r="E194" s="4">
        <f ca="1">D194*IF(RESULTADOS!$C$17="Normal",RESULTADOS!$C$16,0)</f>
        <v>0</v>
      </c>
      <c r="F194" s="4">
        <f ca="1">IFERROR(IF(RESULTADOS!$C$17="Normal",D194,C194)*RESULTADOS!$C$18,0)</f>
        <v>0</v>
      </c>
      <c r="G194" s="4">
        <f ca="1">IFERROR(IF(RESULTADOS!$C$17="Normal",0,D194)*IF(RESULTADOS!$C$17="Normal",RESULTADOS!$C$18,RESULTADOS!$C$16),0)</f>
        <v>0</v>
      </c>
      <c r="H194" s="4">
        <f ca="1">IF(RESULTADOS!$C$17="Normal",E194,0)</f>
        <v>0</v>
      </c>
      <c r="I194" s="4">
        <f ca="1">(E194+H194+G194)*PREMISSAS!$C$60</f>
        <v>0</v>
      </c>
      <c r="J194" s="4">
        <f ca="1">D194*IF(RESULTADOS!$C$17="Normal",PREMISSAS!$C$62,0)</f>
        <v>0</v>
      </c>
      <c r="K194" s="116">
        <f ca="1">IFERROR(K193*(1+PREMISSAS!$C$18)+(E194+H194-IF(RESULTADOS!$C$17="Normal",I194,0)-J194)*IF(MONTH(B194)=12,2,1),0)</f>
        <v>0</v>
      </c>
      <c r="L194" s="116">
        <f ca="1">IFERROR((L193+G194-IF(RESULTADOS!$C$17="Normal",0,I194))*(1+PREMISSAS!$C$18)+F194,0)</f>
        <v>0</v>
      </c>
      <c r="N194" s="73">
        <f t="shared" ca="1" si="16"/>
        <v>0</v>
      </c>
      <c r="P194" s="164">
        <f t="shared" ca="1" si="17"/>
        <v>49309</v>
      </c>
      <c r="Q194" s="140">
        <f ca="1">IF(C194="","",Q193+(E194+H194-IF(RESULTADOS!$C$17="Normal",I194,0)-J194)/2+(F194+G194-IF(RESULTADOS!$C$17="Normal",0,I194)))</f>
        <v>0</v>
      </c>
      <c r="R194" s="140">
        <f ca="1">IF(C194="","",R193+(E194+H194-IF(RESULTADOS!$C$17="Normal",I194,0)-J194)/2)</f>
        <v>0</v>
      </c>
      <c r="S194" s="140">
        <f t="shared" ca="1" si="20"/>
        <v>0</v>
      </c>
      <c r="U194" s="164" t="str">
        <f t="shared" ca="1" si="21"/>
        <v/>
      </c>
      <c r="V194" s="164" t="str">
        <f t="shared" ca="1" si="18"/>
        <v/>
      </c>
      <c r="W194" s="140">
        <f ca="1">IF(OR((W193-13/12*Z193)*(1+PREMISSAS!$C$16)&lt;0,W193=""),0,(W193-13/12*Z193)*(1+PREMISSAS!$C$16))</f>
        <v>0</v>
      </c>
      <c r="X194" s="140">
        <f ca="1">IF(OR((X193-13/12*AA193)*(1+PREMISSAS!$C$16)&lt;0,X193=""),0,(X193-13/12*AA193)*(1+PREMISSAS!$C$16))</f>
        <v>0</v>
      </c>
      <c r="Y194" s="140">
        <f t="shared" ca="1" si="19"/>
        <v>0</v>
      </c>
      <c r="Z194" s="167">
        <f t="shared" ca="1" si="22"/>
        <v>0</v>
      </c>
      <c r="AA194" s="167">
        <f t="shared" ca="1" si="23"/>
        <v>0</v>
      </c>
    </row>
    <row r="195" spans="2:27" x14ac:dyDescent="0.25">
      <c r="B195" s="21">
        <f ca="1">IF(B194="","",IF(EOMONTH(B194,1)&gt;EOMONTH(ELEGIBILIDADE!$J$17,0),"",EOMONTH(B194,1)))</f>
        <v>49340</v>
      </c>
      <c r="C195" s="22">
        <f ca="1">IF(B195="","",IF(MONTH(B195)=1,C194*(1+PREMISSAS!$C$57),C194))</f>
        <v>0</v>
      </c>
      <c r="D195" s="22">
        <f ca="1">IF(RESULTADOS!$C$17="Normal",IFERROR(MAX(C195-PREMISSAS!$C$13,0),0),IF(Painel!$I$23=0,0,MAX(10*PREMISSAS!$C$38,RESULTADOS!$F$17)))</f>
        <v>0</v>
      </c>
      <c r="E195" s="4">
        <f ca="1">D195*IF(RESULTADOS!$C$17="Normal",RESULTADOS!$C$16,0)</f>
        <v>0</v>
      </c>
      <c r="F195" s="4">
        <f ca="1">IFERROR(IF(RESULTADOS!$C$17="Normal",D195,C195)*RESULTADOS!$C$18,0)</f>
        <v>0</v>
      </c>
      <c r="G195" s="4">
        <f ca="1">IFERROR(IF(RESULTADOS!$C$17="Normal",0,D195)*IF(RESULTADOS!$C$17="Normal",RESULTADOS!$C$18,RESULTADOS!$C$16),0)</f>
        <v>0</v>
      </c>
      <c r="H195" s="4">
        <f ca="1">IF(RESULTADOS!$C$17="Normal",E195,0)</f>
        <v>0</v>
      </c>
      <c r="I195" s="4">
        <f ca="1">(E195+H195+G195)*PREMISSAS!$C$60</f>
        <v>0</v>
      </c>
      <c r="J195" s="4">
        <f ca="1">D195*IF(RESULTADOS!$C$17="Normal",PREMISSAS!$C$62,0)</f>
        <v>0</v>
      </c>
      <c r="K195" s="116">
        <f ca="1">IFERROR(K194*(1+PREMISSAS!$C$18)+(E195+H195-IF(RESULTADOS!$C$17="Normal",I195,0)-J195)*IF(MONTH(B195)=12,2,1),0)</f>
        <v>0</v>
      </c>
      <c r="L195" s="116">
        <f ca="1">IFERROR((L194+G195-IF(RESULTADOS!$C$17="Normal",0,I195))*(1+PREMISSAS!$C$18)+F195,0)</f>
        <v>0</v>
      </c>
      <c r="N195" s="73">
        <f t="shared" ca="1" si="16"/>
        <v>0</v>
      </c>
      <c r="P195" s="164">
        <f t="shared" ca="1" si="17"/>
        <v>49340</v>
      </c>
      <c r="Q195" s="140">
        <f ca="1">IF(C195="","",Q194+(E195+H195-IF(RESULTADOS!$C$17="Normal",I195,0)-J195)/2+(F195+G195-IF(RESULTADOS!$C$17="Normal",0,I195)))</f>
        <v>0</v>
      </c>
      <c r="R195" s="140">
        <f ca="1">IF(C195="","",R194+(E195+H195-IF(RESULTADOS!$C$17="Normal",I195,0)-J195)/2)</f>
        <v>0</v>
      </c>
      <c r="S195" s="140">
        <f t="shared" ca="1" si="20"/>
        <v>0</v>
      </c>
      <c r="U195" s="164" t="str">
        <f t="shared" ca="1" si="21"/>
        <v/>
      </c>
      <c r="V195" s="164" t="str">
        <f t="shared" ca="1" si="18"/>
        <v/>
      </c>
      <c r="W195" s="140">
        <f ca="1">IF(OR((W194-13/12*Z194)*(1+PREMISSAS!$C$16)&lt;0,W194=""),0,(W194-13/12*Z194)*(1+PREMISSAS!$C$16))</f>
        <v>0</v>
      </c>
      <c r="X195" s="140">
        <f ca="1">IF(OR((X194-13/12*AA194)*(1+PREMISSAS!$C$16)&lt;0,X194=""),0,(X194-13/12*AA194)*(1+PREMISSAS!$C$16))</f>
        <v>0</v>
      </c>
      <c r="Y195" s="140">
        <f t="shared" ca="1" si="19"/>
        <v>0</v>
      </c>
      <c r="Z195" s="167">
        <f t="shared" ca="1" si="22"/>
        <v>0</v>
      </c>
      <c r="AA195" s="167">
        <f t="shared" ca="1" si="23"/>
        <v>0</v>
      </c>
    </row>
    <row r="196" spans="2:27" x14ac:dyDescent="0.25">
      <c r="B196" s="21">
        <f ca="1">IF(B195="","",IF(EOMONTH(B195,1)&gt;EOMONTH(ELEGIBILIDADE!$J$17,0),"",EOMONTH(B195,1)))</f>
        <v>49368</v>
      </c>
      <c r="C196" s="22">
        <f ca="1">IF(B196="","",IF(MONTH(B196)=1,C195*(1+PREMISSAS!$C$57),C195))</f>
        <v>0</v>
      </c>
      <c r="D196" s="22">
        <f ca="1">IF(RESULTADOS!$C$17="Normal",IFERROR(MAX(C196-PREMISSAS!$C$13,0),0),IF(Painel!$I$23=0,0,MAX(10*PREMISSAS!$C$38,RESULTADOS!$F$17)))</f>
        <v>0</v>
      </c>
      <c r="E196" s="4">
        <f ca="1">D196*IF(RESULTADOS!$C$17="Normal",RESULTADOS!$C$16,0)</f>
        <v>0</v>
      </c>
      <c r="F196" s="4">
        <f ca="1">IFERROR(IF(RESULTADOS!$C$17="Normal",D196,C196)*RESULTADOS!$C$18,0)</f>
        <v>0</v>
      </c>
      <c r="G196" s="4">
        <f ca="1">IFERROR(IF(RESULTADOS!$C$17="Normal",0,D196)*IF(RESULTADOS!$C$17="Normal",RESULTADOS!$C$18,RESULTADOS!$C$16),0)</f>
        <v>0</v>
      </c>
      <c r="H196" s="4">
        <f ca="1">IF(RESULTADOS!$C$17="Normal",E196,0)</f>
        <v>0</v>
      </c>
      <c r="I196" s="4">
        <f ca="1">(E196+H196+G196)*PREMISSAS!$C$60</f>
        <v>0</v>
      </c>
      <c r="J196" s="4">
        <f ca="1">D196*IF(RESULTADOS!$C$17="Normal",PREMISSAS!$C$62,0)</f>
        <v>0</v>
      </c>
      <c r="K196" s="116">
        <f ca="1">IFERROR(K195*(1+PREMISSAS!$C$18)+(E196+H196-IF(RESULTADOS!$C$17="Normal",I196,0)-J196)*IF(MONTH(B196)=12,2,1),0)</f>
        <v>0</v>
      </c>
      <c r="L196" s="116">
        <f ca="1">IFERROR((L195+G196-IF(RESULTADOS!$C$17="Normal",0,I196))*(1+PREMISSAS!$C$18)+F196,0)</f>
        <v>0</v>
      </c>
      <c r="N196" s="73">
        <f t="shared" ca="1" si="16"/>
        <v>0</v>
      </c>
      <c r="P196" s="164">
        <f t="shared" ca="1" si="17"/>
        <v>49368</v>
      </c>
      <c r="Q196" s="140">
        <f ca="1">IF(C196="","",Q195+(E196+H196-IF(RESULTADOS!$C$17="Normal",I196,0)-J196)/2+(F196+G196-IF(RESULTADOS!$C$17="Normal",0,I196)))</f>
        <v>0</v>
      </c>
      <c r="R196" s="140">
        <f ca="1">IF(C196="","",R195+(E196+H196-IF(RESULTADOS!$C$17="Normal",I196,0)-J196)/2)</f>
        <v>0</v>
      </c>
      <c r="S196" s="140">
        <f t="shared" ca="1" si="20"/>
        <v>0</v>
      </c>
      <c r="U196" s="164" t="str">
        <f t="shared" ca="1" si="21"/>
        <v/>
      </c>
      <c r="V196" s="164" t="str">
        <f t="shared" ca="1" si="18"/>
        <v/>
      </c>
      <c r="W196" s="140">
        <f ca="1">IF(OR((W195-13/12*Z195)*(1+PREMISSAS!$C$16)&lt;0,W195=""),0,(W195-13/12*Z195)*(1+PREMISSAS!$C$16))</f>
        <v>0</v>
      </c>
      <c r="X196" s="140">
        <f ca="1">IF(OR((X195-13/12*AA195)*(1+PREMISSAS!$C$16)&lt;0,X195=""),0,(X195-13/12*AA195)*(1+PREMISSAS!$C$16))</f>
        <v>0</v>
      </c>
      <c r="Y196" s="140">
        <f t="shared" ca="1" si="19"/>
        <v>0</v>
      </c>
      <c r="Z196" s="167">
        <f t="shared" ca="1" si="22"/>
        <v>0</v>
      </c>
      <c r="AA196" s="167">
        <f t="shared" ca="1" si="23"/>
        <v>0</v>
      </c>
    </row>
    <row r="197" spans="2:27" x14ac:dyDescent="0.25">
      <c r="B197" s="21">
        <f ca="1">IF(B196="","",IF(EOMONTH(B196,1)&gt;EOMONTH(ELEGIBILIDADE!$J$17,0),"",EOMONTH(B196,1)))</f>
        <v>49399</v>
      </c>
      <c r="C197" s="22">
        <f ca="1">IF(B197="","",IF(MONTH(B197)=1,C196*(1+PREMISSAS!$C$57),C196))</f>
        <v>0</v>
      </c>
      <c r="D197" s="22">
        <f ca="1">IF(RESULTADOS!$C$17="Normal",IFERROR(MAX(C197-PREMISSAS!$C$13,0),0),IF(Painel!$I$23=0,0,MAX(10*PREMISSAS!$C$38,RESULTADOS!$F$17)))</f>
        <v>0</v>
      </c>
      <c r="E197" s="4">
        <f ca="1">D197*IF(RESULTADOS!$C$17="Normal",RESULTADOS!$C$16,0)</f>
        <v>0</v>
      </c>
      <c r="F197" s="4">
        <f ca="1">IFERROR(IF(RESULTADOS!$C$17="Normal",D197,C197)*RESULTADOS!$C$18,0)</f>
        <v>0</v>
      </c>
      <c r="G197" s="4">
        <f ca="1">IFERROR(IF(RESULTADOS!$C$17="Normal",0,D197)*IF(RESULTADOS!$C$17="Normal",RESULTADOS!$C$18,RESULTADOS!$C$16),0)</f>
        <v>0</v>
      </c>
      <c r="H197" s="4">
        <f ca="1">IF(RESULTADOS!$C$17="Normal",E197,0)</f>
        <v>0</v>
      </c>
      <c r="I197" s="4">
        <f ca="1">(E197+H197+G197)*PREMISSAS!$C$60</f>
        <v>0</v>
      </c>
      <c r="J197" s="4">
        <f ca="1">D197*IF(RESULTADOS!$C$17="Normal",PREMISSAS!$C$62,0)</f>
        <v>0</v>
      </c>
      <c r="K197" s="116">
        <f ca="1">IFERROR(K196*(1+PREMISSAS!$C$18)+(E197+H197-IF(RESULTADOS!$C$17="Normal",I197,0)-J197)*IF(MONTH(B197)=12,2,1),0)</f>
        <v>0</v>
      </c>
      <c r="L197" s="116">
        <f ca="1">IFERROR((L196+G197-IF(RESULTADOS!$C$17="Normal",0,I197))*(1+PREMISSAS!$C$18)+F197,0)</f>
        <v>0</v>
      </c>
      <c r="N197" s="73">
        <f t="shared" ca="1" si="16"/>
        <v>0</v>
      </c>
      <c r="P197" s="164">
        <f t="shared" ca="1" si="17"/>
        <v>49399</v>
      </c>
      <c r="Q197" s="140">
        <f ca="1">IF(C197="","",Q196+(E197+H197-IF(RESULTADOS!$C$17="Normal",I197,0)-J197)/2+(F197+G197-IF(RESULTADOS!$C$17="Normal",0,I197)))</f>
        <v>0</v>
      </c>
      <c r="R197" s="140">
        <f ca="1">IF(C197="","",R196+(E197+H197-IF(RESULTADOS!$C$17="Normal",I197,0)-J197)/2)</f>
        <v>0</v>
      </c>
      <c r="S197" s="140">
        <f t="shared" ca="1" si="20"/>
        <v>0</v>
      </c>
      <c r="U197" s="164" t="str">
        <f t="shared" ca="1" si="21"/>
        <v/>
      </c>
      <c r="V197" s="164" t="str">
        <f t="shared" ca="1" si="18"/>
        <v/>
      </c>
      <c r="W197" s="140">
        <f ca="1">IF(OR((W196-13/12*Z196)*(1+PREMISSAS!$C$16)&lt;0,W196=""),0,(W196-13/12*Z196)*(1+PREMISSAS!$C$16))</f>
        <v>0</v>
      </c>
      <c r="X197" s="140">
        <f ca="1">IF(OR((X196-13/12*AA196)*(1+PREMISSAS!$C$16)&lt;0,X196=""),0,(X196-13/12*AA196)*(1+PREMISSAS!$C$16))</f>
        <v>0</v>
      </c>
      <c r="Y197" s="140">
        <f t="shared" ca="1" si="19"/>
        <v>0</v>
      </c>
      <c r="Z197" s="167">
        <f t="shared" ca="1" si="22"/>
        <v>0</v>
      </c>
      <c r="AA197" s="167">
        <f t="shared" ca="1" si="23"/>
        <v>0</v>
      </c>
    </row>
    <row r="198" spans="2:27" x14ac:dyDescent="0.25">
      <c r="B198" s="21">
        <f ca="1">IF(B197="","",IF(EOMONTH(B197,1)&gt;EOMONTH(ELEGIBILIDADE!$J$17,0),"",EOMONTH(B197,1)))</f>
        <v>49429</v>
      </c>
      <c r="C198" s="22">
        <f ca="1">IF(B198="","",IF(MONTH(B198)=1,C197*(1+PREMISSAS!$C$57),C197))</f>
        <v>0</v>
      </c>
      <c r="D198" s="22">
        <f ca="1">IF(RESULTADOS!$C$17="Normal",IFERROR(MAX(C198-PREMISSAS!$C$13,0),0),IF(Painel!$I$23=0,0,MAX(10*PREMISSAS!$C$38,RESULTADOS!$F$17)))</f>
        <v>0</v>
      </c>
      <c r="E198" s="4">
        <f ca="1">D198*IF(RESULTADOS!$C$17="Normal",RESULTADOS!$C$16,0)</f>
        <v>0</v>
      </c>
      <c r="F198" s="4">
        <f ca="1">IFERROR(IF(RESULTADOS!$C$17="Normal",D198,C198)*RESULTADOS!$C$18,0)</f>
        <v>0</v>
      </c>
      <c r="G198" s="4">
        <f ca="1">IFERROR(IF(RESULTADOS!$C$17="Normal",0,D198)*IF(RESULTADOS!$C$17="Normal",RESULTADOS!$C$18,RESULTADOS!$C$16),0)</f>
        <v>0</v>
      </c>
      <c r="H198" s="4">
        <f ca="1">IF(RESULTADOS!$C$17="Normal",E198,0)</f>
        <v>0</v>
      </c>
      <c r="I198" s="4">
        <f ca="1">(E198+H198+G198)*PREMISSAS!$C$60</f>
        <v>0</v>
      </c>
      <c r="J198" s="4">
        <f ca="1">D198*IF(RESULTADOS!$C$17="Normal",PREMISSAS!$C$62,0)</f>
        <v>0</v>
      </c>
      <c r="K198" s="116">
        <f ca="1">IFERROR(K197*(1+PREMISSAS!$C$18)+(E198+H198-IF(RESULTADOS!$C$17="Normal",I198,0)-J198)*IF(MONTH(B198)=12,2,1),0)</f>
        <v>0</v>
      </c>
      <c r="L198" s="116">
        <f ca="1">IFERROR((L197+G198-IF(RESULTADOS!$C$17="Normal",0,I198))*(1+PREMISSAS!$C$18)+F198,0)</f>
        <v>0</v>
      </c>
      <c r="N198" s="73">
        <f t="shared" ref="N198:N261" ca="1" si="24">IFERROR((E198+F198+G198)/C198,0)</f>
        <v>0</v>
      </c>
      <c r="P198" s="164">
        <f t="shared" ref="P198:P261" ca="1" si="25">IF(C198="","",B198)</f>
        <v>49429</v>
      </c>
      <c r="Q198" s="140">
        <f ca="1">IF(C198="","",Q197+(E198+H198-IF(RESULTADOS!$C$17="Normal",I198,0)-J198)/2+(F198+G198-IF(RESULTADOS!$C$17="Normal",0,I198)))</f>
        <v>0</v>
      </c>
      <c r="R198" s="140">
        <f ca="1">IF(C198="","",R197+(E198+H198-IF(RESULTADOS!$C$17="Normal",I198,0)-J198)/2)</f>
        <v>0</v>
      </c>
      <c r="S198" s="140">
        <f t="shared" ca="1" si="20"/>
        <v>0</v>
      </c>
      <c r="U198" s="164" t="str">
        <f t="shared" ca="1" si="21"/>
        <v/>
      </c>
      <c r="V198" s="164" t="str">
        <f t="shared" ref="V198:V261" ca="1" si="26">IF(AA198&lt;&gt;"",U198,"")</f>
        <v/>
      </c>
      <c r="W198" s="140">
        <f ca="1">IF(OR((W197-13/12*Z197)*(1+PREMISSAS!$C$16)&lt;0,W197=""),0,(W197-13/12*Z197)*(1+PREMISSAS!$C$16))</f>
        <v>0</v>
      </c>
      <c r="X198" s="140">
        <f ca="1">IF(OR((X197-13/12*AA197)*(1+PREMISSAS!$C$16)&lt;0,X197=""),0,(X197-13/12*AA197)*(1+PREMISSAS!$C$16))</f>
        <v>0</v>
      </c>
      <c r="Y198" s="140">
        <f t="shared" ref="Y198:Y261" ca="1" si="27">SUM(W198:X198)</f>
        <v>0</v>
      </c>
      <c r="Z198" s="167">
        <f t="shared" ca="1" si="22"/>
        <v>0</v>
      </c>
      <c r="AA198" s="167">
        <f t="shared" ca="1" si="23"/>
        <v>0</v>
      </c>
    </row>
    <row r="199" spans="2:27" x14ac:dyDescent="0.25">
      <c r="B199" s="21">
        <f ca="1">IF(B198="","",IF(EOMONTH(B198,1)&gt;EOMONTH(ELEGIBILIDADE!$J$17,0),"",EOMONTH(B198,1)))</f>
        <v>49460</v>
      </c>
      <c r="C199" s="22">
        <f ca="1">IF(B199="","",IF(MONTH(B199)=1,C198*(1+PREMISSAS!$C$57),C198))</f>
        <v>0</v>
      </c>
      <c r="D199" s="22">
        <f ca="1">IF(RESULTADOS!$C$17="Normal",IFERROR(MAX(C199-PREMISSAS!$C$13,0),0),IF(Painel!$I$23=0,0,MAX(10*PREMISSAS!$C$38,RESULTADOS!$F$17)))</f>
        <v>0</v>
      </c>
      <c r="E199" s="4">
        <f ca="1">D199*IF(RESULTADOS!$C$17="Normal",RESULTADOS!$C$16,0)</f>
        <v>0</v>
      </c>
      <c r="F199" s="4">
        <f ca="1">IFERROR(IF(RESULTADOS!$C$17="Normal",D199,C199)*RESULTADOS!$C$18,0)</f>
        <v>0</v>
      </c>
      <c r="G199" s="4">
        <f ca="1">IFERROR(IF(RESULTADOS!$C$17="Normal",0,D199)*IF(RESULTADOS!$C$17="Normal",RESULTADOS!$C$18,RESULTADOS!$C$16),0)</f>
        <v>0</v>
      </c>
      <c r="H199" s="4">
        <f ca="1">IF(RESULTADOS!$C$17="Normal",E199,0)</f>
        <v>0</v>
      </c>
      <c r="I199" s="4">
        <f ca="1">(E199+H199+G199)*PREMISSAS!$C$60</f>
        <v>0</v>
      </c>
      <c r="J199" s="4">
        <f ca="1">D199*IF(RESULTADOS!$C$17="Normal",PREMISSAS!$C$62,0)</f>
        <v>0</v>
      </c>
      <c r="K199" s="116">
        <f ca="1">IFERROR(K198*(1+PREMISSAS!$C$18)+(E199+H199-IF(RESULTADOS!$C$17="Normal",I199,0)-J199)*IF(MONTH(B199)=12,2,1),0)</f>
        <v>0</v>
      </c>
      <c r="L199" s="116">
        <f ca="1">IFERROR((L198+G199-IF(RESULTADOS!$C$17="Normal",0,I199))*(1+PREMISSAS!$C$18)+F199,0)</f>
        <v>0</v>
      </c>
      <c r="N199" s="73">
        <f t="shared" ca="1" si="24"/>
        <v>0</v>
      </c>
      <c r="P199" s="164">
        <f t="shared" ca="1" si="25"/>
        <v>49460</v>
      </c>
      <c r="Q199" s="140">
        <f ca="1">IF(C199="","",Q198+(E199+H199-IF(RESULTADOS!$C$17="Normal",I199,0)-J199)/2+(F199+G199-IF(RESULTADOS!$C$17="Normal",0,I199)))</f>
        <v>0</v>
      </c>
      <c r="R199" s="140">
        <f ca="1">IF(C199="","",R198+(E199+H199-IF(RESULTADOS!$C$17="Normal",I199,0)-J199)/2)</f>
        <v>0</v>
      </c>
      <c r="S199" s="140">
        <f t="shared" ref="S199:S262" ca="1" si="28">SUM(K199:L199)-SUM(Q199:R199)</f>
        <v>0</v>
      </c>
      <c r="U199" s="164" t="str">
        <f t="shared" ref="U199:U262" ca="1" si="29">IF(Y199=0,"",EOMONTH(U198,1))</f>
        <v/>
      </c>
      <c r="V199" s="164" t="str">
        <f t="shared" ca="1" si="26"/>
        <v/>
      </c>
      <c r="W199" s="140">
        <f ca="1">IF(OR((W198-13/12*Z198)*(1+PREMISSAS!$C$16)&lt;0,W198=""),0,(W198-13/12*Z198)*(1+PREMISSAS!$C$16))</f>
        <v>0</v>
      </c>
      <c r="X199" s="140">
        <f ca="1">IF(OR((X198-13/12*AA198)*(1+PREMISSAS!$C$16)&lt;0,X198=""),0,(X198-13/12*AA198)*(1+PREMISSAS!$C$16))</f>
        <v>0</v>
      </c>
      <c r="Y199" s="140">
        <f t="shared" ca="1" si="27"/>
        <v>0</v>
      </c>
      <c r="Z199" s="167">
        <f t="shared" ref="Z199:Z262" ca="1" si="30">IF(W199&lt;&gt;0,Z198,0)</f>
        <v>0</v>
      </c>
      <c r="AA199" s="167">
        <f t="shared" ref="AA199:AA262" ca="1" si="31">IF(X199&lt;&gt;0,AA198,0)</f>
        <v>0</v>
      </c>
    </row>
    <row r="200" spans="2:27" x14ac:dyDescent="0.25">
      <c r="B200" s="21">
        <f ca="1">IF(B199="","",IF(EOMONTH(B199,1)&gt;EOMONTH(ELEGIBILIDADE!$J$17,0),"",EOMONTH(B199,1)))</f>
        <v>49490</v>
      </c>
      <c r="C200" s="22">
        <f ca="1">IF(B200="","",IF(MONTH(B200)=1,C199*(1+PREMISSAS!$C$57),C199))</f>
        <v>0</v>
      </c>
      <c r="D200" s="22">
        <f ca="1">IF(RESULTADOS!$C$17="Normal",IFERROR(MAX(C200-PREMISSAS!$C$13,0),0),IF(Painel!$I$23=0,0,MAX(10*PREMISSAS!$C$38,RESULTADOS!$F$17)))</f>
        <v>0</v>
      </c>
      <c r="E200" s="4">
        <f ca="1">D200*IF(RESULTADOS!$C$17="Normal",RESULTADOS!$C$16,0)</f>
        <v>0</v>
      </c>
      <c r="F200" s="4">
        <f ca="1">IFERROR(IF(RESULTADOS!$C$17="Normal",D200,C200)*RESULTADOS!$C$18,0)</f>
        <v>0</v>
      </c>
      <c r="G200" s="4">
        <f ca="1">IFERROR(IF(RESULTADOS!$C$17="Normal",0,D200)*IF(RESULTADOS!$C$17="Normal",RESULTADOS!$C$18,RESULTADOS!$C$16),0)</f>
        <v>0</v>
      </c>
      <c r="H200" s="4">
        <f ca="1">IF(RESULTADOS!$C$17="Normal",E200,0)</f>
        <v>0</v>
      </c>
      <c r="I200" s="4">
        <f ca="1">(E200+H200+G200)*PREMISSAS!$C$60</f>
        <v>0</v>
      </c>
      <c r="J200" s="4">
        <f ca="1">D200*IF(RESULTADOS!$C$17="Normal",PREMISSAS!$C$62,0)</f>
        <v>0</v>
      </c>
      <c r="K200" s="116">
        <f ca="1">IFERROR(K199*(1+PREMISSAS!$C$18)+(E200+H200-IF(RESULTADOS!$C$17="Normal",I200,0)-J200)*IF(MONTH(B200)=12,2,1),0)</f>
        <v>0</v>
      </c>
      <c r="L200" s="116">
        <f ca="1">IFERROR((L199+G200-IF(RESULTADOS!$C$17="Normal",0,I200))*(1+PREMISSAS!$C$18)+F200,0)</f>
        <v>0</v>
      </c>
      <c r="N200" s="73">
        <f t="shared" ca="1" si="24"/>
        <v>0</v>
      </c>
      <c r="P200" s="164">
        <f t="shared" ca="1" si="25"/>
        <v>49490</v>
      </c>
      <c r="Q200" s="140">
        <f ca="1">IF(C200="","",Q199+(E200+H200-IF(RESULTADOS!$C$17="Normal",I200,0)-J200)/2+(F200+G200-IF(RESULTADOS!$C$17="Normal",0,I200)))</f>
        <v>0</v>
      </c>
      <c r="R200" s="140">
        <f ca="1">IF(C200="","",R199+(E200+H200-IF(RESULTADOS!$C$17="Normal",I200,0)-J200)/2)</f>
        <v>0</v>
      </c>
      <c r="S200" s="140">
        <f t="shared" ca="1" si="28"/>
        <v>0</v>
      </c>
      <c r="U200" s="164" t="str">
        <f t="shared" ca="1" si="29"/>
        <v/>
      </c>
      <c r="V200" s="164" t="str">
        <f t="shared" ca="1" si="26"/>
        <v/>
      </c>
      <c r="W200" s="140">
        <f ca="1">IF(OR((W199-13/12*Z199)*(1+PREMISSAS!$C$16)&lt;0,W199=""),0,(W199-13/12*Z199)*(1+PREMISSAS!$C$16))</f>
        <v>0</v>
      </c>
      <c r="X200" s="140">
        <f ca="1">IF(OR((X199-13/12*AA199)*(1+PREMISSAS!$C$16)&lt;0,X199=""),0,(X199-13/12*AA199)*(1+PREMISSAS!$C$16))</f>
        <v>0</v>
      </c>
      <c r="Y200" s="140">
        <f t="shared" ca="1" si="27"/>
        <v>0</v>
      </c>
      <c r="Z200" s="167">
        <f t="shared" ca="1" si="30"/>
        <v>0</v>
      </c>
      <c r="AA200" s="167">
        <f t="shared" ca="1" si="31"/>
        <v>0</v>
      </c>
    </row>
    <row r="201" spans="2:27" x14ac:dyDescent="0.25">
      <c r="B201" s="21">
        <f ca="1">IF(B200="","",IF(EOMONTH(B200,1)&gt;EOMONTH(ELEGIBILIDADE!$J$17,0),"",EOMONTH(B200,1)))</f>
        <v>49521</v>
      </c>
      <c r="C201" s="22">
        <f ca="1">IF(B201="","",IF(MONTH(B201)=1,C200*(1+PREMISSAS!$C$57),C200))</f>
        <v>0</v>
      </c>
      <c r="D201" s="22">
        <f ca="1">IF(RESULTADOS!$C$17="Normal",IFERROR(MAX(C201-PREMISSAS!$C$13,0),0),IF(Painel!$I$23=0,0,MAX(10*PREMISSAS!$C$38,RESULTADOS!$F$17)))</f>
        <v>0</v>
      </c>
      <c r="E201" s="4">
        <f ca="1">D201*IF(RESULTADOS!$C$17="Normal",RESULTADOS!$C$16,0)</f>
        <v>0</v>
      </c>
      <c r="F201" s="4">
        <f ca="1">IFERROR(IF(RESULTADOS!$C$17="Normal",D201,C201)*RESULTADOS!$C$18,0)</f>
        <v>0</v>
      </c>
      <c r="G201" s="4">
        <f ca="1">IFERROR(IF(RESULTADOS!$C$17="Normal",0,D201)*IF(RESULTADOS!$C$17="Normal",RESULTADOS!$C$18,RESULTADOS!$C$16),0)</f>
        <v>0</v>
      </c>
      <c r="H201" s="4">
        <f ca="1">IF(RESULTADOS!$C$17="Normal",E201,0)</f>
        <v>0</v>
      </c>
      <c r="I201" s="4">
        <f ca="1">(E201+H201+G201)*PREMISSAS!$C$60</f>
        <v>0</v>
      </c>
      <c r="J201" s="4">
        <f ca="1">D201*IF(RESULTADOS!$C$17="Normal",PREMISSAS!$C$62,0)</f>
        <v>0</v>
      </c>
      <c r="K201" s="116">
        <f ca="1">IFERROR(K200*(1+PREMISSAS!$C$18)+(E201+H201-IF(RESULTADOS!$C$17="Normal",I201,0)-J201)*IF(MONTH(B201)=12,2,1),0)</f>
        <v>0</v>
      </c>
      <c r="L201" s="116">
        <f ca="1">IFERROR((L200+G201-IF(RESULTADOS!$C$17="Normal",0,I201))*(1+PREMISSAS!$C$18)+F201,0)</f>
        <v>0</v>
      </c>
      <c r="N201" s="73">
        <f t="shared" ca="1" si="24"/>
        <v>0</v>
      </c>
      <c r="P201" s="164">
        <f t="shared" ca="1" si="25"/>
        <v>49521</v>
      </c>
      <c r="Q201" s="140">
        <f ca="1">IF(C201="","",Q200+(E201+H201-IF(RESULTADOS!$C$17="Normal",I201,0)-J201)/2+(F201+G201-IF(RESULTADOS!$C$17="Normal",0,I201)))</f>
        <v>0</v>
      </c>
      <c r="R201" s="140">
        <f ca="1">IF(C201="","",R200+(E201+H201-IF(RESULTADOS!$C$17="Normal",I201,0)-J201)/2)</f>
        <v>0</v>
      </c>
      <c r="S201" s="140">
        <f t="shared" ca="1" si="28"/>
        <v>0</v>
      </c>
      <c r="U201" s="164" t="str">
        <f t="shared" ca="1" si="29"/>
        <v/>
      </c>
      <c r="V201" s="164" t="str">
        <f t="shared" ca="1" si="26"/>
        <v/>
      </c>
      <c r="W201" s="140">
        <f ca="1">IF(OR((W200-13/12*Z200)*(1+PREMISSAS!$C$16)&lt;0,W200=""),0,(W200-13/12*Z200)*(1+PREMISSAS!$C$16))</f>
        <v>0</v>
      </c>
      <c r="X201" s="140">
        <f ca="1">IF(OR((X200-13/12*AA200)*(1+PREMISSAS!$C$16)&lt;0,X200=""),0,(X200-13/12*AA200)*(1+PREMISSAS!$C$16))</f>
        <v>0</v>
      </c>
      <c r="Y201" s="140">
        <f t="shared" ca="1" si="27"/>
        <v>0</v>
      </c>
      <c r="Z201" s="167">
        <f t="shared" ca="1" si="30"/>
        <v>0</v>
      </c>
      <c r="AA201" s="167">
        <f t="shared" ca="1" si="31"/>
        <v>0</v>
      </c>
    </row>
    <row r="202" spans="2:27" x14ac:dyDescent="0.25">
      <c r="B202" s="21">
        <f ca="1">IF(B201="","",IF(EOMONTH(B201,1)&gt;EOMONTH(ELEGIBILIDADE!$J$17,0),"",EOMONTH(B201,1)))</f>
        <v>49552</v>
      </c>
      <c r="C202" s="22">
        <f ca="1">IF(B202="","",IF(MONTH(B202)=1,C201*(1+PREMISSAS!$C$57),C201))</f>
        <v>0</v>
      </c>
      <c r="D202" s="22">
        <f ca="1">IF(RESULTADOS!$C$17="Normal",IFERROR(MAX(C202-PREMISSAS!$C$13,0),0),IF(Painel!$I$23=0,0,MAX(10*PREMISSAS!$C$38,RESULTADOS!$F$17)))</f>
        <v>0</v>
      </c>
      <c r="E202" s="4">
        <f ca="1">D202*IF(RESULTADOS!$C$17="Normal",RESULTADOS!$C$16,0)</f>
        <v>0</v>
      </c>
      <c r="F202" s="4">
        <f ca="1">IFERROR(IF(RESULTADOS!$C$17="Normal",D202,C202)*RESULTADOS!$C$18,0)</f>
        <v>0</v>
      </c>
      <c r="G202" s="4">
        <f ca="1">IFERROR(IF(RESULTADOS!$C$17="Normal",0,D202)*IF(RESULTADOS!$C$17="Normal",RESULTADOS!$C$18,RESULTADOS!$C$16),0)</f>
        <v>0</v>
      </c>
      <c r="H202" s="4">
        <f ca="1">IF(RESULTADOS!$C$17="Normal",E202,0)</f>
        <v>0</v>
      </c>
      <c r="I202" s="4">
        <f ca="1">(E202+H202+G202)*PREMISSAS!$C$60</f>
        <v>0</v>
      </c>
      <c r="J202" s="4">
        <f ca="1">D202*IF(RESULTADOS!$C$17="Normal",PREMISSAS!$C$62,0)</f>
        <v>0</v>
      </c>
      <c r="K202" s="116">
        <f ca="1">IFERROR(K201*(1+PREMISSAS!$C$18)+(E202+H202-IF(RESULTADOS!$C$17="Normal",I202,0)-J202)*IF(MONTH(B202)=12,2,1),0)</f>
        <v>0</v>
      </c>
      <c r="L202" s="116">
        <f ca="1">IFERROR((L201+G202-IF(RESULTADOS!$C$17="Normal",0,I202))*(1+PREMISSAS!$C$18)+F202,0)</f>
        <v>0</v>
      </c>
      <c r="N202" s="73">
        <f t="shared" ca="1" si="24"/>
        <v>0</v>
      </c>
      <c r="P202" s="164">
        <f t="shared" ca="1" si="25"/>
        <v>49552</v>
      </c>
      <c r="Q202" s="140">
        <f ca="1">IF(C202="","",Q201+(E202+H202-IF(RESULTADOS!$C$17="Normal",I202,0)-J202)/2+(F202+G202-IF(RESULTADOS!$C$17="Normal",0,I202)))</f>
        <v>0</v>
      </c>
      <c r="R202" s="140">
        <f ca="1">IF(C202="","",R201+(E202+H202-IF(RESULTADOS!$C$17="Normal",I202,0)-J202)/2)</f>
        <v>0</v>
      </c>
      <c r="S202" s="140">
        <f t="shared" ca="1" si="28"/>
        <v>0</v>
      </c>
      <c r="U202" s="164" t="str">
        <f t="shared" ca="1" si="29"/>
        <v/>
      </c>
      <c r="V202" s="164" t="str">
        <f t="shared" ca="1" si="26"/>
        <v/>
      </c>
      <c r="W202" s="140">
        <f ca="1">IF(OR((W201-13/12*Z201)*(1+PREMISSAS!$C$16)&lt;0,W201=""),0,(W201-13/12*Z201)*(1+PREMISSAS!$C$16))</f>
        <v>0</v>
      </c>
      <c r="X202" s="140">
        <f ca="1">IF(OR((X201-13/12*AA201)*(1+PREMISSAS!$C$16)&lt;0,X201=""),0,(X201-13/12*AA201)*(1+PREMISSAS!$C$16))</f>
        <v>0</v>
      </c>
      <c r="Y202" s="140">
        <f t="shared" ca="1" si="27"/>
        <v>0</v>
      </c>
      <c r="Z202" s="167">
        <f t="shared" ca="1" si="30"/>
        <v>0</v>
      </c>
      <c r="AA202" s="167">
        <f t="shared" ca="1" si="31"/>
        <v>0</v>
      </c>
    </row>
    <row r="203" spans="2:27" x14ac:dyDescent="0.25">
      <c r="B203" s="21">
        <f ca="1">IF(B202="","",IF(EOMONTH(B202,1)&gt;EOMONTH(ELEGIBILIDADE!$J$17,0),"",EOMONTH(B202,1)))</f>
        <v>49582</v>
      </c>
      <c r="C203" s="22">
        <f ca="1">IF(B203="","",IF(MONTH(B203)=1,C202*(1+PREMISSAS!$C$57),C202))</f>
        <v>0</v>
      </c>
      <c r="D203" s="22">
        <f ca="1">IF(RESULTADOS!$C$17="Normal",IFERROR(MAX(C203-PREMISSAS!$C$13,0),0),IF(Painel!$I$23=0,0,MAX(10*PREMISSAS!$C$38,RESULTADOS!$F$17)))</f>
        <v>0</v>
      </c>
      <c r="E203" s="4">
        <f ca="1">D203*IF(RESULTADOS!$C$17="Normal",RESULTADOS!$C$16,0)</f>
        <v>0</v>
      </c>
      <c r="F203" s="4">
        <f ca="1">IFERROR(IF(RESULTADOS!$C$17="Normal",D203,C203)*RESULTADOS!$C$18,0)</f>
        <v>0</v>
      </c>
      <c r="G203" s="4">
        <f ca="1">IFERROR(IF(RESULTADOS!$C$17="Normal",0,D203)*IF(RESULTADOS!$C$17="Normal",RESULTADOS!$C$18,RESULTADOS!$C$16),0)</f>
        <v>0</v>
      </c>
      <c r="H203" s="4">
        <f ca="1">IF(RESULTADOS!$C$17="Normal",E203,0)</f>
        <v>0</v>
      </c>
      <c r="I203" s="4">
        <f ca="1">(E203+H203+G203)*PREMISSAS!$C$60</f>
        <v>0</v>
      </c>
      <c r="J203" s="4">
        <f ca="1">D203*IF(RESULTADOS!$C$17="Normal",PREMISSAS!$C$62,0)</f>
        <v>0</v>
      </c>
      <c r="K203" s="116">
        <f ca="1">IFERROR(K202*(1+PREMISSAS!$C$18)+(E203+H203-IF(RESULTADOS!$C$17="Normal",I203,0)-J203)*IF(MONTH(B203)=12,2,1),0)</f>
        <v>0</v>
      </c>
      <c r="L203" s="116">
        <f ca="1">IFERROR((L202+G203-IF(RESULTADOS!$C$17="Normal",0,I203))*(1+PREMISSAS!$C$18)+F203,0)</f>
        <v>0</v>
      </c>
      <c r="N203" s="73">
        <f t="shared" ca="1" si="24"/>
        <v>0</v>
      </c>
      <c r="P203" s="164">
        <f t="shared" ca="1" si="25"/>
        <v>49582</v>
      </c>
      <c r="Q203" s="140">
        <f ca="1">IF(C203="","",Q202+(E203+H203-IF(RESULTADOS!$C$17="Normal",I203,0)-J203)/2+(F203+G203-IF(RESULTADOS!$C$17="Normal",0,I203)))</f>
        <v>0</v>
      </c>
      <c r="R203" s="140">
        <f ca="1">IF(C203="","",R202+(E203+H203-IF(RESULTADOS!$C$17="Normal",I203,0)-J203)/2)</f>
        <v>0</v>
      </c>
      <c r="S203" s="140">
        <f t="shared" ca="1" si="28"/>
        <v>0</v>
      </c>
      <c r="U203" s="164" t="str">
        <f t="shared" ca="1" si="29"/>
        <v/>
      </c>
      <c r="V203" s="164" t="str">
        <f t="shared" ca="1" si="26"/>
        <v/>
      </c>
      <c r="W203" s="140">
        <f ca="1">IF(OR((W202-13/12*Z202)*(1+PREMISSAS!$C$16)&lt;0,W202=""),0,(W202-13/12*Z202)*(1+PREMISSAS!$C$16))</f>
        <v>0</v>
      </c>
      <c r="X203" s="140">
        <f ca="1">IF(OR((X202-13/12*AA202)*(1+PREMISSAS!$C$16)&lt;0,X202=""),0,(X202-13/12*AA202)*(1+PREMISSAS!$C$16))</f>
        <v>0</v>
      </c>
      <c r="Y203" s="140">
        <f t="shared" ca="1" si="27"/>
        <v>0</v>
      </c>
      <c r="Z203" s="167">
        <f t="shared" ca="1" si="30"/>
        <v>0</v>
      </c>
      <c r="AA203" s="167">
        <f t="shared" ca="1" si="31"/>
        <v>0</v>
      </c>
    </row>
    <row r="204" spans="2:27" x14ac:dyDescent="0.25">
      <c r="B204" s="21">
        <f ca="1">IF(B203="","",IF(EOMONTH(B203,1)&gt;EOMONTH(ELEGIBILIDADE!$J$17,0),"",EOMONTH(B203,1)))</f>
        <v>49613</v>
      </c>
      <c r="C204" s="22">
        <f ca="1">IF(B204="","",IF(MONTH(B204)=1,C203*(1+PREMISSAS!$C$57),C203))</f>
        <v>0</v>
      </c>
      <c r="D204" s="22">
        <f ca="1">IF(RESULTADOS!$C$17="Normal",IFERROR(MAX(C204-PREMISSAS!$C$13,0),0),IF(Painel!$I$23=0,0,MAX(10*PREMISSAS!$C$38,RESULTADOS!$F$17)))</f>
        <v>0</v>
      </c>
      <c r="E204" s="4">
        <f ca="1">D204*IF(RESULTADOS!$C$17="Normal",RESULTADOS!$C$16,0)</f>
        <v>0</v>
      </c>
      <c r="F204" s="4">
        <f ca="1">IFERROR(IF(RESULTADOS!$C$17="Normal",D204,C204)*RESULTADOS!$C$18,0)</f>
        <v>0</v>
      </c>
      <c r="G204" s="4">
        <f ca="1">IFERROR(IF(RESULTADOS!$C$17="Normal",0,D204)*IF(RESULTADOS!$C$17="Normal",RESULTADOS!$C$18,RESULTADOS!$C$16),0)</f>
        <v>0</v>
      </c>
      <c r="H204" s="4">
        <f ca="1">IF(RESULTADOS!$C$17="Normal",E204,0)</f>
        <v>0</v>
      </c>
      <c r="I204" s="4">
        <f ca="1">(E204+H204+G204)*PREMISSAS!$C$60</f>
        <v>0</v>
      </c>
      <c r="J204" s="4">
        <f ca="1">D204*IF(RESULTADOS!$C$17="Normal",PREMISSAS!$C$62,0)</f>
        <v>0</v>
      </c>
      <c r="K204" s="116">
        <f ca="1">IFERROR(K203*(1+PREMISSAS!$C$18)+(E204+H204-IF(RESULTADOS!$C$17="Normal",I204,0)-J204)*IF(MONTH(B204)=12,2,1),0)</f>
        <v>0</v>
      </c>
      <c r="L204" s="116">
        <f ca="1">IFERROR((L203+G204-IF(RESULTADOS!$C$17="Normal",0,I204))*(1+PREMISSAS!$C$18)+F204,0)</f>
        <v>0</v>
      </c>
      <c r="N204" s="73">
        <f t="shared" ca="1" si="24"/>
        <v>0</v>
      </c>
      <c r="P204" s="164">
        <f t="shared" ca="1" si="25"/>
        <v>49613</v>
      </c>
      <c r="Q204" s="140">
        <f ca="1">IF(C204="","",Q203+(E204+H204-IF(RESULTADOS!$C$17="Normal",I204,0)-J204)/2+(F204+G204-IF(RESULTADOS!$C$17="Normal",0,I204)))</f>
        <v>0</v>
      </c>
      <c r="R204" s="140">
        <f ca="1">IF(C204="","",R203+(E204+H204-IF(RESULTADOS!$C$17="Normal",I204,0)-J204)/2)</f>
        <v>0</v>
      </c>
      <c r="S204" s="140">
        <f t="shared" ca="1" si="28"/>
        <v>0</v>
      </c>
      <c r="U204" s="164" t="str">
        <f t="shared" ca="1" si="29"/>
        <v/>
      </c>
      <c r="V204" s="164" t="str">
        <f t="shared" ca="1" si="26"/>
        <v/>
      </c>
      <c r="W204" s="140">
        <f ca="1">IF(OR((W203-13/12*Z203)*(1+PREMISSAS!$C$16)&lt;0,W203=""),0,(W203-13/12*Z203)*(1+PREMISSAS!$C$16))</f>
        <v>0</v>
      </c>
      <c r="X204" s="140">
        <f ca="1">IF(OR((X203-13/12*AA203)*(1+PREMISSAS!$C$16)&lt;0,X203=""),0,(X203-13/12*AA203)*(1+PREMISSAS!$C$16))</f>
        <v>0</v>
      </c>
      <c r="Y204" s="140">
        <f t="shared" ca="1" si="27"/>
        <v>0</v>
      </c>
      <c r="Z204" s="167">
        <f t="shared" ca="1" si="30"/>
        <v>0</v>
      </c>
      <c r="AA204" s="167">
        <f t="shared" ca="1" si="31"/>
        <v>0</v>
      </c>
    </row>
    <row r="205" spans="2:27" x14ac:dyDescent="0.25">
      <c r="B205" s="21">
        <f ca="1">IF(B204="","",IF(EOMONTH(B204,1)&gt;EOMONTH(ELEGIBILIDADE!$J$17,0),"",EOMONTH(B204,1)))</f>
        <v>49643</v>
      </c>
      <c r="C205" s="22">
        <f ca="1">IF(B205="","",IF(MONTH(B205)=1,C204*(1+PREMISSAS!$C$57),C204))</f>
        <v>0</v>
      </c>
      <c r="D205" s="22">
        <f ca="1">IF(RESULTADOS!$C$17="Normal",IFERROR(MAX(C205-PREMISSAS!$C$13,0),0),IF(Painel!$I$23=0,0,MAX(10*PREMISSAS!$C$38,RESULTADOS!$F$17)))</f>
        <v>0</v>
      </c>
      <c r="E205" s="4">
        <f ca="1">D205*IF(RESULTADOS!$C$17="Normal",RESULTADOS!$C$16,0)</f>
        <v>0</v>
      </c>
      <c r="F205" s="4">
        <f ca="1">IFERROR(IF(RESULTADOS!$C$17="Normal",D205,C205)*RESULTADOS!$C$18,0)</f>
        <v>0</v>
      </c>
      <c r="G205" s="4">
        <f ca="1">IFERROR(IF(RESULTADOS!$C$17="Normal",0,D205)*IF(RESULTADOS!$C$17="Normal",RESULTADOS!$C$18,RESULTADOS!$C$16),0)</f>
        <v>0</v>
      </c>
      <c r="H205" s="4">
        <f ca="1">IF(RESULTADOS!$C$17="Normal",E205,0)</f>
        <v>0</v>
      </c>
      <c r="I205" s="4">
        <f ca="1">(E205+H205+G205)*PREMISSAS!$C$60</f>
        <v>0</v>
      </c>
      <c r="J205" s="4">
        <f ca="1">D205*IF(RESULTADOS!$C$17="Normal",PREMISSAS!$C$62,0)</f>
        <v>0</v>
      </c>
      <c r="K205" s="116">
        <f ca="1">IFERROR(K204*(1+PREMISSAS!$C$18)+(E205+H205-IF(RESULTADOS!$C$17="Normal",I205,0)-J205)*IF(MONTH(B205)=12,2,1),0)</f>
        <v>0</v>
      </c>
      <c r="L205" s="116">
        <f ca="1">IFERROR((L204+G205-IF(RESULTADOS!$C$17="Normal",0,I205))*(1+PREMISSAS!$C$18)+F205,0)</f>
        <v>0</v>
      </c>
      <c r="N205" s="73">
        <f t="shared" ca="1" si="24"/>
        <v>0</v>
      </c>
      <c r="P205" s="164">
        <f t="shared" ca="1" si="25"/>
        <v>49643</v>
      </c>
      <c r="Q205" s="140">
        <f ca="1">IF(C205="","",Q204+(E205+H205-IF(RESULTADOS!$C$17="Normal",I205,0)-J205)/2+(F205+G205-IF(RESULTADOS!$C$17="Normal",0,I205)))</f>
        <v>0</v>
      </c>
      <c r="R205" s="140">
        <f ca="1">IF(C205="","",R204+(E205+H205-IF(RESULTADOS!$C$17="Normal",I205,0)-J205)/2)</f>
        <v>0</v>
      </c>
      <c r="S205" s="140">
        <f t="shared" ca="1" si="28"/>
        <v>0</v>
      </c>
      <c r="U205" s="164" t="str">
        <f t="shared" ca="1" si="29"/>
        <v/>
      </c>
      <c r="V205" s="164" t="str">
        <f t="shared" ca="1" si="26"/>
        <v/>
      </c>
      <c r="W205" s="140">
        <f ca="1">IF(OR((W204-13/12*Z204)*(1+PREMISSAS!$C$16)&lt;0,W204=""),0,(W204-13/12*Z204)*(1+PREMISSAS!$C$16))</f>
        <v>0</v>
      </c>
      <c r="X205" s="140">
        <f ca="1">IF(OR((X204-13/12*AA204)*(1+PREMISSAS!$C$16)&lt;0,X204=""),0,(X204-13/12*AA204)*(1+PREMISSAS!$C$16))</f>
        <v>0</v>
      </c>
      <c r="Y205" s="140">
        <f t="shared" ca="1" si="27"/>
        <v>0</v>
      </c>
      <c r="Z205" s="167">
        <f t="shared" ca="1" si="30"/>
        <v>0</v>
      </c>
      <c r="AA205" s="167">
        <f t="shared" ca="1" si="31"/>
        <v>0</v>
      </c>
    </row>
    <row r="206" spans="2:27" x14ac:dyDescent="0.25">
      <c r="B206" s="21">
        <f ca="1">IF(B205="","",IF(EOMONTH(B205,1)&gt;EOMONTH(ELEGIBILIDADE!$J$17,0),"",EOMONTH(B205,1)))</f>
        <v>49674</v>
      </c>
      <c r="C206" s="22">
        <f ca="1">IF(B206="","",IF(MONTH(B206)=1,C205*(1+PREMISSAS!$C$57),C205))</f>
        <v>0</v>
      </c>
      <c r="D206" s="22">
        <f ca="1">IF(RESULTADOS!$C$17="Normal",IFERROR(MAX(C206-PREMISSAS!$C$13,0),0),IF(Painel!$I$23=0,0,MAX(10*PREMISSAS!$C$38,RESULTADOS!$F$17)))</f>
        <v>0</v>
      </c>
      <c r="E206" s="4">
        <f ca="1">D206*IF(RESULTADOS!$C$17="Normal",RESULTADOS!$C$16,0)</f>
        <v>0</v>
      </c>
      <c r="F206" s="4">
        <f ca="1">IFERROR(IF(RESULTADOS!$C$17="Normal",D206,C206)*RESULTADOS!$C$18,0)</f>
        <v>0</v>
      </c>
      <c r="G206" s="4">
        <f ca="1">IFERROR(IF(RESULTADOS!$C$17="Normal",0,D206)*IF(RESULTADOS!$C$17="Normal",RESULTADOS!$C$18,RESULTADOS!$C$16),0)</f>
        <v>0</v>
      </c>
      <c r="H206" s="4">
        <f ca="1">IF(RESULTADOS!$C$17="Normal",E206,0)</f>
        <v>0</v>
      </c>
      <c r="I206" s="4">
        <f ca="1">(E206+H206+G206)*PREMISSAS!$C$60</f>
        <v>0</v>
      </c>
      <c r="J206" s="4">
        <f ca="1">D206*IF(RESULTADOS!$C$17="Normal",PREMISSAS!$C$62,0)</f>
        <v>0</v>
      </c>
      <c r="K206" s="116">
        <f ca="1">IFERROR(K205*(1+PREMISSAS!$C$18)+(E206+H206-IF(RESULTADOS!$C$17="Normal",I206,0)-J206)*IF(MONTH(B206)=12,2,1),0)</f>
        <v>0</v>
      </c>
      <c r="L206" s="116">
        <f ca="1">IFERROR((L205+G206-IF(RESULTADOS!$C$17="Normal",0,I206))*(1+PREMISSAS!$C$18)+F206,0)</f>
        <v>0</v>
      </c>
      <c r="N206" s="73">
        <f t="shared" ca="1" si="24"/>
        <v>0</v>
      </c>
      <c r="P206" s="164">
        <f t="shared" ca="1" si="25"/>
        <v>49674</v>
      </c>
      <c r="Q206" s="140">
        <f ca="1">IF(C206="","",Q205+(E206+H206-IF(RESULTADOS!$C$17="Normal",I206,0)-J206)/2+(F206+G206-IF(RESULTADOS!$C$17="Normal",0,I206)))</f>
        <v>0</v>
      </c>
      <c r="R206" s="140">
        <f ca="1">IF(C206="","",R205+(E206+H206-IF(RESULTADOS!$C$17="Normal",I206,0)-J206)/2)</f>
        <v>0</v>
      </c>
      <c r="S206" s="140">
        <f t="shared" ca="1" si="28"/>
        <v>0</v>
      </c>
      <c r="U206" s="164" t="str">
        <f t="shared" ca="1" si="29"/>
        <v/>
      </c>
      <c r="V206" s="164" t="str">
        <f t="shared" ca="1" si="26"/>
        <v/>
      </c>
      <c r="W206" s="140">
        <f ca="1">IF(OR((W205-13/12*Z205)*(1+PREMISSAS!$C$16)&lt;0,W205=""),0,(W205-13/12*Z205)*(1+PREMISSAS!$C$16))</f>
        <v>0</v>
      </c>
      <c r="X206" s="140">
        <f ca="1">IF(OR((X205-13/12*AA205)*(1+PREMISSAS!$C$16)&lt;0,X205=""),0,(X205-13/12*AA205)*(1+PREMISSAS!$C$16))</f>
        <v>0</v>
      </c>
      <c r="Y206" s="140">
        <f t="shared" ca="1" si="27"/>
        <v>0</v>
      </c>
      <c r="Z206" s="167">
        <f t="shared" ca="1" si="30"/>
        <v>0</v>
      </c>
      <c r="AA206" s="167">
        <f t="shared" ca="1" si="31"/>
        <v>0</v>
      </c>
    </row>
    <row r="207" spans="2:27" x14ac:dyDescent="0.25">
      <c r="B207" s="21">
        <f ca="1">IF(B206="","",IF(EOMONTH(B206,1)&gt;EOMONTH(ELEGIBILIDADE!$J$17,0),"",EOMONTH(B206,1)))</f>
        <v>49705</v>
      </c>
      <c r="C207" s="22">
        <f ca="1">IF(B207="","",IF(MONTH(B207)=1,C206*(1+PREMISSAS!$C$57),C206))</f>
        <v>0</v>
      </c>
      <c r="D207" s="22">
        <f ca="1">IF(RESULTADOS!$C$17="Normal",IFERROR(MAX(C207-PREMISSAS!$C$13,0),0),IF(Painel!$I$23=0,0,MAX(10*PREMISSAS!$C$38,RESULTADOS!$F$17)))</f>
        <v>0</v>
      </c>
      <c r="E207" s="4">
        <f ca="1">D207*IF(RESULTADOS!$C$17="Normal",RESULTADOS!$C$16,0)</f>
        <v>0</v>
      </c>
      <c r="F207" s="4">
        <f ca="1">IFERROR(IF(RESULTADOS!$C$17="Normal",D207,C207)*RESULTADOS!$C$18,0)</f>
        <v>0</v>
      </c>
      <c r="G207" s="4">
        <f ca="1">IFERROR(IF(RESULTADOS!$C$17="Normal",0,D207)*IF(RESULTADOS!$C$17="Normal",RESULTADOS!$C$18,RESULTADOS!$C$16),0)</f>
        <v>0</v>
      </c>
      <c r="H207" s="4">
        <f ca="1">IF(RESULTADOS!$C$17="Normal",E207,0)</f>
        <v>0</v>
      </c>
      <c r="I207" s="4">
        <f ca="1">(E207+H207+G207)*PREMISSAS!$C$60</f>
        <v>0</v>
      </c>
      <c r="J207" s="4">
        <f ca="1">D207*IF(RESULTADOS!$C$17="Normal",PREMISSAS!$C$62,0)</f>
        <v>0</v>
      </c>
      <c r="K207" s="116">
        <f ca="1">IFERROR(K206*(1+PREMISSAS!$C$18)+(E207+H207-IF(RESULTADOS!$C$17="Normal",I207,0)-J207)*IF(MONTH(B207)=12,2,1),0)</f>
        <v>0</v>
      </c>
      <c r="L207" s="116">
        <f ca="1">IFERROR((L206+G207-IF(RESULTADOS!$C$17="Normal",0,I207))*(1+PREMISSAS!$C$18)+F207,0)</f>
        <v>0</v>
      </c>
      <c r="N207" s="73">
        <f t="shared" ca="1" si="24"/>
        <v>0</v>
      </c>
      <c r="P207" s="164">
        <f t="shared" ca="1" si="25"/>
        <v>49705</v>
      </c>
      <c r="Q207" s="140">
        <f ca="1">IF(C207="","",Q206+(E207+H207-IF(RESULTADOS!$C$17="Normal",I207,0)-J207)/2+(F207+G207-IF(RESULTADOS!$C$17="Normal",0,I207)))</f>
        <v>0</v>
      </c>
      <c r="R207" s="140">
        <f ca="1">IF(C207="","",R206+(E207+H207-IF(RESULTADOS!$C$17="Normal",I207,0)-J207)/2)</f>
        <v>0</v>
      </c>
      <c r="S207" s="140">
        <f t="shared" ca="1" si="28"/>
        <v>0</v>
      </c>
      <c r="U207" s="164" t="str">
        <f t="shared" ca="1" si="29"/>
        <v/>
      </c>
      <c r="V207" s="164" t="str">
        <f t="shared" ca="1" si="26"/>
        <v/>
      </c>
      <c r="W207" s="140">
        <f ca="1">IF(OR((W206-13/12*Z206)*(1+PREMISSAS!$C$16)&lt;0,W206=""),0,(W206-13/12*Z206)*(1+PREMISSAS!$C$16))</f>
        <v>0</v>
      </c>
      <c r="X207" s="140">
        <f ca="1">IF(OR((X206-13/12*AA206)*(1+PREMISSAS!$C$16)&lt;0,X206=""),0,(X206-13/12*AA206)*(1+PREMISSAS!$C$16))</f>
        <v>0</v>
      </c>
      <c r="Y207" s="140">
        <f t="shared" ca="1" si="27"/>
        <v>0</v>
      </c>
      <c r="Z207" s="167">
        <f t="shared" ca="1" si="30"/>
        <v>0</v>
      </c>
      <c r="AA207" s="167">
        <f t="shared" ca="1" si="31"/>
        <v>0</v>
      </c>
    </row>
    <row r="208" spans="2:27" x14ac:dyDescent="0.25">
      <c r="B208" s="21">
        <f ca="1">IF(B207="","",IF(EOMONTH(B207,1)&gt;EOMONTH(ELEGIBILIDADE!$J$17,0),"",EOMONTH(B207,1)))</f>
        <v>49734</v>
      </c>
      <c r="C208" s="22">
        <f ca="1">IF(B208="","",IF(MONTH(B208)=1,C207*(1+PREMISSAS!$C$57),C207))</f>
        <v>0</v>
      </c>
      <c r="D208" s="22">
        <f ca="1">IF(RESULTADOS!$C$17="Normal",IFERROR(MAX(C208-PREMISSAS!$C$13,0),0),IF(Painel!$I$23=0,0,MAX(10*PREMISSAS!$C$38,RESULTADOS!$F$17)))</f>
        <v>0</v>
      </c>
      <c r="E208" s="4">
        <f ca="1">D208*IF(RESULTADOS!$C$17="Normal",RESULTADOS!$C$16,0)</f>
        <v>0</v>
      </c>
      <c r="F208" s="4">
        <f ca="1">IFERROR(IF(RESULTADOS!$C$17="Normal",D208,C208)*RESULTADOS!$C$18,0)</f>
        <v>0</v>
      </c>
      <c r="G208" s="4">
        <f ca="1">IFERROR(IF(RESULTADOS!$C$17="Normal",0,D208)*IF(RESULTADOS!$C$17="Normal",RESULTADOS!$C$18,RESULTADOS!$C$16),0)</f>
        <v>0</v>
      </c>
      <c r="H208" s="4">
        <f ca="1">IF(RESULTADOS!$C$17="Normal",E208,0)</f>
        <v>0</v>
      </c>
      <c r="I208" s="4">
        <f ca="1">(E208+H208+G208)*PREMISSAS!$C$60</f>
        <v>0</v>
      </c>
      <c r="J208" s="4">
        <f ca="1">D208*IF(RESULTADOS!$C$17="Normal",PREMISSAS!$C$62,0)</f>
        <v>0</v>
      </c>
      <c r="K208" s="116">
        <f ca="1">IFERROR(K207*(1+PREMISSAS!$C$18)+(E208+H208-IF(RESULTADOS!$C$17="Normal",I208,0)-J208)*IF(MONTH(B208)=12,2,1),0)</f>
        <v>0</v>
      </c>
      <c r="L208" s="116">
        <f ca="1">IFERROR((L207+G208-IF(RESULTADOS!$C$17="Normal",0,I208))*(1+PREMISSAS!$C$18)+F208,0)</f>
        <v>0</v>
      </c>
      <c r="N208" s="73">
        <f t="shared" ca="1" si="24"/>
        <v>0</v>
      </c>
      <c r="P208" s="164">
        <f t="shared" ca="1" si="25"/>
        <v>49734</v>
      </c>
      <c r="Q208" s="140">
        <f ca="1">IF(C208="","",Q207+(E208+H208-IF(RESULTADOS!$C$17="Normal",I208,0)-J208)/2+(F208+G208-IF(RESULTADOS!$C$17="Normal",0,I208)))</f>
        <v>0</v>
      </c>
      <c r="R208" s="140">
        <f ca="1">IF(C208="","",R207+(E208+H208-IF(RESULTADOS!$C$17="Normal",I208,0)-J208)/2)</f>
        <v>0</v>
      </c>
      <c r="S208" s="140">
        <f t="shared" ca="1" si="28"/>
        <v>0</v>
      </c>
      <c r="U208" s="164" t="str">
        <f t="shared" ca="1" si="29"/>
        <v/>
      </c>
      <c r="V208" s="164" t="str">
        <f t="shared" ca="1" si="26"/>
        <v/>
      </c>
      <c r="W208" s="140">
        <f ca="1">IF(OR((W207-13/12*Z207)*(1+PREMISSAS!$C$16)&lt;0,W207=""),0,(W207-13/12*Z207)*(1+PREMISSAS!$C$16))</f>
        <v>0</v>
      </c>
      <c r="X208" s="140">
        <f ca="1">IF(OR((X207-13/12*AA207)*(1+PREMISSAS!$C$16)&lt;0,X207=""),0,(X207-13/12*AA207)*(1+PREMISSAS!$C$16))</f>
        <v>0</v>
      </c>
      <c r="Y208" s="140">
        <f t="shared" ca="1" si="27"/>
        <v>0</v>
      </c>
      <c r="Z208" s="167">
        <f t="shared" ca="1" si="30"/>
        <v>0</v>
      </c>
      <c r="AA208" s="167">
        <f t="shared" ca="1" si="31"/>
        <v>0</v>
      </c>
    </row>
    <row r="209" spans="2:27" x14ac:dyDescent="0.25">
      <c r="B209" s="21">
        <f ca="1">IF(B208="","",IF(EOMONTH(B208,1)&gt;EOMONTH(ELEGIBILIDADE!$J$17,0),"",EOMONTH(B208,1)))</f>
        <v>49765</v>
      </c>
      <c r="C209" s="22">
        <f ca="1">IF(B209="","",IF(MONTH(B209)=1,C208*(1+PREMISSAS!$C$57),C208))</f>
        <v>0</v>
      </c>
      <c r="D209" s="22">
        <f ca="1">IF(RESULTADOS!$C$17="Normal",IFERROR(MAX(C209-PREMISSAS!$C$13,0),0),IF(Painel!$I$23=0,0,MAX(10*PREMISSAS!$C$38,RESULTADOS!$F$17)))</f>
        <v>0</v>
      </c>
      <c r="E209" s="4">
        <f ca="1">D209*IF(RESULTADOS!$C$17="Normal",RESULTADOS!$C$16,0)</f>
        <v>0</v>
      </c>
      <c r="F209" s="4">
        <f ca="1">IFERROR(IF(RESULTADOS!$C$17="Normal",D209,C209)*RESULTADOS!$C$18,0)</f>
        <v>0</v>
      </c>
      <c r="G209" s="4">
        <f ca="1">IFERROR(IF(RESULTADOS!$C$17="Normal",0,D209)*IF(RESULTADOS!$C$17="Normal",RESULTADOS!$C$18,RESULTADOS!$C$16),0)</f>
        <v>0</v>
      </c>
      <c r="H209" s="4">
        <f ca="1">IF(RESULTADOS!$C$17="Normal",E209,0)</f>
        <v>0</v>
      </c>
      <c r="I209" s="4">
        <f ca="1">(E209+H209+G209)*PREMISSAS!$C$60</f>
        <v>0</v>
      </c>
      <c r="J209" s="4">
        <f ca="1">D209*IF(RESULTADOS!$C$17="Normal",PREMISSAS!$C$62,0)</f>
        <v>0</v>
      </c>
      <c r="K209" s="116">
        <f ca="1">IFERROR(K208*(1+PREMISSAS!$C$18)+(E209+H209-IF(RESULTADOS!$C$17="Normal",I209,0)-J209)*IF(MONTH(B209)=12,2,1),0)</f>
        <v>0</v>
      </c>
      <c r="L209" s="116">
        <f ca="1">IFERROR((L208+G209-IF(RESULTADOS!$C$17="Normal",0,I209))*(1+PREMISSAS!$C$18)+F209,0)</f>
        <v>0</v>
      </c>
      <c r="N209" s="73">
        <f t="shared" ca="1" si="24"/>
        <v>0</v>
      </c>
      <c r="P209" s="164">
        <f t="shared" ca="1" si="25"/>
        <v>49765</v>
      </c>
      <c r="Q209" s="140">
        <f ca="1">IF(C209="","",Q208+(E209+H209-IF(RESULTADOS!$C$17="Normal",I209,0)-J209)/2+(F209+G209-IF(RESULTADOS!$C$17="Normal",0,I209)))</f>
        <v>0</v>
      </c>
      <c r="R209" s="140">
        <f ca="1">IF(C209="","",R208+(E209+H209-IF(RESULTADOS!$C$17="Normal",I209,0)-J209)/2)</f>
        <v>0</v>
      </c>
      <c r="S209" s="140">
        <f t="shared" ca="1" si="28"/>
        <v>0</v>
      </c>
      <c r="U209" s="164" t="str">
        <f t="shared" ca="1" si="29"/>
        <v/>
      </c>
      <c r="V209" s="164" t="str">
        <f t="shared" ca="1" si="26"/>
        <v/>
      </c>
      <c r="W209" s="140">
        <f ca="1">IF(OR((W208-13/12*Z208)*(1+PREMISSAS!$C$16)&lt;0,W208=""),0,(W208-13/12*Z208)*(1+PREMISSAS!$C$16))</f>
        <v>0</v>
      </c>
      <c r="X209" s="140">
        <f ca="1">IF(OR((X208-13/12*AA208)*(1+PREMISSAS!$C$16)&lt;0,X208=""),0,(X208-13/12*AA208)*(1+PREMISSAS!$C$16))</f>
        <v>0</v>
      </c>
      <c r="Y209" s="140">
        <f t="shared" ca="1" si="27"/>
        <v>0</v>
      </c>
      <c r="Z209" s="167">
        <f t="shared" ca="1" si="30"/>
        <v>0</v>
      </c>
      <c r="AA209" s="167">
        <f t="shared" ca="1" si="31"/>
        <v>0</v>
      </c>
    </row>
    <row r="210" spans="2:27" x14ac:dyDescent="0.25">
      <c r="B210" s="21">
        <f ca="1">IF(B209="","",IF(EOMONTH(B209,1)&gt;EOMONTH(ELEGIBILIDADE!$J$17,0),"",EOMONTH(B209,1)))</f>
        <v>49795</v>
      </c>
      <c r="C210" s="22">
        <f ca="1">IF(B210="","",IF(MONTH(B210)=1,C209*(1+PREMISSAS!$C$57),C209))</f>
        <v>0</v>
      </c>
      <c r="D210" s="22">
        <f ca="1">IF(RESULTADOS!$C$17="Normal",IFERROR(MAX(C210-PREMISSAS!$C$13,0),0),IF(Painel!$I$23=0,0,MAX(10*PREMISSAS!$C$38,RESULTADOS!$F$17)))</f>
        <v>0</v>
      </c>
      <c r="E210" s="4">
        <f ca="1">D210*IF(RESULTADOS!$C$17="Normal",RESULTADOS!$C$16,0)</f>
        <v>0</v>
      </c>
      <c r="F210" s="4">
        <f ca="1">IFERROR(IF(RESULTADOS!$C$17="Normal",D210,C210)*RESULTADOS!$C$18,0)</f>
        <v>0</v>
      </c>
      <c r="G210" s="4">
        <f ca="1">IFERROR(IF(RESULTADOS!$C$17="Normal",0,D210)*IF(RESULTADOS!$C$17="Normal",RESULTADOS!$C$18,RESULTADOS!$C$16),0)</f>
        <v>0</v>
      </c>
      <c r="H210" s="4">
        <f ca="1">IF(RESULTADOS!$C$17="Normal",E210,0)</f>
        <v>0</v>
      </c>
      <c r="I210" s="4">
        <f ca="1">(E210+H210+G210)*PREMISSAS!$C$60</f>
        <v>0</v>
      </c>
      <c r="J210" s="4">
        <f ca="1">D210*IF(RESULTADOS!$C$17="Normal",PREMISSAS!$C$62,0)</f>
        <v>0</v>
      </c>
      <c r="K210" s="116">
        <f ca="1">IFERROR(K209*(1+PREMISSAS!$C$18)+(E210+H210-IF(RESULTADOS!$C$17="Normal",I210,0)-J210)*IF(MONTH(B210)=12,2,1),0)</f>
        <v>0</v>
      </c>
      <c r="L210" s="116">
        <f ca="1">IFERROR((L209+G210-IF(RESULTADOS!$C$17="Normal",0,I210))*(1+PREMISSAS!$C$18)+F210,0)</f>
        <v>0</v>
      </c>
      <c r="N210" s="73">
        <f t="shared" ca="1" si="24"/>
        <v>0</v>
      </c>
      <c r="P210" s="164">
        <f t="shared" ca="1" si="25"/>
        <v>49795</v>
      </c>
      <c r="Q210" s="140">
        <f ca="1">IF(C210="","",Q209+(E210+H210-IF(RESULTADOS!$C$17="Normal",I210,0)-J210)/2+(F210+G210-IF(RESULTADOS!$C$17="Normal",0,I210)))</f>
        <v>0</v>
      </c>
      <c r="R210" s="140">
        <f ca="1">IF(C210="","",R209+(E210+H210-IF(RESULTADOS!$C$17="Normal",I210,0)-J210)/2)</f>
        <v>0</v>
      </c>
      <c r="S210" s="140">
        <f t="shared" ca="1" si="28"/>
        <v>0</v>
      </c>
      <c r="U210" s="164" t="str">
        <f t="shared" ca="1" si="29"/>
        <v/>
      </c>
      <c r="V210" s="164" t="str">
        <f t="shared" ca="1" si="26"/>
        <v/>
      </c>
      <c r="W210" s="140">
        <f ca="1">IF(OR((W209-13/12*Z209)*(1+PREMISSAS!$C$16)&lt;0,W209=""),0,(W209-13/12*Z209)*(1+PREMISSAS!$C$16))</f>
        <v>0</v>
      </c>
      <c r="X210" s="140">
        <f ca="1">IF(OR((X209-13/12*AA209)*(1+PREMISSAS!$C$16)&lt;0,X209=""),0,(X209-13/12*AA209)*(1+PREMISSAS!$C$16))</f>
        <v>0</v>
      </c>
      <c r="Y210" s="140">
        <f t="shared" ca="1" si="27"/>
        <v>0</v>
      </c>
      <c r="Z210" s="167">
        <f t="shared" ca="1" si="30"/>
        <v>0</v>
      </c>
      <c r="AA210" s="167">
        <f t="shared" ca="1" si="31"/>
        <v>0</v>
      </c>
    </row>
    <row r="211" spans="2:27" x14ac:dyDescent="0.25">
      <c r="B211" s="21">
        <f ca="1">IF(B210="","",IF(EOMONTH(B210,1)&gt;EOMONTH(ELEGIBILIDADE!$J$17,0),"",EOMONTH(B210,1)))</f>
        <v>49826</v>
      </c>
      <c r="C211" s="22">
        <f ca="1">IF(B211="","",IF(MONTH(B211)=1,C210*(1+PREMISSAS!$C$57),C210))</f>
        <v>0</v>
      </c>
      <c r="D211" s="22">
        <f ca="1">IF(RESULTADOS!$C$17="Normal",IFERROR(MAX(C211-PREMISSAS!$C$13,0),0),IF(Painel!$I$23=0,0,MAX(10*PREMISSAS!$C$38,RESULTADOS!$F$17)))</f>
        <v>0</v>
      </c>
      <c r="E211" s="4">
        <f ca="1">D211*IF(RESULTADOS!$C$17="Normal",RESULTADOS!$C$16,0)</f>
        <v>0</v>
      </c>
      <c r="F211" s="4">
        <f ca="1">IFERROR(IF(RESULTADOS!$C$17="Normal",D211,C211)*RESULTADOS!$C$18,0)</f>
        <v>0</v>
      </c>
      <c r="G211" s="4">
        <f ca="1">IFERROR(IF(RESULTADOS!$C$17="Normal",0,D211)*IF(RESULTADOS!$C$17="Normal",RESULTADOS!$C$18,RESULTADOS!$C$16),0)</f>
        <v>0</v>
      </c>
      <c r="H211" s="4">
        <f ca="1">IF(RESULTADOS!$C$17="Normal",E211,0)</f>
        <v>0</v>
      </c>
      <c r="I211" s="4">
        <f ca="1">(E211+H211+G211)*PREMISSAS!$C$60</f>
        <v>0</v>
      </c>
      <c r="J211" s="4">
        <f ca="1">D211*IF(RESULTADOS!$C$17="Normal",PREMISSAS!$C$62,0)</f>
        <v>0</v>
      </c>
      <c r="K211" s="116">
        <f ca="1">IFERROR(K210*(1+PREMISSAS!$C$18)+(E211+H211-IF(RESULTADOS!$C$17="Normal",I211,0)-J211)*IF(MONTH(B211)=12,2,1),0)</f>
        <v>0</v>
      </c>
      <c r="L211" s="116">
        <f ca="1">IFERROR((L210+G211-IF(RESULTADOS!$C$17="Normal",0,I211))*(1+PREMISSAS!$C$18)+F211,0)</f>
        <v>0</v>
      </c>
      <c r="N211" s="73">
        <f t="shared" ca="1" si="24"/>
        <v>0</v>
      </c>
      <c r="P211" s="164">
        <f t="shared" ca="1" si="25"/>
        <v>49826</v>
      </c>
      <c r="Q211" s="140">
        <f ca="1">IF(C211="","",Q210+(E211+H211-IF(RESULTADOS!$C$17="Normal",I211,0)-J211)/2+(F211+G211-IF(RESULTADOS!$C$17="Normal",0,I211)))</f>
        <v>0</v>
      </c>
      <c r="R211" s="140">
        <f ca="1">IF(C211="","",R210+(E211+H211-IF(RESULTADOS!$C$17="Normal",I211,0)-J211)/2)</f>
        <v>0</v>
      </c>
      <c r="S211" s="140">
        <f t="shared" ca="1" si="28"/>
        <v>0</v>
      </c>
      <c r="U211" s="164" t="str">
        <f t="shared" ca="1" si="29"/>
        <v/>
      </c>
      <c r="V211" s="164" t="str">
        <f t="shared" ca="1" si="26"/>
        <v/>
      </c>
      <c r="W211" s="140">
        <f ca="1">IF(OR((W210-13/12*Z210)*(1+PREMISSAS!$C$16)&lt;0,W210=""),0,(W210-13/12*Z210)*(1+PREMISSAS!$C$16))</f>
        <v>0</v>
      </c>
      <c r="X211" s="140">
        <f ca="1">IF(OR((X210-13/12*AA210)*(1+PREMISSAS!$C$16)&lt;0,X210=""),0,(X210-13/12*AA210)*(1+PREMISSAS!$C$16))</f>
        <v>0</v>
      </c>
      <c r="Y211" s="140">
        <f t="shared" ca="1" si="27"/>
        <v>0</v>
      </c>
      <c r="Z211" s="167">
        <f t="shared" ca="1" si="30"/>
        <v>0</v>
      </c>
      <c r="AA211" s="167">
        <f t="shared" ca="1" si="31"/>
        <v>0</v>
      </c>
    </row>
    <row r="212" spans="2:27" x14ac:dyDescent="0.25">
      <c r="B212" s="21">
        <f ca="1">IF(B211="","",IF(EOMONTH(B211,1)&gt;EOMONTH(ELEGIBILIDADE!$J$17,0),"",EOMONTH(B211,1)))</f>
        <v>49856</v>
      </c>
      <c r="C212" s="22">
        <f ca="1">IF(B212="","",IF(MONTH(B212)=1,C211*(1+PREMISSAS!$C$57),C211))</f>
        <v>0</v>
      </c>
      <c r="D212" s="22">
        <f ca="1">IF(RESULTADOS!$C$17="Normal",IFERROR(MAX(C212-PREMISSAS!$C$13,0),0),IF(Painel!$I$23=0,0,MAX(10*PREMISSAS!$C$38,RESULTADOS!$F$17)))</f>
        <v>0</v>
      </c>
      <c r="E212" s="4">
        <f ca="1">D212*IF(RESULTADOS!$C$17="Normal",RESULTADOS!$C$16,0)</f>
        <v>0</v>
      </c>
      <c r="F212" s="4">
        <f ca="1">IFERROR(IF(RESULTADOS!$C$17="Normal",D212,C212)*RESULTADOS!$C$18,0)</f>
        <v>0</v>
      </c>
      <c r="G212" s="4">
        <f ca="1">IFERROR(IF(RESULTADOS!$C$17="Normal",0,D212)*IF(RESULTADOS!$C$17="Normal",RESULTADOS!$C$18,RESULTADOS!$C$16),0)</f>
        <v>0</v>
      </c>
      <c r="H212" s="4">
        <f ca="1">IF(RESULTADOS!$C$17="Normal",E212,0)</f>
        <v>0</v>
      </c>
      <c r="I212" s="4">
        <f ca="1">(E212+H212+G212)*PREMISSAS!$C$60</f>
        <v>0</v>
      </c>
      <c r="J212" s="4">
        <f ca="1">D212*IF(RESULTADOS!$C$17="Normal",PREMISSAS!$C$62,0)</f>
        <v>0</v>
      </c>
      <c r="K212" s="116">
        <f ca="1">IFERROR(K211*(1+PREMISSAS!$C$18)+(E212+H212-IF(RESULTADOS!$C$17="Normal",I212,0)-J212)*IF(MONTH(B212)=12,2,1),0)</f>
        <v>0</v>
      </c>
      <c r="L212" s="116">
        <f ca="1">IFERROR((L211+G212-IF(RESULTADOS!$C$17="Normal",0,I212))*(1+PREMISSAS!$C$18)+F212,0)</f>
        <v>0</v>
      </c>
      <c r="N212" s="73">
        <f t="shared" ca="1" si="24"/>
        <v>0</v>
      </c>
      <c r="P212" s="164">
        <f t="shared" ca="1" si="25"/>
        <v>49856</v>
      </c>
      <c r="Q212" s="140">
        <f ca="1">IF(C212="","",Q211+(E212+H212-IF(RESULTADOS!$C$17="Normal",I212,0)-J212)/2+(F212+G212-IF(RESULTADOS!$C$17="Normal",0,I212)))</f>
        <v>0</v>
      </c>
      <c r="R212" s="140">
        <f ca="1">IF(C212="","",R211+(E212+H212-IF(RESULTADOS!$C$17="Normal",I212,0)-J212)/2)</f>
        <v>0</v>
      </c>
      <c r="S212" s="140">
        <f t="shared" ca="1" si="28"/>
        <v>0</v>
      </c>
      <c r="U212" s="164" t="str">
        <f t="shared" ca="1" si="29"/>
        <v/>
      </c>
      <c r="V212" s="164" t="str">
        <f t="shared" ca="1" si="26"/>
        <v/>
      </c>
      <c r="W212" s="140">
        <f ca="1">IF(OR((W211-13/12*Z211)*(1+PREMISSAS!$C$16)&lt;0,W211=""),0,(W211-13/12*Z211)*(1+PREMISSAS!$C$16))</f>
        <v>0</v>
      </c>
      <c r="X212" s="140">
        <f ca="1">IF(OR((X211-13/12*AA211)*(1+PREMISSAS!$C$16)&lt;0,X211=""),0,(X211-13/12*AA211)*(1+PREMISSAS!$C$16))</f>
        <v>0</v>
      </c>
      <c r="Y212" s="140">
        <f t="shared" ca="1" si="27"/>
        <v>0</v>
      </c>
      <c r="Z212" s="167">
        <f t="shared" ca="1" si="30"/>
        <v>0</v>
      </c>
      <c r="AA212" s="167">
        <f t="shared" ca="1" si="31"/>
        <v>0</v>
      </c>
    </row>
    <row r="213" spans="2:27" x14ac:dyDescent="0.25">
      <c r="B213" s="21">
        <f ca="1">IF(B212="","",IF(EOMONTH(B212,1)&gt;EOMONTH(ELEGIBILIDADE!$J$17,0),"",EOMONTH(B212,1)))</f>
        <v>49887</v>
      </c>
      <c r="C213" s="22">
        <f ca="1">IF(B213="","",IF(MONTH(B213)=1,C212*(1+PREMISSAS!$C$57),C212))</f>
        <v>0</v>
      </c>
      <c r="D213" s="22">
        <f ca="1">IF(RESULTADOS!$C$17="Normal",IFERROR(MAX(C213-PREMISSAS!$C$13,0),0),IF(Painel!$I$23=0,0,MAX(10*PREMISSAS!$C$38,RESULTADOS!$F$17)))</f>
        <v>0</v>
      </c>
      <c r="E213" s="4">
        <f ca="1">D213*IF(RESULTADOS!$C$17="Normal",RESULTADOS!$C$16,0)</f>
        <v>0</v>
      </c>
      <c r="F213" s="4">
        <f ca="1">IFERROR(IF(RESULTADOS!$C$17="Normal",D213,C213)*RESULTADOS!$C$18,0)</f>
        <v>0</v>
      </c>
      <c r="G213" s="4">
        <f ca="1">IFERROR(IF(RESULTADOS!$C$17="Normal",0,D213)*IF(RESULTADOS!$C$17="Normal",RESULTADOS!$C$18,RESULTADOS!$C$16),0)</f>
        <v>0</v>
      </c>
      <c r="H213" s="4">
        <f ca="1">IF(RESULTADOS!$C$17="Normal",E213,0)</f>
        <v>0</v>
      </c>
      <c r="I213" s="4">
        <f ca="1">(E213+H213+G213)*PREMISSAS!$C$60</f>
        <v>0</v>
      </c>
      <c r="J213" s="4">
        <f ca="1">D213*IF(RESULTADOS!$C$17="Normal",PREMISSAS!$C$62,0)</f>
        <v>0</v>
      </c>
      <c r="K213" s="116">
        <f ca="1">IFERROR(K212*(1+PREMISSAS!$C$18)+(E213+H213-IF(RESULTADOS!$C$17="Normal",I213,0)-J213)*IF(MONTH(B213)=12,2,1),0)</f>
        <v>0</v>
      </c>
      <c r="L213" s="116">
        <f ca="1">IFERROR((L212+G213-IF(RESULTADOS!$C$17="Normal",0,I213))*(1+PREMISSAS!$C$18)+F213,0)</f>
        <v>0</v>
      </c>
      <c r="N213" s="73">
        <f t="shared" ca="1" si="24"/>
        <v>0</v>
      </c>
      <c r="P213" s="164">
        <f t="shared" ca="1" si="25"/>
        <v>49887</v>
      </c>
      <c r="Q213" s="140">
        <f ca="1">IF(C213="","",Q212+(E213+H213-IF(RESULTADOS!$C$17="Normal",I213,0)-J213)/2+(F213+G213-IF(RESULTADOS!$C$17="Normal",0,I213)))</f>
        <v>0</v>
      </c>
      <c r="R213" s="140">
        <f ca="1">IF(C213="","",R212+(E213+H213-IF(RESULTADOS!$C$17="Normal",I213,0)-J213)/2)</f>
        <v>0</v>
      </c>
      <c r="S213" s="140">
        <f t="shared" ca="1" si="28"/>
        <v>0</v>
      </c>
      <c r="U213" s="164" t="str">
        <f t="shared" ca="1" si="29"/>
        <v/>
      </c>
      <c r="V213" s="164" t="str">
        <f t="shared" ca="1" si="26"/>
        <v/>
      </c>
      <c r="W213" s="140">
        <f ca="1">IF(OR((W212-13/12*Z212)*(1+PREMISSAS!$C$16)&lt;0,W212=""),0,(W212-13/12*Z212)*(1+PREMISSAS!$C$16))</f>
        <v>0</v>
      </c>
      <c r="X213" s="140">
        <f ca="1">IF(OR((X212-13/12*AA212)*(1+PREMISSAS!$C$16)&lt;0,X212=""),0,(X212-13/12*AA212)*(1+PREMISSAS!$C$16))</f>
        <v>0</v>
      </c>
      <c r="Y213" s="140">
        <f t="shared" ca="1" si="27"/>
        <v>0</v>
      </c>
      <c r="Z213" s="167">
        <f t="shared" ca="1" si="30"/>
        <v>0</v>
      </c>
      <c r="AA213" s="167">
        <f t="shared" ca="1" si="31"/>
        <v>0</v>
      </c>
    </row>
    <row r="214" spans="2:27" x14ac:dyDescent="0.25">
      <c r="B214" s="21">
        <f ca="1">IF(B213="","",IF(EOMONTH(B213,1)&gt;EOMONTH(ELEGIBILIDADE!$J$17,0),"",EOMONTH(B213,1)))</f>
        <v>49918</v>
      </c>
      <c r="C214" s="22">
        <f ca="1">IF(B214="","",IF(MONTH(B214)=1,C213*(1+PREMISSAS!$C$57),C213))</f>
        <v>0</v>
      </c>
      <c r="D214" s="22">
        <f ca="1">IF(RESULTADOS!$C$17="Normal",IFERROR(MAX(C214-PREMISSAS!$C$13,0),0),IF(Painel!$I$23=0,0,MAX(10*PREMISSAS!$C$38,RESULTADOS!$F$17)))</f>
        <v>0</v>
      </c>
      <c r="E214" s="4">
        <f ca="1">D214*IF(RESULTADOS!$C$17="Normal",RESULTADOS!$C$16,0)</f>
        <v>0</v>
      </c>
      <c r="F214" s="4">
        <f ca="1">IFERROR(IF(RESULTADOS!$C$17="Normal",D214,C214)*RESULTADOS!$C$18,0)</f>
        <v>0</v>
      </c>
      <c r="G214" s="4">
        <f ca="1">IFERROR(IF(RESULTADOS!$C$17="Normal",0,D214)*IF(RESULTADOS!$C$17="Normal",RESULTADOS!$C$18,RESULTADOS!$C$16),0)</f>
        <v>0</v>
      </c>
      <c r="H214" s="4">
        <f ca="1">IF(RESULTADOS!$C$17="Normal",E214,0)</f>
        <v>0</v>
      </c>
      <c r="I214" s="4">
        <f ca="1">(E214+H214+G214)*PREMISSAS!$C$60</f>
        <v>0</v>
      </c>
      <c r="J214" s="4">
        <f ca="1">D214*IF(RESULTADOS!$C$17="Normal",PREMISSAS!$C$62,0)</f>
        <v>0</v>
      </c>
      <c r="K214" s="116">
        <f ca="1">IFERROR(K213*(1+PREMISSAS!$C$18)+(E214+H214-IF(RESULTADOS!$C$17="Normal",I214,0)-J214)*IF(MONTH(B214)=12,2,1),0)</f>
        <v>0</v>
      </c>
      <c r="L214" s="116">
        <f ca="1">IFERROR((L213+G214-IF(RESULTADOS!$C$17="Normal",0,I214))*(1+PREMISSAS!$C$18)+F214,0)</f>
        <v>0</v>
      </c>
      <c r="N214" s="73">
        <f t="shared" ca="1" si="24"/>
        <v>0</v>
      </c>
      <c r="P214" s="164">
        <f t="shared" ca="1" si="25"/>
        <v>49918</v>
      </c>
      <c r="Q214" s="140">
        <f ca="1">IF(C214="","",Q213+(E214+H214-IF(RESULTADOS!$C$17="Normal",I214,0)-J214)/2+(F214+G214-IF(RESULTADOS!$C$17="Normal",0,I214)))</f>
        <v>0</v>
      </c>
      <c r="R214" s="140">
        <f ca="1">IF(C214="","",R213+(E214+H214-IF(RESULTADOS!$C$17="Normal",I214,0)-J214)/2)</f>
        <v>0</v>
      </c>
      <c r="S214" s="140">
        <f t="shared" ca="1" si="28"/>
        <v>0</v>
      </c>
      <c r="U214" s="164" t="str">
        <f t="shared" ca="1" si="29"/>
        <v/>
      </c>
      <c r="V214" s="164" t="str">
        <f t="shared" ca="1" si="26"/>
        <v/>
      </c>
      <c r="W214" s="140">
        <f ca="1">IF(OR((W213-13/12*Z213)*(1+PREMISSAS!$C$16)&lt;0,W213=""),0,(W213-13/12*Z213)*(1+PREMISSAS!$C$16))</f>
        <v>0</v>
      </c>
      <c r="X214" s="140">
        <f ca="1">IF(OR((X213-13/12*AA213)*(1+PREMISSAS!$C$16)&lt;0,X213=""),0,(X213-13/12*AA213)*(1+PREMISSAS!$C$16))</f>
        <v>0</v>
      </c>
      <c r="Y214" s="140">
        <f t="shared" ca="1" si="27"/>
        <v>0</v>
      </c>
      <c r="Z214" s="167">
        <f t="shared" ca="1" si="30"/>
        <v>0</v>
      </c>
      <c r="AA214" s="167">
        <f t="shared" ca="1" si="31"/>
        <v>0</v>
      </c>
    </row>
    <row r="215" spans="2:27" x14ac:dyDescent="0.25">
      <c r="B215" s="21">
        <f ca="1">IF(B214="","",IF(EOMONTH(B214,1)&gt;EOMONTH(ELEGIBILIDADE!$J$17,0),"",EOMONTH(B214,1)))</f>
        <v>49948</v>
      </c>
      <c r="C215" s="22">
        <f ca="1">IF(B215="","",IF(MONTH(B215)=1,C214*(1+PREMISSAS!$C$57),C214))</f>
        <v>0</v>
      </c>
      <c r="D215" s="22">
        <f ca="1">IF(RESULTADOS!$C$17="Normal",IFERROR(MAX(C215-PREMISSAS!$C$13,0),0),IF(Painel!$I$23=0,0,MAX(10*PREMISSAS!$C$38,RESULTADOS!$F$17)))</f>
        <v>0</v>
      </c>
      <c r="E215" s="4">
        <f ca="1">D215*IF(RESULTADOS!$C$17="Normal",RESULTADOS!$C$16,0)</f>
        <v>0</v>
      </c>
      <c r="F215" s="4">
        <f ca="1">IFERROR(IF(RESULTADOS!$C$17="Normal",D215,C215)*RESULTADOS!$C$18,0)</f>
        <v>0</v>
      </c>
      <c r="G215" s="4">
        <f ca="1">IFERROR(IF(RESULTADOS!$C$17="Normal",0,D215)*IF(RESULTADOS!$C$17="Normal",RESULTADOS!$C$18,RESULTADOS!$C$16),0)</f>
        <v>0</v>
      </c>
      <c r="H215" s="4">
        <f ca="1">IF(RESULTADOS!$C$17="Normal",E215,0)</f>
        <v>0</v>
      </c>
      <c r="I215" s="4">
        <f ca="1">(E215+H215+G215)*PREMISSAS!$C$60</f>
        <v>0</v>
      </c>
      <c r="J215" s="4">
        <f ca="1">D215*IF(RESULTADOS!$C$17="Normal",PREMISSAS!$C$62,0)</f>
        <v>0</v>
      </c>
      <c r="K215" s="116">
        <f ca="1">IFERROR(K214*(1+PREMISSAS!$C$18)+(E215+H215-IF(RESULTADOS!$C$17="Normal",I215,0)-J215)*IF(MONTH(B215)=12,2,1),0)</f>
        <v>0</v>
      </c>
      <c r="L215" s="116">
        <f ca="1">IFERROR((L214+G215-IF(RESULTADOS!$C$17="Normal",0,I215))*(1+PREMISSAS!$C$18)+F215,0)</f>
        <v>0</v>
      </c>
      <c r="N215" s="73">
        <f t="shared" ca="1" si="24"/>
        <v>0</v>
      </c>
      <c r="P215" s="164">
        <f t="shared" ca="1" si="25"/>
        <v>49948</v>
      </c>
      <c r="Q215" s="140">
        <f ca="1">IF(C215="","",Q214+(E215+H215-IF(RESULTADOS!$C$17="Normal",I215,0)-J215)/2+(F215+G215-IF(RESULTADOS!$C$17="Normal",0,I215)))</f>
        <v>0</v>
      </c>
      <c r="R215" s="140">
        <f ca="1">IF(C215="","",R214+(E215+H215-IF(RESULTADOS!$C$17="Normal",I215,0)-J215)/2)</f>
        <v>0</v>
      </c>
      <c r="S215" s="140">
        <f t="shared" ca="1" si="28"/>
        <v>0</v>
      </c>
      <c r="U215" s="164" t="str">
        <f t="shared" ca="1" si="29"/>
        <v/>
      </c>
      <c r="V215" s="164" t="str">
        <f t="shared" ca="1" si="26"/>
        <v/>
      </c>
      <c r="W215" s="140">
        <f ca="1">IF(OR((W214-13/12*Z214)*(1+PREMISSAS!$C$16)&lt;0,W214=""),0,(W214-13/12*Z214)*(1+PREMISSAS!$C$16))</f>
        <v>0</v>
      </c>
      <c r="X215" s="140">
        <f ca="1">IF(OR((X214-13/12*AA214)*(1+PREMISSAS!$C$16)&lt;0,X214=""),0,(X214-13/12*AA214)*(1+PREMISSAS!$C$16))</f>
        <v>0</v>
      </c>
      <c r="Y215" s="140">
        <f t="shared" ca="1" si="27"/>
        <v>0</v>
      </c>
      <c r="Z215" s="167">
        <f t="shared" ca="1" si="30"/>
        <v>0</v>
      </c>
      <c r="AA215" s="167">
        <f t="shared" ca="1" si="31"/>
        <v>0</v>
      </c>
    </row>
    <row r="216" spans="2:27" x14ac:dyDescent="0.25">
      <c r="B216" s="21">
        <f ca="1">IF(B215="","",IF(EOMONTH(B215,1)&gt;EOMONTH(ELEGIBILIDADE!$J$17,0),"",EOMONTH(B215,1)))</f>
        <v>49979</v>
      </c>
      <c r="C216" s="22">
        <f ca="1">IF(B216="","",IF(MONTH(B216)=1,C215*(1+PREMISSAS!$C$57),C215))</f>
        <v>0</v>
      </c>
      <c r="D216" s="22">
        <f ca="1">IF(RESULTADOS!$C$17="Normal",IFERROR(MAX(C216-PREMISSAS!$C$13,0),0),IF(Painel!$I$23=0,0,MAX(10*PREMISSAS!$C$38,RESULTADOS!$F$17)))</f>
        <v>0</v>
      </c>
      <c r="E216" s="4">
        <f ca="1">D216*IF(RESULTADOS!$C$17="Normal",RESULTADOS!$C$16,0)</f>
        <v>0</v>
      </c>
      <c r="F216" s="4">
        <f ca="1">IFERROR(IF(RESULTADOS!$C$17="Normal",D216,C216)*RESULTADOS!$C$18,0)</f>
        <v>0</v>
      </c>
      <c r="G216" s="4">
        <f ca="1">IFERROR(IF(RESULTADOS!$C$17="Normal",0,D216)*IF(RESULTADOS!$C$17="Normal",RESULTADOS!$C$18,RESULTADOS!$C$16),0)</f>
        <v>0</v>
      </c>
      <c r="H216" s="4">
        <f ca="1">IF(RESULTADOS!$C$17="Normal",E216,0)</f>
        <v>0</v>
      </c>
      <c r="I216" s="4">
        <f ca="1">(E216+H216+G216)*PREMISSAS!$C$60</f>
        <v>0</v>
      </c>
      <c r="J216" s="4">
        <f ca="1">D216*IF(RESULTADOS!$C$17="Normal",PREMISSAS!$C$62,0)</f>
        <v>0</v>
      </c>
      <c r="K216" s="116">
        <f ca="1">IFERROR(K215*(1+PREMISSAS!$C$18)+(E216+H216-IF(RESULTADOS!$C$17="Normal",I216,0)-J216)*IF(MONTH(B216)=12,2,1),0)</f>
        <v>0</v>
      </c>
      <c r="L216" s="116">
        <f ca="1">IFERROR((L215+G216-IF(RESULTADOS!$C$17="Normal",0,I216))*(1+PREMISSAS!$C$18)+F216,0)</f>
        <v>0</v>
      </c>
      <c r="N216" s="73">
        <f t="shared" ca="1" si="24"/>
        <v>0</v>
      </c>
      <c r="P216" s="164">
        <f t="shared" ca="1" si="25"/>
        <v>49979</v>
      </c>
      <c r="Q216" s="140">
        <f ca="1">IF(C216="","",Q215+(E216+H216-IF(RESULTADOS!$C$17="Normal",I216,0)-J216)/2+(F216+G216-IF(RESULTADOS!$C$17="Normal",0,I216)))</f>
        <v>0</v>
      </c>
      <c r="R216" s="140">
        <f ca="1">IF(C216="","",R215+(E216+H216-IF(RESULTADOS!$C$17="Normal",I216,0)-J216)/2)</f>
        <v>0</v>
      </c>
      <c r="S216" s="140">
        <f t="shared" ca="1" si="28"/>
        <v>0</v>
      </c>
      <c r="U216" s="164" t="str">
        <f t="shared" ca="1" si="29"/>
        <v/>
      </c>
      <c r="V216" s="164" t="str">
        <f t="shared" ca="1" si="26"/>
        <v/>
      </c>
      <c r="W216" s="140">
        <f ca="1">IF(OR((W215-13/12*Z215)*(1+PREMISSAS!$C$16)&lt;0,W215=""),0,(W215-13/12*Z215)*(1+PREMISSAS!$C$16))</f>
        <v>0</v>
      </c>
      <c r="X216" s="140">
        <f ca="1">IF(OR((X215-13/12*AA215)*(1+PREMISSAS!$C$16)&lt;0,X215=""),0,(X215-13/12*AA215)*(1+PREMISSAS!$C$16))</f>
        <v>0</v>
      </c>
      <c r="Y216" s="140">
        <f t="shared" ca="1" si="27"/>
        <v>0</v>
      </c>
      <c r="Z216" s="167">
        <f t="shared" ca="1" si="30"/>
        <v>0</v>
      </c>
      <c r="AA216" s="167">
        <f t="shared" ca="1" si="31"/>
        <v>0</v>
      </c>
    </row>
    <row r="217" spans="2:27" x14ac:dyDescent="0.25">
      <c r="B217" s="21">
        <f ca="1">IF(B216="","",IF(EOMONTH(B216,1)&gt;EOMONTH(ELEGIBILIDADE!$J$17,0),"",EOMONTH(B216,1)))</f>
        <v>50009</v>
      </c>
      <c r="C217" s="22">
        <f ca="1">IF(B217="","",IF(MONTH(B217)=1,C216*(1+PREMISSAS!$C$57),C216))</f>
        <v>0</v>
      </c>
      <c r="D217" s="22">
        <f ca="1">IF(RESULTADOS!$C$17="Normal",IFERROR(MAX(C217-PREMISSAS!$C$13,0),0),IF(Painel!$I$23=0,0,MAX(10*PREMISSAS!$C$38,RESULTADOS!$F$17)))</f>
        <v>0</v>
      </c>
      <c r="E217" s="4">
        <f ca="1">D217*IF(RESULTADOS!$C$17="Normal",RESULTADOS!$C$16,0)</f>
        <v>0</v>
      </c>
      <c r="F217" s="4">
        <f ca="1">IFERROR(IF(RESULTADOS!$C$17="Normal",D217,C217)*RESULTADOS!$C$18,0)</f>
        <v>0</v>
      </c>
      <c r="G217" s="4">
        <f ca="1">IFERROR(IF(RESULTADOS!$C$17="Normal",0,D217)*IF(RESULTADOS!$C$17="Normal",RESULTADOS!$C$18,RESULTADOS!$C$16),0)</f>
        <v>0</v>
      </c>
      <c r="H217" s="4">
        <f ca="1">IF(RESULTADOS!$C$17="Normal",E217,0)</f>
        <v>0</v>
      </c>
      <c r="I217" s="4">
        <f ca="1">(E217+H217+G217)*PREMISSAS!$C$60</f>
        <v>0</v>
      </c>
      <c r="J217" s="4">
        <f ca="1">D217*IF(RESULTADOS!$C$17="Normal",PREMISSAS!$C$62,0)</f>
        <v>0</v>
      </c>
      <c r="K217" s="116">
        <f ca="1">IFERROR(K216*(1+PREMISSAS!$C$18)+(E217+H217-IF(RESULTADOS!$C$17="Normal",I217,0)-J217)*IF(MONTH(B217)=12,2,1),0)</f>
        <v>0</v>
      </c>
      <c r="L217" s="116">
        <f ca="1">IFERROR((L216+G217-IF(RESULTADOS!$C$17="Normal",0,I217))*(1+PREMISSAS!$C$18)+F217,0)</f>
        <v>0</v>
      </c>
      <c r="N217" s="73">
        <f t="shared" ca="1" si="24"/>
        <v>0</v>
      </c>
      <c r="P217" s="164">
        <f t="shared" ca="1" si="25"/>
        <v>50009</v>
      </c>
      <c r="Q217" s="140">
        <f ca="1">IF(C217="","",Q216+(E217+H217-IF(RESULTADOS!$C$17="Normal",I217,0)-J217)/2+(F217+G217-IF(RESULTADOS!$C$17="Normal",0,I217)))</f>
        <v>0</v>
      </c>
      <c r="R217" s="140">
        <f ca="1">IF(C217="","",R216+(E217+H217-IF(RESULTADOS!$C$17="Normal",I217,0)-J217)/2)</f>
        <v>0</v>
      </c>
      <c r="S217" s="140">
        <f t="shared" ca="1" si="28"/>
        <v>0</v>
      </c>
      <c r="U217" s="164" t="str">
        <f t="shared" ca="1" si="29"/>
        <v/>
      </c>
      <c r="V217" s="164" t="str">
        <f t="shared" ca="1" si="26"/>
        <v/>
      </c>
      <c r="W217" s="140">
        <f ca="1">IF(OR((W216-13/12*Z216)*(1+PREMISSAS!$C$16)&lt;0,W216=""),0,(W216-13/12*Z216)*(1+PREMISSAS!$C$16))</f>
        <v>0</v>
      </c>
      <c r="X217" s="140">
        <f ca="1">IF(OR((X216-13/12*AA216)*(1+PREMISSAS!$C$16)&lt;0,X216=""),0,(X216-13/12*AA216)*(1+PREMISSAS!$C$16))</f>
        <v>0</v>
      </c>
      <c r="Y217" s="140">
        <f t="shared" ca="1" si="27"/>
        <v>0</v>
      </c>
      <c r="Z217" s="167">
        <f t="shared" ca="1" si="30"/>
        <v>0</v>
      </c>
      <c r="AA217" s="167">
        <f t="shared" ca="1" si="31"/>
        <v>0</v>
      </c>
    </row>
    <row r="218" spans="2:27" x14ac:dyDescent="0.25">
      <c r="B218" s="21">
        <f ca="1">IF(B217="","",IF(EOMONTH(B217,1)&gt;EOMONTH(ELEGIBILIDADE!$J$17,0),"",EOMONTH(B217,1)))</f>
        <v>50040</v>
      </c>
      <c r="C218" s="22">
        <f ca="1">IF(B218="","",IF(MONTH(B218)=1,C217*(1+PREMISSAS!$C$57),C217))</f>
        <v>0</v>
      </c>
      <c r="D218" s="22">
        <f ca="1">IF(RESULTADOS!$C$17="Normal",IFERROR(MAX(C218-PREMISSAS!$C$13,0),0),IF(Painel!$I$23=0,0,MAX(10*PREMISSAS!$C$38,RESULTADOS!$F$17)))</f>
        <v>0</v>
      </c>
      <c r="E218" s="4">
        <f ca="1">D218*IF(RESULTADOS!$C$17="Normal",RESULTADOS!$C$16,0)</f>
        <v>0</v>
      </c>
      <c r="F218" s="4">
        <f ca="1">IFERROR(IF(RESULTADOS!$C$17="Normal",D218,C218)*RESULTADOS!$C$18,0)</f>
        <v>0</v>
      </c>
      <c r="G218" s="4">
        <f ca="1">IFERROR(IF(RESULTADOS!$C$17="Normal",0,D218)*IF(RESULTADOS!$C$17="Normal",RESULTADOS!$C$18,RESULTADOS!$C$16),0)</f>
        <v>0</v>
      </c>
      <c r="H218" s="4">
        <f ca="1">IF(RESULTADOS!$C$17="Normal",E218,0)</f>
        <v>0</v>
      </c>
      <c r="I218" s="4">
        <f ca="1">(E218+H218+G218)*PREMISSAS!$C$60</f>
        <v>0</v>
      </c>
      <c r="J218" s="4">
        <f ca="1">D218*IF(RESULTADOS!$C$17="Normal",PREMISSAS!$C$62,0)</f>
        <v>0</v>
      </c>
      <c r="K218" s="116">
        <f ca="1">IFERROR(K217*(1+PREMISSAS!$C$18)+(E218+H218-IF(RESULTADOS!$C$17="Normal",I218,0)-J218)*IF(MONTH(B218)=12,2,1),0)</f>
        <v>0</v>
      </c>
      <c r="L218" s="116">
        <f ca="1">IFERROR((L217+G218-IF(RESULTADOS!$C$17="Normal",0,I218))*(1+PREMISSAS!$C$18)+F218,0)</f>
        <v>0</v>
      </c>
      <c r="N218" s="73">
        <f t="shared" ca="1" si="24"/>
        <v>0</v>
      </c>
      <c r="P218" s="164">
        <f t="shared" ca="1" si="25"/>
        <v>50040</v>
      </c>
      <c r="Q218" s="140">
        <f ca="1">IF(C218="","",Q217+(E218+H218-IF(RESULTADOS!$C$17="Normal",I218,0)-J218)/2+(F218+G218-IF(RESULTADOS!$C$17="Normal",0,I218)))</f>
        <v>0</v>
      </c>
      <c r="R218" s="140">
        <f ca="1">IF(C218="","",R217+(E218+H218-IF(RESULTADOS!$C$17="Normal",I218,0)-J218)/2)</f>
        <v>0</v>
      </c>
      <c r="S218" s="140">
        <f t="shared" ca="1" si="28"/>
        <v>0</v>
      </c>
      <c r="U218" s="164" t="str">
        <f t="shared" ca="1" si="29"/>
        <v/>
      </c>
      <c r="V218" s="164" t="str">
        <f t="shared" ca="1" si="26"/>
        <v/>
      </c>
      <c r="W218" s="140">
        <f ca="1">IF(OR((W217-13/12*Z217)*(1+PREMISSAS!$C$16)&lt;0,W217=""),0,(W217-13/12*Z217)*(1+PREMISSAS!$C$16))</f>
        <v>0</v>
      </c>
      <c r="X218" s="140">
        <f ca="1">IF(OR((X217-13/12*AA217)*(1+PREMISSAS!$C$16)&lt;0,X217=""),0,(X217-13/12*AA217)*(1+PREMISSAS!$C$16))</f>
        <v>0</v>
      </c>
      <c r="Y218" s="140">
        <f t="shared" ca="1" si="27"/>
        <v>0</v>
      </c>
      <c r="Z218" s="167">
        <f t="shared" ca="1" si="30"/>
        <v>0</v>
      </c>
      <c r="AA218" s="167">
        <f t="shared" ca="1" si="31"/>
        <v>0</v>
      </c>
    </row>
    <row r="219" spans="2:27" x14ac:dyDescent="0.25">
      <c r="B219" s="21">
        <f ca="1">IF(B218="","",IF(EOMONTH(B218,1)&gt;EOMONTH(ELEGIBILIDADE!$J$17,0),"",EOMONTH(B218,1)))</f>
        <v>50071</v>
      </c>
      <c r="C219" s="22">
        <f ca="1">IF(B219="","",IF(MONTH(B219)=1,C218*(1+PREMISSAS!$C$57),C218))</f>
        <v>0</v>
      </c>
      <c r="D219" s="22">
        <f ca="1">IF(RESULTADOS!$C$17="Normal",IFERROR(MAX(C219-PREMISSAS!$C$13,0),0),IF(Painel!$I$23=0,0,MAX(10*PREMISSAS!$C$38,RESULTADOS!$F$17)))</f>
        <v>0</v>
      </c>
      <c r="E219" s="4">
        <f ca="1">D219*IF(RESULTADOS!$C$17="Normal",RESULTADOS!$C$16,0)</f>
        <v>0</v>
      </c>
      <c r="F219" s="4">
        <f ca="1">IFERROR(IF(RESULTADOS!$C$17="Normal",D219,C219)*RESULTADOS!$C$18,0)</f>
        <v>0</v>
      </c>
      <c r="G219" s="4">
        <f ca="1">IFERROR(IF(RESULTADOS!$C$17="Normal",0,D219)*IF(RESULTADOS!$C$17="Normal",RESULTADOS!$C$18,RESULTADOS!$C$16),0)</f>
        <v>0</v>
      </c>
      <c r="H219" s="4">
        <f ca="1">IF(RESULTADOS!$C$17="Normal",E219,0)</f>
        <v>0</v>
      </c>
      <c r="I219" s="4">
        <f ca="1">(E219+H219+G219)*PREMISSAS!$C$60</f>
        <v>0</v>
      </c>
      <c r="J219" s="4">
        <f ca="1">D219*IF(RESULTADOS!$C$17="Normal",PREMISSAS!$C$62,0)</f>
        <v>0</v>
      </c>
      <c r="K219" s="116">
        <f ca="1">IFERROR(K218*(1+PREMISSAS!$C$18)+(E219+H219-IF(RESULTADOS!$C$17="Normal",I219,0)-J219)*IF(MONTH(B219)=12,2,1),0)</f>
        <v>0</v>
      </c>
      <c r="L219" s="116">
        <f ca="1">IFERROR((L218+G219-IF(RESULTADOS!$C$17="Normal",0,I219))*(1+PREMISSAS!$C$18)+F219,0)</f>
        <v>0</v>
      </c>
      <c r="N219" s="73">
        <f t="shared" ca="1" si="24"/>
        <v>0</v>
      </c>
      <c r="P219" s="164">
        <f t="shared" ca="1" si="25"/>
        <v>50071</v>
      </c>
      <c r="Q219" s="140">
        <f ca="1">IF(C219="","",Q218+(E219+H219-IF(RESULTADOS!$C$17="Normal",I219,0)-J219)/2+(F219+G219-IF(RESULTADOS!$C$17="Normal",0,I219)))</f>
        <v>0</v>
      </c>
      <c r="R219" s="140">
        <f ca="1">IF(C219="","",R218+(E219+H219-IF(RESULTADOS!$C$17="Normal",I219,0)-J219)/2)</f>
        <v>0</v>
      </c>
      <c r="S219" s="140">
        <f t="shared" ca="1" si="28"/>
        <v>0</v>
      </c>
      <c r="U219" s="164" t="str">
        <f t="shared" ca="1" si="29"/>
        <v/>
      </c>
      <c r="V219" s="164" t="str">
        <f t="shared" ca="1" si="26"/>
        <v/>
      </c>
      <c r="W219" s="140">
        <f ca="1">IF(OR((W218-13/12*Z218)*(1+PREMISSAS!$C$16)&lt;0,W218=""),0,(W218-13/12*Z218)*(1+PREMISSAS!$C$16))</f>
        <v>0</v>
      </c>
      <c r="X219" s="140">
        <f ca="1">IF(OR((X218-13/12*AA218)*(1+PREMISSAS!$C$16)&lt;0,X218=""),0,(X218-13/12*AA218)*(1+PREMISSAS!$C$16))</f>
        <v>0</v>
      </c>
      <c r="Y219" s="140">
        <f t="shared" ca="1" si="27"/>
        <v>0</v>
      </c>
      <c r="Z219" s="167">
        <f t="shared" ca="1" si="30"/>
        <v>0</v>
      </c>
      <c r="AA219" s="167">
        <f t="shared" ca="1" si="31"/>
        <v>0</v>
      </c>
    </row>
    <row r="220" spans="2:27" x14ac:dyDescent="0.25">
      <c r="B220" s="21">
        <f ca="1">IF(B219="","",IF(EOMONTH(B219,1)&gt;EOMONTH(ELEGIBILIDADE!$J$17,0),"",EOMONTH(B219,1)))</f>
        <v>50099</v>
      </c>
      <c r="C220" s="22">
        <f ca="1">IF(B220="","",IF(MONTH(B220)=1,C219*(1+PREMISSAS!$C$57),C219))</f>
        <v>0</v>
      </c>
      <c r="D220" s="22">
        <f ca="1">IF(RESULTADOS!$C$17="Normal",IFERROR(MAX(C220-PREMISSAS!$C$13,0),0),IF(Painel!$I$23=0,0,MAX(10*PREMISSAS!$C$38,RESULTADOS!$F$17)))</f>
        <v>0</v>
      </c>
      <c r="E220" s="4">
        <f ca="1">D220*IF(RESULTADOS!$C$17="Normal",RESULTADOS!$C$16,0)</f>
        <v>0</v>
      </c>
      <c r="F220" s="4">
        <f ca="1">IFERROR(IF(RESULTADOS!$C$17="Normal",D220,C220)*RESULTADOS!$C$18,0)</f>
        <v>0</v>
      </c>
      <c r="G220" s="4">
        <f ca="1">IFERROR(IF(RESULTADOS!$C$17="Normal",0,D220)*IF(RESULTADOS!$C$17="Normal",RESULTADOS!$C$18,RESULTADOS!$C$16),0)</f>
        <v>0</v>
      </c>
      <c r="H220" s="4">
        <f ca="1">IF(RESULTADOS!$C$17="Normal",E220,0)</f>
        <v>0</v>
      </c>
      <c r="I220" s="4">
        <f ca="1">(E220+H220+G220)*PREMISSAS!$C$60</f>
        <v>0</v>
      </c>
      <c r="J220" s="4">
        <f ca="1">D220*IF(RESULTADOS!$C$17="Normal",PREMISSAS!$C$62,0)</f>
        <v>0</v>
      </c>
      <c r="K220" s="116">
        <f ca="1">IFERROR(K219*(1+PREMISSAS!$C$18)+(E220+H220-IF(RESULTADOS!$C$17="Normal",I220,0)-J220)*IF(MONTH(B220)=12,2,1),0)</f>
        <v>0</v>
      </c>
      <c r="L220" s="116">
        <f ca="1">IFERROR((L219+G220-IF(RESULTADOS!$C$17="Normal",0,I220))*(1+PREMISSAS!$C$18)+F220,0)</f>
        <v>0</v>
      </c>
      <c r="N220" s="73">
        <f t="shared" ca="1" si="24"/>
        <v>0</v>
      </c>
      <c r="P220" s="164">
        <f t="shared" ca="1" si="25"/>
        <v>50099</v>
      </c>
      <c r="Q220" s="140">
        <f ca="1">IF(C220="","",Q219+(E220+H220-IF(RESULTADOS!$C$17="Normal",I220,0)-J220)/2+(F220+G220-IF(RESULTADOS!$C$17="Normal",0,I220)))</f>
        <v>0</v>
      </c>
      <c r="R220" s="140">
        <f ca="1">IF(C220="","",R219+(E220+H220-IF(RESULTADOS!$C$17="Normal",I220,0)-J220)/2)</f>
        <v>0</v>
      </c>
      <c r="S220" s="140">
        <f t="shared" ca="1" si="28"/>
        <v>0</v>
      </c>
      <c r="U220" s="164" t="str">
        <f t="shared" ca="1" si="29"/>
        <v/>
      </c>
      <c r="V220" s="164" t="str">
        <f t="shared" ca="1" si="26"/>
        <v/>
      </c>
      <c r="W220" s="140">
        <f ca="1">IF(OR((W219-13/12*Z219)*(1+PREMISSAS!$C$16)&lt;0,W219=""),0,(W219-13/12*Z219)*(1+PREMISSAS!$C$16))</f>
        <v>0</v>
      </c>
      <c r="X220" s="140">
        <f ca="1">IF(OR((X219-13/12*AA219)*(1+PREMISSAS!$C$16)&lt;0,X219=""),0,(X219-13/12*AA219)*(1+PREMISSAS!$C$16))</f>
        <v>0</v>
      </c>
      <c r="Y220" s="140">
        <f t="shared" ca="1" si="27"/>
        <v>0</v>
      </c>
      <c r="Z220" s="167">
        <f t="shared" ca="1" si="30"/>
        <v>0</v>
      </c>
      <c r="AA220" s="167">
        <f t="shared" ca="1" si="31"/>
        <v>0</v>
      </c>
    </row>
    <row r="221" spans="2:27" x14ac:dyDescent="0.25">
      <c r="B221" s="21">
        <f ca="1">IF(B220="","",IF(EOMONTH(B220,1)&gt;EOMONTH(ELEGIBILIDADE!$J$17,0),"",EOMONTH(B220,1)))</f>
        <v>50130</v>
      </c>
      <c r="C221" s="22">
        <f ca="1">IF(B221="","",IF(MONTH(B221)=1,C220*(1+PREMISSAS!$C$57),C220))</f>
        <v>0</v>
      </c>
      <c r="D221" s="22">
        <f ca="1">IF(RESULTADOS!$C$17="Normal",IFERROR(MAX(C221-PREMISSAS!$C$13,0),0),IF(Painel!$I$23=0,0,MAX(10*PREMISSAS!$C$38,RESULTADOS!$F$17)))</f>
        <v>0</v>
      </c>
      <c r="E221" s="4">
        <f ca="1">D221*IF(RESULTADOS!$C$17="Normal",RESULTADOS!$C$16,0)</f>
        <v>0</v>
      </c>
      <c r="F221" s="4">
        <f ca="1">IFERROR(IF(RESULTADOS!$C$17="Normal",D221,C221)*RESULTADOS!$C$18,0)</f>
        <v>0</v>
      </c>
      <c r="G221" s="4">
        <f ca="1">IFERROR(IF(RESULTADOS!$C$17="Normal",0,D221)*IF(RESULTADOS!$C$17="Normal",RESULTADOS!$C$18,RESULTADOS!$C$16),0)</f>
        <v>0</v>
      </c>
      <c r="H221" s="4">
        <f ca="1">IF(RESULTADOS!$C$17="Normal",E221,0)</f>
        <v>0</v>
      </c>
      <c r="I221" s="4">
        <f ca="1">(E221+H221+G221)*PREMISSAS!$C$60</f>
        <v>0</v>
      </c>
      <c r="J221" s="4">
        <f ca="1">D221*IF(RESULTADOS!$C$17="Normal",PREMISSAS!$C$62,0)</f>
        <v>0</v>
      </c>
      <c r="K221" s="116">
        <f ca="1">IFERROR(K220*(1+PREMISSAS!$C$18)+(E221+H221-IF(RESULTADOS!$C$17="Normal",I221,0)-J221)*IF(MONTH(B221)=12,2,1),0)</f>
        <v>0</v>
      </c>
      <c r="L221" s="116">
        <f ca="1">IFERROR((L220+G221-IF(RESULTADOS!$C$17="Normal",0,I221))*(1+PREMISSAS!$C$18)+F221,0)</f>
        <v>0</v>
      </c>
      <c r="N221" s="73">
        <f t="shared" ca="1" si="24"/>
        <v>0</v>
      </c>
      <c r="P221" s="164">
        <f t="shared" ca="1" si="25"/>
        <v>50130</v>
      </c>
      <c r="Q221" s="140">
        <f ca="1">IF(C221="","",Q220+(E221+H221-IF(RESULTADOS!$C$17="Normal",I221,0)-J221)/2+(F221+G221-IF(RESULTADOS!$C$17="Normal",0,I221)))</f>
        <v>0</v>
      </c>
      <c r="R221" s="140">
        <f ca="1">IF(C221="","",R220+(E221+H221-IF(RESULTADOS!$C$17="Normal",I221,0)-J221)/2)</f>
        <v>0</v>
      </c>
      <c r="S221" s="140">
        <f t="shared" ca="1" si="28"/>
        <v>0</v>
      </c>
      <c r="U221" s="164" t="str">
        <f t="shared" ca="1" si="29"/>
        <v/>
      </c>
      <c r="V221" s="164" t="str">
        <f t="shared" ca="1" si="26"/>
        <v/>
      </c>
      <c r="W221" s="140">
        <f ca="1">IF(OR((W220-13/12*Z220)*(1+PREMISSAS!$C$16)&lt;0,W220=""),0,(W220-13/12*Z220)*(1+PREMISSAS!$C$16))</f>
        <v>0</v>
      </c>
      <c r="X221" s="140">
        <f ca="1">IF(OR((X220-13/12*AA220)*(1+PREMISSAS!$C$16)&lt;0,X220=""),0,(X220-13/12*AA220)*(1+PREMISSAS!$C$16))</f>
        <v>0</v>
      </c>
      <c r="Y221" s="140">
        <f t="shared" ca="1" si="27"/>
        <v>0</v>
      </c>
      <c r="Z221" s="167">
        <f t="shared" ca="1" si="30"/>
        <v>0</v>
      </c>
      <c r="AA221" s="167">
        <f t="shared" ca="1" si="31"/>
        <v>0</v>
      </c>
    </row>
    <row r="222" spans="2:27" x14ac:dyDescent="0.25">
      <c r="B222" s="21">
        <f ca="1">IF(B221="","",IF(EOMONTH(B221,1)&gt;EOMONTH(ELEGIBILIDADE!$J$17,0),"",EOMONTH(B221,1)))</f>
        <v>50160</v>
      </c>
      <c r="C222" s="22">
        <f ca="1">IF(B222="","",IF(MONTH(B222)=1,C221*(1+PREMISSAS!$C$57),C221))</f>
        <v>0</v>
      </c>
      <c r="D222" s="22">
        <f ca="1">IF(RESULTADOS!$C$17="Normal",IFERROR(MAX(C222-PREMISSAS!$C$13,0),0),IF(Painel!$I$23=0,0,MAX(10*PREMISSAS!$C$38,RESULTADOS!$F$17)))</f>
        <v>0</v>
      </c>
      <c r="E222" s="4">
        <f ca="1">D222*IF(RESULTADOS!$C$17="Normal",RESULTADOS!$C$16,0)</f>
        <v>0</v>
      </c>
      <c r="F222" s="4">
        <f ca="1">IFERROR(IF(RESULTADOS!$C$17="Normal",D222,C222)*RESULTADOS!$C$18,0)</f>
        <v>0</v>
      </c>
      <c r="G222" s="4">
        <f ca="1">IFERROR(IF(RESULTADOS!$C$17="Normal",0,D222)*IF(RESULTADOS!$C$17="Normal",RESULTADOS!$C$18,RESULTADOS!$C$16),0)</f>
        <v>0</v>
      </c>
      <c r="H222" s="4">
        <f ca="1">IF(RESULTADOS!$C$17="Normal",E222,0)</f>
        <v>0</v>
      </c>
      <c r="I222" s="4">
        <f ca="1">(E222+H222+G222)*PREMISSAS!$C$60</f>
        <v>0</v>
      </c>
      <c r="J222" s="4">
        <f ca="1">D222*IF(RESULTADOS!$C$17="Normal",PREMISSAS!$C$62,0)</f>
        <v>0</v>
      </c>
      <c r="K222" s="116">
        <f ca="1">IFERROR(K221*(1+PREMISSAS!$C$18)+(E222+H222-IF(RESULTADOS!$C$17="Normal",I222,0)-J222)*IF(MONTH(B222)=12,2,1),0)</f>
        <v>0</v>
      </c>
      <c r="L222" s="116">
        <f ca="1">IFERROR((L221+G222-IF(RESULTADOS!$C$17="Normal",0,I222))*(1+PREMISSAS!$C$18)+F222,0)</f>
        <v>0</v>
      </c>
      <c r="N222" s="73">
        <f t="shared" ca="1" si="24"/>
        <v>0</v>
      </c>
      <c r="P222" s="164">
        <f t="shared" ca="1" si="25"/>
        <v>50160</v>
      </c>
      <c r="Q222" s="140">
        <f ca="1">IF(C222="","",Q221+(E222+H222-IF(RESULTADOS!$C$17="Normal",I222,0)-J222)/2+(F222+G222-IF(RESULTADOS!$C$17="Normal",0,I222)))</f>
        <v>0</v>
      </c>
      <c r="R222" s="140">
        <f ca="1">IF(C222="","",R221+(E222+H222-IF(RESULTADOS!$C$17="Normal",I222,0)-J222)/2)</f>
        <v>0</v>
      </c>
      <c r="S222" s="140">
        <f t="shared" ca="1" si="28"/>
        <v>0</v>
      </c>
      <c r="U222" s="164" t="str">
        <f t="shared" ca="1" si="29"/>
        <v/>
      </c>
      <c r="V222" s="164" t="str">
        <f t="shared" ca="1" si="26"/>
        <v/>
      </c>
      <c r="W222" s="140">
        <f ca="1">IF(OR((W221-13/12*Z221)*(1+PREMISSAS!$C$16)&lt;0,W221=""),0,(W221-13/12*Z221)*(1+PREMISSAS!$C$16))</f>
        <v>0</v>
      </c>
      <c r="X222" s="140">
        <f ca="1">IF(OR((X221-13/12*AA221)*(1+PREMISSAS!$C$16)&lt;0,X221=""),0,(X221-13/12*AA221)*(1+PREMISSAS!$C$16))</f>
        <v>0</v>
      </c>
      <c r="Y222" s="140">
        <f t="shared" ca="1" si="27"/>
        <v>0</v>
      </c>
      <c r="Z222" s="167">
        <f t="shared" ca="1" si="30"/>
        <v>0</v>
      </c>
      <c r="AA222" s="167">
        <f t="shared" ca="1" si="31"/>
        <v>0</v>
      </c>
    </row>
    <row r="223" spans="2:27" x14ac:dyDescent="0.25">
      <c r="B223" s="21">
        <f ca="1">IF(B222="","",IF(EOMONTH(B222,1)&gt;EOMONTH(ELEGIBILIDADE!$J$17,0),"",EOMONTH(B222,1)))</f>
        <v>50191</v>
      </c>
      <c r="C223" s="22">
        <f ca="1">IF(B223="","",IF(MONTH(B223)=1,C222*(1+PREMISSAS!$C$57),C222))</f>
        <v>0</v>
      </c>
      <c r="D223" s="22">
        <f ca="1">IF(RESULTADOS!$C$17="Normal",IFERROR(MAX(C223-PREMISSAS!$C$13,0),0),IF(Painel!$I$23=0,0,MAX(10*PREMISSAS!$C$38,RESULTADOS!$F$17)))</f>
        <v>0</v>
      </c>
      <c r="E223" s="4">
        <f ca="1">D223*IF(RESULTADOS!$C$17="Normal",RESULTADOS!$C$16,0)</f>
        <v>0</v>
      </c>
      <c r="F223" s="4">
        <f ca="1">IFERROR(IF(RESULTADOS!$C$17="Normal",D223,C223)*RESULTADOS!$C$18,0)</f>
        <v>0</v>
      </c>
      <c r="G223" s="4">
        <f ca="1">IFERROR(IF(RESULTADOS!$C$17="Normal",0,D223)*IF(RESULTADOS!$C$17="Normal",RESULTADOS!$C$18,RESULTADOS!$C$16),0)</f>
        <v>0</v>
      </c>
      <c r="H223" s="4">
        <f ca="1">IF(RESULTADOS!$C$17="Normal",E223,0)</f>
        <v>0</v>
      </c>
      <c r="I223" s="4">
        <f ca="1">(E223+H223+G223)*PREMISSAS!$C$60</f>
        <v>0</v>
      </c>
      <c r="J223" s="4">
        <f ca="1">D223*IF(RESULTADOS!$C$17="Normal",PREMISSAS!$C$62,0)</f>
        <v>0</v>
      </c>
      <c r="K223" s="116">
        <f ca="1">IFERROR(K222*(1+PREMISSAS!$C$18)+(E223+H223-IF(RESULTADOS!$C$17="Normal",I223,0)-J223)*IF(MONTH(B223)=12,2,1),0)</f>
        <v>0</v>
      </c>
      <c r="L223" s="116">
        <f ca="1">IFERROR((L222+G223-IF(RESULTADOS!$C$17="Normal",0,I223))*(1+PREMISSAS!$C$18)+F223,0)</f>
        <v>0</v>
      </c>
      <c r="N223" s="73">
        <f t="shared" ca="1" si="24"/>
        <v>0</v>
      </c>
      <c r="P223" s="164">
        <f t="shared" ca="1" si="25"/>
        <v>50191</v>
      </c>
      <c r="Q223" s="140">
        <f ca="1">IF(C223="","",Q222+(E223+H223-IF(RESULTADOS!$C$17="Normal",I223,0)-J223)/2+(F223+G223-IF(RESULTADOS!$C$17="Normal",0,I223)))</f>
        <v>0</v>
      </c>
      <c r="R223" s="140">
        <f ca="1">IF(C223="","",R222+(E223+H223-IF(RESULTADOS!$C$17="Normal",I223,0)-J223)/2)</f>
        <v>0</v>
      </c>
      <c r="S223" s="140">
        <f t="shared" ca="1" si="28"/>
        <v>0</v>
      </c>
      <c r="U223" s="164" t="str">
        <f t="shared" ca="1" si="29"/>
        <v/>
      </c>
      <c r="V223" s="164" t="str">
        <f t="shared" ca="1" si="26"/>
        <v/>
      </c>
      <c r="W223" s="140">
        <f ca="1">IF(OR((W222-13/12*Z222)*(1+PREMISSAS!$C$16)&lt;0,W222=""),0,(W222-13/12*Z222)*(1+PREMISSAS!$C$16))</f>
        <v>0</v>
      </c>
      <c r="X223" s="140">
        <f ca="1">IF(OR((X222-13/12*AA222)*(1+PREMISSAS!$C$16)&lt;0,X222=""),0,(X222-13/12*AA222)*(1+PREMISSAS!$C$16))</f>
        <v>0</v>
      </c>
      <c r="Y223" s="140">
        <f t="shared" ca="1" si="27"/>
        <v>0</v>
      </c>
      <c r="Z223" s="167">
        <f t="shared" ca="1" si="30"/>
        <v>0</v>
      </c>
      <c r="AA223" s="167">
        <f t="shared" ca="1" si="31"/>
        <v>0</v>
      </c>
    </row>
    <row r="224" spans="2:27" x14ac:dyDescent="0.25">
      <c r="B224" s="21">
        <f ca="1">IF(B223="","",IF(EOMONTH(B223,1)&gt;EOMONTH(ELEGIBILIDADE!$J$17,0),"",EOMONTH(B223,1)))</f>
        <v>50221</v>
      </c>
      <c r="C224" s="22">
        <f ca="1">IF(B224="","",IF(MONTH(B224)=1,C223*(1+PREMISSAS!$C$57),C223))</f>
        <v>0</v>
      </c>
      <c r="D224" s="22">
        <f ca="1">IF(RESULTADOS!$C$17="Normal",IFERROR(MAX(C224-PREMISSAS!$C$13,0),0),IF(Painel!$I$23=0,0,MAX(10*PREMISSAS!$C$38,RESULTADOS!$F$17)))</f>
        <v>0</v>
      </c>
      <c r="E224" s="4">
        <f ca="1">D224*IF(RESULTADOS!$C$17="Normal",RESULTADOS!$C$16,0)</f>
        <v>0</v>
      </c>
      <c r="F224" s="4">
        <f ca="1">IFERROR(IF(RESULTADOS!$C$17="Normal",D224,C224)*RESULTADOS!$C$18,0)</f>
        <v>0</v>
      </c>
      <c r="G224" s="4">
        <f ca="1">IFERROR(IF(RESULTADOS!$C$17="Normal",0,D224)*IF(RESULTADOS!$C$17="Normal",RESULTADOS!$C$18,RESULTADOS!$C$16),0)</f>
        <v>0</v>
      </c>
      <c r="H224" s="4">
        <f ca="1">IF(RESULTADOS!$C$17="Normal",E224,0)</f>
        <v>0</v>
      </c>
      <c r="I224" s="4">
        <f ca="1">(E224+H224+G224)*PREMISSAS!$C$60</f>
        <v>0</v>
      </c>
      <c r="J224" s="4">
        <f ca="1">D224*IF(RESULTADOS!$C$17="Normal",PREMISSAS!$C$62,0)</f>
        <v>0</v>
      </c>
      <c r="K224" s="116">
        <f ca="1">IFERROR(K223*(1+PREMISSAS!$C$18)+(E224+H224-IF(RESULTADOS!$C$17="Normal",I224,0)-J224)*IF(MONTH(B224)=12,2,1),0)</f>
        <v>0</v>
      </c>
      <c r="L224" s="116">
        <f ca="1">IFERROR((L223+G224-IF(RESULTADOS!$C$17="Normal",0,I224))*(1+PREMISSAS!$C$18)+F224,0)</f>
        <v>0</v>
      </c>
      <c r="N224" s="73">
        <f t="shared" ca="1" si="24"/>
        <v>0</v>
      </c>
      <c r="P224" s="164">
        <f t="shared" ca="1" si="25"/>
        <v>50221</v>
      </c>
      <c r="Q224" s="140">
        <f ca="1">IF(C224="","",Q223+(E224+H224-IF(RESULTADOS!$C$17="Normal",I224,0)-J224)/2+(F224+G224-IF(RESULTADOS!$C$17="Normal",0,I224)))</f>
        <v>0</v>
      </c>
      <c r="R224" s="140">
        <f ca="1">IF(C224="","",R223+(E224+H224-IF(RESULTADOS!$C$17="Normal",I224,0)-J224)/2)</f>
        <v>0</v>
      </c>
      <c r="S224" s="140">
        <f t="shared" ca="1" si="28"/>
        <v>0</v>
      </c>
      <c r="U224" s="164" t="str">
        <f t="shared" ca="1" si="29"/>
        <v/>
      </c>
      <c r="V224" s="164" t="str">
        <f t="shared" ca="1" si="26"/>
        <v/>
      </c>
      <c r="W224" s="140">
        <f ca="1">IF(OR((W223-13/12*Z223)*(1+PREMISSAS!$C$16)&lt;0,W223=""),0,(W223-13/12*Z223)*(1+PREMISSAS!$C$16))</f>
        <v>0</v>
      </c>
      <c r="X224" s="140">
        <f ca="1">IF(OR((X223-13/12*AA223)*(1+PREMISSAS!$C$16)&lt;0,X223=""),0,(X223-13/12*AA223)*(1+PREMISSAS!$C$16))</f>
        <v>0</v>
      </c>
      <c r="Y224" s="140">
        <f t="shared" ca="1" si="27"/>
        <v>0</v>
      </c>
      <c r="Z224" s="167">
        <f t="shared" ca="1" si="30"/>
        <v>0</v>
      </c>
      <c r="AA224" s="167">
        <f t="shared" ca="1" si="31"/>
        <v>0</v>
      </c>
    </row>
    <row r="225" spans="2:27" x14ac:dyDescent="0.25">
      <c r="B225" s="21">
        <f ca="1">IF(B224="","",IF(EOMONTH(B224,1)&gt;EOMONTH(ELEGIBILIDADE!$J$17,0),"",EOMONTH(B224,1)))</f>
        <v>50252</v>
      </c>
      <c r="C225" s="22">
        <f ca="1">IF(B225="","",IF(MONTH(B225)=1,C224*(1+PREMISSAS!$C$57),C224))</f>
        <v>0</v>
      </c>
      <c r="D225" s="22">
        <f ca="1">IF(RESULTADOS!$C$17="Normal",IFERROR(MAX(C225-PREMISSAS!$C$13,0),0),IF(Painel!$I$23=0,0,MAX(10*PREMISSAS!$C$38,RESULTADOS!$F$17)))</f>
        <v>0</v>
      </c>
      <c r="E225" s="4">
        <f ca="1">D225*IF(RESULTADOS!$C$17="Normal",RESULTADOS!$C$16,0)</f>
        <v>0</v>
      </c>
      <c r="F225" s="4">
        <f ca="1">IFERROR(IF(RESULTADOS!$C$17="Normal",D225,C225)*RESULTADOS!$C$18,0)</f>
        <v>0</v>
      </c>
      <c r="G225" s="4">
        <f ca="1">IFERROR(IF(RESULTADOS!$C$17="Normal",0,D225)*IF(RESULTADOS!$C$17="Normal",RESULTADOS!$C$18,RESULTADOS!$C$16),0)</f>
        <v>0</v>
      </c>
      <c r="H225" s="4">
        <f ca="1">IF(RESULTADOS!$C$17="Normal",E225,0)</f>
        <v>0</v>
      </c>
      <c r="I225" s="4">
        <f ca="1">(E225+H225+G225)*PREMISSAS!$C$60</f>
        <v>0</v>
      </c>
      <c r="J225" s="4">
        <f ca="1">D225*IF(RESULTADOS!$C$17="Normal",PREMISSAS!$C$62,0)</f>
        <v>0</v>
      </c>
      <c r="K225" s="116">
        <f ca="1">IFERROR(K224*(1+PREMISSAS!$C$18)+(E225+H225-IF(RESULTADOS!$C$17="Normal",I225,0)-J225)*IF(MONTH(B225)=12,2,1),0)</f>
        <v>0</v>
      </c>
      <c r="L225" s="116">
        <f ca="1">IFERROR((L224+G225-IF(RESULTADOS!$C$17="Normal",0,I225))*(1+PREMISSAS!$C$18)+F225,0)</f>
        <v>0</v>
      </c>
      <c r="N225" s="73">
        <f t="shared" ca="1" si="24"/>
        <v>0</v>
      </c>
      <c r="P225" s="164">
        <f t="shared" ca="1" si="25"/>
        <v>50252</v>
      </c>
      <c r="Q225" s="140">
        <f ca="1">IF(C225="","",Q224+(E225+H225-IF(RESULTADOS!$C$17="Normal",I225,0)-J225)/2+(F225+G225-IF(RESULTADOS!$C$17="Normal",0,I225)))</f>
        <v>0</v>
      </c>
      <c r="R225" s="140">
        <f ca="1">IF(C225="","",R224+(E225+H225-IF(RESULTADOS!$C$17="Normal",I225,0)-J225)/2)</f>
        <v>0</v>
      </c>
      <c r="S225" s="140">
        <f t="shared" ca="1" si="28"/>
        <v>0</v>
      </c>
      <c r="U225" s="164" t="str">
        <f t="shared" ca="1" si="29"/>
        <v/>
      </c>
      <c r="V225" s="164" t="str">
        <f t="shared" ca="1" si="26"/>
        <v/>
      </c>
      <c r="W225" s="140">
        <f ca="1">IF(OR((W224-13/12*Z224)*(1+PREMISSAS!$C$16)&lt;0,W224=""),0,(W224-13/12*Z224)*(1+PREMISSAS!$C$16))</f>
        <v>0</v>
      </c>
      <c r="X225" s="140">
        <f ca="1">IF(OR((X224-13/12*AA224)*(1+PREMISSAS!$C$16)&lt;0,X224=""),0,(X224-13/12*AA224)*(1+PREMISSAS!$C$16))</f>
        <v>0</v>
      </c>
      <c r="Y225" s="140">
        <f t="shared" ca="1" si="27"/>
        <v>0</v>
      </c>
      <c r="Z225" s="167">
        <f t="shared" ca="1" si="30"/>
        <v>0</v>
      </c>
      <c r="AA225" s="167">
        <f t="shared" ca="1" si="31"/>
        <v>0</v>
      </c>
    </row>
    <row r="226" spans="2:27" x14ac:dyDescent="0.25">
      <c r="B226" s="21" t="str">
        <f ca="1">IF(B225="","",IF(EOMONTH(B225,1)&gt;EOMONTH(ELEGIBILIDADE!$J$17,0),"",EOMONTH(B225,1)))</f>
        <v/>
      </c>
      <c r="C226" s="22" t="str">
        <f ca="1">IF(B226="","",IF(MONTH(B226)=1,C225*(1+PREMISSAS!$C$57),C225))</f>
        <v/>
      </c>
      <c r="D226" s="22">
        <f ca="1">IF(RESULTADOS!$C$17="Normal",IFERROR(MAX(C226-PREMISSAS!$C$13,0),0),IF(Painel!$I$23=0,0,MAX(10*PREMISSAS!$C$38,RESULTADOS!$F$17)))</f>
        <v>0</v>
      </c>
      <c r="E226" s="4">
        <f ca="1">D226*IF(RESULTADOS!$C$17="Normal",RESULTADOS!$C$16,0)</f>
        <v>0</v>
      </c>
      <c r="F226" s="4">
        <f ca="1">IFERROR(IF(RESULTADOS!$C$17="Normal",D226,C226)*RESULTADOS!$C$18,0)</f>
        <v>0</v>
      </c>
      <c r="G226" s="4">
        <f ca="1">IFERROR(IF(RESULTADOS!$C$17="Normal",0,D226)*IF(RESULTADOS!$C$17="Normal",RESULTADOS!$C$18,RESULTADOS!$C$16),0)</f>
        <v>0</v>
      </c>
      <c r="H226" s="4">
        <f ca="1">IF(RESULTADOS!$C$17="Normal",E226,0)</f>
        <v>0</v>
      </c>
      <c r="I226" s="4">
        <f ca="1">(E226+H226+G226)*PREMISSAS!$C$60</f>
        <v>0</v>
      </c>
      <c r="J226" s="4">
        <f ca="1">D226*IF(RESULTADOS!$C$17="Normal",PREMISSAS!$C$62,0)</f>
        <v>0</v>
      </c>
      <c r="K226" s="116">
        <f ca="1">IFERROR(K225*(1+PREMISSAS!$C$18)+(E226+H226-IF(RESULTADOS!$C$17="Normal",I226,0)-J226)*IF(MONTH(B226)=12,2,1),0)</f>
        <v>0</v>
      </c>
      <c r="L226" s="116">
        <f ca="1">IFERROR((L225+G226-IF(RESULTADOS!$C$17="Normal",0,I226))*(1+PREMISSAS!$C$18)+F226,0)</f>
        <v>0</v>
      </c>
      <c r="N226" s="73">
        <f t="shared" ca="1" si="24"/>
        <v>0</v>
      </c>
      <c r="P226" s="164" t="str">
        <f t="shared" ca="1" si="25"/>
        <v/>
      </c>
      <c r="Q226" s="140" t="str">
        <f ca="1">IF(C226="","",Q225+(E226+H226-IF(RESULTADOS!$C$17="Normal",I226,0)-J226)/2+(F226+G226-IF(RESULTADOS!$C$17="Normal",0,I226)))</f>
        <v/>
      </c>
      <c r="R226" s="140" t="str">
        <f ca="1">IF(C226="","",R225+(E226+H226-IF(RESULTADOS!$C$17="Normal",I226,0)-J226)/2)</f>
        <v/>
      </c>
      <c r="S226" s="140">
        <f t="shared" ca="1" si="28"/>
        <v>0</v>
      </c>
      <c r="U226" s="164" t="str">
        <f t="shared" ca="1" si="29"/>
        <v/>
      </c>
      <c r="V226" s="164" t="str">
        <f t="shared" ca="1" si="26"/>
        <v/>
      </c>
      <c r="W226" s="140">
        <f ca="1">IF(OR((W225-13/12*Z225)*(1+PREMISSAS!$C$16)&lt;0,W225=""),0,(W225-13/12*Z225)*(1+PREMISSAS!$C$16))</f>
        <v>0</v>
      </c>
      <c r="X226" s="140">
        <f ca="1">IF(OR((X225-13/12*AA225)*(1+PREMISSAS!$C$16)&lt;0,X225=""),0,(X225-13/12*AA225)*(1+PREMISSAS!$C$16))</f>
        <v>0</v>
      </c>
      <c r="Y226" s="140">
        <f t="shared" ca="1" si="27"/>
        <v>0</v>
      </c>
      <c r="Z226" s="167">
        <f t="shared" ca="1" si="30"/>
        <v>0</v>
      </c>
      <c r="AA226" s="167">
        <f t="shared" ca="1" si="31"/>
        <v>0</v>
      </c>
    </row>
    <row r="227" spans="2:27" x14ac:dyDescent="0.25">
      <c r="B227" s="21" t="str">
        <f ca="1">IF(B226="","",IF(EOMONTH(B226,1)&gt;EOMONTH(ELEGIBILIDADE!$J$17,0),"",EOMONTH(B226,1)))</f>
        <v/>
      </c>
      <c r="C227" s="22" t="str">
        <f ca="1">IF(B227="","",IF(MONTH(B227)=1,C226*(1+PREMISSAS!$C$57),C226))</f>
        <v/>
      </c>
      <c r="D227" s="22">
        <f ca="1">IF(RESULTADOS!$C$17="Normal",IFERROR(MAX(C227-PREMISSAS!$C$13,0),0),IF(Painel!$I$23=0,0,MAX(10*PREMISSAS!$C$38,RESULTADOS!$F$17)))</f>
        <v>0</v>
      </c>
      <c r="E227" s="4">
        <f ca="1">D227*IF(RESULTADOS!$C$17="Normal",RESULTADOS!$C$16,0)</f>
        <v>0</v>
      </c>
      <c r="F227" s="4">
        <f ca="1">IFERROR(IF(RESULTADOS!$C$17="Normal",D227,C227)*RESULTADOS!$C$18,0)</f>
        <v>0</v>
      </c>
      <c r="G227" s="4">
        <f ca="1">IFERROR(IF(RESULTADOS!$C$17="Normal",0,D227)*IF(RESULTADOS!$C$17="Normal",RESULTADOS!$C$18,RESULTADOS!$C$16),0)</f>
        <v>0</v>
      </c>
      <c r="H227" s="4">
        <f ca="1">IF(RESULTADOS!$C$17="Normal",E227,0)</f>
        <v>0</v>
      </c>
      <c r="I227" s="4">
        <f ca="1">(E227+H227+G227)*PREMISSAS!$C$60</f>
        <v>0</v>
      </c>
      <c r="J227" s="4">
        <f ca="1">D227*IF(RESULTADOS!$C$17="Normal",PREMISSAS!$C$62,0)</f>
        <v>0</v>
      </c>
      <c r="K227" s="116">
        <f ca="1">IFERROR(K226*(1+PREMISSAS!$C$18)+(E227+H227-IF(RESULTADOS!$C$17="Normal",I227,0)-J227)*IF(MONTH(B227)=12,2,1),0)</f>
        <v>0</v>
      </c>
      <c r="L227" s="116">
        <f ca="1">IFERROR((L226+G227-IF(RESULTADOS!$C$17="Normal",0,I227))*(1+PREMISSAS!$C$18)+F227,0)</f>
        <v>0</v>
      </c>
      <c r="N227" s="73">
        <f t="shared" ca="1" si="24"/>
        <v>0</v>
      </c>
      <c r="P227" s="164" t="str">
        <f t="shared" ca="1" si="25"/>
        <v/>
      </c>
      <c r="Q227" s="140" t="str">
        <f ca="1">IF(C227="","",Q226+(E227+H227-IF(RESULTADOS!$C$17="Normal",I227,0)-J227)/2+(F227+G227-IF(RESULTADOS!$C$17="Normal",0,I227)))</f>
        <v/>
      </c>
      <c r="R227" s="140" t="str">
        <f ca="1">IF(C227="","",R226+(E227+H227-IF(RESULTADOS!$C$17="Normal",I227,0)-J227)/2)</f>
        <v/>
      </c>
      <c r="S227" s="140">
        <f t="shared" ca="1" si="28"/>
        <v>0</v>
      </c>
      <c r="U227" s="164" t="str">
        <f t="shared" ca="1" si="29"/>
        <v/>
      </c>
      <c r="V227" s="164" t="str">
        <f t="shared" ca="1" si="26"/>
        <v/>
      </c>
      <c r="W227" s="140">
        <f ca="1">IF(OR((W226-13/12*Z226)*(1+PREMISSAS!$C$16)&lt;0,W226=""),0,(W226-13/12*Z226)*(1+PREMISSAS!$C$16))</f>
        <v>0</v>
      </c>
      <c r="X227" s="140">
        <f ca="1">IF(OR((X226-13/12*AA226)*(1+PREMISSAS!$C$16)&lt;0,X226=""),0,(X226-13/12*AA226)*(1+PREMISSAS!$C$16))</f>
        <v>0</v>
      </c>
      <c r="Y227" s="140">
        <f t="shared" ca="1" si="27"/>
        <v>0</v>
      </c>
      <c r="Z227" s="167">
        <f t="shared" ca="1" si="30"/>
        <v>0</v>
      </c>
      <c r="AA227" s="167">
        <f t="shared" ca="1" si="31"/>
        <v>0</v>
      </c>
    </row>
    <row r="228" spans="2:27" x14ac:dyDescent="0.25">
      <c r="B228" s="21" t="str">
        <f ca="1">IF(B227="","",IF(EOMONTH(B227,1)&gt;EOMONTH(ELEGIBILIDADE!$J$17,0),"",EOMONTH(B227,1)))</f>
        <v/>
      </c>
      <c r="C228" s="22" t="str">
        <f ca="1">IF(B228="","",IF(MONTH(B228)=1,C227*(1+PREMISSAS!$C$57),C227))</f>
        <v/>
      </c>
      <c r="D228" s="22">
        <f ca="1">IF(RESULTADOS!$C$17="Normal",IFERROR(MAX(C228-PREMISSAS!$C$13,0),0),IF(Painel!$I$23=0,0,MAX(10*PREMISSAS!$C$38,RESULTADOS!$F$17)))</f>
        <v>0</v>
      </c>
      <c r="E228" s="4">
        <f ca="1">D228*IF(RESULTADOS!$C$17="Normal",RESULTADOS!$C$16,0)</f>
        <v>0</v>
      </c>
      <c r="F228" s="4">
        <f ca="1">IFERROR(IF(RESULTADOS!$C$17="Normal",D228,C228)*RESULTADOS!$C$18,0)</f>
        <v>0</v>
      </c>
      <c r="G228" s="4">
        <f ca="1">IFERROR(IF(RESULTADOS!$C$17="Normal",0,D228)*IF(RESULTADOS!$C$17="Normal",RESULTADOS!$C$18,RESULTADOS!$C$16),0)</f>
        <v>0</v>
      </c>
      <c r="H228" s="4">
        <f ca="1">IF(RESULTADOS!$C$17="Normal",E228,0)</f>
        <v>0</v>
      </c>
      <c r="I228" s="4">
        <f ca="1">(E228+H228+G228)*PREMISSAS!$C$60</f>
        <v>0</v>
      </c>
      <c r="J228" s="4">
        <f ca="1">D228*IF(RESULTADOS!$C$17="Normal",PREMISSAS!$C$62,0)</f>
        <v>0</v>
      </c>
      <c r="K228" s="116">
        <f ca="1">IFERROR(K227*(1+PREMISSAS!$C$18)+(E228+H228-IF(RESULTADOS!$C$17="Normal",I228,0)-J228)*IF(MONTH(B228)=12,2,1),0)</f>
        <v>0</v>
      </c>
      <c r="L228" s="116">
        <f ca="1">IFERROR((L227+G228-IF(RESULTADOS!$C$17="Normal",0,I228))*(1+PREMISSAS!$C$18)+F228,0)</f>
        <v>0</v>
      </c>
      <c r="N228" s="73">
        <f t="shared" ca="1" si="24"/>
        <v>0</v>
      </c>
      <c r="P228" s="164" t="str">
        <f t="shared" ca="1" si="25"/>
        <v/>
      </c>
      <c r="Q228" s="140" t="str">
        <f ca="1">IF(C228="","",Q227+(E228+H228-IF(RESULTADOS!$C$17="Normal",I228,0)-J228)/2+(F228+G228-IF(RESULTADOS!$C$17="Normal",0,I228)))</f>
        <v/>
      </c>
      <c r="R228" s="140" t="str">
        <f ca="1">IF(C228="","",R227+(E228+H228-IF(RESULTADOS!$C$17="Normal",I228,0)-J228)/2)</f>
        <v/>
      </c>
      <c r="S228" s="140">
        <f t="shared" ca="1" si="28"/>
        <v>0</v>
      </c>
      <c r="U228" s="164" t="str">
        <f t="shared" ca="1" si="29"/>
        <v/>
      </c>
      <c r="V228" s="164" t="str">
        <f t="shared" ca="1" si="26"/>
        <v/>
      </c>
      <c r="W228" s="140">
        <f ca="1">IF(OR((W227-13/12*Z227)*(1+PREMISSAS!$C$16)&lt;0,W227=""),0,(W227-13/12*Z227)*(1+PREMISSAS!$C$16))</f>
        <v>0</v>
      </c>
      <c r="X228" s="140">
        <f ca="1">IF(OR((X227-13/12*AA227)*(1+PREMISSAS!$C$16)&lt;0,X227=""),0,(X227-13/12*AA227)*(1+PREMISSAS!$C$16))</f>
        <v>0</v>
      </c>
      <c r="Y228" s="140">
        <f t="shared" ca="1" si="27"/>
        <v>0</v>
      </c>
      <c r="Z228" s="167">
        <f t="shared" ca="1" si="30"/>
        <v>0</v>
      </c>
      <c r="AA228" s="167">
        <f t="shared" ca="1" si="31"/>
        <v>0</v>
      </c>
    </row>
    <row r="229" spans="2:27" x14ac:dyDescent="0.25">
      <c r="B229" s="21" t="str">
        <f ca="1">IF(B228="","",IF(EOMONTH(B228,1)&gt;EOMONTH(ELEGIBILIDADE!$J$17,0),"",EOMONTH(B228,1)))</f>
        <v/>
      </c>
      <c r="C229" s="22" t="str">
        <f ca="1">IF(B229="","",IF(MONTH(B229)=1,C228*(1+PREMISSAS!$C$57),C228))</f>
        <v/>
      </c>
      <c r="D229" s="22">
        <f ca="1">IF(RESULTADOS!$C$17="Normal",IFERROR(MAX(C229-PREMISSAS!$C$13,0),0),IF(Painel!$I$23=0,0,MAX(10*PREMISSAS!$C$38,RESULTADOS!$F$17)))</f>
        <v>0</v>
      </c>
      <c r="E229" s="4">
        <f ca="1">D229*IF(RESULTADOS!$C$17="Normal",RESULTADOS!$C$16,0)</f>
        <v>0</v>
      </c>
      <c r="F229" s="4">
        <f ca="1">IFERROR(IF(RESULTADOS!$C$17="Normal",D229,C229)*RESULTADOS!$C$18,0)</f>
        <v>0</v>
      </c>
      <c r="G229" s="4">
        <f ca="1">IFERROR(IF(RESULTADOS!$C$17="Normal",0,D229)*IF(RESULTADOS!$C$17="Normal",RESULTADOS!$C$18,RESULTADOS!$C$16),0)</f>
        <v>0</v>
      </c>
      <c r="H229" s="4">
        <f ca="1">IF(RESULTADOS!$C$17="Normal",E229,0)</f>
        <v>0</v>
      </c>
      <c r="I229" s="4">
        <f ca="1">(E229+H229+G229)*PREMISSAS!$C$60</f>
        <v>0</v>
      </c>
      <c r="J229" s="4">
        <f ca="1">D229*IF(RESULTADOS!$C$17="Normal",PREMISSAS!$C$62,0)</f>
        <v>0</v>
      </c>
      <c r="K229" s="116">
        <f ca="1">IFERROR(K228*(1+PREMISSAS!$C$18)+(E229+H229-IF(RESULTADOS!$C$17="Normal",I229,0)-J229)*IF(MONTH(B229)=12,2,1),0)</f>
        <v>0</v>
      </c>
      <c r="L229" s="116">
        <f ca="1">IFERROR((L228+G229-IF(RESULTADOS!$C$17="Normal",0,I229))*(1+PREMISSAS!$C$18)+F229,0)</f>
        <v>0</v>
      </c>
      <c r="N229" s="73">
        <f t="shared" ca="1" si="24"/>
        <v>0</v>
      </c>
      <c r="P229" s="164" t="str">
        <f t="shared" ca="1" si="25"/>
        <v/>
      </c>
      <c r="Q229" s="140" t="str">
        <f ca="1">IF(C229="","",Q228+(E229+H229-IF(RESULTADOS!$C$17="Normal",I229,0)-J229)/2+(F229+G229-IF(RESULTADOS!$C$17="Normal",0,I229)))</f>
        <v/>
      </c>
      <c r="R229" s="140" t="str">
        <f ca="1">IF(C229="","",R228+(E229+H229-IF(RESULTADOS!$C$17="Normal",I229,0)-J229)/2)</f>
        <v/>
      </c>
      <c r="S229" s="140">
        <f t="shared" ca="1" si="28"/>
        <v>0</v>
      </c>
      <c r="U229" s="164" t="str">
        <f t="shared" ca="1" si="29"/>
        <v/>
      </c>
      <c r="V229" s="164" t="str">
        <f t="shared" ca="1" si="26"/>
        <v/>
      </c>
      <c r="W229" s="140">
        <f ca="1">IF(OR((W228-13/12*Z228)*(1+PREMISSAS!$C$16)&lt;0,W228=""),0,(W228-13/12*Z228)*(1+PREMISSAS!$C$16))</f>
        <v>0</v>
      </c>
      <c r="X229" s="140">
        <f ca="1">IF(OR((X228-13/12*AA228)*(1+PREMISSAS!$C$16)&lt;0,X228=""),0,(X228-13/12*AA228)*(1+PREMISSAS!$C$16))</f>
        <v>0</v>
      </c>
      <c r="Y229" s="140">
        <f t="shared" ca="1" si="27"/>
        <v>0</v>
      </c>
      <c r="Z229" s="167">
        <f t="shared" ca="1" si="30"/>
        <v>0</v>
      </c>
      <c r="AA229" s="167">
        <f t="shared" ca="1" si="31"/>
        <v>0</v>
      </c>
    </row>
    <row r="230" spans="2:27" x14ac:dyDescent="0.25">
      <c r="B230" s="21" t="str">
        <f ca="1">IF(B229="","",IF(EOMONTH(B229,1)&gt;EOMONTH(ELEGIBILIDADE!$J$17,0),"",EOMONTH(B229,1)))</f>
        <v/>
      </c>
      <c r="C230" s="22" t="str">
        <f ca="1">IF(B230="","",IF(MONTH(B230)=1,C229*(1+PREMISSAS!$C$57),C229))</f>
        <v/>
      </c>
      <c r="D230" s="22">
        <f ca="1">IF(RESULTADOS!$C$17="Normal",IFERROR(MAX(C230-PREMISSAS!$C$13,0),0),IF(Painel!$I$23=0,0,MAX(10*PREMISSAS!$C$38,RESULTADOS!$F$17)))</f>
        <v>0</v>
      </c>
      <c r="E230" s="4">
        <f ca="1">D230*IF(RESULTADOS!$C$17="Normal",RESULTADOS!$C$16,0)</f>
        <v>0</v>
      </c>
      <c r="F230" s="4">
        <f ca="1">IFERROR(IF(RESULTADOS!$C$17="Normal",D230,C230)*RESULTADOS!$C$18,0)</f>
        <v>0</v>
      </c>
      <c r="G230" s="4">
        <f ca="1">IFERROR(IF(RESULTADOS!$C$17="Normal",0,D230)*IF(RESULTADOS!$C$17="Normal",RESULTADOS!$C$18,RESULTADOS!$C$16),0)</f>
        <v>0</v>
      </c>
      <c r="H230" s="4">
        <f ca="1">IF(RESULTADOS!$C$17="Normal",E230,0)</f>
        <v>0</v>
      </c>
      <c r="I230" s="4">
        <f ca="1">(E230+H230+G230)*PREMISSAS!$C$60</f>
        <v>0</v>
      </c>
      <c r="J230" s="4">
        <f ca="1">D230*IF(RESULTADOS!$C$17="Normal",PREMISSAS!$C$62,0)</f>
        <v>0</v>
      </c>
      <c r="K230" s="116">
        <f ca="1">IFERROR(K229*(1+PREMISSAS!$C$18)+(E230+H230-IF(RESULTADOS!$C$17="Normal",I230,0)-J230)*IF(MONTH(B230)=12,2,1),0)</f>
        <v>0</v>
      </c>
      <c r="L230" s="116">
        <f ca="1">IFERROR((L229+G230-IF(RESULTADOS!$C$17="Normal",0,I230))*(1+PREMISSAS!$C$18)+F230,0)</f>
        <v>0</v>
      </c>
      <c r="N230" s="73">
        <f t="shared" ca="1" si="24"/>
        <v>0</v>
      </c>
      <c r="P230" s="164" t="str">
        <f t="shared" ca="1" si="25"/>
        <v/>
      </c>
      <c r="Q230" s="140" t="str">
        <f ca="1">IF(C230="","",Q229+(E230+H230-IF(RESULTADOS!$C$17="Normal",I230,0)-J230)/2+(F230+G230-IF(RESULTADOS!$C$17="Normal",0,I230)))</f>
        <v/>
      </c>
      <c r="R230" s="140" t="str">
        <f ca="1">IF(C230="","",R229+(E230+H230-IF(RESULTADOS!$C$17="Normal",I230,0)-J230)/2)</f>
        <v/>
      </c>
      <c r="S230" s="140">
        <f t="shared" ca="1" si="28"/>
        <v>0</v>
      </c>
      <c r="U230" s="164" t="str">
        <f t="shared" ca="1" si="29"/>
        <v/>
      </c>
      <c r="V230" s="164" t="str">
        <f t="shared" ca="1" si="26"/>
        <v/>
      </c>
      <c r="W230" s="140">
        <f ca="1">IF(OR((W229-13/12*Z229)*(1+PREMISSAS!$C$16)&lt;0,W229=""),0,(W229-13/12*Z229)*(1+PREMISSAS!$C$16))</f>
        <v>0</v>
      </c>
      <c r="X230" s="140">
        <f ca="1">IF(OR((X229-13/12*AA229)*(1+PREMISSAS!$C$16)&lt;0,X229=""),0,(X229-13/12*AA229)*(1+PREMISSAS!$C$16))</f>
        <v>0</v>
      </c>
      <c r="Y230" s="140">
        <f t="shared" ca="1" si="27"/>
        <v>0</v>
      </c>
      <c r="Z230" s="167">
        <f t="shared" ca="1" si="30"/>
        <v>0</v>
      </c>
      <c r="AA230" s="167">
        <f t="shared" ca="1" si="31"/>
        <v>0</v>
      </c>
    </row>
    <row r="231" spans="2:27" x14ac:dyDescent="0.25">
      <c r="B231" s="21" t="str">
        <f ca="1">IF(B230="","",IF(EOMONTH(B230,1)&gt;EOMONTH(ELEGIBILIDADE!$J$17,0),"",EOMONTH(B230,1)))</f>
        <v/>
      </c>
      <c r="C231" s="22" t="str">
        <f ca="1">IF(B231="","",IF(MONTH(B231)=1,C230*(1+PREMISSAS!$C$57),C230))</f>
        <v/>
      </c>
      <c r="D231" s="22">
        <f ca="1">IF(RESULTADOS!$C$17="Normal",IFERROR(MAX(C231-PREMISSAS!$C$13,0),0),IF(Painel!$I$23=0,0,MAX(10*PREMISSAS!$C$38,RESULTADOS!$F$17)))</f>
        <v>0</v>
      </c>
      <c r="E231" s="4">
        <f ca="1">D231*IF(RESULTADOS!$C$17="Normal",RESULTADOS!$C$16,0)</f>
        <v>0</v>
      </c>
      <c r="F231" s="4">
        <f ca="1">IFERROR(IF(RESULTADOS!$C$17="Normal",D231,C231)*RESULTADOS!$C$18,0)</f>
        <v>0</v>
      </c>
      <c r="G231" s="4">
        <f ca="1">IFERROR(IF(RESULTADOS!$C$17="Normal",0,D231)*IF(RESULTADOS!$C$17="Normal",RESULTADOS!$C$18,RESULTADOS!$C$16),0)</f>
        <v>0</v>
      </c>
      <c r="H231" s="4">
        <f ca="1">IF(RESULTADOS!$C$17="Normal",E231,0)</f>
        <v>0</v>
      </c>
      <c r="I231" s="4">
        <f ca="1">(E231+H231+G231)*PREMISSAS!$C$60</f>
        <v>0</v>
      </c>
      <c r="J231" s="4">
        <f ca="1">D231*IF(RESULTADOS!$C$17="Normal",PREMISSAS!$C$62,0)</f>
        <v>0</v>
      </c>
      <c r="K231" s="116">
        <f ca="1">IFERROR(K230*(1+PREMISSAS!$C$18)+(E231+H231-IF(RESULTADOS!$C$17="Normal",I231,0)-J231)*IF(MONTH(B231)=12,2,1),0)</f>
        <v>0</v>
      </c>
      <c r="L231" s="116">
        <f ca="1">IFERROR((L230+G231-IF(RESULTADOS!$C$17="Normal",0,I231))*(1+PREMISSAS!$C$18)+F231,0)</f>
        <v>0</v>
      </c>
      <c r="N231" s="73">
        <f t="shared" ca="1" si="24"/>
        <v>0</v>
      </c>
      <c r="P231" s="164" t="str">
        <f t="shared" ca="1" si="25"/>
        <v/>
      </c>
      <c r="Q231" s="140" t="str">
        <f ca="1">IF(C231="","",Q230+(E231+H231-IF(RESULTADOS!$C$17="Normal",I231,0)-J231)/2+(F231+G231-IF(RESULTADOS!$C$17="Normal",0,I231)))</f>
        <v/>
      </c>
      <c r="R231" s="140" t="str">
        <f ca="1">IF(C231="","",R230+(E231+H231-IF(RESULTADOS!$C$17="Normal",I231,0)-J231)/2)</f>
        <v/>
      </c>
      <c r="S231" s="140">
        <f t="shared" ca="1" si="28"/>
        <v>0</v>
      </c>
      <c r="U231" s="164" t="str">
        <f t="shared" ca="1" si="29"/>
        <v/>
      </c>
      <c r="V231" s="164" t="str">
        <f t="shared" ca="1" si="26"/>
        <v/>
      </c>
      <c r="W231" s="140">
        <f ca="1">IF(OR((W230-13/12*Z230)*(1+PREMISSAS!$C$16)&lt;0,W230=""),0,(W230-13/12*Z230)*(1+PREMISSAS!$C$16))</f>
        <v>0</v>
      </c>
      <c r="X231" s="140">
        <f ca="1">IF(OR((X230-13/12*AA230)*(1+PREMISSAS!$C$16)&lt;0,X230=""),0,(X230-13/12*AA230)*(1+PREMISSAS!$C$16))</f>
        <v>0</v>
      </c>
      <c r="Y231" s="140">
        <f t="shared" ca="1" si="27"/>
        <v>0</v>
      </c>
      <c r="Z231" s="167">
        <f t="shared" ca="1" si="30"/>
        <v>0</v>
      </c>
      <c r="AA231" s="167">
        <f t="shared" ca="1" si="31"/>
        <v>0</v>
      </c>
    </row>
    <row r="232" spans="2:27" x14ac:dyDescent="0.25">
      <c r="B232" s="21" t="str">
        <f ca="1">IF(B231="","",IF(EOMONTH(B231,1)&gt;EOMONTH(ELEGIBILIDADE!$J$17,0),"",EOMONTH(B231,1)))</f>
        <v/>
      </c>
      <c r="C232" s="22" t="str">
        <f ca="1">IF(B232="","",IF(MONTH(B232)=1,C231*(1+PREMISSAS!$C$57),C231))</f>
        <v/>
      </c>
      <c r="D232" s="22">
        <f ca="1">IF(RESULTADOS!$C$17="Normal",IFERROR(MAX(C232-PREMISSAS!$C$13,0),0),IF(Painel!$I$23=0,0,MAX(10*PREMISSAS!$C$38,RESULTADOS!$F$17)))</f>
        <v>0</v>
      </c>
      <c r="E232" s="4">
        <f ca="1">D232*IF(RESULTADOS!$C$17="Normal",RESULTADOS!$C$16,0)</f>
        <v>0</v>
      </c>
      <c r="F232" s="4">
        <f ca="1">IFERROR(IF(RESULTADOS!$C$17="Normal",D232,C232)*RESULTADOS!$C$18,0)</f>
        <v>0</v>
      </c>
      <c r="G232" s="4">
        <f ca="1">IFERROR(IF(RESULTADOS!$C$17="Normal",0,D232)*IF(RESULTADOS!$C$17="Normal",RESULTADOS!$C$18,RESULTADOS!$C$16),0)</f>
        <v>0</v>
      </c>
      <c r="H232" s="4">
        <f ca="1">IF(RESULTADOS!$C$17="Normal",E232,0)</f>
        <v>0</v>
      </c>
      <c r="I232" s="4">
        <f ca="1">(E232+H232+G232)*PREMISSAS!$C$60</f>
        <v>0</v>
      </c>
      <c r="J232" s="4">
        <f ca="1">D232*IF(RESULTADOS!$C$17="Normal",PREMISSAS!$C$62,0)</f>
        <v>0</v>
      </c>
      <c r="K232" s="116">
        <f ca="1">IFERROR(K231*(1+PREMISSAS!$C$18)+(E232+H232-IF(RESULTADOS!$C$17="Normal",I232,0)-J232)*IF(MONTH(B232)=12,2,1),0)</f>
        <v>0</v>
      </c>
      <c r="L232" s="116">
        <f ca="1">IFERROR((L231+G232-IF(RESULTADOS!$C$17="Normal",0,I232))*(1+PREMISSAS!$C$18)+F232,0)</f>
        <v>0</v>
      </c>
      <c r="N232" s="73">
        <f t="shared" ca="1" si="24"/>
        <v>0</v>
      </c>
      <c r="P232" s="164" t="str">
        <f t="shared" ca="1" si="25"/>
        <v/>
      </c>
      <c r="Q232" s="140" t="str">
        <f ca="1">IF(C232="","",Q231+(E232+H232-IF(RESULTADOS!$C$17="Normal",I232,0)-J232)/2+(F232+G232-IF(RESULTADOS!$C$17="Normal",0,I232)))</f>
        <v/>
      </c>
      <c r="R232" s="140" t="str">
        <f ca="1">IF(C232="","",R231+(E232+H232-IF(RESULTADOS!$C$17="Normal",I232,0)-J232)/2)</f>
        <v/>
      </c>
      <c r="S232" s="140">
        <f t="shared" ca="1" si="28"/>
        <v>0</v>
      </c>
      <c r="U232" s="164" t="str">
        <f t="shared" ca="1" si="29"/>
        <v/>
      </c>
      <c r="V232" s="164" t="str">
        <f t="shared" ca="1" si="26"/>
        <v/>
      </c>
      <c r="W232" s="140">
        <f ca="1">IF(OR((W231-13/12*Z231)*(1+PREMISSAS!$C$16)&lt;0,W231=""),0,(W231-13/12*Z231)*(1+PREMISSAS!$C$16))</f>
        <v>0</v>
      </c>
      <c r="X232" s="140">
        <f ca="1">IF(OR((X231-13/12*AA231)*(1+PREMISSAS!$C$16)&lt;0,X231=""),0,(X231-13/12*AA231)*(1+PREMISSAS!$C$16))</f>
        <v>0</v>
      </c>
      <c r="Y232" s="140">
        <f t="shared" ca="1" si="27"/>
        <v>0</v>
      </c>
      <c r="Z232" s="167">
        <f t="shared" ca="1" si="30"/>
        <v>0</v>
      </c>
      <c r="AA232" s="167">
        <f t="shared" ca="1" si="31"/>
        <v>0</v>
      </c>
    </row>
    <row r="233" spans="2:27" x14ac:dyDescent="0.25">
      <c r="B233" s="21" t="str">
        <f ca="1">IF(B232="","",IF(EOMONTH(B232,1)&gt;EOMONTH(ELEGIBILIDADE!$J$17,0),"",EOMONTH(B232,1)))</f>
        <v/>
      </c>
      <c r="C233" s="22" t="str">
        <f ca="1">IF(B233="","",IF(MONTH(B233)=1,C232*(1+PREMISSAS!$C$57),C232))</f>
        <v/>
      </c>
      <c r="D233" s="22">
        <f ca="1">IF(RESULTADOS!$C$17="Normal",IFERROR(MAX(C233-PREMISSAS!$C$13,0),0),IF(Painel!$I$23=0,0,MAX(10*PREMISSAS!$C$38,RESULTADOS!$F$17)))</f>
        <v>0</v>
      </c>
      <c r="E233" s="4">
        <f ca="1">D233*IF(RESULTADOS!$C$17="Normal",RESULTADOS!$C$16,0)</f>
        <v>0</v>
      </c>
      <c r="F233" s="4">
        <f ca="1">IFERROR(IF(RESULTADOS!$C$17="Normal",D233,C233)*RESULTADOS!$C$18,0)</f>
        <v>0</v>
      </c>
      <c r="G233" s="4">
        <f ca="1">IFERROR(IF(RESULTADOS!$C$17="Normal",0,D233)*IF(RESULTADOS!$C$17="Normal",RESULTADOS!$C$18,RESULTADOS!$C$16),0)</f>
        <v>0</v>
      </c>
      <c r="H233" s="4">
        <f ca="1">IF(RESULTADOS!$C$17="Normal",E233,0)</f>
        <v>0</v>
      </c>
      <c r="I233" s="4">
        <f ca="1">(E233+H233+G233)*PREMISSAS!$C$60</f>
        <v>0</v>
      </c>
      <c r="J233" s="4">
        <f ca="1">D233*IF(RESULTADOS!$C$17="Normal",PREMISSAS!$C$62,0)</f>
        <v>0</v>
      </c>
      <c r="K233" s="116">
        <f ca="1">IFERROR(K232*(1+PREMISSAS!$C$18)+(E233+H233-IF(RESULTADOS!$C$17="Normal",I233,0)-J233)*IF(MONTH(B233)=12,2,1),0)</f>
        <v>0</v>
      </c>
      <c r="L233" s="116">
        <f ca="1">IFERROR((L232+G233-IF(RESULTADOS!$C$17="Normal",0,I233))*(1+PREMISSAS!$C$18)+F233,0)</f>
        <v>0</v>
      </c>
      <c r="N233" s="73">
        <f t="shared" ca="1" si="24"/>
        <v>0</v>
      </c>
      <c r="P233" s="164" t="str">
        <f t="shared" ca="1" si="25"/>
        <v/>
      </c>
      <c r="Q233" s="140" t="str">
        <f ca="1">IF(C233="","",Q232+(E233+H233-IF(RESULTADOS!$C$17="Normal",I233,0)-J233)/2+(F233+G233-IF(RESULTADOS!$C$17="Normal",0,I233)))</f>
        <v/>
      </c>
      <c r="R233" s="140" t="str">
        <f ca="1">IF(C233="","",R232+(E233+H233-IF(RESULTADOS!$C$17="Normal",I233,0)-J233)/2)</f>
        <v/>
      </c>
      <c r="S233" s="140">
        <f t="shared" ca="1" si="28"/>
        <v>0</v>
      </c>
      <c r="U233" s="164" t="str">
        <f t="shared" ca="1" si="29"/>
        <v/>
      </c>
      <c r="V233" s="164" t="str">
        <f t="shared" ca="1" si="26"/>
        <v/>
      </c>
      <c r="W233" s="140">
        <f ca="1">IF(OR((W232-13/12*Z232)*(1+PREMISSAS!$C$16)&lt;0,W232=""),0,(W232-13/12*Z232)*(1+PREMISSAS!$C$16))</f>
        <v>0</v>
      </c>
      <c r="X233" s="140">
        <f ca="1">IF(OR((X232-13/12*AA232)*(1+PREMISSAS!$C$16)&lt;0,X232=""),0,(X232-13/12*AA232)*(1+PREMISSAS!$C$16))</f>
        <v>0</v>
      </c>
      <c r="Y233" s="140">
        <f t="shared" ca="1" si="27"/>
        <v>0</v>
      </c>
      <c r="Z233" s="167">
        <f t="shared" ca="1" si="30"/>
        <v>0</v>
      </c>
      <c r="AA233" s="167">
        <f t="shared" ca="1" si="31"/>
        <v>0</v>
      </c>
    </row>
    <row r="234" spans="2:27" x14ac:dyDescent="0.25">
      <c r="B234" s="21" t="str">
        <f ca="1">IF(B233="","",IF(EOMONTH(B233,1)&gt;EOMONTH(ELEGIBILIDADE!$J$17,0),"",EOMONTH(B233,1)))</f>
        <v/>
      </c>
      <c r="C234" s="22" t="str">
        <f ca="1">IF(B234="","",IF(MONTH(B234)=1,C233*(1+PREMISSAS!$C$57),C233))</f>
        <v/>
      </c>
      <c r="D234" s="22">
        <f ca="1">IF(RESULTADOS!$C$17="Normal",IFERROR(MAX(C234-PREMISSAS!$C$13,0),0),IF(Painel!$I$23=0,0,MAX(10*PREMISSAS!$C$38,RESULTADOS!$F$17)))</f>
        <v>0</v>
      </c>
      <c r="E234" s="4">
        <f ca="1">D234*IF(RESULTADOS!$C$17="Normal",RESULTADOS!$C$16,0)</f>
        <v>0</v>
      </c>
      <c r="F234" s="4">
        <f ca="1">IFERROR(IF(RESULTADOS!$C$17="Normal",D234,C234)*RESULTADOS!$C$18,0)</f>
        <v>0</v>
      </c>
      <c r="G234" s="4">
        <f ca="1">IFERROR(IF(RESULTADOS!$C$17="Normal",0,D234)*IF(RESULTADOS!$C$17="Normal",RESULTADOS!$C$18,RESULTADOS!$C$16),0)</f>
        <v>0</v>
      </c>
      <c r="H234" s="4">
        <f ca="1">IF(RESULTADOS!$C$17="Normal",E234,0)</f>
        <v>0</v>
      </c>
      <c r="I234" s="4">
        <f ca="1">(E234+H234+G234)*PREMISSAS!$C$60</f>
        <v>0</v>
      </c>
      <c r="J234" s="4">
        <f ca="1">D234*IF(RESULTADOS!$C$17="Normal",PREMISSAS!$C$62,0)</f>
        <v>0</v>
      </c>
      <c r="K234" s="116">
        <f ca="1">IFERROR(K233*(1+PREMISSAS!$C$18)+(E234+H234-IF(RESULTADOS!$C$17="Normal",I234,0)-J234)*IF(MONTH(B234)=12,2,1),0)</f>
        <v>0</v>
      </c>
      <c r="L234" s="116">
        <f ca="1">IFERROR((L233+G234-IF(RESULTADOS!$C$17="Normal",0,I234))*(1+PREMISSAS!$C$18)+F234,0)</f>
        <v>0</v>
      </c>
      <c r="N234" s="73">
        <f t="shared" ca="1" si="24"/>
        <v>0</v>
      </c>
      <c r="P234" s="164" t="str">
        <f t="shared" ca="1" si="25"/>
        <v/>
      </c>
      <c r="Q234" s="140" t="str">
        <f ca="1">IF(C234="","",Q233+(E234+H234-IF(RESULTADOS!$C$17="Normal",I234,0)-J234)/2+(F234+G234-IF(RESULTADOS!$C$17="Normal",0,I234)))</f>
        <v/>
      </c>
      <c r="R234" s="140" t="str">
        <f ca="1">IF(C234="","",R233+(E234+H234-IF(RESULTADOS!$C$17="Normal",I234,0)-J234)/2)</f>
        <v/>
      </c>
      <c r="S234" s="140">
        <f t="shared" ca="1" si="28"/>
        <v>0</v>
      </c>
      <c r="U234" s="164" t="str">
        <f t="shared" ca="1" si="29"/>
        <v/>
      </c>
      <c r="V234" s="164" t="str">
        <f t="shared" ca="1" si="26"/>
        <v/>
      </c>
      <c r="W234" s="140">
        <f ca="1">IF(OR((W233-13/12*Z233)*(1+PREMISSAS!$C$16)&lt;0,W233=""),0,(W233-13/12*Z233)*(1+PREMISSAS!$C$16))</f>
        <v>0</v>
      </c>
      <c r="X234" s="140">
        <f ca="1">IF(OR((X233-13/12*AA233)*(1+PREMISSAS!$C$16)&lt;0,X233=""),0,(X233-13/12*AA233)*(1+PREMISSAS!$C$16))</f>
        <v>0</v>
      </c>
      <c r="Y234" s="140">
        <f t="shared" ca="1" si="27"/>
        <v>0</v>
      </c>
      <c r="Z234" s="167">
        <f t="shared" ca="1" si="30"/>
        <v>0</v>
      </c>
      <c r="AA234" s="167">
        <f t="shared" ca="1" si="31"/>
        <v>0</v>
      </c>
    </row>
    <row r="235" spans="2:27" x14ac:dyDescent="0.25">
      <c r="B235" s="21" t="str">
        <f ca="1">IF(B234="","",IF(EOMONTH(B234,1)&gt;EOMONTH(ELEGIBILIDADE!$J$17,0),"",EOMONTH(B234,1)))</f>
        <v/>
      </c>
      <c r="C235" s="22" t="str">
        <f ca="1">IF(B235="","",IF(MONTH(B235)=1,C234*(1+PREMISSAS!$C$57),C234))</f>
        <v/>
      </c>
      <c r="D235" s="22">
        <f ca="1">IF(RESULTADOS!$C$17="Normal",IFERROR(MAX(C235-PREMISSAS!$C$13,0),0),IF(Painel!$I$23=0,0,MAX(10*PREMISSAS!$C$38,RESULTADOS!$F$17)))</f>
        <v>0</v>
      </c>
      <c r="E235" s="4">
        <f ca="1">D235*IF(RESULTADOS!$C$17="Normal",RESULTADOS!$C$16,0)</f>
        <v>0</v>
      </c>
      <c r="F235" s="4">
        <f ca="1">IFERROR(IF(RESULTADOS!$C$17="Normal",D235,C235)*RESULTADOS!$C$18,0)</f>
        <v>0</v>
      </c>
      <c r="G235" s="4">
        <f ca="1">IFERROR(IF(RESULTADOS!$C$17="Normal",0,D235)*IF(RESULTADOS!$C$17="Normal",RESULTADOS!$C$18,RESULTADOS!$C$16),0)</f>
        <v>0</v>
      </c>
      <c r="H235" s="4">
        <f ca="1">IF(RESULTADOS!$C$17="Normal",E235,0)</f>
        <v>0</v>
      </c>
      <c r="I235" s="4">
        <f ca="1">(E235+H235+G235)*PREMISSAS!$C$60</f>
        <v>0</v>
      </c>
      <c r="J235" s="4">
        <f ca="1">D235*IF(RESULTADOS!$C$17="Normal",PREMISSAS!$C$62,0)</f>
        <v>0</v>
      </c>
      <c r="K235" s="116">
        <f ca="1">IFERROR(K234*(1+PREMISSAS!$C$18)+(E235+H235-IF(RESULTADOS!$C$17="Normal",I235,0)-J235)*IF(MONTH(B235)=12,2,1),0)</f>
        <v>0</v>
      </c>
      <c r="L235" s="116">
        <f ca="1">IFERROR((L234+G235-IF(RESULTADOS!$C$17="Normal",0,I235))*(1+PREMISSAS!$C$18)+F235,0)</f>
        <v>0</v>
      </c>
      <c r="N235" s="73">
        <f t="shared" ca="1" si="24"/>
        <v>0</v>
      </c>
      <c r="P235" s="164" t="str">
        <f t="shared" ca="1" si="25"/>
        <v/>
      </c>
      <c r="Q235" s="140" t="str">
        <f ca="1">IF(C235="","",Q234+(E235+H235-IF(RESULTADOS!$C$17="Normal",I235,0)-J235)/2+(F235+G235-IF(RESULTADOS!$C$17="Normal",0,I235)))</f>
        <v/>
      </c>
      <c r="R235" s="140" t="str">
        <f ca="1">IF(C235="","",R234+(E235+H235-IF(RESULTADOS!$C$17="Normal",I235,0)-J235)/2)</f>
        <v/>
      </c>
      <c r="S235" s="140">
        <f t="shared" ca="1" si="28"/>
        <v>0</v>
      </c>
      <c r="U235" s="164" t="str">
        <f t="shared" ca="1" si="29"/>
        <v/>
      </c>
      <c r="V235" s="164" t="str">
        <f t="shared" ca="1" si="26"/>
        <v/>
      </c>
      <c r="W235" s="140">
        <f ca="1">IF(OR((W234-13/12*Z234)*(1+PREMISSAS!$C$16)&lt;0,W234=""),0,(W234-13/12*Z234)*(1+PREMISSAS!$C$16))</f>
        <v>0</v>
      </c>
      <c r="X235" s="140">
        <f ca="1">IF(OR((X234-13/12*AA234)*(1+PREMISSAS!$C$16)&lt;0,X234=""),0,(X234-13/12*AA234)*(1+PREMISSAS!$C$16))</f>
        <v>0</v>
      </c>
      <c r="Y235" s="140">
        <f t="shared" ca="1" si="27"/>
        <v>0</v>
      </c>
      <c r="Z235" s="167">
        <f t="shared" ca="1" si="30"/>
        <v>0</v>
      </c>
      <c r="AA235" s="167">
        <f t="shared" ca="1" si="31"/>
        <v>0</v>
      </c>
    </row>
    <row r="236" spans="2:27" x14ac:dyDescent="0.25">
      <c r="B236" s="21" t="str">
        <f ca="1">IF(B235="","",IF(EOMONTH(B235,1)&gt;EOMONTH(ELEGIBILIDADE!$J$17,0),"",EOMONTH(B235,1)))</f>
        <v/>
      </c>
      <c r="C236" s="22" t="str">
        <f ca="1">IF(B236="","",IF(MONTH(B236)=1,C235*(1+PREMISSAS!$C$57),C235))</f>
        <v/>
      </c>
      <c r="D236" s="22">
        <f ca="1">IF(RESULTADOS!$C$17="Normal",IFERROR(MAX(C236-PREMISSAS!$C$13,0),0),IF(Painel!$I$23=0,0,MAX(10*PREMISSAS!$C$38,RESULTADOS!$F$17)))</f>
        <v>0</v>
      </c>
      <c r="E236" s="4">
        <f ca="1">D236*IF(RESULTADOS!$C$17="Normal",RESULTADOS!$C$16,0)</f>
        <v>0</v>
      </c>
      <c r="F236" s="4">
        <f ca="1">IFERROR(IF(RESULTADOS!$C$17="Normal",D236,C236)*RESULTADOS!$C$18,0)</f>
        <v>0</v>
      </c>
      <c r="G236" s="4">
        <f ca="1">IFERROR(IF(RESULTADOS!$C$17="Normal",0,D236)*IF(RESULTADOS!$C$17="Normal",RESULTADOS!$C$18,RESULTADOS!$C$16),0)</f>
        <v>0</v>
      </c>
      <c r="H236" s="4">
        <f ca="1">IF(RESULTADOS!$C$17="Normal",E236,0)</f>
        <v>0</v>
      </c>
      <c r="I236" s="4">
        <f ca="1">(E236+H236+G236)*PREMISSAS!$C$60</f>
        <v>0</v>
      </c>
      <c r="J236" s="4">
        <f ca="1">D236*IF(RESULTADOS!$C$17="Normal",PREMISSAS!$C$62,0)</f>
        <v>0</v>
      </c>
      <c r="K236" s="116">
        <f ca="1">IFERROR(K235*(1+PREMISSAS!$C$18)+(E236+H236-IF(RESULTADOS!$C$17="Normal",I236,0)-J236)*IF(MONTH(B236)=12,2,1),0)</f>
        <v>0</v>
      </c>
      <c r="L236" s="116">
        <f ca="1">IFERROR((L235+G236-IF(RESULTADOS!$C$17="Normal",0,I236))*(1+PREMISSAS!$C$18)+F236,0)</f>
        <v>0</v>
      </c>
      <c r="N236" s="73">
        <f t="shared" ca="1" si="24"/>
        <v>0</v>
      </c>
      <c r="P236" s="164" t="str">
        <f t="shared" ca="1" si="25"/>
        <v/>
      </c>
      <c r="Q236" s="140" t="str">
        <f ca="1">IF(C236="","",Q235+(E236+H236-IF(RESULTADOS!$C$17="Normal",I236,0)-J236)/2+(F236+G236-IF(RESULTADOS!$C$17="Normal",0,I236)))</f>
        <v/>
      </c>
      <c r="R236" s="140" t="str">
        <f ca="1">IF(C236="","",R235+(E236+H236-IF(RESULTADOS!$C$17="Normal",I236,0)-J236)/2)</f>
        <v/>
      </c>
      <c r="S236" s="140">
        <f t="shared" ca="1" si="28"/>
        <v>0</v>
      </c>
      <c r="U236" s="164" t="str">
        <f t="shared" ca="1" si="29"/>
        <v/>
      </c>
      <c r="V236" s="164" t="str">
        <f t="shared" ca="1" si="26"/>
        <v/>
      </c>
      <c r="W236" s="140">
        <f ca="1">IF(OR((W235-13/12*Z235)*(1+PREMISSAS!$C$16)&lt;0,W235=""),0,(W235-13/12*Z235)*(1+PREMISSAS!$C$16))</f>
        <v>0</v>
      </c>
      <c r="X236" s="140">
        <f ca="1">IF(OR((X235-13/12*AA235)*(1+PREMISSAS!$C$16)&lt;0,X235=""),0,(X235-13/12*AA235)*(1+PREMISSAS!$C$16))</f>
        <v>0</v>
      </c>
      <c r="Y236" s="140">
        <f t="shared" ca="1" si="27"/>
        <v>0</v>
      </c>
      <c r="Z236" s="167">
        <f t="shared" ca="1" si="30"/>
        <v>0</v>
      </c>
      <c r="AA236" s="167">
        <f t="shared" ca="1" si="31"/>
        <v>0</v>
      </c>
    </row>
    <row r="237" spans="2:27" x14ac:dyDescent="0.25">
      <c r="B237" s="21" t="str">
        <f ca="1">IF(B236="","",IF(EOMONTH(B236,1)&gt;EOMONTH(ELEGIBILIDADE!$J$17,0),"",EOMONTH(B236,1)))</f>
        <v/>
      </c>
      <c r="C237" s="22" t="str">
        <f ca="1">IF(B237="","",IF(MONTH(B237)=1,C236*(1+PREMISSAS!$C$57),C236))</f>
        <v/>
      </c>
      <c r="D237" s="22">
        <f ca="1">IF(RESULTADOS!$C$17="Normal",IFERROR(MAX(C237-PREMISSAS!$C$13,0),0),IF(Painel!$I$23=0,0,MAX(10*PREMISSAS!$C$38,RESULTADOS!$F$17)))</f>
        <v>0</v>
      </c>
      <c r="E237" s="4">
        <f ca="1">D237*IF(RESULTADOS!$C$17="Normal",RESULTADOS!$C$16,0)</f>
        <v>0</v>
      </c>
      <c r="F237" s="4">
        <f ca="1">IFERROR(IF(RESULTADOS!$C$17="Normal",D237,C237)*RESULTADOS!$C$18,0)</f>
        <v>0</v>
      </c>
      <c r="G237" s="4">
        <f ca="1">IFERROR(IF(RESULTADOS!$C$17="Normal",0,D237)*IF(RESULTADOS!$C$17="Normal",RESULTADOS!$C$18,RESULTADOS!$C$16),0)</f>
        <v>0</v>
      </c>
      <c r="H237" s="4">
        <f ca="1">IF(RESULTADOS!$C$17="Normal",E237,0)</f>
        <v>0</v>
      </c>
      <c r="I237" s="4">
        <f ca="1">(E237+H237+G237)*PREMISSAS!$C$60</f>
        <v>0</v>
      </c>
      <c r="J237" s="4">
        <f ca="1">D237*IF(RESULTADOS!$C$17="Normal",PREMISSAS!$C$62,0)</f>
        <v>0</v>
      </c>
      <c r="K237" s="116">
        <f ca="1">IFERROR(K236*(1+PREMISSAS!$C$18)+(E237+H237-IF(RESULTADOS!$C$17="Normal",I237,0)-J237)*IF(MONTH(B237)=12,2,1),0)</f>
        <v>0</v>
      </c>
      <c r="L237" s="116">
        <f ca="1">IFERROR((L236+G237-IF(RESULTADOS!$C$17="Normal",0,I237))*(1+PREMISSAS!$C$18)+F237,0)</f>
        <v>0</v>
      </c>
      <c r="N237" s="73">
        <f t="shared" ca="1" si="24"/>
        <v>0</v>
      </c>
      <c r="P237" s="164" t="str">
        <f t="shared" ca="1" si="25"/>
        <v/>
      </c>
      <c r="Q237" s="140" t="str">
        <f ca="1">IF(C237="","",Q236+(E237+H237-IF(RESULTADOS!$C$17="Normal",I237,0)-J237)/2+(F237+G237-IF(RESULTADOS!$C$17="Normal",0,I237)))</f>
        <v/>
      </c>
      <c r="R237" s="140" t="str">
        <f ca="1">IF(C237="","",R236+(E237+H237-IF(RESULTADOS!$C$17="Normal",I237,0)-J237)/2)</f>
        <v/>
      </c>
      <c r="S237" s="140">
        <f t="shared" ca="1" si="28"/>
        <v>0</v>
      </c>
      <c r="U237" s="164" t="str">
        <f t="shared" ca="1" si="29"/>
        <v/>
      </c>
      <c r="V237" s="164" t="str">
        <f t="shared" ca="1" si="26"/>
        <v/>
      </c>
      <c r="W237" s="140">
        <f ca="1">IF(OR((W236-13/12*Z236)*(1+PREMISSAS!$C$16)&lt;0,W236=""),0,(W236-13/12*Z236)*(1+PREMISSAS!$C$16))</f>
        <v>0</v>
      </c>
      <c r="X237" s="140">
        <f ca="1">IF(OR((X236-13/12*AA236)*(1+PREMISSAS!$C$16)&lt;0,X236=""),0,(X236-13/12*AA236)*(1+PREMISSAS!$C$16))</f>
        <v>0</v>
      </c>
      <c r="Y237" s="140">
        <f t="shared" ca="1" si="27"/>
        <v>0</v>
      </c>
      <c r="Z237" s="167">
        <f t="shared" ca="1" si="30"/>
        <v>0</v>
      </c>
      <c r="AA237" s="167">
        <f t="shared" ca="1" si="31"/>
        <v>0</v>
      </c>
    </row>
    <row r="238" spans="2:27" x14ac:dyDescent="0.25">
      <c r="B238" s="21" t="str">
        <f ca="1">IF(B237="","",IF(EOMONTH(B237,1)&gt;EOMONTH(ELEGIBILIDADE!$J$17,0),"",EOMONTH(B237,1)))</f>
        <v/>
      </c>
      <c r="C238" s="22" t="str">
        <f ca="1">IF(B238="","",IF(MONTH(B238)=1,C237*(1+PREMISSAS!$C$57),C237))</f>
        <v/>
      </c>
      <c r="D238" s="22">
        <f ca="1">IF(RESULTADOS!$C$17="Normal",IFERROR(MAX(C238-PREMISSAS!$C$13,0),0),IF(Painel!$I$23=0,0,MAX(10*PREMISSAS!$C$38,RESULTADOS!$F$17)))</f>
        <v>0</v>
      </c>
      <c r="E238" s="4">
        <f ca="1">D238*IF(RESULTADOS!$C$17="Normal",RESULTADOS!$C$16,0)</f>
        <v>0</v>
      </c>
      <c r="F238" s="4">
        <f ca="1">IFERROR(IF(RESULTADOS!$C$17="Normal",D238,C238)*RESULTADOS!$C$18,0)</f>
        <v>0</v>
      </c>
      <c r="G238" s="4">
        <f ca="1">IFERROR(IF(RESULTADOS!$C$17="Normal",0,D238)*IF(RESULTADOS!$C$17="Normal",RESULTADOS!$C$18,RESULTADOS!$C$16),0)</f>
        <v>0</v>
      </c>
      <c r="H238" s="4">
        <f ca="1">IF(RESULTADOS!$C$17="Normal",E238,0)</f>
        <v>0</v>
      </c>
      <c r="I238" s="4">
        <f ca="1">(E238+H238+G238)*PREMISSAS!$C$60</f>
        <v>0</v>
      </c>
      <c r="J238" s="4">
        <f ca="1">D238*IF(RESULTADOS!$C$17="Normal",PREMISSAS!$C$62,0)</f>
        <v>0</v>
      </c>
      <c r="K238" s="116">
        <f ca="1">IFERROR(K237*(1+PREMISSAS!$C$18)+(E238+H238-IF(RESULTADOS!$C$17="Normal",I238,0)-J238)*IF(MONTH(B238)=12,2,1),0)</f>
        <v>0</v>
      </c>
      <c r="L238" s="116">
        <f ca="1">IFERROR((L237+G238-IF(RESULTADOS!$C$17="Normal",0,I238))*(1+PREMISSAS!$C$18)+F238,0)</f>
        <v>0</v>
      </c>
      <c r="N238" s="73">
        <f t="shared" ca="1" si="24"/>
        <v>0</v>
      </c>
      <c r="P238" s="164" t="str">
        <f t="shared" ca="1" si="25"/>
        <v/>
      </c>
      <c r="Q238" s="140" t="str">
        <f ca="1">IF(C238="","",Q237+(E238+H238-IF(RESULTADOS!$C$17="Normal",I238,0)-J238)/2+(F238+G238-IF(RESULTADOS!$C$17="Normal",0,I238)))</f>
        <v/>
      </c>
      <c r="R238" s="140" t="str">
        <f ca="1">IF(C238="","",R237+(E238+H238-IF(RESULTADOS!$C$17="Normal",I238,0)-J238)/2)</f>
        <v/>
      </c>
      <c r="S238" s="140">
        <f t="shared" ca="1" si="28"/>
        <v>0</v>
      </c>
      <c r="U238" s="164" t="str">
        <f t="shared" ca="1" si="29"/>
        <v/>
      </c>
      <c r="V238" s="164" t="str">
        <f t="shared" ca="1" si="26"/>
        <v/>
      </c>
      <c r="W238" s="140">
        <f ca="1">IF(OR((W237-13/12*Z237)*(1+PREMISSAS!$C$16)&lt;0,W237=""),0,(W237-13/12*Z237)*(1+PREMISSAS!$C$16))</f>
        <v>0</v>
      </c>
      <c r="X238" s="140">
        <f ca="1">IF(OR((X237-13/12*AA237)*(1+PREMISSAS!$C$16)&lt;0,X237=""),0,(X237-13/12*AA237)*(1+PREMISSAS!$C$16))</f>
        <v>0</v>
      </c>
      <c r="Y238" s="140">
        <f t="shared" ca="1" si="27"/>
        <v>0</v>
      </c>
      <c r="Z238" s="167">
        <f t="shared" ca="1" si="30"/>
        <v>0</v>
      </c>
      <c r="AA238" s="167">
        <f t="shared" ca="1" si="31"/>
        <v>0</v>
      </c>
    </row>
    <row r="239" spans="2:27" x14ac:dyDescent="0.25">
      <c r="B239" s="21" t="str">
        <f ca="1">IF(B238="","",IF(EOMONTH(B238,1)&gt;EOMONTH(ELEGIBILIDADE!$J$17,0),"",EOMONTH(B238,1)))</f>
        <v/>
      </c>
      <c r="C239" s="22" t="str">
        <f ca="1">IF(B239="","",IF(MONTH(B239)=1,C238*(1+PREMISSAS!$C$57),C238))</f>
        <v/>
      </c>
      <c r="D239" s="22">
        <f ca="1">IF(RESULTADOS!$C$17="Normal",IFERROR(MAX(C239-PREMISSAS!$C$13,0),0),IF(Painel!$I$23=0,0,MAX(10*PREMISSAS!$C$38,RESULTADOS!$F$17)))</f>
        <v>0</v>
      </c>
      <c r="E239" s="4">
        <f ca="1">D239*IF(RESULTADOS!$C$17="Normal",RESULTADOS!$C$16,0)</f>
        <v>0</v>
      </c>
      <c r="F239" s="4">
        <f ca="1">IFERROR(IF(RESULTADOS!$C$17="Normal",D239,C239)*RESULTADOS!$C$18,0)</f>
        <v>0</v>
      </c>
      <c r="G239" s="4">
        <f ca="1">IFERROR(IF(RESULTADOS!$C$17="Normal",0,D239)*IF(RESULTADOS!$C$17="Normal",RESULTADOS!$C$18,RESULTADOS!$C$16),0)</f>
        <v>0</v>
      </c>
      <c r="H239" s="4">
        <f ca="1">IF(RESULTADOS!$C$17="Normal",E239,0)</f>
        <v>0</v>
      </c>
      <c r="I239" s="4">
        <f ca="1">(E239+H239+G239)*PREMISSAS!$C$60</f>
        <v>0</v>
      </c>
      <c r="J239" s="4">
        <f ca="1">D239*IF(RESULTADOS!$C$17="Normal",PREMISSAS!$C$62,0)</f>
        <v>0</v>
      </c>
      <c r="K239" s="116">
        <f ca="1">IFERROR(K238*(1+PREMISSAS!$C$18)+(E239+H239-IF(RESULTADOS!$C$17="Normal",I239,0)-J239)*IF(MONTH(B239)=12,2,1),0)</f>
        <v>0</v>
      </c>
      <c r="L239" s="116">
        <f ca="1">IFERROR((L238+G239-IF(RESULTADOS!$C$17="Normal",0,I239))*(1+PREMISSAS!$C$18)+F239,0)</f>
        <v>0</v>
      </c>
      <c r="N239" s="73">
        <f t="shared" ca="1" si="24"/>
        <v>0</v>
      </c>
      <c r="P239" s="164" t="str">
        <f t="shared" ca="1" si="25"/>
        <v/>
      </c>
      <c r="Q239" s="140" t="str">
        <f ca="1">IF(C239="","",Q238+(E239+H239-IF(RESULTADOS!$C$17="Normal",I239,0)-J239)/2+(F239+G239-IF(RESULTADOS!$C$17="Normal",0,I239)))</f>
        <v/>
      </c>
      <c r="R239" s="140" t="str">
        <f ca="1">IF(C239="","",R238+(E239+H239-IF(RESULTADOS!$C$17="Normal",I239,0)-J239)/2)</f>
        <v/>
      </c>
      <c r="S239" s="140">
        <f t="shared" ca="1" si="28"/>
        <v>0</v>
      </c>
      <c r="U239" s="164" t="str">
        <f t="shared" ca="1" si="29"/>
        <v/>
      </c>
      <c r="V239" s="164" t="str">
        <f t="shared" ca="1" si="26"/>
        <v/>
      </c>
      <c r="W239" s="140">
        <f ca="1">IF(OR((W238-13/12*Z238)*(1+PREMISSAS!$C$16)&lt;0,W238=""),0,(W238-13/12*Z238)*(1+PREMISSAS!$C$16))</f>
        <v>0</v>
      </c>
      <c r="X239" s="140">
        <f ca="1">IF(OR((X238-13/12*AA238)*(1+PREMISSAS!$C$16)&lt;0,X238=""),0,(X238-13/12*AA238)*(1+PREMISSAS!$C$16))</f>
        <v>0</v>
      </c>
      <c r="Y239" s="140">
        <f t="shared" ca="1" si="27"/>
        <v>0</v>
      </c>
      <c r="Z239" s="167">
        <f t="shared" ca="1" si="30"/>
        <v>0</v>
      </c>
      <c r="AA239" s="167">
        <f t="shared" ca="1" si="31"/>
        <v>0</v>
      </c>
    </row>
    <row r="240" spans="2:27" x14ac:dyDescent="0.25">
      <c r="B240" s="21" t="str">
        <f ca="1">IF(B239="","",IF(EOMONTH(B239,1)&gt;EOMONTH(ELEGIBILIDADE!$J$17,0),"",EOMONTH(B239,1)))</f>
        <v/>
      </c>
      <c r="C240" s="22" t="str">
        <f ca="1">IF(B240="","",IF(MONTH(B240)=1,C239*(1+PREMISSAS!$C$57),C239))</f>
        <v/>
      </c>
      <c r="D240" s="22">
        <f ca="1">IF(RESULTADOS!$C$17="Normal",IFERROR(MAX(C240-PREMISSAS!$C$13,0),0),IF(Painel!$I$23=0,0,MAX(10*PREMISSAS!$C$38,RESULTADOS!$F$17)))</f>
        <v>0</v>
      </c>
      <c r="E240" s="4">
        <f ca="1">D240*IF(RESULTADOS!$C$17="Normal",RESULTADOS!$C$16,0)</f>
        <v>0</v>
      </c>
      <c r="F240" s="4">
        <f ca="1">IFERROR(IF(RESULTADOS!$C$17="Normal",D240,C240)*RESULTADOS!$C$18,0)</f>
        <v>0</v>
      </c>
      <c r="G240" s="4">
        <f ca="1">IFERROR(IF(RESULTADOS!$C$17="Normal",0,D240)*IF(RESULTADOS!$C$17="Normal",RESULTADOS!$C$18,RESULTADOS!$C$16),0)</f>
        <v>0</v>
      </c>
      <c r="H240" s="4">
        <f ca="1">IF(RESULTADOS!$C$17="Normal",E240,0)</f>
        <v>0</v>
      </c>
      <c r="I240" s="4">
        <f ca="1">(E240+H240+G240)*PREMISSAS!$C$60</f>
        <v>0</v>
      </c>
      <c r="J240" s="4">
        <f ca="1">D240*IF(RESULTADOS!$C$17="Normal",PREMISSAS!$C$62,0)</f>
        <v>0</v>
      </c>
      <c r="K240" s="116">
        <f ca="1">IFERROR(K239*(1+PREMISSAS!$C$18)+(E240+H240-IF(RESULTADOS!$C$17="Normal",I240,0)-J240)*IF(MONTH(B240)=12,2,1),0)</f>
        <v>0</v>
      </c>
      <c r="L240" s="116">
        <f ca="1">IFERROR((L239+G240-IF(RESULTADOS!$C$17="Normal",0,I240))*(1+PREMISSAS!$C$18)+F240,0)</f>
        <v>0</v>
      </c>
      <c r="N240" s="73">
        <f t="shared" ca="1" si="24"/>
        <v>0</v>
      </c>
      <c r="P240" s="164" t="str">
        <f t="shared" ca="1" si="25"/>
        <v/>
      </c>
      <c r="Q240" s="140" t="str">
        <f ca="1">IF(C240="","",Q239+(E240+H240-IF(RESULTADOS!$C$17="Normal",I240,0)-J240)/2+(F240+G240-IF(RESULTADOS!$C$17="Normal",0,I240)))</f>
        <v/>
      </c>
      <c r="R240" s="140" t="str">
        <f ca="1">IF(C240="","",R239+(E240+H240-IF(RESULTADOS!$C$17="Normal",I240,0)-J240)/2)</f>
        <v/>
      </c>
      <c r="S240" s="140">
        <f t="shared" ca="1" si="28"/>
        <v>0</v>
      </c>
      <c r="U240" s="164" t="str">
        <f t="shared" ca="1" si="29"/>
        <v/>
      </c>
      <c r="V240" s="164" t="str">
        <f t="shared" ca="1" si="26"/>
        <v/>
      </c>
      <c r="W240" s="140">
        <f ca="1">IF(OR((W239-13/12*Z239)*(1+PREMISSAS!$C$16)&lt;0,W239=""),0,(W239-13/12*Z239)*(1+PREMISSAS!$C$16))</f>
        <v>0</v>
      </c>
      <c r="X240" s="140">
        <f ca="1">IF(OR((X239-13/12*AA239)*(1+PREMISSAS!$C$16)&lt;0,X239=""),0,(X239-13/12*AA239)*(1+PREMISSAS!$C$16))</f>
        <v>0</v>
      </c>
      <c r="Y240" s="140">
        <f t="shared" ca="1" si="27"/>
        <v>0</v>
      </c>
      <c r="Z240" s="167">
        <f t="shared" ca="1" si="30"/>
        <v>0</v>
      </c>
      <c r="AA240" s="167">
        <f t="shared" ca="1" si="31"/>
        <v>0</v>
      </c>
    </row>
    <row r="241" spans="2:27" x14ac:dyDescent="0.25">
      <c r="B241" s="21" t="str">
        <f ca="1">IF(B240="","",IF(EOMONTH(B240,1)&gt;EOMONTH(ELEGIBILIDADE!$J$17,0),"",EOMONTH(B240,1)))</f>
        <v/>
      </c>
      <c r="C241" s="22" t="str">
        <f ca="1">IF(B241="","",IF(MONTH(B241)=1,C240*(1+PREMISSAS!$C$57),C240))</f>
        <v/>
      </c>
      <c r="D241" s="22">
        <f ca="1">IF(RESULTADOS!$C$17="Normal",IFERROR(MAX(C241-PREMISSAS!$C$13,0),0),IF(Painel!$I$23=0,0,MAX(10*PREMISSAS!$C$38,RESULTADOS!$F$17)))</f>
        <v>0</v>
      </c>
      <c r="E241" s="4">
        <f ca="1">D241*IF(RESULTADOS!$C$17="Normal",RESULTADOS!$C$16,0)</f>
        <v>0</v>
      </c>
      <c r="F241" s="4">
        <f ca="1">IFERROR(IF(RESULTADOS!$C$17="Normal",D241,C241)*RESULTADOS!$C$18,0)</f>
        <v>0</v>
      </c>
      <c r="G241" s="4">
        <f ca="1">IFERROR(IF(RESULTADOS!$C$17="Normal",0,D241)*IF(RESULTADOS!$C$17="Normal",RESULTADOS!$C$18,RESULTADOS!$C$16),0)</f>
        <v>0</v>
      </c>
      <c r="H241" s="4">
        <f ca="1">IF(RESULTADOS!$C$17="Normal",E241,0)</f>
        <v>0</v>
      </c>
      <c r="I241" s="4">
        <f ca="1">(E241+H241+G241)*PREMISSAS!$C$60</f>
        <v>0</v>
      </c>
      <c r="J241" s="4">
        <f ca="1">D241*IF(RESULTADOS!$C$17="Normal",PREMISSAS!$C$62,0)</f>
        <v>0</v>
      </c>
      <c r="K241" s="116">
        <f ca="1">IFERROR(K240*(1+PREMISSAS!$C$18)+(E241+H241-IF(RESULTADOS!$C$17="Normal",I241,0)-J241)*IF(MONTH(B241)=12,2,1),0)</f>
        <v>0</v>
      </c>
      <c r="L241" s="116">
        <f ca="1">IFERROR((L240+G241-IF(RESULTADOS!$C$17="Normal",0,I241))*(1+PREMISSAS!$C$18)+F241,0)</f>
        <v>0</v>
      </c>
      <c r="N241" s="73">
        <f t="shared" ca="1" si="24"/>
        <v>0</v>
      </c>
      <c r="P241" s="164" t="str">
        <f t="shared" ca="1" si="25"/>
        <v/>
      </c>
      <c r="Q241" s="140" t="str">
        <f ca="1">IF(C241="","",Q240+(E241+H241-IF(RESULTADOS!$C$17="Normal",I241,0)-J241)/2+(F241+G241-IF(RESULTADOS!$C$17="Normal",0,I241)))</f>
        <v/>
      </c>
      <c r="R241" s="140" t="str">
        <f ca="1">IF(C241="","",R240+(E241+H241-IF(RESULTADOS!$C$17="Normal",I241,0)-J241)/2)</f>
        <v/>
      </c>
      <c r="S241" s="140">
        <f t="shared" ca="1" si="28"/>
        <v>0</v>
      </c>
      <c r="U241" s="164" t="str">
        <f t="shared" ca="1" si="29"/>
        <v/>
      </c>
      <c r="V241" s="164" t="str">
        <f t="shared" ca="1" si="26"/>
        <v/>
      </c>
      <c r="W241" s="140">
        <f ca="1">IF(OR((W240-13/12*Z240)*(1+PREMISSAS!$C$16)&lt;0,W240=""),0,(W240-13/12*Z240)*(1+PREMISSAS!$C$16))</f>
        <v>0</v>
      </c>
      <c r="X241" s="140">
        <f ca="1">IF(OR((X240-13/12*AA240)*(1+PREMISSAS!$C$16)&lt;0,X240=""),0,(X240-13/12*AA240)*(1+PREMISSAS!$C$16))</f>
        <v>0</v>
      </c>
      <c r="Y241" s="140">
        <f t="shared" ca="1" si="27"/>
        <v>0</v>
      </c>
      <c r="Z241" s="167">
        <f t="shared" ca="1" si="30"/>
        <v>0</v>
      </c>
      <c r="AA241" s="167">
        <f t="shared" ca="1" si="31"/>
        <v>0</v>
      </c>
    </row>
    <row r="242" spans="2:27" x14ac:dyDescent="0.25">
      <c r="B242" s="21" t="str">
        <f ca="1">IF(B241="","",IF(EOMONTH(B241,1)&gt;EOMONTH(ELEGIBILIDADE!$J$17,0),"",EOMONTH(B241,1)))</f>
        <v/>
      </c>
      <c r="C242" s="22" t="str">
        <f ca="1">IF(B242="","",IF(MONTH(B242)=1,C241*(1+PREMISSAS!$C$57),C241))</f>
        <v/>
      </c>
      <c r="D242" s="22">
        <f ca="1">IF(RESULTADOS!$C$17="Normal",IFERROR(MAX(C242-PREMISSAS!$C$13,0),0),IF(Painel!$I$23=0,0,MAX(10*PREMISSAS!$C$38,RESULTADOS!$F$17)))</f>
        <v>0</v>
      </c>
      <c r="E242" s="4">
        <f ca="1">D242*IF(RESULTADOS!$C$17="Normal",RESULTADOS!$C$16,0)</f>
        <v>0</v>
      </c>
      <c r="F242" s="4">
        <f ca="1">IFERROR(IF(RESULTADOS!$C$17="Normal",D242,C242)*RESULTADOS!$C$18,0)</f>
        <v>0</v>
      </c>
      <c r="G242" s="4">
        <f ca="1">IFERROR(IF(RESULTADOS!$C$17="Normal",0,D242)*IF(RESULTADOS!$C$17="Normal",RESULTADOS!$C$18,RESULTADOS!$C$16),0)</f>
        <v>0</v>
      </c>
      <c r="H242" s="4">
        <f ca="1">IF(RESULTADOS!$C$17="Normal",E242,0)</f>
        <v>0</v>
      </c>
      <c r="I242" s="4">
        <f ca="1">(E242+H242+G242)*PREMISSAS!$C$60</f>
        <v>0</v>
      </c>
      <c r="J242" s="4">
        <f ca="1">D242*IF(RESULTADOS!$C$17="Normal",PREMISSAS!$C$62,0)</f>
        <v>0</v>
      </c>
      <c r="K242" s="116">
        <f ca="1">IFERROR(K241*(1+PREMISSAS!$C$18)+(E242+H242-IF(RESULTADOS!$C$17="Normal",I242,0)-J242)*IF(MONTH(B242)=12,2,1),0)</f>
        <v>0</v>
      </c>
      <c r="L242" s="116">
        <f ca="1">IFERROR((L241+G242-IF(RESULTADOS!$C$17="Normal",0,I242))*(1+PREMISSAS!$C$18)+F242,0)</f>
        <v>0</v>
      </c>
      <c r="N242" s="73">
        <f t="shared" ca="1" si="24"/>
        <v>0</v>
      </c>
      <c r="P242" s="164" t="str">
        <f t="shared" ca="1" si="25"/>
        <v/>
      </c>
      <c r="Q242" s="140" t="str">
        <f ca="1">IF(C242="","",Q241+(E242+H242-IF(RESULTADOS!$C$17="Normal",I242,0)-J242)/2+(F242+G242-IF(RESULTADOS!$C$17="Normal",0,I242)))</f>
        <v/>
      </c>
      <c r="R242" s="140" t="str">
        <f ca="1">IF(C242="","",R241+(E242+H242-IF(RESULTADOS!$C$17="Normal",I242,0)-J242)/2)</f>
        <v/>
      </c>
      <c r="S242" s="140">
        <f t="shared" ca="1" si="28"/>
        <v>0</v>
      </c>
      <c r="U242" s="164" t="str">
        <f t="shared" ca="1" si="29"/>
        <v/>
      </c>
      <c r="V242" s="164" t="str">
        <f t="shared" ca="1" si="26"/>
        <v/>
      </c>
      <c r="W242" s="140">
        <f ca="1">IF(OR((W241-13/12*Z241)*(1+PREMISSAS!$C$16)&lt;0,W241=""),0,(W241-13/12*Z241)*(1+PREMISSAS!$C$16))</f>
        <v>0</v>
      </c>
      <c r="X242" s="140">
        <f ca="1">IF(OR((X241-13/12*AA241)*(1+PREMISSAS!$C$16)&lt;0,X241=""),0,(X241-13/12*AA241)*(1+PREMISSAS!$C$16))</f>
        <v>0</v>
      </c>
      <c r="Y242" s="140">
        <f t="shared" ca="1" si="27"/>
        <v>0</v>
      </c>
      <c r="Z242" s="167">
        <f t="shared" ca="1" si="30"/>
        <v>0</v>
      </c>
      <c r="AA242" s="167">
        <f t="shared" ca="1" si="31"/>
        <v>0</v>
      </c>
    </row>
    <row r="243" spans="2:27" x14ac:dyDescent="0.25">
      <c r="B243" s="21" t="str">
        <f ca="1">IF(B242="","",IF(EOMONTH(B242,1)&gt;EOMONTH(ELEGIBILIDADE!$J$17,0),"",EOMONTH(B242,1)))</f>
        <v/>
      </c>
      <c r="C243" s="22" t="str">
        <f ca="1">IF(B243="","",IF(MONTH(B243)=1,C242*(1+PREMISSAS!$C$57),C242))</f>
        <v/>
      </c>
      <c r="D243" s="22">
        <f ca="1">IF(RESULTADOS!$C$17="Normal",IFERROR(MAX(C243-PREMISSAS!$C$13,0),0),IF(Painel!$I$23=0,0,MAX(10*PREMISSAS!$C$38,RESULTADOS!$F$17)))</f>
        <v>0</v>
      </c>
      <c r="E243" s="4">
        <f ca="1">D243*IF(RESULTADOS!$C$17="Normal",RESULTADOS!$C$16,0)</f>
        <v>0</v>
      </c>
      <c r="F243" s="4">
        <f ca="1">IFERROR(IF(RESULTADOS!$C$17="Normal",D243,C243)*RESULTADOS!$C$18,0)</f>
        <v>0</v>
      </c>
      <c r="G243" s="4">
        <f ca="1">IFERROR(IF(RESULTADOS!$C$17="Normal",0,D243)*IF(RESULTADOS!$C$17="Normal",RESULTADOS!$C$18,RESULTADOS!$C$16),0)</f>
        <v>0</v>
      </c>
      <c r="H243" s="4">
        <f ca="1">IF(RESULTADOS!$C$17="Normal",E243,0)</f>
        <v>0</v>
      </c>
      <c r="I243" s="4">
        <f ca="1">(E243+H243+G243)*PREMISSAS!$C$60</f>
        <v>0</v>
      </c>
      <c r="J243" s="4">
        <f ca="1">D243*IF(RESULTADOS!$C$17="Normal",PREMISSAS!$C$62,0)</f>
        <v>0</v>
      </c>
      <c r="K243" s="116">
        <f ca="1">IFERROR(K242*(1+PREMISSAS!$C$18)+(E243+H243-IF(RESULTADOS!$C$17="Normal",I243,0)-J243)*IF(MONTH(B243)=12,2,1),0)</f>
        <v>0</v>
      </c>
      <c r="L243" s="116">
        <f ca="1">IFERROR((L242+G243-IF(RESULTADOS!$C$17="Normal",0,I243))*(1+PREMISSAS!$C$18)+F243,0)</f>
        <v>0</v>
      </c>
      <c r="N243" s="73">
        <f t="shared" ca="1" si="24"/>
        <v>0</v>
      </c>
      <c r="P243" s="164" t="str">
        <f t="shared" ca="1" si="25"/>
        <v/>
      </c>
      <c r="Q243" s="140" t="str">
        <f ca="1">IF(C243="","",Q242+(E243+H243-IF(RESULTADOS!$C$17="Normal",I243,0)-J243)/2+(F243+G243-IF(RESULTADOS!$C$17="Normal",0,I243)))</f>
        <v/>
      </c>
      <c r="R243" s="140" t="str">
        <f ca="1">IF(C243="","",R242+(E243+H243-IF(RESULTADOS!$C$17="Normal",I243,0)-J243)/2)</f>
        <v/>
      </c>
      <c r="S243" s="140">
        <f t="shared" ca="1" si="28"/>
        <v>0</v>
      </c>
      <c r="U243" s="164" t="str">
        <f t="shared" ca="1" si="29"/>
        <v/>
      </c>
      <c r="V243" s="164" t="str">
        <f t="shared" ca="1" si="26"/>
        <v/>
      </c>
      <c r="W243" s="140">
        <f ca="1">IF(OR((W242-13/12*Z242)*(1+PREMISSAS!$C$16)&lt;0,W242=""),0,(W242-13/12*Z242)*(1+PREMISSAS!$C$16))</f>
        <v>0</v>
      </c>
      <c r="X243" s="140">
        <f ca="1">IF(OR((X242-13/12*AA242)*(1+PREMISSAS!$C$16)&lt;0,X242=""),0,(X242-13/12*AA242)*(1+PREMISSAS!$C$16))</f>
        <v>0</v>
      </c>
      <c r="Y243" s="140">
        <f t="shared" ca="1" si="27"/>
        <v>0</v>
      </c>
      <c r="Z243" s="167">
        <f t="shared" ca="1" si="30"/>
        <v>0</v>
      </c>
      <c r="AA243" s="167">
        <f t="shared" ca="1" si="31"/>
        <v>0</v>
      </c>
    </row>
    <row r="244" spans="2:27" x14ac:dyDescent="0.25">
      <c r="B244" s="21" t="str">
        <f ca="1">IF(B243="","",IF(EOMONTH(B243,1)&gt;EOMONTH(ELEGIBILIDADE!$J$17,0),"",EOMONTH(B243,1)))</f>
        <v/>
      </c>
      <c r="C244" s="22" t="str">
        <f ca="1">IF(B244="","",IF(MONTH(B244)=1,C243*(1+PREMISSAS!$C$57),C243))</f>
        <v/>
      </c>
      <c r="D244" s="22">
        <f ca="1">IF(RESULTADOS!$C$17="Normal",IFERROR(MAX(C244-PREMISSAS!$C$13,0),0),IF(Painel!$I$23=0,0,MAX(10*PREMISSAS!$C$38,RESULTADOS!$F$17)))</f>
        <v>0</v>
      </c>
      <c r="E244" s="4">
        <f ca="1">D244*IF(RESULTADOS!$C$17="Normal",RESULTADOS!$C$16,0)</f>
        <v>0</v>
      </c>
      <c r="F244" s="4">
        <f ca="1">IFERROR(IF(RESULTADOS!$C$17="Normal",D244,C244)*RESULTADOS!$C$18,0)</f>
        <v>0</v>
      </c>
      <c r="G244" s="4">
        <f ca="1">IFERROR(IF(RESULTADOS!$C$17="Normal",0,D244)*IF(RESULTADOS!$C$17="Normal",RESULTADOS!$C$18,RESULTADOS!$C$16),0)</f>
        <v>0</v>
      </c>
      <c r="H244" s="4">
        <f ca="1">IF(RESULTADOS!$C$17="Normal",E244,0)</f>
        <v>0</v>
      </c>
      <c r="I244" s="4">
        <f ca="1">(E244+H244+G244)*PREMISSAS!$C$60</f>
        <v>0</v>
      </c>
      <c r="J244" s="4">
        <f ca="1">D244*IF(RESULTADOS!$C$17="Normal",PREMISSAS!$C$62,0)</f>
        <v>0</v>
      </c>
      <c r="K244" s="116">
        <f ca="1">IFERROR(K243*(1+PREMISSAS!$C$18)+(E244+H244-IF(RESULTADOS!$C$17="Normal",I244,0)-J244)*IF(MONTH(B244)=12,2,1),0)</f>
        <v>0</v>
      </c>
      <c r="L244" s="116">
        <f ca="1">IFERROR((L243+G244-IF(RESULTADOS!$C$17="Normal",0,I244))*(1+PREMISSAS!$C$18)+F244,0)</f>
        <v>0</v>
      </c>
      <c r="N244" s="73">
        <f t="shared" ca="1" si="24"/>
        <v>0</v>
      </c>
      <c r="P244" s="164" t="str">
        <f t="shared" ca="1" si="25"/>
        <v/>
      </c>
      <c r="Q244" s="140" t="str">
        <f ca="1">IF(C244="","",Q243+(E244+H244-IF(RESULTADOS!$C$17="Normal",I244,0)-J244)/2+(F244+G244-IF(RESULTADOS!$C$17="Normal",0,I244)))</f>
        <v/>
      </c>
      <c r="R244" s="140" t="str">
        <f ca="1">IF(C244="","",R243+(E244+H244-IF(RESULTADOS!$C$17="Normal",I244,0)-J244)/2)</f>
        <v/>
      </c>
      <c r="S244" s="140">
        <f t="shared" ca="1" si="28"/>
        <v>0</v>
      </c>
      <c r="U244" s="164" t="str">
        <f t="shared" ca="1" si="29"/>
        <v/>
      </c>
      <c r="V244" s="164" t="str">
        <f t="shared" ca="1" si="26"/>
        <v/>
      </c>
      <c r="W244" s="140">
        <f ca="1">IF(OR((W243-13/12*Z243)*(1+PREMISSAS!$C$16)&lt;0,W243=""),0,(W243-13/12*Z243)*(1+PREMISSAS!$C$16))</f>
        <v>0</v>
      </c>
      <c r="X244" s="140">
        <f ca="1">IF(OR((X243-13/12*AA243)*(1+PREMISSAS!$C$16)&lt;0,X243=""),0,(X243-13/12*AA243)*(1+PREMISSAS!$C$16))</f>
        <v>0</v>
      </c>
      <c r="Y244" s="140">
        <f t="shared" ca="1" si="27"/>
        <v>0</v>
      </c>
      <c r="Z244" s="167">
        <f t="shared" ca="1" si="30"/>
        <v>0</v>
      </c>
      <c r="AA244" s="167">
        <f t="shared" ca="1" si="31"/>
        <v>0</v>
      </c>
    </row>
    <row r="245" spans="2:27" x14ac:dyDescent="0.25">
      <c r="B245" s="21" t="str">
        <f ca="1">IF(B244="","",IF(EOMONTH(B244,1)&gt;EOMONTH(ELEGIBILIDADE!$J$17,0),"",EOMONTH(B244,1)))</f>
        <v/>
      </c>
      <c r="C245" s="22" t="str">
        <f ca="1">IF(B245="","",IF(MONTH(B245)=1,C244*(1+PREMISSAS!$C$57),C244))</f>
        <v/>
      </c>
      <c r="D245" s="22">
        <f ca="1">IF(RESULTADOS!$C$17="Normal",IFERROR(MAX(C245-PREMISSAS!$C$13,0),0),IF(Painel!$I$23=0,0,MAX(10*PREMISSAS!$C$38,RESULTADOS!$F$17)))</f>
        <v>0</v>
      </c>
      <c r="E245" s="4">
        <f ca="1">D245*IF(RESULTADOS!$C$17="Normal",RESULTADOS!$C$16,0)</f>
        <v>0</v>
      </c>
      <c r="F245" s="4">
        <f ca="1">IFERROR(IF(RESULTADOS!$C$17="Normal",D245,C245)*RESULTADOS!$C$18,0)</f>
        <v>0</v>
      </c>
      <c r="G245" s="4">
        <f ca="1">IFERROR(IF(RESULTADOS!$C$17="Normal",0,D245)*IF(RESULTADOS!$C$17="Normal",RESULTADOS!$C$18,RESULTADOS!$C$16),0)</f>
        <v>0</v>
      </c>
      <c r="H245" s="4">
        <f ca="1">IF(RESULTADOS!$C$17="Normal",E245,0)</f>
        <v>0</v>
      </c>
      <c r="I245" s="4">
        <f ca="1">(E245+H245+G245)*PREMISSAS!$C$60</f>
        <v>0</v>
      </c>
      <c r="J245" s="4">
        <f ca="1">D245*IF(RESULTADOS!$C$17="Normal",PREMISSAS!$C$62,0)</f>
        <v>0</v>
      </c>
      <c r="K245" s="116">
        <f ca="1">IFERROR(K244*(1+PREMISSAS!$C$18)+(E245+H245-IF(RESULTADOS!$C$17="Normal",I245,0)-J245)*IF(MONTH(B245)=12,2,1),0)</f>
        <v>0</v>
      </c>
      <c r="L245" s="116">
        <f ca="1">IFERROR((L244+G245-IF(RESULTADOS!$C$17="Normal",0,I245))*(1+PREMISSAS!$C$18)+F245,0)</f>
        <v>0</v>
      </c>
      <c r="N245" s="73">
        <f t="shared" ca="1" si="24"/>
        <v>0</v>
      </c>
      <c r="P245" s="164" t="str">
        <f t="shared" ca="1" si="25"/>
        <v/>
      </c>
      <c r="Q245" s="140" t="str">
        <f ca="1">IF(C245="","",Q244+(E245+H245-IF(RESULTADOS!$C$17="Normal",I245,0)-J245)/2+(F245+G245-IF(RESULTADOS!$C$17="Normal",0,I245)))</f>
        <v/>
      </c>
      <c r="R245" s="140" t="str">
        <f ca="1">IF(C245="","",R244+(E245+H245-IF(RESULTADOS!$C$17="Normal",I245,0)-J245)/2)</f>
        <v/>
      </c>
      <c r="S245" s="140">
        <f t="shared" ca="1" si="28"/>
        <v>0</v>
      </c>
      <c r="U245" s="164" t="str">
        <f t="shared" ca="1" si="29"/>
        <v/>
      </c>
      <c r="V245" s="164" t="str">
        <f t="shared" ca="1" si="26"/>
        <v/>
      </c>
      <c r="W245" s="140">
        <f ca="1">IF(OR((W244-13/12*Z244)*(1+PREMISSAS!$C$16)&lt;0,W244=""),0,(W244-13/12*Z244)*(1+PREMISSAS!$C$16))</f>
        <v>0</v>
      </c>
      <c r="X245" s="140">
        <f ca="1">IF(OR((X244-13/12*AA244)*(1+PREMISSAS!$C$16)&lt;0,X244=""),0,(X244-13/12*AA244)*(1+PREMISSAS!$C$16))</f>
        <v>0</v>
      </c>
      <c r="Y245" s="140">
        <f t="shared" ca="1" si="27"/>
        <v>0</v>
      </c>
      <c r="Z245" s="167">
        <f t="shared" ca="1" si="30"/>
        <v>0</v>
      </c>
      <c r="AA245" s="167">
        <f t="shared" ca="1" si="31"/>
        <v>0</v>
      </c>
    </row>
    <row r="246" spans="2:27" x14ac:dyDescent="0.25">
      <c r="B246" s="21" t="str">
        <f ca="1">IF(B245="","",IF(EOMONTH(B245,1)&gt;EOMONTH(ELEGIBILIDADE!$J$17,0),"",EOMONTH(B245,1)))</f>
        <v/>
      </c>
      <c r="C246" s="22" t="str">
        <f ca="1">IF(B246="","",IF(MONTH(B246)=1,C245*(1+PREMISSAS!$C$57),C245))</f>
        <v/>
      </c>
      <c r="D246" s="22">
        <f ca="1">IF(RESULTADOS!$C$17="Normal",IFERROR(MAX(C246-PREMISSAS!$C$13,0),0),IF(Painel!$I$23=0,0,MAX(10*PREMISSAS!$C$38,RESULTADOS!$F$17)))</f>
        <v>0</v>
      </c>
      <c r="E246" s="4">
        <f ca="1">D246*IF(RESULTADOS!$C$17="Normal",RESULTADOS!$C$16,0)</f>
        <v>0</v>
      </c>
      <c r="F246" s="4">
        <f ca="1">IFERROR(IF(RESULTADOS!$C$17="Normal",D246,C246)*RESULTADOS!$C$18,0)</f>
        <v>0</v>
      </c>
      <c r="G246" s="4">
        <f ca="1">IFERROR(IF(RESULTADOS!$C$17="Normal",0,D246)*IF(RESULTADOS!$C$17="Normal",RESULTADOS!$C$18,RESULTADOS!$C$16),0)</f>
        <v>0</v>
      </c>
      <c r="H246" s="4">
        <f ca="1">IF(RESULTADOS!$C$17="Normal",E246,0)</f>
        <v>0</v>
      </c>
      <c r="I246" s="4">
        <f ca="1">(E246+H246+G246)*PREMISSAS!$C$60</f>
        <v>0</v>
      </c>
      <c r="J246" s="4">
        <f ca="1">D246*IF(RESULTADOS!$C$17="Normal",PREMISSAS!$C$62,0)</f>
        <v>0</v>
      </c>
      <c r="K246" s="116">
        <f ca="1">IFERROR(K245*(1+PREMISSAS!$C$18)+(E246+H246-IF(RESULTADOS!$C$17="Normal",I246,0)-J246)*IF(MONTH(B246)=12,2,1),0)</f>
        <v>0</v>
      </c>
      <c r="L246" s="116">
        <f ca="1">IFERROR((L245+G246-IF(RESULTADOS!$C$17="Normal",0,I246))*(1+PREMISSAS!$C$18)+F246,0)</f>
        <v>0</v>
      </c>
      <c r="N246" s="73">
        <f t="shared" ca="1" si="24"/>
        <v>0</v>
      </c>
      <c r="P246" s="164" t="str">
        <f t="shared" ca="1" si="25"/>
        <v/>
      </c>
      <c r="Q246" s="140" t="str">
        <f ca="1">IF(C246="","",Q245+(E246+H246-IF(RESULTADOS!$C$17="Normal",I246,0)-J246)/2+(F246+G246-IF(RESULTADOS!$C$17="Normal",0,I246)))</f>
        <v/>
      </c>
      <c r="R246" s="140" t="str">
        <f ca="1">IF(C246="","",R245+(E246+H246-IF(RESULTADOS!$C$17="Normal",I246,0)-J246)/2)</f>
        <v/>
      </c>
      <c r="S246" s="140">
        <f t="shared" ca="1" si="28"/>
        <v>0</v>
      </c>
      <c r="U246" s="164" t="str">
        <f t="shared" ca="1" si="29"/>
        <v/>
      </c>
      <c r="V246" s="164" t="str">
        <f t="shared" ca="1" si="26"/>
        <v/>
      </c>
      <c r="W246" s="140">
        <f ca="1">IF(OR((W245-13/12*Z245)*(1+PREMISSAS!$C$16)&lt;0,W245=""),0,(W245-13/12*Z245)*(1+PREMISSAS!$C$16))</f>
        <v>0</v>
      </c>
      <c r="X246" s="140">
        <f ca="1">IF(OR((X245-13/12*AA245)*(1+PREMISSAS!$C$16)&lt;0,X245=""),0,(X245-13/12*AA245)*(1+PREMISSAS!$C$16))</f>
        <v>0</v>
      </c>
      <c r="Y246" s="140">
        <f t="shared" ca="1" si="27"/>
        <v>0</v>
      </c>
      <c r="Z246" s="167">
        <f t="shared" ca="1" si="30"/>
        <v>0</v>
      </c>
      <c r="AA246" s="167">
        <f t="shared" ca="1" si="31"/>
        <v>0</v>
      </c>
    </row>
    <row r="247" spans="2:27" x14ac:dyDescent="0.25">
      <c r="B247" s="21" t="str">
        <f ca="1">IF(B246="","",IF(EOMONTH(B246,1)&gt;EOMONTH(ELEGIBILIDADE!$J$17,0),"",EOMONTH(B246,1)))</f>
        <v/>
      </c>
      <c r="C247" s="22" t="str">
        <f ca="1">IF(B247="","",IF(MONTH(B247)=1,C246*(1+PREMISSAS!$C$57),C246))</f>
        <v/>
      </c>
      <c r="D247" s="22">
        <f ca="1">IF(RESULTADOS!$C$17="Normal",IFERROR(MAX(C247-PREMISSAS!$C$13,0),0),IF(Painel!$I$23=0,0,MAX(10*PREMISSAS!$C$38,RESULTADOS!$F$17)))</f>
        <v>0</v>
      </c>
      <c r="E247" s="4">
        <f ca="1">D247*IF(RESULTADOS!$C$17="Normal",RESULTADOS!$C$16,0)</f>
        <v>0</v>
      </c>
      <c r="F247" s="4">
        <f ca="1">IFERROR(IF(RESULTADOS!$C$17="Normal",D247,C247)*RESULTADOS!$C$18,0)</f>
        <v>0</v>
      </c>
      <c r="G247" s="4">
        <f ca="1">IFERROR(IF(RESULTADOS!$C$17="Normal",0,D247)*IF(RESULTADOS!$C$17="Normal",RESULTADOS!$C$18,RESULTADOS!$C$16),0)</f>
        <v>0</v>
      </c>
      <c r="H247" s="4">
        <f ca="1">IF(RESULTADOS!$C$17="Normal",E247,0)</f>
        <v>0</v>
      </c>
      <c r="I247" s="4">
        <f ca="1">(E247+H247+G247)*PREMISSAS!$C$60</f>
        <v>0</v>
      </c>
      <c r="J247" s="4">
        <f ca="1">D247*IF(RESULTADOS!$C$17="Normal",PREMISSAS!$C$62,0)</f>
        <v>0</v>
      </c>
      <c r="K247" s="116">
        <f ca="1">IFERROR(K246*(1+PREMISSAS!$C$18)+(E247+H247-IF(RESULTADOS!$C$17="Normal",I247,0)-J247)*IF(MONTH(B247)=12,2,1),0)</f>
        <v>0</v>
      </c>
      <c r="L247" s="116">
        <f ca="1">IFERROR((L246+G247-IF(RESULTADOS!$C$17="Normal",0,I247))*(1+PREMISSAS!$C$18)+F247,0)</f>
        <v>0</v>
      </c>
      <c r="N247" s="73">
        <f t="shared" ca="1" si="24"/>
        <v>0</v>
      </c>
      <c r="P247" s="164" t="str">
        <f t="shared" ca="1" si="25"/>
        <v/>
      </c>
      <c r="Q247" s="140" t="str">
        <f ca="1">IF(C247="","",Q246+(E247+H247-IF(RESULTADOS!$C$17="Normal",I247,0)-J247)/2+(F247+G247-IF(RESULTADOS!$C$17="Normal",0,I247)))</f>
        <v/>
      </c>
      <c r="R247" s="140" t="str">
        <f ca="1">IF(C247="","",R246+(E247+H247-IF(RESULTADOS!$C$17="Normal",I247,0)-J247)/2)</f>
        <v/>
      </c>
      <c r="S247" s="140">
        <f t="shared" ca="1" si="28"/>
        <v>0</v>
      </c>
      <c r="U247" s="164" t="str">
        <f t="shared" ca="1" si="29"/>
        <v/>
      </c>
      <c r="V247" s="164" t="str">
        <f t="shared" ca="1" si="26"/>
        <v/>
      </c>
      <c r="W247" s="140">
        <f ca="1">IF(OR((W246-13/12*Z246)*(1+PREMISSAS!$C$16)&lt;0,W246=""),0,(W246-13/12*Z246)*(1+PREMISSAS!$C$16))</f>
        <v>0</v>
      </c>
      <c r="X247" s="140">
        <f ca="1">IF(OR((X246-13/12*AA246)*(1+PREMISSAS!$C$16)&lt;0,X246=""),0,(X246-13/12*AA246)*(1+PREMISSAS!$C$16))</f>
        <v>0</v>
      </c>
      <c r="Y247" s="140">
        <f t="shared" ca="1" si="27"/>
        <v>0</v>
      </c>
      <c r="Z247" s="167">
        <f t="shared" ca="1" si="30"/>
        <v>0</v>
      </c>
      <c r="AA247" s="167">
        <f t="shared" ca="1" si="31"/>
        <v>0</v>
      </c>
    </row>
    <row r="248" spans="2:27" x14ac:dyDescent="0.25">
      <c r="B248" s="21" t="str">
        <f ca="1">IF(B247="","",IF(EOMONTH(B247,1)&gt;EOMONTH(ELEGIBILIDADE!$J$17,0),"",EOMONTH(B247,1)))</f>
        <v/>
      </c>
      <c r="C248" s="22" t="str">
        <f ca="1">IF(B248="","",IF(MONTH(B248)=1,C247*(1+PREMISSAS!$C$57),C247))</f>
        <v/>
      </c>
      <c r="D248" s="22">
        <f ca="1">IF(RESULTADOS!$C$17="Normal",IFERROR(MAX(C248-PREMISSAS!$C$13,0),0),IF(Painel!$I$23=0,0,MAX(10*PREMISSAS!$C$38,RESULTADOS!$F$17)))</f>
        <v>0</v>
      </c>
      <c r="E248" s="4">
        <f ca="1">D248*IF(RESULTADOS!$C$17="Normal",RESULTADOS!$C$16,0)</f>
        <v>0</v>
      </c>
      <c r="F248" s="4">
        <f ca="1">IFERROR(IF(RESULTADOS!$C$17="Normal",D248,C248)*RESULTADOS!$C$18,0)</f>
        <v>0</v>
      </c>
      <c r="G248" s="4">
        <f ca="1">IFERROR(IF(RESULTADOS!$C$17="Normal",0,D248)*IF(RESULTADOS!$C$17="Normal",RESULTADOS!$C$18,RESULTADOS!$C$16),0)</f>
        <v>0</v>
      </c>
      <c r="H248" s="4">
        <f ca="1">IF(RESULTADOS!$C$17="Normal",E248,0)</f>
        <v>0</v>
      </c>
      <c r="I248" s="4">
        <f ca="1">(E248+H248+G248)*PREMISSAS!$C$60</f>
        <v>0</v>
      </c>
      <c r="J248" s="4">
        <f ca="1">D248*IF(RESULTADOS!$C$17="Normal",PREMISSAS!$C$62,0)</f>
        <v>0</v>
      </c>
      <c r="K248" s="116">
        <f ca="1">IFERROR(K247*(1+PREMISSAS!$C$18)+(E248+H248-IF(RESULTADOS!$C$17="Normal",I248,0)-J248)*IF(MONTH(B248)=12,2,1),0)</f>
        <v>0</v>
      </c>
      <c r="L248" s="116">
        <f ca="1">IFERROR((L247+G248-IF(RESULTADOS!$C$17="Normal",0,I248))*(1+PREMISSAS!$C$18)+F248,0)</f>
        <v>0</v>
      </c>
      <c r="N248" s="73">
        <f t="shared" ca="1" si="24"/>
        <v>0</v>
      </c>
      <c r="P248" s="164" t="str">
        <f t="shared" ca="1" si="25"/>
        <v/>
      </c>
      <c r="Q248" s="140" t="str">
        <f ca="1">IF(C248="","",Q247+(E248+H248-IF(RESULTADOS!$C$17="Normal",I248,0)-J248)/2+(F248+G248-IF(RESULTADOS!$C$17="Normal",0,I248)))</f>
        <v/>
      </c>
      <c r="R248" s="140" t="str">
        <f ca="1">IF(C248="","",R247+(E248+H248-IF(RESULTADOS!$C$17="Normal",I248,0)-J248)/2)</f>
        <v/>
      </c>
      <c r="S248" s="140">
        <f t="shared" ca="1" si="28"/>
        <v>0</v>
      </c>
      <c r="U248" s="164" t="str">
        <f t="shared" ca="1" si="29"/>
        <v/>
      </c>
      <c r="V248" s="164" t="str">
        <f t="shared" ca="1" si="26"/>
        <v/>
      </c>
      <c r="W248" s="140">
        <f ca="1">IF(OR((W247-13/12*Z247)*(1+PREMISSAS!$C$16)&lt;0,W247=""),0,(W247-13/12*Z247)*(1+PREMISSAS!$C$16))</f>
        <v>0</v>
      </c>
      <c r="X248" s="140">
        <f ca="1">IF(OR((X247-13/12*AA247)*(1+PREMISSAS!$C$16)&lt;0,X247=""),0,(X247-13/12*AA247)*(1+PREMISSAS!$C$16))</f>
        <v>0</v>
      </c>
      <c r="Y248" s="140">
        <f t="shared" ca="1" si="27"/>
        <v>0</v>
      </c>
      <c r="Z248" s="167">
        <f t="shared" ca="1" si="30"/>
        <v>0</v>
      </c>
      <c r="AA248" s="167">
        <f t="shared" ca="1" si="31"/>
        <v>0</v>
      </c>
    </row>
    <row r="249" spans="2:27" x14ac:dyDescent="0.25">
      <c r="B249" s="21" t="str">
        <f ca="1">IF(B248="","",IF(EOMONTH(B248,1)&gt;EOMONTH(ELEGIBILIDADE!$J$17,0),"",EOMONTH(B248,1)))</f>
        <v/>
      </c>
      <c r="C249" s="22" t="str">
        <f ca="1">IF(B249="","",IF(MONTH(B249)=1,C248*(1+PREMISSAS!$C$57),C248))</f>
        <v/>
      </c>
      <c r="D249" s="22">
        <f ca="1">IF(RESULTADOS!$C$17="Normal",IFERROR(MAX(C249-PREMISSAS!$C$13,0),0),IF(Painel!$I$23=0,0,MAX(10*PREMISSAS!$C$38,RESULTADOS!$F$17)))</f>
        <v>0</v>
      </c>
      <c r="E249" s="4">
        <f ca="1">D249*IF(RESULTADOS!$C$17="Normal",RESULTADOS!$C$16,0)</f>
        <v>0</v>
      </c>
      <c r="F249" s="4">
        <f ca="1">IFERROR(IF(RESULTADOS!$C$17="Normal",D249,C249)*RESULTADOS!$C$18,0)</f>
        <v>0</v>
      </c>
      <c r="G249" s="4">
        <f ca="1">IFERROR(IF(RESULTADOS!$C$17="Normal",0,D249)*IF(RESULTADOS!$C$17="Normal",RESULTADOS!$C$18,RESULTADOS!$C$16),0)</f>
        <v>0</v>
      </c>
      <c r="H249" s="4">
        <f ca="1">IF(RESULTADOS!$C$17="Normal",E249,0)</f>
        <v>0</v>
      </c>
      <c r="I249" s="4">
        <f ca="1">(E249+H249+G249)*PREMISSAS!$C$60</f>
        <v>0</v>
      </c>
      <c r="J249" s="4">
        <f ca="1">D249*IF(RESULTADOS!$C$17="Normal",PREMISSAS!$C$62,0)</f>
        <v>0</v>
      </c>
      <c r="K249" s="116">
        <f ca="1">IFERROR(K248*(1+PREMISSAS!$C$18)+(E249+H249-IF(RESULTADOS!$C$17="Normal",I249,0)-J249)*IF(MONTH(B249)=12,2,1),0)</f>
        <v>0</v>
      </c>
      <c r="L249" s="116">
        <f ca="1">IFERROR((L248+G249-IF(RESULTADOS!$C$17="Normal",0,I249))*(1+PREMISSAS!$C$18)+F249,0)</f>
        <v>0</v>
      </c>
      <c r="N249" s="73">
        <f t="shared" ca="1" si="24"/>
        <v>0</v>
      </c>
      <c r="P249" s="164" t="str">
        <f t="shared" ca="1" si="25"/>
        <v/>
      </c>
      <c r="Q249" s="140" t="str">
        <f ca="1">IF(C249="","",Q248+(E249+H249-IF(RESULTADOS!$C$17="Normal",I249,0)-J249)/2+(F249+G249-IF(RESULTADOS!$C$17="Normal",0,I249)))</f>
        <v/>
      </c>
      <c r="R249" s="140" t="str">
        <f ca="1">IF(C249="","",R248+(E249+H249-IF(RESULTADOS!$C$17="Normal",I249,0)-J249)/2)</f>
        <v/>
      </c>
      <c r="S249" s="140">
        <f t="shared" ca="1" si="28"/>
        <v>0</v>
      </c>
      <c r="U249" s="164" t="str">
        <f t="shared" ca="1" si="29"/>
        <v/>
      </c>
      <c r="V249" s="164" t="str">
        <f t="shared" ca="1" si="26"/>
        <v/>
      </c>
      <c r="W249" s="140">
        <f ca="1">IF(OR((W248-13/12*Z248)*(1+PREMISSAS!$C$16)&lt;0,W248=""),0,(W248-13/12*Z248)*(1+PREMISSAS!$C$16))</f>
        <v>0</v>
      </c>
      <c r="X249" s="140">
        <f ca="1">IF(OR((X248-13/12*AA248)*(1+PREMISSAS!$C$16)&lt;0,X248=""),0,(X248-13/12*AA248)*(1+PREMISSAS!$C$16))</f>
        <v>0</v>
      </c>
      <c r="Y249" s="140">
        <f t="shared" ca="1" si="27"/>
        <v>0</v>
      </c>
      <c r="Z249" s="167">
        <f t="shared" ca="1" si="30"/>
        <v>0</v>
      </c>
      <c r="AA249" s="167">
        <f t="shared" ca="1" si="31"/>
        <v>0</v>
      </c>
    </row>
    <row r="250" spans="2:27" x14ac:dyDescent="0.25">
      <c r="B250" s="21" t="str">
        <f ca="1">IF(B249="","",IF(EOMONTH(B249,1)&gt;EOMONTH(ELEGIBILIDADE!$J$17,0),"",EOMONTH(B249,1)))</f>
        <v/>
      </c>
      <c r="C250" s="22" t="str">
        <f ca="1">IF(B250="","",IF(MONTH(B250)=1,C249*(1+PREMISSAS!$C$57),C249))</f>
        <v/>
      </c>
      <c r="D250" s="22">
        <f ca="1">IF(RESULTADOS!$C$17="Normal",IFERROR(MAX(C250-PREMISSAS!$C$13,0),0),IF(Painel!$I$23=0,0,MAX(10*PREMISSAS!$C$38,RESULTADOS!$F$17)))</f>
        <v>0</v>
      </c>
      <c r="E250" s="4">
        <f ca="1">D250*IF(RESULTADOS!$C$17="Normal",RESULTADOS!$C$16,0)</f>
        <v>0</v>
      </c>
      <c r="F250" s="4">
        <f ca="1">IFERROR(IF(RESULTADOS!$C$17="Normal",D250,C250)*RESULTADOS!$C$18,0)</f>
        <v>0</v>
      </c>
      <c r="G250" s="4">
        <f ca="1">IFERROR(IF(RESULTADOS!$C$17="Normal",0,D250)*IF(RESULTADOS!$C$17="Normal",RESULTADOS!$C$18,RESULTADOS!$C$16),0)</f>
        <v>0</v>
      </c>
      <c r="H250" s="4">
        <f ca="1">IF(RESULTADOS!$C$17="Normal",E250,0)</f>
        <v>0</v>
      </c>
      <c r="I250" s="4">
        <f ca="1">(E250+H250+G250)*PREMISSAS!$C$60</f>
        <v>0</v>
      </c>
      <c r="J250" s="4">
        <f ca="1">D250*IF(RESULTADOS!$C$17="Normal",PREMISSAS!$C$62,0)</f>
        <v>0</v>
      </c>
      <c r="K250" s="116">
        <f ca="1">IFERROR(K249*(1+PREMISSAS!$C$18)+(E250+H250-IF(RESULTADOS!$C$17="Normal",I250,0)-J250)*IF(MONTH(B250)=12,2,1),0)</f>
        <v>0</v>
      </c>
      <c r="L250" s="116">
        <f ca="1">IFERROR((L249+G250-IF(RESULTADOS!$C$17="Normal",0,I250))*(1+PREMISSAS!$C$18)+F250,0)</f>
        <v>0</v>
      </c>
      <c r="N250" s="73">
        <f t="shared" ca="1" si="24"/>
        <v>0</v>
      </c>
      <c r="P250" s="164" t="str">
        <f t="shared" ca="1" si="25"/>
        <v/>
      </c>
      <c r="Q250" s="140" t="str">
        <f ca="1">IF(C250="","",Q249+(E250+H250-IF(RESULTADOS!$C$17="Normal",I250,0)-J250)/2+(F250+G250-IF(RESULTADOS!$C$17="Normal",0,I250)))</f>
        <v/>
      </c>
      <c r="R250" s="140" t="str">
        <f ca="1">IF(C250="","",R249+(E250+H250-IF(RESULTADOS!$C$17="Normal",I250,0)-J250)/2)</f>
        <v/>
      </c>
      <c r="S250" s="140">
        <f t="shared" ca="1" si="28"/>
        <v>0</v>
      </c>
      <c r="U250" s="164" t="str">
        <f t="shared" ca="1" si="29"/>
        <v/>
      </c>
      <c r="V250" s="164" t="str">
        <f t="shared" ca="1" si="26"/>
        <v/>
      </c>
      <c r="W250" s="140">
        <f ca="1">IF(OR((W249-13/12*Z249)*(1+PREMISSAS!$C$16)&lt;0,W249=""),0,(W249-13/12*Z249)*(1+PREMISSAS!$C$16))</f>
        <v>0</v>
      </c>
      <c r="X250" s="140">
        <f ca="1">IF(OR((X249-13/12*AA249)*(1+PREMISSAS!$C$16)&lt;0,X249=""),0,(X249-13/12*AA249)*(1+PREMISSAS!$C$16))</f>
        <v>0</v>
      </c>
      <c r="Y250" s="140">
        <f t="shared" ca="1" si="27"/>
        <v>0</v>
      </c>
      <c r="Z250" s="167">
        <f t="shared" ca="1" si="30"/>
        <v>0</v>
      </c>
      <c r="AA250" s="167">
        <f t="shared" ca="1" si="31"/>
        <v>0</v>
      </c>
    </row>
    <row r="251" spans="2:27" x14ac:dyDescent="0.25">
      <c r="B251" s="21" t="str">
        <f ca="1">IF(B250="","",IF(EOMONTH(B250,1)&gt;EOMONTH(ELEGIBILIDADE!$J$17,0),"",EOMONTH(B250,1)))</f>
        <v/>
      </c>
      <c r="C251" s="22" t="str">
        <f ca="1">IF(B251="","",IF(MONTH(B251)=1,C250*(1+PREMISSAS!$C$57),C250))</f>
        <v/>
      </c>
      <c r="D251" s="22">
        <f ca="1">IF(RESULTADOS!$C$17="Normal",IFERROR(MAX(C251-PREMISSAS!$C$13,0),0),IF(Painel!$I$23=0,0,MAX(10*PREMISSAS!$C$38,RESULTADOS!$F$17)))</f>
        <v>0</v>
      </c>
      <c r="E251" s="4">
        <f ca="1">D251*IF(RESULTADOS!$C$17="Normal",RESULTADOS!$C$16,0)</f>
        <v>0</v>
      </c>
      <c r="F251" s="4">
        <f ca="1">IFERROR(IF(RESULTADOS!$C$17="Normal",D251,C251)*RESULTADOS!$C$18,0)</f>
        <v>0</v>
      </c>
      <c r="G251" s="4">
        <f ca="1">IFERROR(IF(RESULTADOS!$C$17="Normal",0,D251)*IF(RESULTADOS!$C$17="Normal",RESULTADOS!$C$18,RESULTADOS!$C$16),0)</f>
        <v>0</v>
      </c>
      <c r="H251" s="4">
        <f ca="1">IF(RESULTADOS!$C$17="Normal",E251,0)</f>
        <v>0</v>
      </c>
      <c r="I251" s="4">
        <f ca="1">(E251+H251+G251)*PREMISSAS!$C$60</f>
        <v>0</v>
      </c>
      <c r="J251" s="4">
        <f ca="1">D251*IF(RESULTADOS!$C$17="Normal",PREMISSAS!$C$62,0)</f>
        <v>0</v>
      </c>
      <c r="K251" s="116">
        <f ca="1">IFERROR(K250*(1+PREMISSAS!$C$18)+(E251+H251-IF(RESULTADOS!$C$17="Normal",I251,0)-J251)*IF(MONTH(B251)=12,2,1),0)</f>
        <v>0</v>
      </c>
      <c r="L251" s="116">
        <f ca="1">IFERROR((L250+G251-IF(RESULTADOS!$C$17="Normal",0,I251))*(1+PREMISSAS!$C$18)+F251,0)</f>
        <v>0</v>
      </c>
      <c r="N251" s="73">
        <f t="shared" ca="1" si="24"/>
        <v>0</v>
      </c>
      <c r="P251" s="164" t="str">
        <f t="shared" ca="1" si="25"/>
        <v/>
      </c>
      <c r="Q251" s="140" t="str">
        <f ca="1">IF(C251="","",Q250+(E251+H251-IF(RESULTADOS!$C$17="Normal",I251,0)-J251)/2+(F251+G251-IF(RESULTADOS!$C$17="Normal",0,I251)))</f>
        <v/>
      </c>
      <c r="R251" s="140" t="str">
        <f ca="1">IF(C251="","",R250+(E251+H251-IF(RESULTADOS!$C$17="Normal",I251,0)-J251)/2)</f>
        <v/>
      </c>
      <c r="S251" s="140">
        <f t="shared" ca="1" si="28"/>
        <v>0</v>
      </c>
      <c r="U251" s="164" t="str">
        <f t="shared" ca="1" si="29"/>
        <v/>
      </c>
      <c r="V251" s="164" t="str">
        <f t="shared" ca="1" si="26"/>
        <v/>
      </c>
      <c r="W251" s="140">
        <f ca="1">IF(OR((W250-13/12*Z250)*(1+PREMISSAS!$C$16)&lt;0,W250=""),0,(W250-13/12*Z250)*(1+PREMISSAS!$C$16))</f>
        <v>0</v>
      </c>
      <c r="X251" s="140">
        <f ca="1">IF(OR((X250-13/12*AA250)*(1+PREMISSAS!$C$16)&lt;0,X250=""),0,(X250-13/12*AA250)*(1+PREMISSAS!$C$16))</f>
        <v>0</v>
      </c>
      <c r="Y251" s="140">
        <f t="shared" ca="1" si="27"/>
        <v>0</v>
      </c>
      <c r="Z251" s="167">
        <f t="shared" ca="1" si="30"/>
        <v>0</v>
      </c>
      <c r="AA251" s="167">
        <f t="shared" ca="1" si="31"/>
        <v>0</v>
      </c>
    </row>
    <row r="252" spans="2:27" x14ac:dyDescent="0.25">
      <c r="B252" s="21" t="str">
        <f ca="1">IF(B251="","",IF(EOMONTH(B251,1)&gt;EOMONTH(ELEGIBILIDADE!$J$17,0),"",EOMONTH(B251,1)))</f>
        <v/>
      </c>
      <c r="C252" s="22" t="str">
        <f ca="1">IF(B252="","",IF(MONTH(B252)=1,C251*(1+PREMISSAS!$C$57),C251))</f>
        <v/>
      </c>
      <c r="D252" s="22">
        <f ca="1">IF(RESULTADOS!$C$17="Normal",IFERROR(MAX(C252-PREMISSAS!$C$13,0),0),IF(Painel!$I$23=0,0,MAX(10*PREMISSAS!$C$38,RESULTADOS!$F$17)))</f>
        <v>0</v>
      </c>
      <c r="E252" s="4">
        <f ca="1">D252*IF(RESULTADOS!$C$17="Normal",RESULTADOS!$C$16,0)</f>
        <v>0</v>
      </c>
      <c r="F252" s="4">
        <f ca="1">IFERROR(IF(RESULTADOS!$C$17="Normal",D252,C252)*RESULTADOS!$C$18,0)</f>
        <v>0</v>
      </c>
      <c r="G252" s="4">
        <f ca="1">IFERROR(IF(RESULTADOS!$C$17="Normal",0,D252)*IF(RESULTADOS!$C$17="Normal",RESULTADOS!$C$18,RESULTADOS!$C$16),0)</f>
        <v>0</v>
      </c>
      <c r="H252" s="4">
        <f ca="1">IF(RESULTADOS!$C$17="Normal",E252,0)</f>
        <v>0</v>
      </c>
      <c r="I252" s="4">
        <f ca="1">(E252+H252+G252)*PREMISSAS!$C$60</f>
        <v>0</v>
      </c>
      <c r="J252" s="4">
        <f ca="1">D252*IF(RESULTADOS!$C$17="Normal",PREMISSAS!$C$62,0)</f>
        <v>0</v>
      </c>
      <c r="K252" s="116">
        <f ca="1">IFERROR(K251*(1+PREMISSAS!$C$18)+(E252+H252-IF(RESULTADOS!$C$17="Normal",I252,0)-J252)*IF(MONTH(B252)=12,2,1),0)</f>
        <v>0</v>
      </c>
      <c r="L252" s="116">
        <f ca="1">IFERROR((L251+G252-IF(RESULTADOS!$C$17="Normal",0,I252))*(1+PREMISSAS!$C$18)+F252,0)</f>
        <v>0</v>
      </c>
      <c r="N252" s="73">
        <f t="shared" ca="1" si="24"/>
        <v>0</v>
      </c>
      <c r="P252" s="164" t="str">
        <f t="shared" ca="1" si="25"/>
        <v/>
      </c>
      <c r="Q252" s="140" t="str">
        <f ca="1">IF(C252="","",Q251+(E252+H252-IF(RESULTADOS!$C$17="Normal",I252,0)-J252)/2+(F252+G252-IF(RESULTADOS!$C$17="Normal",0,I252)))</f>
        <v/>
      </c>
      <c r="R252" s="140" t="str">
        <f ca="1">IF(C252="","",R251+(E252+H252-IF(RESULTADOS!$C$17="Normal",I252,0)-J252)/2)</f>
        <v/>
      </c>
      <c r="S252" s="140">
        <f t="shared" ca="1" si="28"/>
        <v>0</v>
      </c>
      <c r="U252" s="164" t="str">
        <f t="shared" ca="1" si="29"/>
        <v/>
      </c>
      <c r="V252" s="164" t="str">
        <f t="shared" ca="1" si="26"/>
        <v/>
      </c>
      <c r="W252" s="140">
        <f ca="1">IF(OR((W251-13/12*Z251)*(1+PREMISSAS!$C$16)&lt;0,W251=""),0,(W251-13/12*Z251)*(1+PREMISSAS!$C$16))</f>
        <v>0</v>
      </c>
      <c r="X252" s="140">
        <f ca="1">IF(OR((X251-13/12*AA251)*(1+PREMISSAS!$C$16)&lt;0,X251=""),0,(X251-13/12*AA251)*(1+PREMISSAS!$C$16))</f>
        <v>0</v>
      </c>
      <c r="Y252" s="140">
        <f t="shared" ca="1" si="27"/>
        <v>0</v>
      </c>
      <c r="Z252" s="167">
        <f t="shared" ca="1" si="30"/>
        <v>0</v>
      </c>
      <c r="AA252" s="167">
        <f t="shared" ca="1" si="31"/>
        <v>0</v>
      </c>
    </row>
    <row r="253" spans="2:27" x14ac:dyDescent="0.25">
      <c r="B253" s="21" t="str">
        <f ca="1">IF(B252="","",IF(EOMONTH(B252,1)&gt;EOMONTH(ELEGIBILIDADE!$J$17,0),"",EOMONTH(B252,1)))</f>
        <v/>
      </c>
      <c r="C253" s="22" t="str">
        <f ca="1">IF(B253="","",IF(MONTH(B253)=1,C252*(1+PREMISSAS!$C$57),C252))</f>
        <v/>
      </c>
      <c r="D253" s="22">
        <f ca="1">IF(RESULTADOS!$C$17="Normal",IFERROR(MAX(C253-PREMISSAS!$C$13,0),0),IF(Painel!$I$23=0,0,MAX(10*PREMISSAS!$C$38,RESULTADOS!$F$17)))</f>
        <v>0</v>
      </c>
      <c r="E253" s="4">
        <f ca="1">D253*IF(RESULTADOS!$C$17="Normal",RESULTADOS!$C$16,0)</f>
        <v>0</v>
      </c>
      <c r="F253" s="4">
        <f ca="1">IFERROR(IF(RESULTADOS!$C$17="Normal",D253,C253)*RESULTADOS!$C$18,0)</f>
        <v>0</v>
      </c>
      <c r="G253" s="4">
        <f ca="1">IFERROR(IF(RESULTADOS!$C$17="Normal",0,D253)*IF(RESULTADOS!$C$17="Normal",RESULTADOS!$C$18,RESULTADOS!$C$16),0)</f>
        <v>0</v>
      </c>
      <c r="H253" s="4">
        <f ca="1">IF(RESULTADOS!$C$17="Normal",E253,0)</f>
        <v>0</v>
      </c>
      <c r="I253" s="4">
        <f ca="1">(E253+H253+G253)*PREMISSAS!$C$60</f>
        <v>0</v>
      </c>
      <c r="J253" s="4">
        <f ca="1">D253*IF(RESULTADOS!$C$17="Normal",PREMISSAS!$C$62,0)</f>
        <v>0</v>
      </c>
      <c r="K253" s="116">
        <f ca="1">IFERROR(K252*(1+PREMISSAS!$C$18)+(E253+H253-IF(RESULTADOS!$C$17="Normal",I253,0)-J253)*IF(MONTH(B253)=12,2,1),0)</f>
        <v>0</v>
      </c>
      <c r="L253" s="116">
        <f ca="1">IFERROR((L252+G253-IF(RESULTADOS!$C$17="Normal",0,I253))*(1+PREMISSAS!$C$18)+F253,0)</f>
        <v>0</v>
      </c>
      <c r="N253" s="73">
        <f t="shared" ca="1" si="24"/>
        <v>0</v>
      </c>
      <c r="P253" s="164" t="str">
        <f t="shared" ca="1" si="25"/>
        <v/>
      </c>
      <c r="Q253" s="140" t="str">
        <f ca="1">IF(C253="","",Q252+(E253+H253-IF(RESULTADOS!$C$17="Normal",I253,0)-J253)/2+(F253+G253-IF(RESULTADOS!$C$17="Normal",0,I253)))</f>
        <v/>
      </c>
      <c r="R253" s="140" t="str">
        <f ca="1">IF(C253="","",R252+(E253+H253-IF(RESULTADOS!$C$17="Normal",I253,0)-J253)/2)</f>
        <v/>
      </c>
      <c r="S253" s="140">
        <f t="shared" ca="1" si="28"/>
        <v>0</v>
      </c>
      <c r="U253" s="164" t="str">
        <f t="shared" ca="1" si="29"/>
        <v/>
      </c>
      <c r="V253" s="164" t="str">
        <f t="shared" ca="1" si="26"/>
        <v/>
      </c>
      <c r="W253" s="140">
        <f ca="1">IF(OR((W252-13/12*Z252)*(1+PREMISSAS!$C$16)&lt;0,W252=""),0,(W252-13/12*Z252)*(1+PREMISSAS!$C$16))</f>
        <v>0</v>
      </c>
      <c r="X253" s="140">
        <f ca="1">IF(OR((X252-13/12*AA252)*(1+PREMISSAS!$C$16)&lt;0,X252=""),0,(X252-13/12*AA252)*(1+PREMISSAS!$C$16))</f>
        <v>0</v>
      </c>
      <c r="Y253" s="140">
        <f t="shared" ca="1" si="27"/>
        <v>0</v>
      </c>
      <c r="Z253" s="167">
        <f t="shared" ca="1" si="30"/>
        <v>0</v>
      </c>
      <c r="AA253" s="167">
        <f t="shared" ca="1" si="31"/>
        <v>0</v>
      </c>
    </row>
    <row r="254" spans="2:27" x14ac:dyDescent="0.25">
      <c r="B254" s="21" t="str">
        <f ca="1">IF(B253="","",IF(EOMONTH(B253,1)&gt;EOMONTH(ELEGIBILIDADE!$J$17,0),"",EOMONTH(B253,1)))</f>
        <v/>
      </c>
      <c r="C254" s="22" t="str">
        <f ca="1">IF(B254="","",IF(MONTH(B254)=1,C253*(1+PREMISSAS!$C$57),C253))</f>
        <v/>
      </c>
      <c r="D254" s="22">
        <f ca="1">IF(RESULTADOS!$C$17="Normal",IFERROR(MAX(C254-PREMISSAS!$C$13,0),0),IF(Painel!$I$23=0,0,MAX(10*PREMISSAS!$C$38,RESULTADOS!$F$17)))</f>
        <v>0</v>
      </c>
      <c r="E254" s="4">
        <f ca="1">D254*IF(RESULTADOS!$C$17="Normal",RESULTADOS!$C$16,0)</f>
        <v>0</v>
      </c>
      <c r="F254" s="4">
        <f ca="1">IFERROR(IF(RESULTADOS!$C$17="Normal",D254,C254)*RESULTADOS!$C$18,0)</f>
        <v>0</v>
      </c>
      <c r="G254" s="4">
        <f ca="1">IFERROR(IF(RESULTADOS!$C$17="Normal",0,D254)*IF(RESULTADOS!$C$17="Normal",RESULTADOS!$C$18,RESULTADOS!$C$16),0)</f>
        <v>0</v>
      </c>
      <c r="H254" s="4">
        <f ca="1">IF(RESULTADOS!$C$17="Normal",E254,0)</f>
        <v>0</v>
      </c>
      <c r="I254" s="4">
        <f ca="1">(E254+H254+G254)*PREMISSAS!$C$60</f>
        <v>0</v>
      </c>
      <c r="J254" s="4">
        <f ca="1">D254*IF(RESULTADOS!$C$17="Normal",PREMISSAS!$C$62,0)</f>
        <v>0</v>
      </c>
      <c r="K254" s="116">
        <f ca="1">IFERROR(K253*(1+PREMISSAS!$C$18)+(E254+H254-IF(RESULTADOS!$C$17="Normal",I254,0)-J254)*IF(MONTH(B254)=12,2,1),0)</f>
        <v>0</v>
      </c>
      <c r="L254" s="116">
        <f ca="1">IFERROR((L253+G254-IF(RESULTADOS!$C$17="Normal",0,I254))*(1+PREMISSAS!$C$18)+F254,0)</f>
        <v>0</v>
      </c>
      <c r="N254" s="73">
        <f t="shared" ca="1" si="24"/>
        <v>0</v>
      </c>
      <c r="P254" s="164" t="str">
        <f t="shared" ca="1" si="25"/>
        <v/>
      </c>
      <c r="Q254" s="140" t="str">
        <f ca="1">IF(C254="","",Q253+(E254+H254-IF(RESULTADOS!$C$17="Normal",I254,0)-J254)/2+(F254+G254-IF(RESULTADOS!$C$17="Normal",0,I254)))</f>
        <v/>
      </c>
      <c r="R254" s="140" t="str">
        <f ca="1">IF(C254="","",R253+(E254+H254-IF(RESULTADOS!$C$17="Normal",I254,0)-J254)/2)</f>
        <v/>
      </c>
      <c r="S254" s="140">
        <f t="shared" ca="1" si="28"/>
        <v>0</v>
      </c>
      <c r="U254" s="164" t="str">
        <f t="shared" ca="1" si="29"/>
        <v/>
      </c>
      <c r="V254" s="164" t="str">
        <f t="shared" ca="1" si="26"/>
        <v/>
      </c>
      <c r="W254" s="140">
        <f ca="1">IF(OR((W253-13/12*Z253)*(1+PREMISSAS!$C$16)&lt;0,W253=""),0,(W253-13/12*Z253)*(1+PREMISSAS!$C$16))</f>
        <v>0</v>
      </c>
      <c r="X254" s="140">
        <f ca="1">IF(OR((X253-13/12*AA253)*(1+PREMISSAS!$C$16)&lt;0,X253=""),0,(X253-13/12*AA253)*(1+PREMISSAS!$C$16))</f>
        <v>0</v>
      </c>
      <c r="Y254" s="140">
        <f t="shared" ca="1" si="27"/>
        <v>0</v>
      </c>
      <c r="Z254" s="167">
        <f t="shared" ca="1" si="30"/>
        <v>0</v>
      </c>
      <c r="AA254" s="167">
        <f t="shared" ca="1" si="31"/>
        <v>0</v>
      </c>
    </row>
    <row r="255" spans="2:27" x14ac:dyDescent="0.25">
      <c r="B255" s="21" t="str">
        <f ca="1">IF(B254="","",IF(EOMONTH(B254,1)&gt;EOMONTH(ELEGIBILIDADE!$J$17,0),"",EOMONTH(B254,1)))</f>
        <v/>
      </c>
      <c r="C255" s="22" t="str">
        <f ca="1">IF(B255="","",IF(MONTH(B255)=1,C254*(1+PREMISSAS!$C$57),C254))</f>
        <v/>
      </c>
      <c r="D255" s="22">
        <f ca="1">IF(RESULTADOS!$C$17="Normal",IFERROR(MAX(C255-PREMISSAS!$C$13,0),0),IF(Painel!$I$23=0,0,MAX(10*PREMISSAS!$C$38,RESULTADOS!$F$17)))</f>
        <v>0</v>
      </c>
      <c r="E255" s="4">
        <f ca="1">D255*IF(RESULTADOS!$C$17="Normal",RESULTADOS!$C$16,0)</f>
        <v>0</v>
      </c>
      <c r="F255" s="4">
        <f ca="1">IFERROR(IF(RESULTADOS!$C$17="Normal",D255,C255)*RESULTADOS!$C$18,0)</f>
        <v>0</v>
      </c>
      <c r="G255" s="4">
        <f ca="1">IFERROR(IF(RESULTADOS!$C$17="Normal",0,D255)*IF(RESULTADOS!$C$17="Normal",RESULTADOS!$C$18,RESULTADOS!$C$16),0)</f>
        <v>0</v>
      </c>
      <c r="H255" s="4">
        <f ca="1">IF(RESULTADOS!$C$17="Normal",E255,0)</f>
        <v>0</v>
      </c>
      <c r="I255" s="4">
        <f ca="1">(E255+H255+G255)*PREMISSAS!$C$60</f>
        <v>0</v>
      </c>
      <c r="J255" s="4">
        <f ca="1">D255*IF(RESULTADOS!$C$17="Normal",PREMISSAS!$C$62,0)</f>
        <v>0</v>
      </c>
      <c r="K255" s="116">
        <f ca="1">IFERROR(K254*(1+PREMISSAS!$C$18)+(E255+H255-IF(RESULTADOS!$C$17="Normal",I255,0)-J255)*IF(MONTH(B255)=12,2,1),0)</f>
        <v>0</v>
      </c>
      <c r="L255" s="116">
        <f ca="1">IFERROR((L254+G255-IF(RESULTADOS!$C$17="Normal",0,I255))*(1+PREMISSAS!$C$18)+F255,0)</f>
        <v>0</v>
      </c>
      <c r="N255" s="73">
        <f t="shared" ca="1" si="24"/>
        <v>0</v>
      </c>
      <c r="P255" s="164" t="str">
        <f t="shared" ca="1" si="25"/>
        <v/>
      </c>
      <c r="Q255" s="140" t="str">
        <f ca="1">IF(C255="","",Q254+(E255+H255-IF(RESULTADOS!$C$17="Normal",I255,0)-J255)/2+(F255+G255-IF(RESULTADOS!$C$17="Normal",0,I255)))</f>
        <v/>
      </c>
      <c r="R255" s="140" t="str">
        <f ca="1">IF(C255="","",R254+(E255+H255-IF(RESULTADOS!$C$17="Normal",I255,0)-J255)/2)</f>
        <v/>
      </c>
      <c r="S255" s="140">
        <f t="shared" ca="1" si="28"/>
        <v>0</v>
      </c>
      <c r="U255" s="164" t="str">
        <f t="shared" ca="1" si="29"/>
        <v/>
      </c>
      <c r="V255" s="164" t="str">
        <f t="shared" ca="1" si="26"/>
        <v/>
      </c>
      <c r="W255" s="140">
        <f ca="1">IF(OR((W254-13/12*Z254)*(1+PREMISSAS!$C$16)&lt;0,W254=""),0,(W254-13/12*Z254)*(1+PREMISSAS!$C$16))</f>
        <v>0</v>
      </c>
      <c r="X255" s="140">
        <f ca="1">IF(OR((X254-13/12*AA254)*(1+PREMISSAS!$C$16)&lt;0,X254=""),0,(X254-13/12*AA254)*(1+PREMISSAS!$C$16))</f>
        <v>0</v>
      </c>
      <c r="Y255" s="140">
        <f t="shared" ca="1" si="27"/>
        <v>0</v>
      </c>
      <c r="Z255" s="167">
        <f t="shared" ca="1" si="30"/>
        <v>0</v>
      </c>
      <c r="AA255" s="167">
        <f t="shared" ca="1" si="31"/>
        <v>0</v>
      </c>
    </row>
    <row r="256" spans="2:27" x14ac:dyDescent="0.25">
      <c r="B256" s="21" t="str">
        <f ca="1">IF(B255="","",IF(EOMONTH(B255,1)&gt;EOMONTH(ELEGIBILIDADE!$J$17,0),"",EOMONTH(B255,1)))</f>
        <v/>
      </c>
      <c r="C256" s="22" t="str">
        <f ca="1">IF(B256="","",IF(MONTH(B256)=1,C255*(1+PREMISSAS!$C$57),C255))</f>
        <v/>
      </c>
      <c r="D256" s="22">
        <f ca="1">IF(RESULTADOS!$C$17="Normal",IFERROR(MAX(C256-PREMISSAS!$C$13,0),0),IF(Painel!$I$23=0,0,MAX(10*PREMISSAS!$C$38,RESULTADOS!$F$17)))</f>
        <v>0</v>
      </c>
      <c r="E256" s="4">
        <f ca="1">D256*IF(RESULTADOS!$C$17="Normal",RESULTADOS!$C$16,0)</f>
        <v>0</v>
      </c>
      <c r="F256" s="4">
        <f ca="1">IFERROR(IF(RESULTADOS!$C$17="Normal",D256,C256)*RESULTADOS!$C$18,0)</f>
        <v>0</v>
      </c>
      <c r="G256" s="4">
        <f ca="1">IFERROR(IF(RESULTADOS!$C$17="Normal",0,D256)*IF(RESULTADOS!$C$17="Normal",RESULTADOS!$C$18,RESULTADOS!$C$16),0)</f>
        <v>0</v>
      </c>
      <c r="H256" s="4">
        <f ca="1">IF(RESULTADOS!$C$17="Normal",E256,0)</f>
        <v>0</v>
      </c>
      <c r="I256" s="4">
        <f ca="1">(E256+H256+G256)*PREMISSAS!$C$60</f>
        <v>0</v>
      </c>
      <c r="J256" s="4">
        <f ca="1">D256*IF(RESULTADOS!$C$17="Normal",PREMISSAS!$C$62,0)</f>
        <v>0</v>
      </c>
      <c r="K256" s="116">
        <f ca="1">IFERROR(K255*(1+PREMISSAS!$C$18)+(E256+H256-IF(RESULTADOS!$C$17="Normal",I256,0)-J256)*IF(MONTH(B256)=12,2,1),0)</f>
        <v>0</v>
      </c>
      <c r="L256" s="116">
        <f ca="1">IFERROR((L255+G256-IF(RESULTADOS!$C$17="Normal",0,I256))*(1+PREMISSAS!$C$18)+F256,0)</f>
        <v>0</v>
      </c>
      <c r="N256" s="73">
        <f t="shared" ca="1" si="24"/>
        <v>0</v>
      </c>
      <c r="P256" s="164" t="str">
        <f t="shared" ca="1" si="25"/>
        <v/>
      </c>
      <c r="Q256" s="140" t="str">
        <f ca="1">IF(C256="","",Q255+(E256+H256-IF(RESULTADOS!$C$17="Normal",I256,0)-J256)/2+(F256+G256-IF(RESULTADOS!$C$17="Normal",0,I256)))</f>
        <v/>
      </c>
      <c r="R256" s="140" t="str">
        <f ca="1">IF(C256="","",R255+(E256+H256-IF(RESULTADOS!$C$17="Normal",I256,0)-J256)/2)</f>
        <v/>
      </c>
      <c r="S256" s="140">
        <f t="shared" ca="1" si="28"/>
        <v>0</v>
      </c>
      <c r="U256" s="164" t="str">
        <f t="shared" ca="1" si="29"/>
        <v/>
      </c>
      <c r="V256" s="164" t="str">
        <f t="shared" ca="1" si="26"/>
        <v/>
      </c>
      <c r="W256" s="140">
        <f ca="1">IF(OR((W255-13/12*Z255)*(1+PREMISSAS!$C$16)&lt;0,W255=""),0,(W255-13/12*Z255)*(1+PREMISSAS!$C$16))</f>
        <v>0</v>
      </c>
      <c r="X256" s="140">
        <f ca="1">IF(OR((X255-13/12*AA255)*(1+PREMISSAS!$C$16)&lt;0,X255=""),0,(X255-13/12*AA255)*(1+PREMISSAS!$C$16))</f>
        <v>0</v>
      </c>
      <c r="Y256" s="140">
        <f t="shared" ca="1" si="27"/>
        <v>0</v>
      </c>
      <c r="Z256" s="167">
        <f t="shared" ca="1" si="30"/>
        <v>0</v>
      </c>
      <c r="AA256" s="167">
        <f t="shared" ca="1" si="31"/>
        <v>0</v>
      </c>
    </row>
    <row r="257" spans="2:27" x14ac:dyDescent="0.25">
      <c r="B257" s="21" t="str">
        <f ca="1">IF(B256="","",IF(EOMONTH(B256,1)&gt;EOMONTH(ELEGIBILIDADE!$J$17,0),"",EOMONTH(B256,1)))</f>
        <v/>
      </c>
      <c r="C257" s="22" t="str">
        <f ca="1">IF(B257="","",IF(MONTH(B257)=1,C256*(1+PREMISSAS!$C$57),C256))</f>
        <v/>
      </c>
      <c r="D257" s="22">
        <f ca="1">IF(RESULTADOS!$C$17="Normal",IFERROR(MAX(C257-PREMISSAS!$C$13,0),0),IF(Painel!$I$23=0,0,MAX(10*PREMISSAS!$C$38,RESULTADOS!$F$17)))</f>
        <v>0</v>
      </c>
      <c r="E257" s="4">
        <f ca="1">D257*IF(RESULTADOS!$C$17="Normal",RESULTADOS!$C$16,0)</f>
        <v>0</v>
      </c>
      <c r="F257" s="4">
        <f ca="1">IFERROR(IF(RESULTADOS!$C$17="Normal",D257,C257)*RESULTADOS!$C$18,0)</f>
        <v>0</v>
      </c>
      <c r="G257" s="4">
        <f ca="1">IFERROR(IF(RESULTADOS!$C$17="Normal",0,D257)*IF(RESULTADOS!$C$17="Normal",RESULTADOS!$C$18,RESULTADOS!$C$16),0)</f>
        <v>0</v>
      </c>
      <c r="H257" s="4">
        <f ca="1">IF(RESULTADOS!$C$17="Normal",E257,0)</f>
        <v>0</v>
      </c>
      <c r="I257" s="4">
        <f ca="1">(E257+H257+G257)*PREMISSAS!$C$60</f>
        <v>0</v>
      </c>
      <c r="J257" s="4">
        <f ca="1">D257*IF(RESULTADOS!$C$17="Normal",PREMISSAS!$C$62,0)</f>
        <v>0</v>
      </c>
      <c r="K257" s="116">
        <f ca="1">IFERROR(K256*(1+PREMISSAS!$C$18)+(E257+H257-IF(RESULTADOS!$C$17="Normal",I257,0)-J257)*IF(MONTH(B257)=12,2,1),0)</f>
        <v>0</v>
      </c>
      <c r="L257" s="116">
        <f ca="1">IFERROR((L256+G257-IF(RESULTADOS!$C$17="Normal",0,I257))*(1+PREMISSAS!$C$18)+F257,0)</f>
        <v>0</v>
      </c>
      <c r="N257" s="73">
        <f t="shared" ca="1" si="24"/>
        <v>0</v>
      </c>
      <c r="P257" s="164" t="str">
        <f t="shared" ca="1" si="25"/>
        <v/>
      </c>
      <c r="Q257" s="140" t="str">
        <f ca="1">IF(C257="","",Q256+(E257+H257-IF(RESULTADOS!$C$17="Normal",I257,0)-J257)/2+(F257+G257-IF(RESULTADOS!$C$17="Normal",0,I257)))</f>
        <v/>
      </c>
      <c r="R257" s="140" t="str">
        <f ca="1">IF(C257="","",R256+(E257+H257-IF(RESULTADOS!$C$17="Normal",I257,0)-J257)/2)</f>
        <v/>
      </c>
      <c r="S257" s="140">
        <f t="shared" ca="1" si="28"/>
        <v>0</v>
      </c>
      <c r="U257" s="164" t="str">
        <f t="shared" ca="1" si="29"/>
        <v/>
      </c>
      <c r="V257" s="164" t="str">
        <f t="shared" ca="1" si="26"/>
        <v/>
      </c>
      <c r="W257" s="140">
        <f ca="1">IF(OR((W256-13/12*Z256)*(1+PREMISSAS!$C$16)&lt;0,W256=""),0,(W256-13/12*Z256)*(1+PREMISSAS!$C$16))</f>
        <v>0</v>
      </c>
      <c r="X257" s="140">
        <f ca="1">IF(OR((X256-13/12*AA256)*(1+PREMISSAS!$C$16)&lt;0,X256=""),0,(X256-13/12*AA256)*(1+PREMISSAS!$C$16))</f>
        <v>0</v>
      </c>
      <c r="Y257" s="140">
        <f t="shared" ca="1" si="27"/>
        <v>0</v>
      </c>
      <c r="Z257" s="167">
        <f t="shared" ca="1" si="30"/>
        <v>0</v>
      </c>
      <c r="AA257" s="167">
        <f t="shared" ca="1" si="31"/>
        <v>0</v>
      </c>
    </row>
    <row r="258" spans="2:27" x14ac:dyDescent="0.25">
      <c r="B258" s="21" t="str">
        <f ca="1">IF(B257="","",IF(EOMONTH(B257,1)&gt;EOMONTH(ELEGIBILIDADE!$J$17,0),"",EOMONTH(B257,1)))</f>
        <v/>
      </c>
      <c r="C258" s="22" t="str">
        <f ca="1">IF(B258="","",IF(MONTH(B258)=1,C257*(1+PREMISSAS!$C$57),C257))</f>
        <v/>
      </c>
      <c r="D258" s="22">
        <f ca="1">IF(RESULTADOS!$C$17="Normal",IFERROR(MAX(C258-PREMISSAS!$C$13,0),0),IF(Painel!$I$23=0,0,MAX(10*PREMISSAS!$C$38,RESULTADOS!$F$17)))</f>
        <v>0</v>
      </c>
      <c r="E258" s="4">
        <f ca="1">D258*IF(RESULTADOS!$C$17="Normal",RESULTADOS!$C$16,0)</f>
        <v>0</v>
      </c>
      <c r="F258" s="4">
        <f ca="1">IFERROR(IF(RESULTADOS!$C$17="Normal",D258,C258)*RESULTADOS!$C$18,0)</f>
        <v>0</v>
      </c>
      <c r="G258" s="4">
        <f ca="1">IFERROR(IF(RESULTADOS!$C$17="Normal",0,D258)*IF(RESULTADOS!$C$17="Normal",RESULTADOS!$C$18,RESULTADOS!$C$16),0)</f>
        <v>0</v>
      </c>
      <c r="H258" s="4">
        <f ca="1">IF(RESULTADOS!$C$17="Normal",E258,0)</f>
        <v>0</v>
      </c>
      <c r="I258" s="4">
        <f ca="1">(E258+H258+G258)*PREMISSAS!$C$60</f>
        <v>0</v>
      </c>
      <c r="J258" s="4">
        <f ca="1">D258*IF(RESULTADOS!$C$17="Normal",PREMISSAS!$C$62,0)</f>
        <v>0</v>
      </c>
      <c r="K258" s="116">
        <f ca="1">IFERROR(K257*(1+PREMISSAS!$C$18)+(E258+H258-IF(RESULTADOS!$C$17="Normal",I258,0)-J258)*IF(MONTH(B258)=12,2,1),0)</f>
        <v>0</v>
      </c>
      <c r="L258" s="116">
        <f ca="1">IFERROR((L257+G258-IF(RESULTADOS!$C$17="Normal",0,I258))*(1+PREMISSAS!$C$18)+F258,0)</f>
        <v>0</v>
      </c>
      <c r="N258" s="73">
        <f t="shared" ca="1" si="24"/>
        <v>0</v>
      </c>
      <c r="P258" s="164" t="str">
        <f t="shared" ca="1" si="25"/>
        <v/>
      </c>
      <c r="Q258" s="140" t="str">
        <f ca="1">IF(C258="","",Q257+(E258+H258-IF(RESULTADOS!$C$17="Normal",I258,0)-J258)/2+(F258+G258-IF(RESULTADOS!$C$17="Normal",0,I258)))</f>
        <v/>
      </c>
      <c r="R258" s="140" t="str">
        <f ca="1">IF(C258="","",R257+(E258+H258-IF(RESULTADOS!$C$17="Normal",I258,0)-J258)/2)</f>
        <v/>
      </c>
      <c r="S258" s="140">
        <f t="shared" ca="1" si="28"/>
        <v>0</v>
      </c>
      <c r="U258" s="164" t="str">
        <f t="shared" ca="1" si="29"/>
        <v/>
      </c>
      <c r="V258" s="164" t="str">
        <f t="shared" ca="1" si="26"/>
        <v/>
      </c>
      <c r="W258" s="140">
        <f ca="1">IF(OR((W257-13/12*Z257)*(1+PREMISSAS!$C$16)&lt;0,W257=""),0,(W257-13/12*Z257)*(1+PREMISSAS!$C$16))</f>
        <v>0</v>
      </c>
      <c r="X258" s="140">
        <f ca="1">IF(OR((X257-13/12*AA257)*(1+PREMISSAS!$C$16)&lt;0,X257=""),0,(X257-13/12*AA257)*(1+PREMISSAS!$C$16))</f>
        <v>0</v>
      </c>
      <c r="Y258" s="140">
        <f t="shared" ca="1" si="27"/>
        <v>0</v>
      </c>
      <c r="Z258" s="167">
        <f t="shared" ca="1" si="30"/>
        <v>0</v>
      </c>
      <c r="AA258" s="167">
        <f t="shared" ca="1" si="31"/>
        <v>0</v>
      </c>
    </row>
    <row r="259" spans="2:27" x14ac:dyDescent="0.25">
      <c r="B259" s="21" t="str">
        <f ca="1">IF(B258="","",IF(EOMONTH(B258,1)&gt;EOMONTH(ELEGIBILIDADE!$J$17,0),"",EOMONTH(B258,1)))</f>
        <v/>
      </c>
      <c r="C259" s="22" t="str">
        <f ca="1">IF(B259="","",IF(MONTH(B259)=1,C258*(1+PREMISSAS!$C$57),C258))</f>
        <v/>
      </c>
      <c r="D259" s="22">
        <f ca="1">IF(RESULTADOS!$C$17="Normal",IFERROR(MAX(C259-PREMISSAS!$C$13,0),0),IF(Painel!$I$23=0,0,MAX(10*PREMISSAS!$C$38,RESULTADOS!$F$17)))</f>
        <v>0</v>
      </c>
      <c r="E259" s="4">
        <f ca="1">D259*IF(RESULTADOS!$C$17="Normal",RESULTADOS!$C$16,0)</f>
        <v>0</v>
      </c>
      <c r="F259" s="4">
        <f ca="1">IFERROR(IF(RESULTADOS!$C$17="Normal",D259,C259)*RESULTADOS!$C$18,0)</f>
        <v>0</v>
      </c>
      <c r="G259" s="4">
        <f ca="1">IFERROR(IF(RESULTADOS!$C$17="Normal",0,D259)*IF(RESULTADOS!$C$17="Normal",RESULTADOS!$C$18,RESULTADOS!$C$16),0)</f>
        <v>0</v>
      </c>
      <c r="H259" s="4">
        <f ca="1">IF(RESULTADOS!$C$17="Normal",E259,0)</f>
        <v>0</v>
      </c>
      <c r="I259" s="4">
        <f ca="1">(E259+H259+G259)*PREMISSAS!$C$60</f>
        <v>0</v>
      </c>
      <c r="J259" s="4">
        <f ca="1">D259*IF(RESULTADOS!$C$17="Normal",PREMISSAS!$C$62,0)</f>
        <v>0</v>
      </c>
      <c r="K259" s="116">
        <f ca="1">IFERROR(K258*(1+PREMISSAS!$C$18)+(E259+H259-IF(RESULTADOS!$C$17="Normal",I259,0)-J259)*IF(MONTH(B259)=12,2,1),0)</f>
        <v>0</v>
      </c>
      <c r="L259" s="116">
        <f ca="1">IFERROR((L258+G259-IF(RESULTADOS!$C$17="Normal",0,I259))*(1+PREMISSAS!$C$18)+F259,0)</f>
        <v>0</v>
      </c>
      <c r="N259" s="73">
        <f t="shared" ca="1" si="24"/>
        <v>0</v>
      </c>
      <c r="P259" s="164" t="str">
        <f t="shared" ca="1" si="25"/>
        <v/>
      </c>
      <c r="Q259" s="140" t="str">
        <f ca="1">IF(C259="","",Q258+(E259+H259-IF(RESULTADOS!$C$17="Normal",I259,0)-J259)/2+(F259+G259-IF(RESULTADOS!$C$17="Normal",0,I259)))</f>
        <v/>
      </c>
      <c r="R259" s="140" t="str">
        <f ca="1">IF(C259="","",R258+(E259+H259-IF(RESULTADOS!$C$17="Normal",I259,0)-J259)/2)</f>
        <v/>
      </c>
      <c r="S259" s="140">
        <f t="shared" ca="1" si="28"/>
        <v>0</v>
      </c>
      <c r="U259" s="164" t="str">
        <f t="shared" ca="1" si="29"/>
        <v/>
      </c>
      <c r="V259" s="164" t="str">
        <f t="shared" ca="1" si="26"/>
        <v/>
      </c>
      <c r="W259" s="140">
        <f ca="1">IF(OR((W258-13/12*Z258)*(1+PREMISSAS!$C$16)&lt;0,W258=""),0,(W258-13/12*Z258)*(1+PREMISSAS!$C$16))</f>
        <v>0</v>
      </c>
      <c r="X259" s="140">
        <f ca="1">IF(OR((X258-13/12*AA258)*(1+PREMISSAS!$C$16)&lt;0,X258=""),0,(X258-13/12*AA258)*(1+PREMISSAS!$C$16))</f>
        <v>0</v>
      </c>
      <c r="Y259" s="140">
        <f t="shared" ca="1" si="27"/>
        <v>0</v>
      </c>
      <c r="Z259" s="167">
        <f t="shared" ca="1" si="30"/>
        <v>0</v>
      </c>
      <c r="AA259" s="167">
        <f t="shared" ca="1" si="31"/>
        <v>0</v>
      </c>
    </row>
    <row r="260" spans="2:27" x14ac:dyDescent="0.25">
      <c r="B260" s="21" t="str">
        <f ca="1">IF(B259="","",IF(EOMONTH(B259,1)&gt;EOMONTH(ELEGIBILIDADE!$J$17,0),"",EOMONTH(B259,1)))</f>
        <v/>
      </c>
      <c r="C260" s="22" t="str">
        <f ca="1">IF(B260="","",IF(MONTH(B260)=1,C259*(1+PREMISSAS!$C$57),C259))</f>
        <v/>
      </c>
      <c r="D260" s="22">
        <f ca="1">IF(RESULTADOS!$C$17="Normal",IFERROR(MAX(C260-PREMISSAS!$C$13,0),0),IF(Painel!$I$23=0,0,MAX(10*PREMISSAS!$C$38,RESULTADOS!$F$17)))</f>
        <v>0</v>
      </c>
      <c r="E260" s="4">
        <f ca="1">D260*IF(RESULTADOS!$C$17="Normal",RESULTADOS!$C$16,0)</f>
        <v>0</v>
      </c>
      <c r="F260" s="4">
        <f ca="1">IFERROR(IF(RESULTADOS!$C$17="Normal",D260,C260)*RESULTADOS!$C$18,0)</f>
        <v>0</v>
      </c>
      <c r="G260" s="4">
        <f ca="1">IFERROR(IF(RESULTADOS!$C$17="Normal",0,D260)*IF(RESULTADOS!$C$17="Normal",RESULTADOS!$C$18,RESULTADOS!$C$16),0)</f>
        <v>0</v>
      </c>
      <c r="H260" s="4">
        <f ca="1">IF(RESULTADOS!$C$17="Normal",E260,0)</f>
        <v>0</v>
      </c>
      <c r="I260" s="4">
        <f ca="1">(E260+H260+G260)*PREMISSAS!$C$60</f>
        <v>0</v>
      </c>
      <c r="J260" s="4">
        <f ca="1">D260*IF(RESULTADOS!$C$17="Normal",PREMISSAS!$C$62,0)</f>
        <v>0</v>
      </c>
      <c r="K260" s="116">
        <f ca="1">IFERROR(K259*(1+PREMISSAS!$C$18)+(E260+H260-IF(RESULTADOS!$C$17="Normal",I260,0)-J260)*IF(MONTH(B260)=12,2,1),0)</f>
        <v>0</v>
      </c>
      <c r="L260" s="116">
        <f ca="1">IFERROR((L259+G260-IF(RESULTADOS!$C$17="Normal",0,I260))*(1+PREMISSAS!$C$18)+F260,0)</f>
        <v>0</v>
      </c>
      <c r="N260" s="73">
        <f t="shared" ca="1" si="24"/>
        <v>0</v>
      </c>
      <c r="P260" s="164" t="str">
        <f t="shared" ca="1" si="25"/>
        <v/>
      </c>
      <c r="Q260" s="140" t="str">
        <f ca="1">IF(C260="","",Q259+(E260+H260-IF(RESULTADOS!$C$17="Normal",I260,0)-J260)/2+(F260+G260-IF(RESULTADOS!$C$17="Normal",0,I260)))</f>
        <v/>
      </c>
      <c r="R260" s="140" t="str">
        <f ca="1">IF(C260="","",R259+(E260+H260-IF(RESULTADOS!$C$17="Normal",I260,0)-J260)/2)</f>
        <v/>
      </c>
      <c r="S260" s="140">
        <f t="shared" ca="1" si="28"/>
        <v>0</v>
      </c>
      <c r="U260" s="164" t="str">
        <f t="shared" ca="1" si="29"/>
        <v/>
      </c>
      <c r="V260" s="164" t="str">
        <f t="shared" ca="1" si="26"/>
        <v/>
      </c>
      <c r="W260" s="140">
        <f ca="1">IF(OR((W259-13/12*Z259)*(1+PREMISSAS!$C$16)&lt;0,W259=""),0,(W259-13/12*Z259)*(1+PREMISSAS!$C$16))</f>
        <v>0</v>
      </c>
      <c r="X260" s="140">
        <f ca="1">IF(OR((X259-13/12*AA259)*(1+PREMISSAS!$C$16)&lt;0,X259=""),0,(X259-13/12*AA259)*(1+PREMISSAS!$C$16))</f>
        <v>0</v>
      </c>
      <c r="Y260" s="140">
        <f t="shared" ca="1" si="27"/>
        <v>0</v>
      </c>
      <c r="Z260" s="167">
        <f t="shared" ca="1" si="30"/>
        <v>0</v>
      </c>
      <c r="AA260" s="167">
        <f t="shared" ca="1" si="31"/>
        <v>0</v>
      </c>
    </row>
    <row r="261" spans="2:27" x14ac:dyDescent="0.25">
      <c r="B261" s="21" t="str">
        <f ca="1">IF(B260="","",IF(EOMONTH(B260,1)&gt;EOMONTH(ELEGIBILIDADE!$J$17,0),"",EOMONTH(B260,1)))</f>
        <v/>
      </c>
      <c r="C261" s="22" t="str">
        <f ca="1">IF(B261="","",IF(MONTH(B261)=1,C260*(1+PREMISSAS!$C$57),C260))</f>
        <v/>
      </c>
      <c r="D261" s="22">
        <f ca="1">IF(RESULTADOS!$C$17="Normal",IFERROR(MAX(C261-PREMISSAS!$C$13,0),0),IF(Painel!$I$23=0,0,MAX(10*PREMISSAS!$C$38,RESULTADOS!$F$17)))</f>
        <v>0</v>
      </c>
      <c r="E261" s="4">
        <f ca="1">D261*IF(RESULTADOS!$C$17="Normal",RESULTADOS!$C$16,0)</f>
        <v>0</v>
      </c>
      <c r="F261" s="4">
        <f ca="1">IFERROR(IF(RESULTADOS!$C$17="Normal",D261,C261)*RESULTADOS!$C$18,0)</f>
        <v>0</v>
      </c>
      <c r="G261" s="4">
        <f ca="1">IFERROR(IF(RESULTADOS!$C$17="Normal",0,D261)*IF(RESULTADOS!$C$17="Normal",RESULTADOS!$C$18,RESULTADOS!$C$16),0)</f>
        <v>0</v>
      </c>
      <c r="H261" s="4">
        <f ca="1">IF(RESULTADOS!$C$17="Normal",E261,0)</f>
        <v>0</v>
      </c>
      <c r="I261" s="4">
        <f ca="1">(E261+H261+G261)*PREMISSAS!$C$60</f>
        <v>0</v>
      </c>
      <c r="J261" s="4">
        <f ca="1">D261*IF(RESULTADOS!$C$17="Normal",PREMISSAS!$C$62,0)</f>
        <v>0</v>
      </c>
      <c r="K261" s="116">
        <f ca="1">IFERROR(K260*(1+PREMISSAS!$C$18)+(E261+H261-IF(RESULTADOS!$C$17="Normal",I261,0)-J261)*IF(MONTH(B261)=12,2,1),0)</f>
        <v>0</v>
      </c>
      <c r="L261" s="116">
        <f ca="1">IFERROR((L260+G261-IF(RESULTADOS!$C$17="Normal",0,I261))*(1+PREMISSAS!$C$18)+F261,0)</f>
        <v>0</v>
      </c>
      <c r="N261" s="73">
        <f t="shared" ca="1" si="24"/>
        <v>0</v>
      </c>
      <c r="P261" s="164" t="str">
        <f t="shared" ca="1" si="25"/>
        <v/>
      </c>
      <c r="Q261" s="140" t="str">
        <f ca="1">IF(C261="","",Q260+(E261+H261-IF(RESULTADOS!$C$17="Normal",I261,0)-J261)/2+(F261+G261-IF(RESULTADOS!$C$17="Normal",0,I261)))</f>
        <v/>
      </c>
      <c r="R261" s="140" t="str">
        <f ca="1">IF(C261="","",R260+(E261+H261-IF(RESULTADOS!$C$17="Normal",I261,0)-J261)/2)</f>
        <v/>
      </c>
      <c r="S261" s="140">
        <f t="shared" ca="1" si="28"/>
        <v>0</v>
      </c>
      <c r="U261" s="164" t="str">
        <f t="shared" ca="1" si="29"/>
        <v/>
      </c>
      <c r="V261" s="164" t="str">
        <f t="shared" ca="1" si="26"/>
        <v/>
      </c>
      <c r="W261" s="140">
        <f ca="1">IF(OR((W260-13/12*Z260)*(1+PREMISSAS!$C$16)&lt;0,W260=""),0,(W260-13/12*Z260)*(1+PREMISSAS!$C$16))</f>
        <v>0</v>
      </c>
      <c r="X261" s="140">
        <f ca="1">IF(OR((X260-13/12*AA260)*(1+PREMISSAS!$C$16)&lt;0,X260=""),0,(X260-13/12*AA260)*(1+PREMISSAS!$C$16))</f>
        <v>0</v>
      </c>
      <c r="Y261" s="140">
        <f t="shared" ca="1" si="27"/>
        <v>0</v>
      </c>
      <c r="Z261" s="167">
        <f t="shared" ca="1" si="30"/>
        <v>0</v>
      </c>
      <c r="AA261" s="167">
        <f t="shared" ca="1" si="31"/>
        <v>0</v>
      </c>
    </row>
    <row r="262" spans="2:27" x14ac:dyDescent="0.25">
      <c r="B262" s="21" t="str">
        <f ca="1">IF(B261="","",IF(EOMONTH(B261,1)&gt;EOMONTH(ELEGIBILIDADE!$J$17,0),"",EOMONTH(B261,1)))</f>
        <v/>
      </c>
      <c r="C262" s="22" t="str">
        <f ca="1">IF(B262="","",IF(MONTH(B262)=1,C261*(1+PREMISSAS!$C$57),C261))</f>
        <v/>
      </c>
      <c r="D262" s="22">
        <f ca="1">IF(RESULTADOS!$C$17="Normal",IFERROR(MAX(C262-PREMISSAS!$C$13,0),0),IF(Painel!$I$23=0,0,MAX(10*PREMISSAS!$C$38,RESULTADOS!$F$17)))</f>
        <v>0</v>
      </c>
      <c r="E262" s="4">
        <f ca="1">D262*IF(RESULTADOS!$C$17="Normal",RESULTADOS!$C$16,0)</f>
        <v>0</v>
      </c>
      <c r="F262" s="4">
        <f ca="1">IFERROR(IF(RESULTADOS!$C$17="Normal",D262,C262)*RESULTADOS!$C$18,0)</f>
        <v>0</v>
      </c>
      <c r="G262" s="4">
        <f ca="1">IFERROR(IF(RESULTADOS!$C$17="Normal",0,D262)*IF(RESULTADOS!$C$17="Normal",RESULTADOS!$C$18,RESULTADOS!$C$16),0)</f>
        <v>0</v>
      </c>
      <c r="H262" s="4">
        <f ca="1">IF(RESULTADOS!$C$17="Normal",E262,0)</f>
        <v>0</v>
      </c>
      <c r="I262" s="4">
        <f ca="1">(E262+H262+G262)*PREMISSAS!$C$60</f>
        <v>0</v>
      </c>
      <c r="J262" s="4">
        <f ca="1">D262*IF(RESULTADOS!$C$17="Normal",PREMISSAS!$C$62,0)</f>
        <v>0</v>
      </c>
      <c r="K262" s="116">
        <f ca="1">IFERROR(K261*(1+PREMISSAS!$C$18)+(E262+H262-IF(RESULTADOS!$C$17="Normal",I262,0)-J262)*IF(MONTH(B262)=12,2,1),0)</f>
        <v>0</v>
      </c>
      <c r="L262" s="116">
        <f ca="1">IFERROR((L261+G262-IF(RESULTADOS!$C$17="Normal",0,I262))*(1+PREMISSAS!$C$18)+F262,0)</f>
        <v>0</v>
      </c>
      <c r="N262" s="73">
        <f t="shared" ref="N262:N325" ca="1" si="32">IFERROR((E262+F262+G262)/C262,0)</f>
        <v>0</v>
      </c>
      <c r="P262" s="164" t="str">
        <f t="shared" ref="P262:P325" ca="1" si="33">IF(C262="","",B262)</f>
        <v/>
      </c>
      <c r="Q262" s="140" t="str">
        <f ca="1">IF(C262="","",Q261+(E262+H262-IF(RESULTADOS!$C$17="Normal",I262,0)-J262)/2+(F262+G262-IF(RESULTADOS!$C$17="Normal",0,I262)))</f>
        <v/>
      </c>
      <c r="R262" s="140" t="str">
        <f ca="1">IF(C262="","",R261+(E262+H262-IF(RESULTADOS!$C$17="Normal",I262,0)-J262)/2)</f>
        <v/>
      </c>
      <c r="S262" s="140">
        <f t="shared" ca="1" si="28"/>
        <v>0</v>
      </c>
      <c r="U262" s="164" t="str">
        <f t="shared" ca="1" si="29"/>
        <v/>
      </c>
      <c r="V262" s="164" t="str">
        <f t="shared" ref="V262:V325" ca="1" si="34">IF(AA262&lt;&gt;"",U262,"")</f>
        <v/>
      </c>
      <c r="W262" s="140">
        <f ca="1">IF(OR((W261-13/12*Z261)*(1+PREMISSAS!$C$16)&lt;0,W261=""),0,(W261-13/12*Z261)*(1+PREMISSAS!$C$16))</f>
        <v>0</v>
      </c>
      <c r="X262" s="140">
        <f ca="1">IF(OR((X261-13/12*AA261)*(1+PREMISSAS!$C$16)&lt;0,X261=""),0,(X261-13/12*AA261)*(1+PREMISSAS!$C$16))</f>
        <v>0</v>
      </c>
      <c r="Y262" s="140">
        <f t="shared" ref="Y262:Y314" ca="1" si="35">SUM(W262:X262)</f>
        <v>0</v>
      </c>
      <c r="Z262" s="167">
        <f t="shared" ca="1" si="30"/>
        <v>0</v>
      </c>
      <c r="AA262" s="167">
        <f t="shared" ca="1" si="31"/>
        <v>0</v>
      </c>
    </row>
    <row r="263" spans="2:27" x14ac:dyDescent="0.25">
      <c r="B263" s="21" t="str">
        <f ca="1">IF(B262="","",IF(EOMONTH(B262,1)&gt;EOMONTH(ELEGIBILIDADE!$J$17,0),"",EOMONTH(B262,1)))</f>
        <v/>
      </c>
      <c r="C263" s="22" t="str">
        <f ca="1">IF(B263="","",IF(MONTH(B263)=1,C262*(1+PREMISSAS!$C$57),C262))</f>
        <v/>
      </c>
      <c r="D263" s="22">
        <f ca="1">IF(RESULTADOS!$C$17="Normal",IFERROR(MAX(C263-PREMISSAS!$C$13,0),0),IF(Painel!$I$23=0,0,MAX(10*PREMISSAS!$C$38,RESULTADOS!$F$17)))</f>
        <v>0</v>
      </c>
      <c r="E263" s="4">
        <f ca="1">D263*IF(RESULTADOS!$C$17="Normal",RESULTADOS!$C$16,0)</f>
        <v>0</v>
      </c>
      <c r="F263" s="4">
        <f ca="1">IFERROR(IF(RESULTADOS!$C$17="Normal",D263,C263)*RESULTADOS!$C$18,0)</f>
        <v>0</v>
      </c>
      <c r="G263" s="4">
        <f ca="1">IFERROR(IF(RESULTADOS!$C$17="Normal",0,D263)*IF(RESULTADOS!$C$17="Normal",RESULTADOS!$C$18,RESULTADOS!$C$16),0)</f>
        <v>0</v>
      </c>
      <c r="H263" s="4">
        <f ca="1">IF(RESULTADOS!$C$17="Normal",E263,0)</f>
        <v>0</v>
      </c>
      <c r="I263" s="4">
        <f ca="1">(E263+H263+G263)*PREMISSAS!$C$60</f>
        <v>0</v>
      </c>
      <c r="J263" s="4">
        <f ca="1">D263*IF(RESULTADOS!$C$17="Normal",PREMISSAS!$C$62,0)</f>
        <v>0</v>
      </c>
      <c r="K263" s="116">
        <f ca="1">IFERROR(K262*(1+PREMISSAS!$C$18)+(E263+H263-IF(RESULTADOS!$C$17="Normal",I263,0)-J263)*IF(MONTH(B263)=12,2,1),0)</f>
        <v>0</v>
      </c>
      <c r="L263" s="116">
        <f ca="1">IFERROR((L262+G263-IF(RESULTADOS!$C$17="Normal",0,I263))*(1+PREMISSAS!$C$18)+F263,0)</f>
        <v>0</v>
      </c>
      <c r="N263" s="73">
        <f t="shared" ca="1" si="32"/>
        <v>0</v>
      </c>
      <c r="P263" s="164" t="str">
        <f t="shared" ca="1" si="33"/>
        <v/>
      </c>
      <c r="Q263" s="140" t="str">
        <f ca="1">IF(C263="","",Q262+(E263+H263-IF(RESULTADOS!$C$17="Normal",I263,0)-J263)/2+(F263+G263-IF(RESULTADOS!$C$17="Normal",0,I263)))</f>
        <v/>
      </c>
      <c r="R263" s="140" t="str">
        <f ca="1">IF(C263="","",R262+(E263+H263-IF(RESULTADOS!$C$17="Normal",I263,0)-J263)/2)</f>
        <v/>
      </c>
      <c r="S263" s="140">
        <f t="shared" ref="S263:S326" ca="1" si="36">SUM(K263:L263)-SUM(Q263:R263)</f>
        <v>0</v>
      </c>
      <c r="U263" s="164" t="str">
        <f t="shared" ref="U263:U326" ca="1" si="37">IF(Y263=0,"",EOMONTH(U262,1))</f>
        <v/>
      </c>
      <c r="V263" s="164" t="str">
        <f t="shared" ca="1" si="34"/>
        <v/>
      </c>
      <c r="W263" s="140">
        <f ca="1">IF(OR((W262-13/12*Z262)*(1+PREMISSAS!$C$16)&lt;0,W262=""),0,(W262-13/12*Z262)*(1+PREMISSAS!$C$16))</f>
        <v>0</v>
      </c>
      <c r="X263" s="140">
        <f ca="1">IF(OR((X262-13/12*AA262)*(1+PREMISSAS!$C$16)&lt;0,X262=""),0,(X262-13/12*AA262)*(1+PREMISSAS!$C$16))</f>
        <v>0</v>
      </c>
      <c r="Y263" s="140">
        <f t="shared" ca="1" si="35"/>
        <v>0</v>
      </c>
      <c r="Z263" s="167">
        <f t="shared" ref="Z263:Z326" ca="1" si="38">IF(W263&lt;&gt;0,Z262,0)</f>
        <v>0</v>
      </c>
      <c r="AA263" s="167">
        <f t="shared" ref="AA263:AA326" ca="1" si="39">IF(X263&lt;&gt;0,AA262,0)</f>
        <v>0</v>
      </c>
    </row>
    <row r="264" spans="2:27" x14ac:dyDescent="0.25">
      <c r="B264" s="21" t="str">
        <f ca="1">IF(B263="","",IF(EOMONTH(B263,1)&gt;EOMONTH(ELEGIBILIDADE!$J$17,0),"",EOMONTH(B263,1)))</f>
        <v/>
      </c>
      <c r="C264" s="22" t="str">
        <f ca="1">IF(B264="","",IF(MONTH(B264)=1,C263*(1+PREMISSAS!$C$57),C263))</f>
        <v/>
      </c>
      <c r="D264" s="22">
        <f ca="1">IF(RESULTADOS!$C$17="Normal",IFERROR(MAX(C264-PREMISSAS!$C$13,0),0),IF(Painel!$I$23=0,0,MAX(10*PREMISSAS!$C$38,RESULTADOS!$F$17)))</f>
        <v>0</v>
      </c>
      <c r="E264" s="4">
        <f ca="1">D264*IF(RESULTADOS!$C$17="Normal",RESULTADOS!$C$16,0)</f>
        <v>0</v>
      </c>
      <c r="F264" s="4">
        <f ca="1">IFERROR(IF(RESULTADOS!$C$17="Normal",D264,C264)*RESULTADOS!$C$18,0)</f>
        <v>0</v>
      </c>
      <c r="G264" s="4">
        <f ca="1">IFERROR(IF(RESULTADOS!$C$17="Normal",0,D264)*IF(RESULTADOS!$C$17="Normal",RESULTADOS!$C$18,RESULTADOS!$C$16),0)</f>
        <v>0</v>
      </c>
      <c r="H264" s="4">
        <f ca="1">IF(RESULTADOS!$C$17="Normal",E264,0)</f>
        <v>0</v>
      </c>
      <c r="I264" s="4">
        <f ca="1">(E264+H264+G264)*PREMISSAS!$C$60</f>
        <v>0</v>
      </c>
      <c r="J264" s="4">
        <f ca="1">D264*IF(RESULTADOS!$C$17="Normal",PREMISSAS!$C$62,0)</f>
        <v>0</v>
      </c>
      <c r="K264" s="116">
        <f ca="1">IFERROR(K263*(1+PREMISSAS!$C$18)+(E264+H264-IF(RESULTADOS!$C$17="Normal",I264,0)-J264)*IF(MONTH(B264)=12,2,1),0)</f>
        <v>0</v>
      </c>
      <c r="L264" s="116">
        <f ca="1">IFERROR((L263+G264-IF(RESULTADOS!$C$17="Normal",0,I264))*(1+PREMISSAS!$C$18)+F264,0)</f>
        <v>0</v>
      </c>
      <c r="N264" s="73">
        <f t="shared" ca="1" si="32"/>
        <v>0</v>
      </c>
      <c r="P264" s="164" t="str">
        <f t="shared" ca="1" si="33"/>
        <v/>
      </c>
      <c r="Q264" s="140" t="str">
        <f ca="1">IF(C264="","",Q263+(E264+H264-IF(RESULTADOS!$C$17="Normal",I264,0)-J264)/2+(F264+G264-IF(RESULTADOS!$C$17="Normal",0,I264)))</f>
        <v/>
      </c>
      <c r="R264" s="140" t="str">
        <f ca="1">IF(C264="","",R263+(E264+H264-IF(RESULTADOS!$C$17="Normal",I264,0)-J264)/2)</f>
        <v/>
      </c>
      <c r="S264" s="140">
        <f t="shared" ca="1" si="36"/>
        <v>0</v>
      </c>
      <c r="U264" s="164" t="str">
        <f t="shared" ca="1" si="37"/>
        <v/>
      </c>
      <c r="V264" s="164" t="str">
        <f t="shared" ca="1" si="34"/>
        <v/>
      </c>
      <c r="W264" s="140">
        <f ca="1">IF(OR((W263-13/12*Z263)*(1+PREMISSAS!$C$16)&lt;0,W263=""),0,(W263-13/12*Z263)*(1+PREMISSAS!$C$16))</f>
        <v>0</v>
      </c>
      <c r="X264" s="140">
        <f ca="1">IF(OR((X263-13/12*AA263)*(1+PREMISSAS!$C$16)&lt;0,X263=""),0,(X263-13/12*AA263)*(1+PREMISSAS!$C$16))</f>
        <v>0</v>
      </c>
      <c r="Y264" s="140">
        <f t="shared" ca="1" si="35"/>
        <v>0</v>
      </c>
      <c r="Z264" s="167">
        <f t="shared" ca="1" si="38"/>
        <v>0</v>
      </c>
      <c r="AA264" s="167">
        <f t="shared" ca="1" si="39"/>
        <v>0</v>
      </c>
    </row>
    <row r="265" spans="2:27" x14ac:dyDescent="0.25">
      <c r="B265" s="21" t="str">
        <f ca="1">IF(B264="","",IF(EOMONTH(B264,1)&gt;EOMONTH(ELEGIBILIDADE!$J$17,0),"",EOMONTH(B264,1)))</f>
        <v/>
      </c>
      <c r="C265" s="22" t="str">
        <f ca="1">IF(B265="","",IF(MONTH(B265)=1,C264*(1+PREMISSAS!$C$57),C264))</f>
        <v/>
      </c>
      <c r="D265" s="22">
        <f ca="1">IF(RESULTADOS!$C$17="Normal",IFERROR(MAX(C265-PREMISSAS!$C$13,0),0),IF(Painel!$I$23=0,0,MAX(10*PREMISSAS!$C$38,RESULTADOS!$F$17)))</f>
        <v>0</v>
      </c>
      <c r="E265" s="4">
        <f ca="1">D265*IF(RESULTADOS!$C$17="Normal",RESULTADOS!$C$16,0)</f>
        <v>0</v>
      </c>
      <c r="F265" s="4">
        <f ca="1">IFERROR(IF(RESULTADOS!$C$17="Normal",D265,C265)*RESULTADOS!$C$18,0)</f>
        <v>0</v>
      </c>
      <c r="G265" s="4">
        <f ca="1">IFERROR(IF(RESULTADOS!$C$17="Normal",0,D265)*IF(RESULTADOS!$C$17="Normal",RESULTADOS!$C$18,RESULTADOS!$C$16),0)</f>
        <v>0</v>
      </c>
      <c r="H265" s="4">
        <f ca="1">IF(RESULTADOS!$C$17="Normal",E265,0)</f>
        <v>0</v>
      </c>
      <c r="I265" s="4">
        <f ca="1">(E265+H265+G265)*PREMISSAS!$C$60</f>
        <v>0</v>
      </c>
      <c r="J265" s="4">
        <f ca="1">D265*IF(RESULTADOS!$C$17="Normal",PREMISSAS!$C$62,0)</f>
        <v>0</v>
      </c>
      <c r="K265" s="116">
        <f ca="1">IFERROR(K264*(1+PREMISSAS!$C$18)+(E265+H265-IF(RESULTADOS!$C$17="Normal",I265,0)-J265)*IF(MONTH(B265)=12,2,1),0)</f>
        <v>0</v>
      </c>
      <c r="L265" s="116">
        <f ca="1">IFERROR((L264+G265-IF(RESULTADOS!$C$17="Normal",0,I265))*(1+PREMISSAS!$C$18)+F265,0)</f>
        <v>0</v>
      </c>
      <c r="N265" s="73">
        <f t="shared" ca="1" si="32"/>
        <v>0</v>
      </c>
      <c r="P265" s="164" t="str">
        <f t="shared" ca="1" si="33"/>
        <v/>
      </c>
      <c r="Q265" s="140" t="str">
        <f ca="1">IF(C265="","",Q264+(E265+H265-IF(RESULTADOS!$C$17="Normal",I265,0)-J265)/2+(F265+G265-IF(RESULTADOS!$C$17="Normal",0,I265)))</f>
        <v/>
      </c>
      <c r="R265" s="140" t="str">
        <f ca="1">IF(C265="","",R264+(E265+H265-IF(RESULTADOS!$C$17="Normal",I265,0)-J265)/2)</f>
        <v/>
      </c>
      <c r="S265" s="140">
        <f t="shared" ca="1" si="36"/>
        <v>0</v>
      </c>
      <c r="U265" s="164" t="str">
        <f t="shared" ca="1" si="37"/>
        <v/>
      </c>
      <c r="V265" s="164" t="str">
        <f t="shared" ca="1" si="34"/>
        <v/>
      </c>
      <c r="W265" s="140">
        <f ca="1">IF(OR((W264-13/12*Z264)*(1+PREMISSAS!$C$16)&lt;0,W264=""),0,(W264-13/12*Z264)*(1+PREMISSAS!$C$16))</f>
        <v>0</v>
      </c>
      <c r="X265" s="140">
        <f ca="1">IF(OR((X264-13/12*AA264)*(1+PREMISSAS!$C$16)&lt;0,X264=""),0,(X264-13/12*AA264)*(1+PREMISSAS!$C$16))</f>
        <v>0</v>
      </c>
      <c r="Y265" s="140">
        <f t="shared" ca="1" si="35"/>
        <v>0</v>
      </c>
      <c r="Z265" s="167">
        <f t="shared" ca="1" si="38"/>
        <v>0</v>
      </c>
      <c r="AA265" s="167">
        <f t="shared" ca="1" si="39"/>
        <v>0</v>
      </c>
    </row>
    <row r="266" spans="2:27" x14ac:dyDescent="0.25">
      <c r="B266" s="21" t="str">
        <f ca="1">IF(B265="","",IF(EOMONTH(B265,1)&gt;EOMONTH(ELEGIBILIDADE!$J$17,0),"",EOMONTH(B265,1)))</f>
        <v/>
      </c>
      <c r="C266" s="22" t="str">
        <f ca="1">IF(B266="","",IF(MONTH(B266)=1,C265*(1+PREMISSAS!$C$57),C265))</f>
        <v/>
      </c>
      <c r="D266" s="22">
        <f ca="1">IF(RESULTADOS!$C$17="Normal",IFERROR(MAX(C266-PREMISSAS!$C$13,0),0),IF(Painel!$I$23=0,0,MAX(10*PREMISSAS!$C$38,RESULTADOS!$F$17)))</f>
        <v>0</v>
      </c>
      <c r="E266" s="4">
        <f ca="1">D266*IF(RESULTADOS!$C$17="Normal",RESULTADOS!$C$16,0)</f>
        <v>0</v>
      </c>
      <c r="F266" s="4">
        <f ca="1">IFERROR(IF(RESULTADOS!$C$17="Normal",D266,C266)*RESULTADOS!$C$18,0)</f>
        <v>0</v>
      </c>
      <c r="G266" s="4">
        <f ca="1">IFERROR(IF(RESULTADOS!$C$17="Normal",0,D266)*IF(RESULTADOS!$C$17="Normal",RESULTADOS!$C$18,RESULTADOS!$C$16),0)</f>
        <v>0</v>
      </c>
      <c r="H266" s="4">
        <f ca="1">IF(RESULTADOS!$C$17="Normal",E266,0)</f>
        <v>0</v>
      </c>
      <c r="I266" s="4">
        <f ca="1">(E266+H266+G266)*PREMISSAS!$C$60</f>
        <v>0</v>
      </c>
      <c r="J266" s="4">
        <f ca="1">D266*IF(RESULTADOS!$C$17="Normal",PREMISSAS!$C$62,0)</f>
        <v>0</v>
      </c>
      <c r="K266" s="116">
        <f ca="1">IFERROR(K265*(1+PREMISSAS!$C$18)+(E266+H266-IF(RESULTADOS!$C$17="Normal",I266,0)-J266)*IF(MONTH(B266)=12,2,1),0)</f>
        <v>0</v>
      </c>
      <c r="L266" s="116">
        <f ca="1">IFERROR((L265+G266-IF(RESULTADOS!$C$17="Normal",0,I266))*(1+PREMISSAS!$C$18)+F266,0)</f>
        <v>0</v>
      </c>
      <c r="N266" s="73">
        <f t="shared" ca="1" si="32"/>
        <v>0</v>
      </c>
      <c r="P266" s="164" t="str">
        <f t="shared" ca="1" si="33"/>
        <v/>
      </c>
      <c r="Q266" s="140" t="str">
        <f ca="1">IF(C266="","",Q265+(E266+H266-IF(RESULTADOS!$C$17="Normal",I266,0)-J266)/2+(F266+G266-IF(RESULTADOS!$C$17="Normal",0,I266)))</f>
        <v/>
      </c>
      <c r="R266" s="140" t="str">
        <f ca="1">IF(C266="","",R265+(E266+H266-IF(RESULTADOS!$C$17="Normal",I266,0)-J266)/2)</f>
        <v/>
      </c>
      <c r="S266" s="140">
        <f t="shared" ca="1" si="36"/>
        <v>0</v>
      </c>
      <c r="U266" s="164" t="str">
        <f t="shared" ca="1" si="37"/>
        <v/>
      </c>
      <c r="V266" s="164" t="str">
        <f t="shared" ca="1" si="34"/>
        <v/>
      </c>
      <c r="W266" s="140">
        <f ca="1">IF(OR((W265-13/12*Z265)*(1+PREMISSAS!$C$16)&lt;0,W265=""),0,(W265-13/12*Z265)*(1+PREMISSAS!$C$16))</f>
        <v>0</v>
      </c>
      <c r="X266" s="140">
        <f ca="1">IF(OR((X265-13/12*AA265)*(1+PREMISSAS!$C$16)&lt;0,X265=""),0,(X265-13/12*AA265)*(1+PREMISSAS!$C$16))</f>
        <v>0</v>
      </c>
      <c r="Y266" s="140">
        <f t="shared" ca="1" si="35"/>
        <v>0</v>
      </c>
      <c r="Z266" s="167">
        <f t="shared" ca="1" si="38"/>
        <v>0</v>
      </c>
      <c r="AA266" s="167">
        <f t="shared" ca="1" si="39"/>
        <v>0</v>
      </c>
    </row>
    <row r="267" spans="2:27" x14ac:dyDescent="0.25">
      <c r="B267" s="21" t="str">
        <f ca="1">IF(B266="","",IF(EOMONTH(B266,1)&gt;EOMONTH(ELEGIBILIDADE!$J$17,0),"",EOMONTH(B266,1)))</f>
        <v/>
      </c>
      <c r="C267" s="22" t="str">
        <f ca="1">IF(B267="","",IF(MONTH(B267)=1,C266*(1+PREMISSAS!$C$57),C266))</f>
        <v/>
      </c>
      <c r="D267" s="22">
        <f ca="1">IF(RESULTADOS!$C$17="Normal",IFERROR(MAX(C267-PREMISSAS!$C$13,0),0),IF(Painel!$I$23=0,0,MAX(10*PREMISSAS!$C$38,RESULTADOS!$F$17)))</f>
        <v>0</v>
      </c>
      <c r="E267" s="4">
        <f ca="1">D267*IF(RESULTADOS!$C$17="Normal",RESULTADOS!$C$16,0)</f>
        <v>0</v>
      </c>
      <c r="F267" s="4">
        <f ca="1">IFERROR(IF(RESULTADOS!$C$17="Normal",D267,C267)*RESULTADOS!$C$18,0)</f>
        <v>0</v>
      </c>
      <c r="G267" s="4">
        <f ca="1">IFERROR(IF(RESULTADOS!$C$17="Normal",0,D267)*IF(RESULTADOS!$C$17="Normal",RESULTADOS!$C$18,RESULTADOS!$C$16),0)</f>
        <v>0</v>
      </c>
      <c r="H267" s="4">
        <f ca="1">IF(RESULTADOS!$C$17="Normal",E267,0)</f>
        <v>0</v>
      </c>
      <c r="I267" s="4">
        <f ca="1">(E267+H267+G267)*PREMISSAS!$C$60</f>
        <v>0</v>
      </c>
      <c r="J267" s="4">
        <f ca="1">D267*IF(RESULTADOS!$C$17="Normal",PREMISSAS!$C$62,0)</f>
        <v>0</v>
      </c>
      <c r="K267" s="116">
        <f ca="1">IFERROR(K266*(1+PREMISSAS!$C$18)+(E267+H267-IF(RESULTADOS!$C$17="Normal",I267,0)-J267)*IF(MONTH(B267)=12,2,1),0)</f>
        <v>0</v>
      </c>
      <c r="L267" s="116">
        <f ca="1">IFERROR((L266+G267-IF(RESULTADOS!$C$17="Normal",0,I267))*(1+PREMISSAS!$C$18)+F267,0)</f>
        <v>0</v>
      </c>
      <c r="N267" s="73">
        <f t="shared" ca="1" si="32"/>
        <v>0</v>
      </c>
      <c r="P267" s="164" t="str">
        <f t="shared" ca="1" si="33"/>
        <v/>
      </c>
      <c r="Q267" s="140" t="str">
        <f ca="1">IF(C267="","",Q266+(E267+H267-IF(RESULTADOS!$C$17="Normal",I267,0)-J267)/2+(F267+G267-IF(RESULTADOS!$C$17="Normal",0,I267)))</f>
        <v/>
      </c>
      <c r="R267" s="140" t="str">
        <f ca="1">IF(C267="","",R266+(E267+H267-IF(RESULTADOS!$C$17="Normal",I267,0)-J267)/2)</f>
        <v/>
      </c>
      <c r="S267" s="140">
        <f t="shared" ca="1" si="36"/>
        <v>0</v>
      </c>
      <c r="U267" s="164" t="str">
        <f t="shared" ca="1" si="37"/>
        <v/>
      </c>
      <c r="V267" s="164" t="str">
        <f t="shared" ca="1" si="34"/>
        <v/>
      </c>
      <c r="W267" s="140">
        <f ca="1">IF(OR((W266-13/12*Z266)*(1+PREMISSAS!$C$16)&lt;0,W266=""),0,(W266-13/12*Z266)*(1+PREMISSAS!$C$16))</f>
        <v>0</v>
      </c>
      <c r="X267" s="140">
        <f ca="1">IF(OR((X266-13/12*AA266)*(1+PREMISSAS!$C$16)&lt;0,X266=""),0,(X266-13/12*AA266)*(1+PREMISSAS!$C$16))</f>
        <v>0</v>
      </c>
      <c r="Y267" s="140">
        <f t="shared" ca="1" si="35"/>
        <v>0</v>
      </c>
      <c r="Z267" s="167">
        <f t="shared" ca="1" si="38"/>
        <v>0</v>
      </c>
      <c r="AA267" s="167">
        <f t="shared" ca="1" si="39"/>
        <v>0</v>
      </c>
    </row>
    <row r="268" spans="2:27" x14ac:dyDescent="0.25">
      <c r="B268" s="21" t="str">
        <f ca="1">IF(B267="","",IF(EOMONTH(B267,1)&gt;EOMONTH(ELEGIBILIDADE!$J$17,0),"",EOMONTH(B267,1)))</f>
        <v/>
      </c>
      <c r="C268" s="22" t="str">
        <f ca="1">IF(B268="","",IF(MONTH(B268)=1,C267*(1+PREMISSAS!$C$57),C267))</f>
        <v/>
      </c>
      <c r="D268" s="22">
        <f ca="1">IF(RESULTADOS!$C$17="Normal",IFERROR(MAX(C268-PREMISSAS!$C$13,0),0),IF(Painel!$I$23=0,0,MAX(10*PREMISSAS!$C$38,RESULTADOS!$F$17)))</f>
        <v>0</v>
      </c>
      <c r="E268" s="4">
        <f ca="1">D268*IF(RESULTADOS!$C$17="Normal",RESULTADOS!$C$16,0)</f>
        <v>0</v>
      </c>
      <c r="F268" s="4">
        <f ca="1">IFERROR(IF(RESULTADOS!$C$17="Normal",D268,C268)*RESULTADOS!$C$18,0)</f>
        <v>0</v>
      </c>
      <c r="G268" s="4">
        <f ca="1">IFERROR(IF(RESULTADOS!$C$17="Normal",0,D268)*IF(RESULTADOS!$C$17="Normal",RESULTADOS!$C$18,RESULTADOS!$C$16),0)</f>
        <v>0</v>
      </c>
      <c r="H268" s="4">
        <f ca="1">IF(RESULTADOS!$C$17="Normal",E268,0)</f>
        <v>0</v>
      </c>
      <c r="I268" s="4">
        <f ca="1">(E268+H268+G268)*PREMISSAS!$C$60</f>
        <v>0</v>
      </c>
      <c r="J268" s="4">
        <f ca="1">D268*IF(RESULTADOS!$C$17="Normal",PREMISSAS!$C$62,0)</f>
        <v>0</v>
      </c>
      <c r="K268" s="116">
        <f ca="1">IFERROR(K267*(1+PREMISSAS!$C$18)+(E268+H268-IF(RESULTADOS!$C$17="Normal",I268,0)-J268)*IF(MONTH(B268)=12,2,1),0)</f>
        <v>0</v>
      </c>
      <c r="L268" s="116">
        <f ca="1">IFERROR((L267+G268-IF(RESULTADOS!$C$17="Normal",0,I268))*(1+PREMISSAS!$C$18)+F268,0)</f>
        <v>0</v>
      </c>
      <c r="N268" s="73">
        <f t="shared" ca="1" si="32"/>
        <v>0</v>
      </c>
      <c r="P268" s="164" t="str">
        <f t="shared" ca="1" si="33"/>
        <v/>
      </c>
      <c r="Q268" s="140" t="str">
        <f ca="1">IF(C268="","",Q267+(E268+H268-IF(RESULTADOS!$C$17="Normal",I268,0)-J268)/2+(F268+G268-IF(RESULTADOS!$C$17="Normal",0,I268)))</f>
        <v/>
      </c>
      <c r="R268" s="140" t="str">
        <f ca="1">IF(C268="","",R267+(E268+H268-IF(RESULTADOS!$C$17="Normal",I268,0)-J268)/2)</f>
        <v/>
      </c>
      <c r="S268" s="140">
        <f t="shared" ca="1" si="36"/>
        <v>0</v>
      </c>
      <c r="U268" s="164" t="str">
        <f t="shared" ca="1" si="37"/>
        <v/>
      </c>
      <c r="V268" s="164" t="str">
        <f t="shared" ca="1" si="34"/>
        <v/>
      </c>
      <c r="W268" s="140">
        <f ca="1">IF(OR((W267-13/12*Z267)*(1+PREMISSAS!$C$16)&lt;0,W267=""),0,(W267-13/12*Z267)*(1+PREMISSAS!$C$16))</f>
        <v>0</v>
      </c>
      <c r="X268" s="140">
        <f ca="1">IF(OR((X267-13/12*AA267)*(1+PREMISSAS!$C$16)&lt;0,X267=""),0,(X267-13/12*AA267)*(1+PREMISSAS!$C$16))</f>
        <v>0</v>
      </c>
      <c r="Y268" s="140">
        <f t="shared" ca="1" si="35"/>
        <v>0</v>
      </c>
      <c r="Z268" s="167">
        <f t="shared" ca="1" si="38"/>
        <v>0</v>
      </c>
      <c r="AA268" s="167">
        <f t="shared" ca="1" si="39"/>
        <v>0</v>
      </c>
    </row>
    <row r="269" spans="2:27" x14ac:dyDescent="0.25">
      <c r="B269" s="21" t="str">
        <f ca="1">IF(B268="","",IF(EOMONTH(B268,1)&gt;EOMONTH(ELEGIBILIDADE!$J$17,0),"",EOMONTH(B268,1)))</f>
        <v/>
      </c>
      <c r="C269" s="22" t="str">
        <f ca="1">IF(B269="","",IF(MONTH(B269)=1,C268*(1+PREMISSAS!$C$57),C268))</f>
        <v/>
      </c>
      <c r="D269" s="22">
        <f ca="1">IF(RESULTADOS!$C$17="Normal",IFERROR(MAX(C269-PREMISSAS!$C$13,0),0),IF(Painel!$I$23=0,0,MAX(10*PREMISSAS!$C$38,RESULTADOS!$F$17)))</f>
        <v>0</v>
      </c>
      <c r="E269" s="4">
        <f ca="1">D269*IF(RESULTADOS!$C$17="Normal",RESULTADOS!$C$16,0)</f>
        <v>0</v>
      </c>
      <c r="F269" s="4">
        <f ca="1">IFERROR(IF(RESULTADOS!$C$17="Normal",D269,C269)*RESULTADOS!$C$18,0)</f>
        <v>0</v>
      </c>
      <c r="G269" s="4">
        <f ca="1">IFERROR(IF(RESULTADOS!$C$17="Normal",0,D269)*IF(RESULTADOS!$C$17="Normal",RESULTADOS!$C$18,RESULTADOS!$C$16),0)</f>
        <v>0</v>
      </c>
      <c r="H269" s="4">
        <f ca="1">IF(RESULTADOS!$C$17="Normal",E269,0)</f>
        <v>0</v>
      </c>
      <c r="I269" s="4">
        <f ca="1">(E269+H269+G269)*PREMISSAS!$C$60</f>
        <v>0</v>
      </c>
      <c r="J269" s="4">
        <f ca="1">D269*IF(RESULTADOS!$C$17="Normal",PREMISSAS!$C$62,0)</f>
        <v>0</v>
      </c>
      <c r="K269" s="116">
        <f ca="1">IFERROR(K268*(1+PREMISSAS!$C$18)+(E269+H269-IF(RESULTADOS!$C$17="Normal",I269,0)-J269)*IF(MONTH(B269)=12,2,1),0)</f>
        <v>0</v>
      </c>
      <c r="L269" s="116">
        <f ca="1">IFERROR((L268+G269-IF(RESULTADOS!$C$17="Normal",0,I269))*(1+PREMISSAS!$C$18)+F269,0)</f>
        <v>0</v>
      </c>
      <c r="N269" s="73">
        <f t="shared" ca="1" si="32"/>
        <v>0</v>
      </c>
      <c r="P269" s="164" t="str">
        <f t="shared" ca="1" si="33"/>
        <v/>
      </c>
      <c r="Q269" s="140" t="str">
        <f ca="1">IF(C269="","",Q268+(E269+H269-IF(RESULTADOS!$C$17="Normal",I269,0)-J269)/2+(F269+G269-IF(RESULTADOS!$C$17="Normal",0,I269)))</f>
        <v/>
      </c>
      <c r="R269" s="140" t="str">
        <f ca="1">IF(C269="","",R268+(E269+H269-IF(RESULTADOS!$C$17="Normal",I269,0)-J269)/2)</f>
        <v/>
      </c>
      <c r="S269" s="140">
        <f t="shared" ca="1" si="36"/>
        <v>0</v>
      </c>
      <c r="U269" s="164" t="str">
        <f t="shared" ca="1" si="37"/>
        <v/>
      </c>
      <c r="V269" s="164" t="str">
        <f t="shared" ca="1" si="34"/>
        <v/>
      </c>
      <c r="W269" s="140">
        <f ca="1">IF(OR((W268-13/12*Z268)*(1+PREMISSAS!$C$16)&lt;0,W268=""),0,(W268-13/12*Z268)*(1+PREMISSAS!$C$16))</f>
        <v>0</v>
      </c>
      <c r="X269" s="140">
        <f ca="1">IF(OR((X268-13/12*AA268)*(1+PREMISSAS!$C$16)&lt;0,X268=""),0,(X268-13/12*AA268)*(1+PREMISSAS!$C$16))</f>
        <v>0</v>
      </c>
      <c r="Y269" s="140">
        <f t="shared" ca="1" si="35"/>
        <v>0</v>
      </c>
      <c r="Z269" s="167">
        <f t="shared" ca="1" si="38"/>
        <v>0</v>
      </c>
      <c r="AA269" s="167">
        <f t="shared" ca="1" si="39"/>
        <v>0</v>
      </c>
    </row>
    <row r="270" spans="2:27" x14ac:dyDescent="0.25">
      <c r="B270" s="21" t="str">
        <f ca="1">IF(B269="","",IF(EOMONTH(B269,1)&gt;EOMONTH(ELEGIBILIDADE!$J$17,0),"",EOMONTH(B269,1)))</f>
        <v/>
      </c>
      <c r="C270" s="22" t="str">
        <f ca="1">IF(B270="","",IF(MONTH(B270)=1,C269*(1+PREMISSAS!$C$57),C269))</f>
        <v/>
      </c>
      <c r="D270" s="22">
        <f ca="1">IF(RESULTADOS!$C$17="Normal",IFERROR(MAX(C270-PREMISSAS!$C$13,0),0),IF(Painel!$I$23=0,0,MAX(10*PREMISSAS!$C$38,RESULTADOS!$F$17)))</f>
        <v>0</v>
      </c>
      <c r="E270" s="4">
        <f ca="1">D270*IF(RESULTADOS!$C$17="Normal",RESULTADOS!$C$16,0)</f>
        <v>0</v>
      </c>
      <c r="F270" s="4">
        <f ca="1">IFERROR(IF(RESULTADOS!$C$17="Normal",D270,C270)*RESULTADOS!$C$18,0)</f>
        <v>0</v>
      </c>
      <c r="G270" s="4">
        <f ca="1">IFERROR(IF(RESULTADOS!$C$17="Normal",0,D270)*IF(RESULTADOS!$C$17="Normal",RESULTADOS!$C$18,RESULTADOS!$C$16),0)</f>
        <v>0</v>
      </c>
      <c r="H270" s="4">
        <f ca="1">IF(RESULTADOS!$C$17="Normal",E270,0)</f>
        <v>0</v>
      </c>
      <c r="I270" s="4">
        <f ca="1">(E270+H270+G270)*PREMISSAS!$C$60</f>
        <v>0</v>
      </c>
      <c r="J270" s="4">
        <f ca="1">D270*IF(RESULTADOS!$C$17="Normal",PREMISSAS!$C$62,0)</f>
        <v>0</v>
      </c>
      <c r="K270" s="116">
        <f ca="1">IFERROR(K269*(1+PREMISSAS!$C$18)+(E270+H270-IF(RESULTADOS!$C$17="Normal",I270,0)-J270)*IF(MONTH(B270)=12,2,1),0)</f>
        <v>0</v>
      </c>
      <c r="L270" s="116">
        <f ca="1">IFERROR((L269+G270-IF(RESULTADOS!$C$17="Normal",0,I270))*(1+PREMISSAS!$C$18)+F270,0)</f>
        <v>0</v>
      </c>
      <c r="N270" s="73">
        <f t="shared" ca="1" si="32"/>
        <v>0</v>
      </c>
      <c r="P270" s="164" t="str">
        <f t="shared" ca="1" si="33"/>
        <v/>
      </c>
      <c r="Q270" s="140" t="str">
        <f ca="1">IF(C270="","",Q269+(E270+H270-IF(RESULTADOS!$C$17="Normal",I270,0)-J270)/2+(F270+G270-IF(RESULTADOS!$C$17="Normal",0,I270)))</f>
        <v/>
      </c>
      <c r="R270" s="140" t="str">
        <f ca="1">IF(C270="","",R269+(E270+H270-IF(RESULTADOS!$C$17="Normal",I270,0)-J270)/2)</f>
        <v/>
      </c>
      <c r="S270" s="140">
        <f t="shared" ca="1" si="36"/>
        <v>0</v>
      </c>
      <c r="U270" s="164" t="str">
        <f t="shared" ca="1" si="37"/>
        <v/>
      </c>
      <c r="V270" s="164" t="str">
        <f t="shared" ca="1" si="34"/>
        <v/>
      </c>
      <c r="W270" s="140">
        <f ca="1">IF(OR((W269-13/12*Z269)*(1+PREMISSAS!$C$16)&lt;0,W269=""),0,(W269-13/12*Z269)*(1+PREMISSAS!$C$16))</f>
        <v>0</v>
      </c>
      <c r="X270" s="140">
        <f ca="1">IF(OR((X269-13/12*AA269)*(1+PREMISSAS!$C$16)&lt;0,X269=""),0,(X269-13/12*AA269)*(1+PREMISSAS!$C$16))</f>
        <v>0</v>
      </c>
      <c r="Y270" s="140">
        <f t="shared" ca="1" si="35"/>
        <v>0</v>
      </c>
      <c r="Z270" s="167">
        <f t="shared" ca="1" si="38"/>
        <v>0</v>
      </c>
      <c r="AA270" s="167">
        <f t="shared" ca="1" si="39"/>
        <v>0</v>
      </c>
    </row>
    <row r="271" spans="2:27" x14ac:dyDescent="0.25">
      <c r="B271" s="21" t="str">
        <f ca="1">IF(B270="","",IF(EOMONTH(B270,1)&gt;EOMONTH(ELEGIBILIDADE!$J$17,0),"",EOMONTH(B270,1)))</f>
        <v/>
      </c>
      <c r="C271" s="22" t="str">
        <f ca="1">IF(B271="","",IF(MONTH(B271)=1,C270*(1+PREMISSAS!$C$57),C270))</f>
        <v/>
      </c>
      <c r="D271" s="22">
        <f ca="1">IF(RESULTADOS!$C$17="Normal",IFERROR(MAX(C271-PREMISSAS!$C$13,0),0),IF(Painel!$I$23=0,0,MAX(10*PREMISSAS!$C$38,RESULTADOS!$F$17)))</f>
        <v>0</v>
      </c>
      <c r="E271" s="4">
        <f ca="1">D271*IF(RESULTADOS!$C$17="Normal",RESULTADOS!$C$16,0)</f>
        <v>0</v>
      </c>
      <c r="F271" s="4">
        <f ca="1">IFERROR(IF(RESULTADOS!$C$17="Normal",D271,C271)*RESULTADOS!$C$18,0)</f>
        <v>0</v>
      </c>
      <c r="G271" s="4">
        <f ca="1">IFERROR(IF(RESULTADOS!$C$17="Normal",0,D271)*IF(RESULTADOS!$C$17="Normal",RESULTADOS!$C$18,RESULTADOS!$C$16),0)</f>
        <v>0</v>
      </c>
      <c r="H271" s="4">
        <f ca="1">IF(RESULTADOS!$C$17="Normal",E271,0)</f>
        <v>0</v>
      </c>
      <c r="I271" s="4">
        <f ca="1">(E271+H271+G271)*PREMISSAS!$C$60</f>
        <v>0</v>
      </c>
      <c r="J271" s="4">
        <f ca="1">D271*IF(RESULTADOS!$C$17="Normal",PREMISSAS!$C$62,0)</f>
        <v>0</v>
      </c>
      <c r="K271" s="116">
        <f ca="1">IFERROR(K270*(1+PREMISSAS!$C$18)+(E271+H271-IF(RESULTADOS!$C$17="Normal",I271,0)-J271)*IF(MONTH(B271)=12,2,1),0)</f>
        <v>0</v>
      </c>
      <c r="L271" s="116">
        <f ca="1">IFERROR((L270+G271-IF(RESULTADOS!$C$17="Normal",0,I271))*(1+PREMISSAS!$C$18)+F271,0)</f>
        <v>0</v>
      </c>
      <c r="N271" s="73">
        <f t="shared" ca="1" si="32"/>
        <v>0</v>
      </c>
      <c r="P271" s="164" t="str">
        <f t="shared" ca="1" si="33"/>
        <v/>
      </c>
      <c r="Q271" s="140" t="str">
        <f ca="1">IF(C271="","",Q270+(E271+H271-IF(RESULTADOS!$C$17="Normal",I271,0)-J271)/2+(F271+G271-IF(RESULTADOS!$C$17="Normal",0,I271)))</f>
        <v/>
      </c>
      <c r="R271" s="140" t="str">
        <f ca="1">IF(C271="","",R270+(E271+H271-IF(RESULTADOS!$C$17="Normal",I271,0)-J271)/2)</f>
        <v/>
      </c>
      <c r="S271" s="140">
        <f t="shared" ca="1" si="36"/>
        <v>0</v>
      </c>
      <c r="U271" s="164" t="str">
        <f t="shared" ca="1" si="37"/>
        <v/>
      </c>
      <c r="V271" s="164" t="str">
        <f t="shared" ca="1" si="34"/>
        <v/>
      </c>
      <c r="W271" s="140">
        <f ca="1">IF(OR((W270-13/12*Z270)*(1+PREMISSAS!$C$16)&lt;0,W270=""),0,(W270-13/12*Z270)*(1+PREMISSAS!$C$16))</f>
        <v>0</v>
      </c>
      <c r="X271" s="140">
        <f ca="1">IF(OR((X270-13/12*AA270)*(1+PREMISSAS!$C$16)&lt;0,X270=""),0,(X270-13/12*AA270)*(1+PREMISSAS!$C$16))</f>
        <v>0</v>
      </c>
      <c r="Y271" s="140">
        <f t="shared" ca="1" si="35"/>
        <v>0</v>
      </c>
      <c r="Z271" s="167">
        <f t="shared" ca="1" si="38"/>
        <v>0</v>
      </c>
      <c r="AA271" s="167">
        <f t="shared" ca="1" si="39"/>
        <v>0</v>
      </c>
    </row>
    <row r="272" spans="2:27" x14ac:dyDescent="0.25">
      <c r="B272" s="21" t="str">
        <f ca="1">IF(B271="","",IF(EOMONTH(B271,1)&gt;EOMONTH(ELEGIBILIDADE!$J$17,0),"",EOMONTH(B271,1)))</f>
        <v/>
      </c>
      <c r="C272" s="22" t="str">
        <f ca="1">IF(B272="","",IF(MONTH(B272)=1,C271*(1+PREMISSAS!$C$57),C271))</f>
        <v/>
      </c>
      <c r="D272" s="22">
        <f ca="1">IF(RESULTADOS!$C$17="Normal",IFERROR(MAX(C272-PREMISSAS!$C$13,0),0),IF(Painel!$I$23=0,0,MAX(10*PREMISSAS!$C$38,RESULTADOS!$F$17)))</f>
        <v>0</v>
      </c>
      <c r="E272" s="4">
        <f ca="1">D272*IF(RESULTADOS!$C$17="Normal",RESULTADOS!$C$16,0)</f>
        <v>0</v>
      </c>
      <c r="F272" s="4">
        <f ca="1">IFERROR(IF(RESULTADOS!$C$17="Normal",D272,C272)*RESULTADOS!$C$18,0)</f>
        <v>0</v>
      </c>
      <c r="G272" s="4">
        <f ca="1">IFERROR(IF(RESULTADOS!$C$17="Normal",0,D272)*IF(RESULTADOS!$C$17="Normal",RESULTADOS!$C$18,RESULTADOS!$C$16),0)</f>
        <v>0</v>
      </c>
      <c r="H272" s="4">
        <f ca="1">IF(RESULTADOS!$C$17="Normal",E272,0)</f>
        <v>0</v>
      </c>
      <c r="I272" s="4">
        <f ca="1">(E272+H272+G272)*PREMISSAS!$C$60</f>
        <v>0</v>
      </c>
      <c r="J272" s="4">
        <f ca="1">D272*IF(RESULTADOS!$C$17="Normal",PREMISSAS!$C$62,0)</f>
        <v>0</v>
      </c>
      <c r="K272" s="116">
        <f ca="1">IFERROR(K271*(1+PREMISSAS!$C$18)+(E272+H272-IF(RESULTADOS!$C$17="Normal",I272,0)-J272)*IF(MONTH(B272)=12,2,1),0)</f>
        <v>0</v>
      </c>
      <c r="L272" s="116">
        <f ca="1">IFERROR((L271+G272-IF(RESULTADOS!$C$17="Normal",0,I272))*(1+PREMISSAS!$C$18)+F272,0)</f>
        <v>0</v>
      </c>
      <c r="N272" s="73">
        <f t="shared" ca="1" si="32"/>
        <v>0</v>
      </c>
      <c r="P272" s="164" t="str">
        <f t="shared" ca="1" si="33"/>
        <v/>
      </c>
      <c r="Q272" s="140" t="str">
        <f ca="1">IF(C272="","",Q271+(E272+H272-IF(RESULTADOS!$C$17="Normal",I272,0)-J272)/2+(F272+G272-IF(RESULTADOS!$C$17="Normal",0,I272)))</f>
        <v/>
      </c>
      <c r="R272" s="140" t="str">
        <f ca="1">IF(C272="","",R271+(E272+H272-IF(RESULTADOS!$C$17="Normal",I272,0)-J272)/2)</f>
        <v/>
      </c>
      <c r="S272" s="140">
        <f t="shared" ca="1" si="36"/>
        <v>0</v>
      </c>
      <c r="U272" s="164" t="str">
        <f t="shared" ca="1" si="37"/>
        <v/>
      </c>
      <c r="V272" s="164" t="str">
        <f t="shared" ca="1" si="34"/>
        <v/>
      </c>
      <c r="W272" s="140">
        <f ca="1">IF(OR((W271-13/12*Z271)*(1+PREMISSAS!$C$16)&lt;0,W271=""),0,(W271-13/12*Z271)*(1+PREMISSAS!$C$16))</f>
        <v>0</v>
      </c>
      <c r="X272" s="140">
        <f ca="1">IF(OR((X271-13/12*AA271)*(1+PREMISSAS!$C$16)&lt;0,X271=""),0,(X271-13/12*AA271)*(1+PREMISSAS!$C$16))</f>
        <v>0</v>
      </c>
      <c r="Y272" s="140">
        <f t="shared" ca="1" si="35"/>
        <v>0</v>
      </c>
      <c r="Z272" s="167">
        <f t="shared" ca="1" si="38"/>
        <v>0</v>
      </c>
      <c r="AA272" s="167">
        <f t="shared" ca="1" si="39"/>
        <v>0</v>
      </c>
    </row>
    <row r="273" spans="2:27" x14ac:dyDescent="0.25">
      <c r="B273" s="21" t="str">
        <f ca="1">IF(B272="","",IF(EOMONTH(B272,1)&gt;EOMONTH(ELEGIBILIDADE!$J$17,0),"",EOMONTH(B272,1)))</f>
        <v/>
      </c>
      <c r="C273" s="22" t="str">
        <f ca="1">IF(B273="","",IF(MONTH(B273)=1,C272*(1+PREMISSAS!$C$57),C272))</f>
        <v/>
      </c>
      <c r="D273" s="22">
        <f ca="1">IF(RESULTADOS!$C$17="Normal",IFERROR(MAX(C273-PREMISSAS!$C$13,0),0),IF(Painel!$I$23=0,0,MAX(10*PREMISSAS!$C$38,RESULTADOS!$F$17)))</f>
        <v>0</v>
      </c>
      <c r="E273" s="4">
        <f ca="1">D273*IF(RESULTADOS!$C$17="Normal",RESULTADOS!$C$16,0)</f>
        <v>0</v>
      </c>
      <c r="F273" s="4">
        <f ca="1">IFERROR(IF(RESULTADOS!$C$17="Normal",D273,C273)*RESULTADOS!$C$18,0)</f>
        <v>0</v>
      </c>
      <c r="G273" s="4">
        <f ca="1">IFERROR(IF(RESULTADOS!$C$17="Normal",0,D273)*IF(RESULTADOS!$C$17="Normal",RESULTADOS!$C$18,RESULTADOS!$C$16),0)</f>
        <v>0</v>
      </c>
      <c r="H273" s="4">
        <f ca="1">IF(RESULTADOS!$C$17="Normal",E273,0)</f>
        <v>0</v>
      </c>
      <c r="I273" s="4">
        <f ca="1">(E273+H273+G273)*PREMISSAS!$C$60</f>
        <v>0</v>
      </c>
      <c r="J273" s="4">
        <f ca="1">D273*IF(RESULTADOS!$C$17="Normal",PREMISSAS!$C$62,0)</f>
        <v>0</v>
      </c>
      <c r="K273" s="116">
        <f ca="1">IFERROR(K272*(1+PREMISSAS!$C$18)+(E273+H273-IF(RESULTADOS!$C$17="Normal",I273,0)-J273)*IF(MONTH(B273)=12,2,1),0)</f>
        <v>0</v>
      </c>
      <c r="L273" s="116">
        <f ca="1">IFERROR((L272+G273-IF(RESULTADOS!$C$17="Normal",0,I273))*(1+PREMISSAS!$C$18)+F273,0)</f>
        <v>0</v>
      </c>
      <c r="N273" s="73">
        <f t="shared" ca="1" si="32"/>
        <v>0</v>
      </c>
      <c r="P273" s="164" t="str">
        <f t="shared" ca="1" si="33"/>
        <v/>
      </c>
      <c r="Q273" s="140" t="str">
        <f ca="1">IF(C273="","",Q272+(E273+H273-IF(RESULTADOS!$C$17="Normal",I273,0)-J273)/2+(F273+G273-IF(RESULTADOS!$C$17="Normal",0,I273)))</f>
        <v/>
      </c>
      <c r="R273" s="140" t="str">
        <f ca="1">IF(C273="","",R272+(E273+H273-IF(RESULTADOS!$C$17="Normal",I273,0)-J273)/2)</f>
        <v/>
      </c>
      <c r="S273" s="140">
        <f t="shared" ca="1" si="36"/>
        <v>0</v>
      </c>
      <c r="U273" s="164" t="str">
        <f t="shared" ca="1" si="37"/>
        <v/>
      </c>
      <c r="V273" s="164" t="str">
        <f t="shared" ca="1" si="34"/>
        <v/>
      </c>
      <c r="W273" s="140">
        <f ca="1">IF(OR((W272-13/12*Z272)*(1+PREMISSAS!$C$16)&lt;0,W272=""),0,(W272-13/12*Z272)*(1+PREMISSAS!$C$16))</f>
        <v>0</v>
      </c>
      <c r="X273" s="140">
        <f ca="1">IF(OR((X272-13/12*AA272)*(1+PREMISSAS!$C$16)&lt;0,X272=""),0,(X272-13/12*AA272)*(1+PREMISSAS!$C$16))</f>
        <v>0</v>
      </c>
      <c r="Y273" s="140">
        <f t="shared" ca="1" si="35"/>
        <v>0</v>
      </c>
      <c r="Z273" s="167">
        <f t="shared" ca="1" si="38"/>
        <v>0</v>
      </c>
      <c r="AA273" s="167">
        <f t="shared" ca="1" si="39"/>
        <v>0</v>
      </c>
    </row>
    <row r="274" spans="2:27" x14ac:dyDescent="0.25">
      <c r="B274" s="21" t="str">
        <f ca="1">IF(B273="","",IF(EOMONTH(B273,1)&gt;EOMONTH(ELEGIBILIDADE!$J$17,0),"",EOMONTH(B273,1)))</f>
        <v/>
      </c>
      <c r="C274" s="22" t="str">
        <f ca="1">IF(B274="","",IF(MONTH(B274)=1,C273*(1+PREMISSAS!$C$57),C273))</f>
        <v/>
      </c>
      <c r="D274" s="22">
        <f ca="1">IF(RESULTADOS!$C$17="Normal",IFERROR(MAX(C274-PREMISSAS!$C$13,0),0),IF(Painel!$I$23=0,0,MAX(10*PREMISSAS!$C$38,RESULTADOS!$F$17)))</f>
        <v>0</v>
      </c>
      <c r="E274" s="4">
        <f ca="1">D274*IF(RESULTADOS!$C$17="Normal",RESULTADOS!$C$16,0)</f>
        <v>0</v>
      </c>
      <c r="F274" s="4">
        <f ca="1">IFERROR(IF(RESULTADOS!$C$17="Normal",D274,C274)*RESULTADOS!$C$18,0)</f>
        <v>0</v>
      </c>
      <c r="G274" s="4">
        <f ca="1">IFERROR(IF(RESULTADOS!$C$17="Normal",0,D274)*IF(RESULTADOS!$C$17="Normal",RESULTADOS!$C$18,RESULTADOS!$C$16),0)</f>
        <v>0</v>
      </c>
      <c r="H274" s="4">
        <f ca="1">IF(RESULTADOS!$C$17="Normal",E274,0)</f>
        <v>0</v>
      </c>
      <c r="I274" s="4">
        <f ca="1">(E274+H274+G274)*PREMISSAS!$C$60</f>
        <v>0</v>
      </c>
      <c r="J274" s="4">
        <f ca="1">D274*IF(RESULTADOS!$C$17="Normal",PREMISSAS!$C$62,0)</f>
        <v>0</v>
      </c>
      <c r="K274" s="116">
        <f ca="1">IFERROR(K273*(1+PREMISSAS!$C$18)+(E274+H274-IF(RESULTADOS!$C$17="Normal",I274,0)-J274)*IF(MONTH(B274)=12,2,1),0)</f>
        <v>0</v>
      </c>
      <c r="L274" s="116">
        <f ca="1">IFERROR((L273+G274-IF(RESULTADOS!$C$17="Normal",0,I274))*(1+PREMISSAS!$C$18)+F274,0)</f>
        <v>0</v>
      </c>
      <c r="N274" s="73">
        <f t="shared" ca="1" si="32"/>
        <v>0</v>
      </c>
      <c r="P274" s="164" t="str">
        <f t="shared" ca="1" si="33"/>
        <v/>
      </c>
      <c r="Q274" s="140" t="str">
        <f ca="1">IF(C274="","",Q273+(E274+H274-IF(RESULTADOS!$C$17="Normal",I274,0)-J274)/2+(F274+G274-IF(RESULTADOS!$C$17="Normal",0,I274)))</f>
        <v/>
      </c>
      <c r="R274" s="140" t="str">
        <f ca="1">IF(C274="","",R273+(E274+H274-IF(RESULTADOS!$C$17="Normal",I274,0)-J274)/2)</f>
        <v/>
      </c>
      <c r="S274" s="140">
        <f t="shared" ca="1" si="36"/>
        <v>0</v>
      </c>
      <c r="U274" s="164" t="str">
        <f t="shared" ca="1" si="37"/>
        <v/>
      </c>
      <c r="V274" s="164" t="str">
        <f t="shared" ca="1" si="34"/>
        <v/>
      </c>
      <c r="W274" s="140">
        <f ca="1">IF(OR((W273-13/12*Z273)*(1+PREMISSAS!$C$16)&lt;0,W273=""),0,(W273-13/12*Z273)*(1+PREMISSAS!$C$16))</f>
        <v>0</v>
      </c>
      <c r="X274" s="140">
        <f ca="1">IF(OR((X273-13/12*AA273)*(1+PREMISSAS!$C$16)&lt;0,X273=""),0,(X273-13/12*AA273)*(1+PREMISSAS!$C$16))</f>
        <v>0</v>
      </c>
      <c r="Y274" s="140">
        <f t="shared" ca="1" si="35"/>
        <v>0</v>
      </c>
      <c r="Z274" s="167">
        <f t="shared" ca="1" si="38"/>
        <v>0</v>
      </c>
      <c r="AA274" s="167">
        <f t="shared" ca="1" si="39"/>
        <v>0</v>
      </c>
    </row>
    <row r="275" spans="2:27" x14ac:dyDescent="0.25">
      <c r="B275" s="21" t="str">
        <f ca="1">IF(B274="","",IF(EOMONTH(B274,1)&gt;EOMONTH(ELEGIBILIDADE!$J$17,0),"",EOMONTH(B274,1)))</f>
        <v/>
      </c>
      <c r="C275" s="22" t="str">
        <f ca="1">IF(B275="","",IF(MONTH(B275)=1,C274*(1+PREMISSAS!$C$57),C274))</f>
        <v/>
      </c>
      <c r="D275" s="22">
        <f ca="1">IF(RESULTADOS!$C$17="Normal",IFERROR(MAX(C275-PREMISSAS!$C$13,0),0),IF(Painel!$I$23=0,0,MAX(10*PREMISSAS!$C$38,RESULTADOS!$F$17)))</f>
        <v>0</v>
      </c>
      <c r="E275" s="4">
        <f ca="1">D275*IF(RESULTADOS!$C$17="Normal",RESULTADOS!$C$16,0)</f>
        <v>0</v>
      </c>
      <c r="F275" s="4">
        <f ca="1">IFERROR(IF(RESULTADOS!$C$17="Normal",D275,C275)*RESULTADOS!$C$18,0)</f>
        <v>0</v>
      </c>
      <c r="G275" s="4">
        <f ca="1">IFERROR(IF(RESULTADOS!$C$17="Normal",0,D275)*IF(RESULTADOS!$C$17="Normal",RESULTADOS!$C$18,RESULTADOS!$C$16),0)</f>
        <v>0</v>
      </c>
      <c r="H275" s="4">
        <f ca="1">IF(RESULTADOS!$C$17="Normal",E275,0)</f>
        <v>0</v>
      </c>
      <c r="I275" s="4">
        <f ca="1">(E275+H275+G275)*PREMISSAS!$C$60</f>
        <v>0</v>
      </c>
      <c r="J275" s="4">
        <f ca="1">D275*IF(RESULTADOS!$C$17="Normal",PREMISSAS!$C$62,0)</f>
        <v>0</v>
      </c>
      <c r="K275" s="116">
        <f ca="1">IFERROR(K274*(1+PREMISSAS!$C$18)+(E275+H275-IF(RESULTADOS!$C$17="Normal",I275,0)-J275)*IF(MONTH(B275)=12,2,1),0)</f>
        <v>0</v>
      </c>
      <c r="L275" s="116">
        <f ca="1">IFERROR((L274+G275-IF(RESULTADOS!$C$17="Normal",0,I275))*(1+PREMISSAS!$C$18)+F275,0)</f>
        <v>0</v>
      </c>
      <c r="N275" s="73">
        <f t="shared" ca="1" si="32"/>
        <v>0</v>
      </c>
      <c r="P275" s="164" t="str">
        <f t="shared" ca="1" si="33"/>
        <v/>
      </c>
      <c r="Q275" s="140" t="str">
        <f ca="1">IF(C275="","",Q274+(E275+H275-IF(RESULTADOS!$C$17="Normal",I275,0)-J275)/2+(F275+G275-IF(RESULTADOS!$C$17="Normal",0,I275)))</f>
        <v/>
      </c>
      <c r="R275" s="140" t="str">
        <f ca="1">IF(C275="","",R274+(E275+H275-IF(RESULTADOS!$C$17="Normal",I275,0)-J275)/2)</f>
        <v/>
      </c>
      <c r="S275" s="140">
        <f t="shared" ca="1" si="36"/>
        <v>0</v>
      </c>
      <c r="U275" s="164" t="str">
        <f t="shared" ca="1" si="37"/>
        <v/>
      </c>
      <c r="V275" s="164" t="str">
        <f t="shared" ca="1" si="34"/>
        <v/>
      </c>
      <c r="W275" s="140">
        <f ca="1">IF(OR((W274-13/12*Z274)*(1+PREMISSAS!$C$16)&lt;0,W274=""),0,(W274-13/12*Z274)*(1+PREMISSAS!$C$16))</f>
        <v>0</v>
      </c>
      <c r="X275" s="140">
        <f ca="1">IF(OR((X274-13/12*AA274)*(1+PREMISSAS!$C$16)&lt;0,X274=""),0,(X274-13/12*AA274)*(1+PREMISSAS!$C$16))</f>
        <v>0</v>
      </c>
      <c r="Y275" s="140">
        <f t="shared" ca="1" si="35"/>
        <v>0</v>
      </c>
      <c r="Z275" s="167">
        <f t="shared" ca="1" si="38"/>
        <v>0</v>
      </c>
      <c r="AA275" s="167">
        <f t="shared" ca="1" si="39"/>
        <v>0</v>
      </c>
    </row>
    <row r="276" spans="2:27" x14ac:dyDescent="0.25">
      <c r="B276" s="21" t="str">
        <f ca="1">IF(B275="","",IF(EOMONTH(B275,1)&gt;EOMONTH(ELEGIBILIDADE!$J$17,0),"",EOMONTH(B275,1)))</f>
        <v/>
      </c>
      <c r="C276" s="22" t="str">
        <f ca="1">IF(B276="","",IF(MONTH(B276)=1,C275*(1+PREMISSAS!$C$57),C275))</f>
        <v/>
      </c>
      <c r="D276" s="22">
        <f ca="1">IF(RESULTADOS!$C$17="Normal",IFERROR(MAX(C276-PREMISSAS!$C$13,0),0),IF(Painel!$I$23=0,0,MAX(10*PREMISSAS!$C$38,RESULTADOS!$F$17)))</f>
        <v>0</v>
      </c>
      <c r="E276" s="4">
        <f ca="1">D276*IF(RESULTADOS!$C$17="Normal",RESULTADOS!$C$16,0)</f>
        <v>0</v>
      </c>
      <c r="F276" s="4">
        <f ca="1">IFERROR(IF(RESULTADOS!$C$17="Normal",D276,C276)*RESULTADOS!$C$18,0)</f>
        <v>0</v>
      </c>
      <c r="G276" s="4">
        <f ca="1">IFERROR(IF(RESULTADOS!$C$17="Normal",0,D276)*IF(RESULTADOS!$C$17="Normal",RESULTADOS!$C$18,RESULTADOS!$C$16),0)</f>
        <v>0</v>
      </c>
      <c r="H276" s="4">
        <f ca="1">IF(RESULTADOS!$C$17="Normal",E276,0)</f>
        <v>0</v>
      </c>
      <c r="I276" s="4">
        <f ca="1">(E276+H276+G276)*PREMISSAS!$C$60</f>
        <v>0</v>
      </c>
      <c r="J276" s="4">
        <f ca="1">D276*IF(RESULTADOS!$C$17="Normal",PREMISSAS!$C$62,0)</f>
        <v>0</v>
      </c>
      <c r="K276" s="116">
        <f ca="1">IFERROR(K275*(1+PREMISSAS!$C$18)+(E276+H276-IF(RESULTADOS!$C$17="Normal",I276,0)-J276)*IF(MONTH(B276)=12,2,1),0)</f>
        <v>0</v>
      </c>
      <c r="L276" s="116">
        <f ca="1">IFERROR((L275+G276-IF(RESULTADOS!$C$17="Normal",0,I276))*(1+PREMISSAS!$C$18)+F276,0)</f>
        <v>0</v>
      </c>
      <c r="N276" s="73">
        <f t="shared" ca="1" si="32"/>
        <v>0</v>
      </c>
      <c r="P276" s="164" t="str">
        <f t="shared" ca="1" si="33"/>
        <v/>
      </c>
      <c r="Q276" s="140" t="str">
        <f ca="1">IF(C276="","",Q275+(E276+H276-IF(RESULTADOS!$C$17="Normal",I276,0)-J276)/2+(F276+G276-IF(RESULTADOS!$C$17="Normal",0,I276)))</f>
        <v/>
      </c>
      <c r="R276" s="140" t="str">
        <f ca="1">IF(C276="","",R275+(E276+H276-IF(RESULTADOS!$C$17="Normal",I276,0)-J276)/2)</f>
        <v/>
      </c>
      <c r="S276" s="140">
        <f t="shared" ca="1" si="36"/>
        <v>0</v>
      </c>
      <c r="U276" s="164" t="str">
        <f t="shared" ca="1" si="37"/>
        <v/>
      </c>
      <c r="V276" s="164" t="str">
        <f t="shared" ca="1" si="34"/>
        <v/>
      </c>
      <c r="W276" s="140">
        <f ca="1">IF(OR((W275-13/12*Z275)*(1+PREMISSAS!$C$16)&lt;0,W275=""),0,(W275-13/12*Z275)*(1+PREMISSAS!$C$16))</f>
        <v>0</v>
      </c>
      <c r="X276" s="140">
        <f ca="1">IF(OR((X275-13/12*AA275)*(1+PREMISSAS!$C$16)&lt;0,X275=""),0,(X275-13/12*AA275)*(1+PREMISSAS!$C$16))</f>
        <v>0</v>
      </c>
      <c r="Y276" s="140">
        <f t="shared" ca="1" si="35"/>
        <v>0</v>
      </c>
      <c r="Z276" s="167">
        <f t="shared" ca="1" si="38"/>
        <v>0</v>
      </c>
      <c r="AA276" s="167">
        <f t="shared" ca="1" si="39"/>
        <v>0</v>
      </c>
    </row>
    <row r="277" spans="2:27" x14ac:dyDescent="0.25">
      <c r="B277" s="21" t="str">
        <f ca="1">IF(B276="","",IF(EOMONTH(B276,1)&gt;EOMONTH(ELEGIBILIDADE!$J$17,0),"",EOMONTH(B276,1)))</f>
        <v/>
      </c>
      <c r="C277" s="22" t="str">
        <f ca="1">IF(B277="","",IF(MONTH(B277)=1,C276*(1+PREMISSAS!$C$57),C276))</f>
        <v/>
      </c>
      <c r="D277" s="22">
        <f ca="1">IF(RESULTADOS!$C$17="Normal",IFERROR(MAX(C277-PREMISSAS!$C$13,0),0),IF(Painel!$I$23=0,0,MAX(10*PREMISSAS!$C$38,RESULTADOS!$F$17)))</f>
        <v>0</v>
      </c>
      <c r="E277" s="4">
        <f ca="1">D277*IF(RESULTADOS!$C$17="Normal",RESULTADOS!$C$16,0)</f>
        <v>0</v>
      </c>
      <c r="F277" s="4">
        <f ca="1">IFERROR(IF(RESULTADOS!$C$17="Normal",D277,C277)*RESULTADOS!$C$18,0)</f>
        <v>0</v>
      </c>
      <c r="G277" s="4">
        <f ca="1">IFERROR(IF(RESULTADOS!$C$17="Normal",0,D277)*IF(RESULTADOS!$C$17="Normal",RESULTADOS!$C$18,RESULTADOS!$C$16),0)</f>
        <v>0</v>
      </c>
      <c r="H277" s="4">
        <f ca="1">IF(RESULTADOS!$C$17="Normal",E277,0)</f>
        <v>0</v>
      </c>
      <c r="I277" s="4">
        <f ca="1">(E277+H277+G277)*PREMISSAS!$C$60</f>
        <v>0</v>
      </c>
      <c r="J277" s="4">
        <f ca="1">D277*IF(RESULTADOS!$C$17="Normal",PREMISSAS!$C$62,0)</f>
        <v>0</v>
      </c>
      <c r="K277" s="116">
        <f ca="1">IFERROR(K276*(1+PREMISSAS!$C$18)+(E277+H277-IF(RESULTADOS!$C$17="Normal",I277,0)-J277)*IF(MONTH(B277)=12,2,1),0)</f>
        <v>0</v>
      </c>
      <c r="L277" s="116">
        <f ca="1">IFERROR((L276+G277-IF(RESULTADOS!$C$17="Normal",0,I277))*(1+PREMISSAS!$C$18)+F277,0)</f>
        <v>0</v>
      </c>
      <c r="N277" s="73">
        <f t="shared" ca="1" si="32"/>
        <v>0</v>
      </c>
      <c r="P277" s="164" t="str">
        <f t="shared" ca="1" si="33"/>
        <v/>
      </c>
      <c r="Q277" s="140" t="str">
        <f ca="1">IF(C277="","",Q276+(E277+H277-IF(RESULTADOS!$C$17="Normal",I277,0)-J277)/2+(F277+G277-IF(RESULTADOS!$C$17="Normal",0,I277)))</f>
        <v/>
      </c>
      <c r="R277" s="140" t="str">
        <f ca="1">IF(C277="","",R276+(E277+H277-IF(RESULTADOS!$C$17="Normal",I277,0)-J277)/2)</f>
        <v/>
      </c>
      <c r="S277" s="140">
        <f t="shared" ca="1" si="36"/>
        <v>0</v>
      </c>
      <c r="U277" s="164" t="str">
        <f t="shared" ca="1" si="37"/>
        <v/>
      </c>
      <c r="V277" s="164" t="str">
        <f t="shared" ca="1" si="34"/>
        <v/>
      </c>
      <c r="W277" s="140">
        <f ca="1">IF(OR((W276-13/12*Z276)*(1+PREMISSAS!$C$16)&lt;0,W276=""),0,(W276-13/12*Z276)*(1+PREMISSAS!$C$16))</f>
        <v>0</v>
      </c>
      <c r="X277" s="140">
        <f ca="1">IF(OR((X276-13/12*AA276)*(1+PREMISSAS!$C$16)&lt;0,X276=""),0,(X276-13/12*AA276)*(1+PREMISSAS!$C$16))</f>
        <v>0</v>
      </c>
      <c r="Y277" s="140">
        <f t="shared" ca="1" si="35"/>
        <v>0</v>
      </c>
      <c r="Z277" s="167">
        <f t="shared" ca="1" si="38"/>
        <v>0</v>
      </c>
      <c r="AA277" s="167">
        <f t="shared" ca="1" si="39"/>
        <v>0</v>
      </c>
    </row>
    <row r="278" spans="2:27" x14ac:dyDescent="0.25">
      <c r="B278" s="21" t="str">
        <f ca="1">IF(B277="","",IF(EOMONTH(B277,1)&gt;EOMONTH(ELEGIBILIDADE!$J$17,0),"",EOMONTH(B277,1)))</f>
        <v/>
      </c>
      <c r="C278" s="22" t="str">
        <f ca="1">IF(B278="","",IF(MONTH(B278)=1,C277*(1+PREMISSAS!$C$57),C277))</f>
        <v/>
      </c>
      <c r="D278" s="22">
        <f ca="1">IF(RESULTADOS!$C$17="Normal",IFERROR(MAX(C278-PREMISSAS!$C$13,0),0),IF(Painel!$I$23=0,0,MAX(10*PREMISSAS!$C$38,RESULTADOS!$F$17)))</f>
        <v>0</v>
      </c>
      <c r="E278" s="4">
        <f ca="1">D278*IF(RESULTADOS!$C$17="Normal",RESULTADOS!$C$16,0)</f>
        <v>0</v>
      </c>
      <c r="F278" s="4">
        <f ca="1">IFERROR(IF(RESULTADOS!$C$17="Normal",D278,C278)*RESULTADOS!$C$18,0)</f>
        <v>0</v>
      </c>
      <c r="G278" s="4">
        <f ca="1">IFERROR(IF(RESULTADOS!$C$17="Normal",0,D278)*IF(RESULTADOS!$C$17="Normal",RESULTADOS!$C$18,RESULTADOS!$C$16),0)</f>
        <v>0</v>
      </c>
      <c r="H278" s="4">
        <f ca="1">IF(RESULTADOS!$C$17="Normal",E278,0)</f>
        <v>0</v>
      </c>
      <c r="I278" s="4">
        <f ca="1">(E278+H278+G278)*PREMISSAS!$C$60</f>
        <v>0</v>
      </c>
      <c r="J278" s="4">
        <f ca="1">D278*IF(RESULTADOS!$C$17="Normal",PREMISSAS!$C$62,0)</f>
        <v>0</v>
      </c>
      <c r="K278" s="116">
        <f ca="1">IFERROR(K277*(1+PREMISSAS!$C$18)+(E278+H278-IF(RESULTADOS!$C$17="Normal",I278,0)-J278)*IF(MONTH(B278)=12,2,1),0)</f>
        <v>0</v>
      </c>
      <c r="L278" s="116">
        <f ca="1">IFERROR((L277+G278-IF(RESULTADOS!$C$17="Normal",0,I278))*(1+PREMISSAS!$C$18)+F278,0)</f>
        <v>0</v>
      </c>
      <c r="N278" s="73">
        <f t="shared" ca="1" si="32"/>
        <v>0</v>
      </c>
      <c r="P278" s="164" t="str">
        <f t="shared" ca="1" si="33"/>
        <v/>
      </c>
      <c r="Q278" s="140" t="str">
        <f ca="1">IF(C278="","",Q277+(E278+H278-IF(RESULTADOS!$C$17="Normal",I278,0)-J278)/2+(F278+G278-IF(RESULTADOS!$C$17="Normal",0,I278)))</f>
        <v/>
      </c>
      <c r="R278" s="140" t="str">
        <f ca="1">IF(C278="","",R277+(E278+H278-IF(RESULTADOS!$C$17="Normal",I278,0)-J278)/2)</f>
        <v/>
      </c>
      <c r="S278" s="140">
        <f t="shared" ca="1" si="36"/>
        <v>0</v>
      </c>
      <c r="U278" s="164" t="str">
        <f t="shared" ca="1" si="37"/>
        <v/>
      </c>
      <c r="V278" s="164" t="str">
        <f t="shared" ca="1" si="34"/>
        <v/>
      </c>
      <c r="W278" s="140">
        <f ca="1">IF(OR((W277-13/12*Z277)*(1+PREMISSAS!$C$16)&lt;0,W277=""),0,(W277-13/12*Z277)*(1+PREMISSAS!$C$16))</f>
        <v>0</v>
      </c>
      <c r="X278" s="140">
        <f ca="1">IF(OR((X277-13/12*AA277)*(1+PREMISSAS!$C$16)&lt;0,X277=""),0,(X277-13/12*AA277)*(1+PREMISSAS!$C$16))</f>
        <v>0</v>
      </c>
      <c r="Y278" s="140">
        <f t="shared" ca="1" si="35"/>
        <v>0</v>
      </c>
      <c r="Z278" s="167">
        <f t="shared" ca="1" si="38"/>
        <v>0</v>
      </c>
      <c r="AA278" s="167">
        <f t="shared" ca="1" si="39"/>
        <v>0</v>
      </c>
    </row>
    <row r="279" spans="2:27" x14ac:dyDescent="0.25">
      <c r="B279" s="21" t="str">
        <f ca="1">IF(B278="","",IF(EOMONTH(B278,1)&gt;EOMONTH(ELEGIBILIDADE!$J$17,0),"",EOMONTH(B278,1)))</f>
        <v/>
      </c>
      <c r="C279" s="22" t="str">
        <f ca="1">IF(B279="","",IF(MONTH(B279)=1,C278*(1+PREMISSAS!$C$57),C278))</f>
        <v/>
      </c>
      <c r="D279" s="22">
        <f ca="1">IF(RESULTADOS!$C$17="Normal",IFERROR(MAX(C279-PREMISSAS!$C$13,0),0),IF(Painel!$I$23=0,0,MAX(10*PREMISSAS!$C$38,RESULTADOS!$F$17)))</f>
        <v>0</v>
      </c>
      <c r="E279" s="4">
        <f ca="1">D279*IF(RESULTADOS!$C$17="Normal",RESULTADOS!$C$16,0)</f>
        <v>0</v>
      </c>
      <c r="F279" s="4">
        <f ca="1">IFERROR(IF(RESULTADOS!$C$17="Normal",D279,C279)*RESULTADOS!$C$18,0)</f>
        <v>0</v>
      </c>
      <c r="G279" s="4">
        <f ca="1">IFERROR(IF(RESULTADOS!$C$17="Normal",0,D279)*IF(RESULTADOS!$C$17="Normal",RESULTADOS!$C$18,RESULTADOS!$C$16),0)</f>
        <v>0</v>
      </c>
      <c r="H279" s="4">
        <f ca="1">IF(RESULTADOS!$C$17="Normal",E279,0)</f>
        <v>0</v>
      </c>
      <c r="I279" s="4">
        <f ca="1">(E279+H279+G279)*PREMISSAS!$C$60</f>
        <v>0</v>
      </c>
      <c r="J279" s="4">
        <f ca="1">D279*IF(RESULTADOS!$C$17="Normal",PREMISSAS!$C$62,0)</f>
        <v>0</v>
      </c>
      <c r="K279" s="116">
        <f ca="1">IFERROR(K278*(1+PREMISSAS!$C$18)+(E279+H279-IF(RESULTADOS!$C$17="Normal",I279,0)-J279)*IF(MONTH(B279)=12,2,1),0)</f>
        <v>0</v>
      </c>
      <c r="L279" s="116">
        <f ca="1">IFERROR((L278+G279-IF(RESULTADOS!$C$17="Normal",0,I279))*(1+PREMISSAS!$C$18)+F279,0)</f>
        <v>0</v>
      </c>
      <c r="N279" s="73">
        <f t="shared" ca="1" si="32"/>
        <v>0</v>
      </c>
      <c r="P279" s="164" t="str">
        <f t="shared" ca="1" si="33"/>
        <v/>
      </c>
      <c r="Q279" s="140" t="str">
        <f ca="1">IF(C279="","",Q278+(E279+H279-IF(RESULTADOS!$C$17="Normal",I279,0)-J279)/2+(F279+G279-IF(RESULTADOS!$C$17="Normal",0,I279)))</f>
        <v/>
      </c>
      <c r="R279" s="140" t="str">
        <f ca="1">IF(C279="","",R278+(E279+H279-IF(RESULTADOS!$C$17="Normal",I279,0)-J279)/2)</f>
        <v/>
      </c>
      <c r="S279" s="140">
        <f t="shared" ca="1" si="36"/>
        <v>0</v>
      </c>
      <c r="U279" s="164" t="str">
        <f t="shared" ca="1" si="37"/>
        <v/>
      </c>
      <c r="V279" s="164" t="str">
        <f t="shared" ca="1" si="34"/>
        <v/>
      </c>
      <c r="W279" s="140">
        <f ca="1">IF(OR((W278-13/12*Z278)*(1+PREMISSAS!$C$16)&lt;0,W278=""),0,(W278-13/12*Z278)*(1+PREMISSAS!$C$16))</f>
        <v>0</v>
      </c>
      <c r="X279" s="140">
        <f ca="1">IF(OR((X278-13/12*AA278)*(1+PREMISSAS!$C$16)&lt;0,X278=""),0,(X278-13/12*AA278)*(1+PREMISSAS!$C$16))</f>
        <v>0</v>
      </c>
      <c r="Y279" s="140">
        <f t="shared" ca="1" si="35"/>
        <v>0</v>
      </c>
      <c r="Z279" s="167">
        <f t="shared" ca="1" si="38"/>
        <v>0</v>
      </c>
      <c r="AA279" s="167">
        <f t="shared" ca="1" si="39"/>
        <v>0</v>
      </c>
    </row>
    <row r="280" spans="2:27" x14ac:dyDescent="0.25">
      <c r="B280" s="21" t="str">
        <f ca="1">IF(B279="","",IF(EOMONTH(B279,1)&gt;EOMONTH(ELEGIBILIDADE!$J$17,0),"",EOMONTH(B279,1)))</f>
        <v/>
      </c>
      <c r="C280" s="22" t="str">
        <f ca="1">IF(B280="","",IF(MONTH(B280)=1,C279*(1+PREMISSAS!$C$57),C279))</f>
        <v/>
      </c>
      <c r="D280" s="22">
        <f ca="1">IF(RESULTADOS!$C$17="Normal",IFERROR(MAX(C280-PREMISSAS!$C$13,0),0),IF(Painel!$I$23=0,0,MAX(10*PREMISSAS!$C$38,RESULTADOS!$F$17)))</f>
        <v>0</v>
      </c>
      <c r="E280" s="4">
        <f ca="1">D280*IF(RESULTADOS!$C$17="Normal",RESULTADOS!$C$16,0)</f>
        <v>0</v>
      </c>
      <c r="F280" s="4">
        <f ca="1">IFERROR(IF(RESULTADOS!$C$17="Normal",D280,C280)*RESULTADOS!$C$18,0)</f>
        <v>0</v>
      </c>
      <c r="G280" s="4">
        <f ca="1">IFERROR(IF(RESULTADOS!$C$17="Normal",0,D280)*IF(RESULTADOS!$C$17="Normal",RESULTADOS!$C$18,RESULTADOS!$C$16),0)</f>
        <v>0</v>
      </c>
      <c r="H280" s="4">
        <f ca="1">IF(RESULTADOS!$C$17="Normal",E280,0)</f>
        <v>0</v>
      </c>
      <c r="I280" s="4">
        <f ca="1">(E280+H280+G280)*PREMISSAS!$C$60</f>
        <v>0</v>
      </c>
      <c r="J280" s="4">
        <f ca="1">D280*IF(RESULTADOS!$C$17="Normal",PREMISSAS!$C$62,0)</f>
        <v>0</v>
      </c>
      <c r="K280" s="116">
        <f ca="1">IFERROR(K279*(1+PREMISSAS!$C$18)+(E280+H280-IF(RESULTADOS!$C$17="Normal",I280,0)-J280)*IF(MONTH(B280)=12,2,1),0)</f>
        <v>0</v>
      </c>
      <c r="L280" s="116">
        <f ca="1">IFERROR((L279+G280-IF(RESULTADOS!$C$17="Normal",0,I280))*(1+PREMISSAS!$C$18)+F280,0)</f>
        <v>0</v>
      </c>
      <c r="N280" s="73">
        <f t="shared" ca="1" si="32"/>
        <v>0</v>
      </c>
      <c r="P280" s="164" t="str">
        <f t="shared" ca="1" si="33"/>
        <v/>
      </c>
      <c r="Q280" s="140" t="str">
        <f ca="1">IF(C280="","",Q279+(E280+H280-IF(RESULTADOS!$C$17="Normal",I280,0)-J280)/2+(F280+G280-IF(RESULTADOS!$C$17="Normal",0,I280)))</f>
        <v/>
      </c>
      <c r="R280" s="140" t="str">
        <f ca="1">IF(C280="","",R279+(E280+H280-IF(RESULTADOS!$C$17="Normal",I280,0)-J280)/2)</f>
        <v/>
      </c>
      <c r="S280" s="140">
        <f t="shared" ca="1" si="36"/>
        <v>0</v>
      </c>
      <c r="U280" s="164" t="str">
        <f t="shared" ca="1" si="37"/>
        <v/>
      </c>
      <c r="V280" s="164" t="str">
        <f t="shared" ca="1" si="34"/>
        <v/>
      </c>
      <c r="W280" s="140">
        <f ca="1">IF(OR((W279-13/12*Z279)*(1+PREMISSAS!$C$16)&lt;0,W279=""),0,(W279-13/12*Z279)*(1+PREMISSAS!$C$16))</f>
        <v>0</v>
      </c>
      <c r="X280" s="140">
        <f ca="1">IF(OR((X279-13/12*AA279)*(1+PREMISSAS!$C$16)&lt;0,X279=""),0,(X279-13/12*AA279)*(1+PREMISSAS!$C$16))</f>
        <v>0</v>
      </c>
      <c r="Y280" s="140">
        <f t="shared" ca="1" si="35"/>
        <v>0</v>
      </c>
      <c r="Z280" s="167">
        <f t="shared" ca="1" si="38"/>
        <v>0</v>
      </c>
      <c r="AA280" s="167">
        <f t="shared" ca="1" si="39"/>
        <v>0</v>
      </c>
    </row>
    <row r="281" spans="2:27" x14ac:dyDescent="0.25">
      <c r="B281" s="21" t="str">
        <f ca="1">IF(B280="","",IF(EOMONTH(B280,1)&gt;EOMONTH(ELEGIBILIDADE!$J$17,0),"",EOMONTH(B280,1)))</f>
        <v/>
      </c>
      <c r="C281" s="22" t="str">
        <f ca="1">IF(B281="","",IF(MONTH(B281)=1,C280*(1+PREMISSAS!$C$57),C280))</f>
        <v/>
      </c>
      <c r="D281" s="22">
        <f ca="1">IF(RESULTADOS!$C$17="Normal",IFERROR(MAX(C281-PREMISSAS!$C$13,0),0),IF(Painel!$I$23=0,0,MAX(10*PREMISSAS!$C$38,RESULTADOS!$F$17)))</f>
        <v>0</v>
      </c>
      <c r="E281" s="4">
        <f ca="1">D281*IF(RESULTADOS!$C$17="Normal",RESULTADOS!$C$16,0)</f>
        <v>0</v>
      </c>
      <c r="F281" s="4">
        <f ca="1">IFERROR(IF(RESULTADOS!$C$17="Normal",D281,C281)*RESULTADOS!$C$18,0)</f>
        <v>0</v>
      </c>
      <c r="G281" s="4">
        <f ca="1">IFERROR(IF(RESULTADOS!$C$17="Normal",0,D281)*IF(RESULTADOS!$C$17="Normal",RESULTADOS!$C$18,RESULTADOS!$C$16),0)</f>
        <v>0</v>
      </c>
      <c r="H281" s="4">
        <f ca="1">IF(RESULTADOS!$C$17="Normal",E281,0)</f>
        <v>0</v>
      </c>
      <c r="I281" s="4">
        <f ca="1">(E281+H281+G281)*PREMISSAS!$C$60</f>
        <v>0</v>
      </c>
      <c r="J281" s="4">
        <f ca="1">D281*IF(RESULTADOS!$C$17="Normal",PREMISSAS!$C$62,0)</f>
        <v>0</v>
      </c>
      <c r="K281" s="116">
        <f ca="1">IFERROR(K280*(1+PREMISSAS!$C$18)+(E281+H281-IF(RESULTADOS!$C$17="Normal",I281,0)-J281)*IF(MONTH(B281)=12,2,1),0)</f>
        <v>0</v>
      </c>
      <c r="L281" s="116">
        <f ca="1">IFERROR((L280+G281-IF(RESULTADOS!$C$17="Normal",0,I281))*(1+PREMISSAS!$C$18)+F281,0)</f>
        <v>0</v>
      </c>
      <c r="N281" s="73">
        <f t="shared" ca="1" si="32"/>
        <v>0</v>
      </c>
      <c r="P281" s="164" t="str">
        <f t="shared" ca="1" si="33"/>
        <v/>
      </c>
      <c r="Q281" s="140" t="str">
        <f ca="1">IF(C281="","",Q280+(E281+H281-IF(RESULTADOS!$C$17="Normal",I281,0)-J281)/2+(F281+G281-IF(RESULTADOS!$C$17="Normal",0,I281)))</f>
        <v/>
      </c>
      <c r="R281" s="140" t="str">
        <f ca="1">IF(C281="","",R280+(E281+H281-IF(RESULTADOS!$C$17="Normal",I281,0)-J281)/2)</f>
        <v/>
      </c>
      <c r="S281" s="140">
        <f t="shared" ca="1" si="36"/>
        <v>0</v>
      </c>
      <c r="U281" s="164" t="str">
        <f t="shared" ca="1" si="37"/>
        <v/>
      </c>
      <c r="V281" s="164" t="str">
        <f t="shared" ca="1" si="34"/>
        <v/>
      </c>
      <c r="W281" s="140">
        <f ca="1">IF(OR((W280-13/12*Z280)*(1+PREMISSAS!$C$16)&lt;0,W280=""),0,(W280-13/12*Z280)*(1+PREMISSAS!$C$16))</f>
        <v>0</v>
      </c>
      <c r="X281" s="140">
        <f ca="1">IF(OR((X280-13/12*AA280)*(1+PREMISSAS!$C$16)&lt;0,X280=""),0,(X280-13/12*AA280)*(1+PREMISSAS!$C$16))</f>
        <v>0</v>
      </c>
      <c r="Y281" s="140">
        <f t="shared" ca="1" si="35"/>
        <v>0</v>
      </c>
      <c r="Z281" s="167">
        <f t="shared" ca="1" si="38"/>
        <v>0</v>
      </c>
      <c r="AA281" s="167">
        <f t="shared" ca="1" si="39"/>
        <v>0</v>
      </c>
    </row>
    <row r="282" spans="2:27" x14ac:dyDescent="0.25">
      <c r="B282" s="21" t="str">
        <f ca="1">IF(B281="","",IF(EOMONTH(B281,1)&gt;EOMONTH(ELEGIBILIDADE!$J$17,0),"",EOMONTH(B281,1)))</f>
        <v/>
      </c>
      <c r="C282" s="22" t="str">
        <f ca="1">IF(B282="","",IF(MONTH(B282)=1,C281*(1+PREMISSAS!$C$57),C281))</f>
        <v/>
      </c>
      <c r="D282" s="22">
        <f ca="1">IF(RESULTADOS!$C$17="Normal",IFERROR(MAX(C282-PREMISSAS!$C$13,0),0),IF(Painel!$I$23=0,0,MAX(10*PREMISSAS!$C$38,RESULTADOS!$F$17)))</f>
        <v>0</v>
      </c>
      <c r="E282" s="4">
        <f ca="1">D282*IF(RESULTADOS!$C$17="Normal",RESULTADOS!$C$16,0)</f>
        <v>0</v>
      </c>
      <c r="F282" s="4">
        <f ca="1">IFERROR(IF(RESULTADOS!$C$17="Normal",D282,C282)*RESULTADOS!$C$18,0)</f>
        <v>0</v>
      </c>
      <c r="G282" s="4">
        <f ca="1">IFERROR(IF(RESULTADOS!$C$17="Normal",0,D282)*IF(RESULTADOS!$C$17="Normal",RESULTADOS!$C$18,RESULTADOS!$C$16),0)</f>
        <v>0</v>
      </c>
      <c r="H282" s="4">
        <f ca="1">IF(RESULTADOS!$C$17="Normal",E282,0)</f>
        <v>0</v>
      </c>
      <c r="I282" s="4">
        <f ca="1">(E282+H282+G282)*PREMISSAS!$C$60</f>
        <v>0</v>
      </c>
      <c r="J282" s="4">
        <f ca="1">D282*IF(RESULTADOS!$C$17="Normal",PREMISSAS!$C$62,0)</f>
        <v>0</v>
      </c>
      <c r="K282" s="116">
        <f ca="1">IFERROR(K281*(1+PREMISSAS!$C$18)+(E282+H282-IF(RESULTADOS!$C$17="Normal",I282,0)-J282)*IF(MONTH(B282)=12,2,1),0)</f>
        <v>0</v>
      </c>
      <c r="L282" s="116">
        <f ca="1">IFERROR((L281+G282-IF(RESULTADOS!$C$17="Normal",0,I282))*(1+PREMISSAS!$C$18)+F282,0)</f>
        <v>0</v>
      </c>
      <c r="N282" s="73">
        <f t="shared" ca="1" si="32"/>
        <v>0</v>
      </c>
      <c r="P282" s="164" t="str">
        <f t="shared" ca="1" si="33"/>
        <v/>
      </c>
      <c r="Q282" s="140" t="str">
        <f ca="1">IF(C282="","",Q281+(E282+H282-IF(RESULTADOS!$C$17="Normal",I282,0)-J282)/2+(F282+G282-IF(RESULTADOS!$C$17="Normal",0,I282)))</f>
        <v/>
      </c>
      <c r="R282" s="140" t="str">
        <f ca="1">IF(C282="","",R281+(E282+H282-IF(RESULTADOS!$C$17="Normal",I282,0)-J282)/2)</f>
        <v/>
      </c>
      <c r="S282" s="140">
        <f t="shared" ca="1" si="36"/>
        <v>0</v>
      </c>
      <c r="U282" s="164" t="str">
        <f t="shared" ca="1" si="37"/>
        <v/>
      </c>
      <c r="V282" s="164" t="str">
        <f t="shared" ca="1" si="34"/>
        <v/>
      </c>
      <c r="W282" s="140">
        <f ca="1">IF(OR((W281-13/12*Z281)*(1+PREMISSAS!$C$16)&lt;0,W281=""),0,(W281-13/12*Z281)*(1+PREMISSAS!$C$16))</f>
        <v>0</v>
      </c>
      <c r="X282" s="140">
        <f ca="1">IF(OR((X281-13/12*AA281)*(1+PREMISSAS!$C$16)&lt;0,X281=""),0,(X281-13/12*AA281)*(1+PREMISSAS!$C$16))</f>
        <v>0</v>
      </c>
      <c r="Y282" s="140">
        <f t="shared" ca="1" si="35"/>
        <v>0</v>
      </c>
      <c r="Z282" s="167">
        <f t="shared" ca="1" si="38"/>
        <v>0</v>
      </c>
      <c r="AA282" s="167">
        <f t="shared" ca="1" si="39"/>
        <v>0</v>
      </c>
    </row>
    <row r="283" spans="2:27" x14ac:dyDescent="0.25">
      <c r="B283" s="21" t="str">
        <f ca="1">IF(B282="","",IF(EOMONTH(B282,1)&gt;EOMONTH(ELEGIBILIDADE!$J$17,0),"",EOMONTH(B282,1)))</f>
        <v/>
      </c>
      <c r="C283" s="22" t="str">
        <f ca="1">IF(B283="","",IF(MONTH(B283)=1,C282*(1+PREMISSAS!$C$57),C282))</f>
        <v/>
      </c>
      <c r="D283" s="22">
        <f ca="1">IF(RESULTADOS!$C$17="Normal",IFERROR(MAX(C283-PREMISSAS!$C$13,0),0),IF(Painel!$I$23=0,0,MAX(10*PREMISSAS!$C$38,RESULTADOS!$F$17)))</f>
        <v>0</v>
      </c>
      <c r="E283" s="4">
        <f ca="1">D283*IF(RESULTADOS!$C$17="Normal",RESULTADOS!$C$16,0)</f>
        <v>0</v>
      </c>
      <c r="F283" s="4">
        <f ca="1">IFERROR(IF(RESULTADOS!$C$17="Normal",D283,C283)*RESULTADOS!$C$18,0)</f>
        <v>0</v>
      </c>
      <c r="G283" s="4">
        <f ca="1">IFERROR(IF(RESULTADOS!$C$17="Normal",0,D283)*IF(RESULTADOS!$C$17="Normal",RESULTADOS!$C$18,RESULTADOS!$C$16),0)</f>
        <v>0</v>
      </c>
      <c r="H283" s="4">
        <f ca="1">IF(RESULTADOS!$C$17="Normal",E283,0)</f>
        <v>0</v>
      </c>
      <c r="I283" s="4">
        <f ca="1">(E283+H283+G283)*PREMISSAS!$C$60</f>
        <v>0</v>
      </c>
      <c r="J283" s="4">
        <f ca="1">D283*IF(RESULTADOS!$C$17="Normal",PREMISSAS!$C$62,0)</f>
        <v>0</v>
      </c>
      <c r="K283" s="116">
        <f ca="1">IFERROR(K282*(1+PREMISSAS!$C$18)+(E283+H283-IF(RESULTADOS!$C$17="Normal",I283,0)-J283)*IF(MONTH(B283)=12,2,1),0)</f>
        <v>0</v>
      </c>
      <c r="L283" s="116">
        <f ca="1">IFERROR((L282+G283-IF(RESULTADOS!$C$17="Normal",0,I283))*(1+PREMISSAS!$C$18)+F283,0)</f>
        <v>0</v>
      </c>
      <c r="N283" s="73">
        <f t="shared" ca="1" si="32"/>
        <v>0</v>
      </c>
      <c r="P283" s="164" t="str">
        <f t="shared" ca="1" si="33"/>
        <v/>
      </c>
      <c r="Q283" s="140" t="str">
        <f ca="1">IF(C283="","",Q282+(E283+H283-IF(RESULTADOS!$C$17="Normal",I283,0)-J283)/2+(F283+G283-IF(RESULTADOS!$C$17="Normal",0,I283)))</f>
        <v/>
      </c>
      <c r="R283" s="140" t="str">
        <f ca="1">IF(C283="","",R282+(E283+H283-IF(RESULTADOS!$C$17="Normal",I283,0)-J283)/2)</f>
        <v/>
      </c>
      <c r="S283" s="140">
        <f t="shared" ca="1" si="36"/>
        <v>0</v>
      </c>
      <c r="U283" s="164" t="str">
        <f t="shared" ca="1" si="37"/>
        <v/>
      </c>
      <c r="V283" s="164" t="str">
        <f t="shared" ca="1" si="34"/>
        <v/>
      </c>
      <c r="W283" s="140">
        <f ca="1">IF(OR((W282-13/12*Z282)*(1+PREMISSAS!$C$16)&lt;0,W282=""),0,(W282-13/12*Z282)*(1+PREMISSAS!$C$16))</f>
        <v>0</v>
      </c>
      <c r="X283" s="140">
        <f ca="1">IF(OR((X282-13/12*AA282)*(1+PREMISSAS!$C$16)&lt;0,X282=""),0,(X282-13/12*AA282)*(1+PREMISSAS!$C$16))</f>
        <v>0</v>
      </c>
      <c r="Y283" s="140">
        <f t="shared" ca="1" si="35"/>
        <v>0</v>
      </c>
      <c r="Z283" s="167">
        <f t="shared" ca="1" si="38"/>
        <v>0</v>
      </c>
      <c r="AA283" s="167">
        <f t="shared" ca="1" si="39"/>
        <v>0</v>
      </c>
    </row>
    <row r="284" spans="2:27" x14ac:dyDescent="0.25">
      <c r="B284" s="21" t="str">
        <f ca="1">IF(B283="","",IF(EOMONTH(B283,1)&gt;EOMONTH(ELEGIBILIDADE!$J$17,0),"",EOMONTH(B283,1)))</f>
        <v/>
      </c>
      <c r="C284" s="22" t="str">
        <f ca="1">IF(B284="","",IF(MONTH(B284)=1,C283*(1+PREMISSAS!$C$57),C283))</f>
        <v/>
      </c>
      <c r="D284" s="22">
        <f ca="1">IF(RESULTADOS!$C$17="Normal",IFERROR(MAX(C284-PREMISSAS!$C$13,0),0),IF(Painel!$I$23=0,0,MAX(10*PREMISSAS!$C$38,RESULTADOS!$F$17)))</f>
        <v>0</v>
      </c>
      <c r="E284" s="4">
        <f ca="1">D284*IF(RESULTADOS!$C$17="Normal",RESULTADOS!$C$16,0)</f>
        <v>0</v>
      </c>
      <c r="F284" s="4">
        <f ca="1">IFERROR(IF(RESULTADOS!$C$17="Normal",D284,C284)*RESULTADOS!$C$18,0)</f>
        <v>0</v>
      </c>
      <c r="G284" s="4">
        <f ca="1">IFERROR(IF(RESULTADOS!$C$17="Normal",0,D284)*IF(RESULTADOS!$C$17="Normal",RESULTADOS!$C$18,RESULTADOS!$C$16),0)</f>
        <v>0</v>
      </c>
      <c r="H284" s="4">
        <f ca="1">IF(RESULTADOS!$C$17="Normal",E284,0)</f>
        <v>0</v>
      </c>
      <c r="I284" s="4">
        <f ca="1">(E284+H284+G284)*PREMISSAS!$C$60</f>
        <v>0</v>
      </c>
      <c r="J284" s="4">
        <f ca="1">D284*IF(RESULTADOS!$C$17="Normal",PREMISSAS!$C$62,0)</f>
        <v>0</v>
      </c>
      <c r="K284" s="116">
        <f ca="1">IFERROR(K283*(1+PREMISSAS!$C$18)+(E284+H284-IF(RESULTADOS!$C$17="Normal",I284,0)-J284)*IF(MONTH(B284)=12,2,1),0)</f>
        <v>0</v>
      </c>
      <c r="L284" s="116">
        <f ca="1">IFERROR((L283+G284-IF(RESULTADOS!$C$17="Normal",0,I284))*(1+PREMISSAS!$C$18)+F284,0)</f>
        <v>0</v>
      </c>
      <c r="N284" s="73">
        <f t="shared" ca="1" si="32"/>
        <v>0</v>
      </c>
      <c r="P284" s="164" t="str">
        <f t="shared" ca="1" si="33"/>
        <v/>
      </c>
      <c r="Q284" s="140" t="str">
        <f ca="1">IF(C284="","",Q283+(E284+H284-IF(RESULTADOS!$C$17="Normal",I284,0)-J284)/2+(F284+G284-IF(RESULTADOS!$C$17="Normal",0,I284)))</f>
        <v/>
      </c>
      <c r="R284" s="140" t="str">
        <f ca="1">IF(C284="","",R283+(E284+H284-IF(RESULTADOS!$C$17="Normal",I284,0)-J284)/2)</f>
        <v/>
      </c>
      <c r="S284" s="140">
        <f t="shared" ca="1" si="36"/>
        <v>0</v>
      </c>
      <c r="U284" s="164" t="str">
        <f t="shared" ca="1" si="37"/>
        <v/>
      </c>
      <c r="V284" s="164" t="str">
        <f t="shared" ca="1" si="34"/>
        <v/>
      </c>
      <c r="W284" s="140">
        <f ca="1">IF(OR((W283-13/12*Z283)*(1+PREMISSAS!$C$16)&lt;0,W283=""),0,(W283-13/12*Z283)*(1+PREMISSAS!$C$16))</f>
        <v>0</v>
      </c>
      <c r="X284" s="140">
        <f ca="1">IF(OR((X283-13/12*AA283)*(1+PREMISSAS!$C$16)&lt;0,X283=""),0,(X283-13/12*AA283)*(1+PREMISSAS!$C$16))</f>
        <v>0</v>
      </c>
      <c r="Y284" s="140">
        <f t="shared" ca="1" si="35"/>
        <v>0</v>
      </c>
      <c r="Z284" s="167">
        <f t="shared" ca="1" si="38"/>
        <v>0</v>
      </c>
      <c r="AA284" s="167">
        <f t="shared" ca="1" si="39"/>
        <v>0</v>
      </c>
    </row>
    <row r="285" spans="2:27" x14ac:dyDescent="0.25">
      <c r="B285" s="21" t="str">
        <f ca="1">IF(B284="","",IF(EOMONTH(B284,1)&gt;EOMONTH(ELEGIBILIDADE!$J$17,0),"",EOMONTH(B284,1)))</f>
        <v/>
      </c>
      <c r="C285" s="22" t="str">
        <f ca="1">IF(B285="","",IF(MONTH(B285)=1,C284*(1+PREMISSAS!$C$57),C284))</f>
        <v/>
      </c>
      <c r="D285" s="22">
        <f ca="1">IF(RESULTADOS!$C$17="Normal",IFERROR(MAX(C285-PREMISSAS!$C$13,0),0),IF(Painel!$I$23=0,0,MAX(10*PREMISSAS!$C$38,RESULTADOS!$F$17)))</f>
        <v>0</v>
      </c>
      <c r="E285" s="4">
        <f ca="1">D285*IF(RESULTADOS!$C$17="Normal",RESULTADOS!$C$16,0)</f>
        <v>0</v>
      </c>
      <c r="F285" s="4">
        <f ca="1">IFERROR(IF(RESULTADOS!$C$17="Normal",D285,C285)*RESULTADOS!$C$18,0)</f>
        <v>0</v>
      </c>
      <c r="G285" s="4">
        <f ca="1">IFERROR(IF(RESULTADOS!$C$17="Normal",0,D285)*IF(RESULTADOS!$C$17="Normal",RESULTADOS!$C$18,RESULTADOS!$C$16),0)</f>
        <v>0</v>
      </c>
      <c r="H285" s="4">
        <f ca="1">IF(RESULTADOS!$C$17="Normal",E285,0)</f>
        <v>0</v>
      </c>
      <c r="I285" s="4">
        <f ca="1">(E285+H285+G285)*PREMISSAS!$C$60</f>
        <v>0</v>
      </c>
      <c r="J285" s="4">
        <f ca="1">D285*IF(RESULTADOS!$C$17="Normal",PREMISSAS!$C$62,0)</f>
        <v>0</v>
      </c>
      <c r="K285" s="116">
        <f ca="1">IFERROR(K284*(1+PREMISSAS!$C$18)+(E285+H285-IF(RESULTADOS!$C$17="Normal",I285,0)-J285)*IF(MONTH(B285)=12,2,1),0)</f>
        <v>0</v>
      </c>
      <c r="L285" s="116">
        <f ca="1">IFERROR((L284+G285-IF(RESULTADOS!$C$17="Normal",0,I285))*(1+PREMISSAS!$C$18)+F285,0)</f>
        <v>0</v>
      </c>
      <c r="N285" s="73">
        <f t="shared" ca="1" si="32"/>
        <v>0</v>
      </c>
      <c r="P285" s="164" t="str">
        <f t="shared" ca="1" si="33"/>
        <v/>
      </c>
      <c r="Q285" s="140" t="str">
        <f ca="1">IF(C285="","",Q284+(E285+H285-IF(RESULTADOS!$C$17="Normal",I285,0)-J285)/2+(F285+G285-IF(RESULTADOS!$C$17="Normal",0,I285)))</f>
        <v/>
      </c>
      <c r="R285" s="140" t="str">
        <f ca="1">IF(C285="","",R284+(E285+H285-IF(RESULTADOS!$C$17="Normal",I285,0)-J285)/2)</f>
        <v/>
      </c>
      <c r="S285" s="140">
        <f t="shared" ca="1" si="36"/>
        <v>0</v>
      </c>
      <c r="U285" s="164" t="str">
        <f t="shared" ca="1" si="37"/>
        <v/>
      </c>
      <c r="V285" s="164" t="str">
        <f t="shared" ca="1" si="34"/>
        <v/>
      </c>
      <c r="W285" s="140">
        <f ca="1">IF(OR((W284-13/12*Z284)*(1+PREMISSAS!$C$16)&lt;0,W284=""),0,(W284-13/12*Z284)*(1+PREMISSAS!$C$16))</f>
        <v>0</v>
      </c>
      <c r="X285" s="140">
        <f ca="1">IF(OR((X284-13/12*AA284)*(1+PREMISSAS!$C$16)&lt;0,X284=""),0,(X284-13/12*AA284)*(1+PREMISSAS!$C$16))</f>
        <v>0</v>
      </c>
      <c r="Y285" s="140">
        <f t="shared" ca="1" si="35"/>
        <v>0</v>
      </c>
      <c r="Z285" s="167">
        <f t="shared" ca="1" si="38"/>
        <v>0</v>
      </c>
      <c r="AA285" s="167">
        <f t="shared" ca="1" si="39"/>
        <v>0</v>
      </c>
    </row>
    <row r="286" spans="2:27" x14ac:dyDescent="0.25">
      <c r="B286" s="21" t="str">
        <f ca="1">IF(B285="","",IF(EOMONTH(B285,1)&gt;EOMONTH(ELEGIBILIDADE!$J$17,0),"",EOMONTH(B285,1)))</f>
        <v/>
      </c>
      <c r="C286" s="22" t="str">
        <f ca="1">IF(B286="","",IF(MONTH(B286)=1,C285*(1+PREMISSAS!$C$57),C285))</f>
        <v/>
      </c>
      <c r="D286" s="22">
        <f ca="1">IF(RESULTADOS!$C$17="Normal",IFERROR(MAX(C286-PREMISSAS!$C$13,0),0),IF(Painel!$I$23=0,0,MAX(10*PREMISSAS!$C$38,RESULTADOS!$F$17)))</f>
        <v>0</v>
      </c>
      <c r="E286" s="4">
        <f ca="1">D286*IF(RESULTADOS!$C$17="Normal",RESULTADOS!$C$16,0)</f>
        <v>0</v>
      </c>
      <c r="F286" s="4">
        <f ca="1">IFERROR(IF(RESULTADOS!$C$17="Normal",D286,C286)*RESULTADOS!$C$18,0)</f>
        <v>0</v>
      </c>
      <c r="G286" s="4">
        <f ca="1">IFERROR(IF(RESULTADOS!$C$17="Normal",0,D286)*IF(RESULTADOS!$C$17="Normal",RESULTADOS!$C$18,RESULTADOS!$C$16),0)</f>
        <v>0</v>
      </c>
      <c r="H286" s="4">
        <f ca="1">IF(RESULTADOS!$C$17="Normal",E286,0)</f>
        <v>0</v>
      </c>
      <c r="I286" s="4">
        <f ca="1">(E286+H286+G286)*PREMISSAS!$C$60</f>
        <v>0</v>
      </c>
      <c r="J286" s="4">
        <f ca="1">D286*IF(RESULTADOS!$C$17="Normal",PREMISSAS!$C$62,0)</f>
        <v>0</v>
      </c>
      <c r="K286" s="116">
        <f ca="1">IFERROR(K285*(1+PREMISSAS!$C$18)+(E286+H286-IF(RESULTADOS!$C$17="Normal",I286,0)-J286)*IF(MONTH(B286)=12,2,1),0)</f>
        <v>0</v>
      </c>
      <c r="L286" s="116">
        <f ca="1">IFERROR((L285+G286-IF(RESULTADOS!$C$17="Normal",0,I286))*(1+PREMISSAS!$C$18)+F286,0)</f>
        <v>0</v>
      </c>
      <c r="N286" s="73">
        <f t="shared" ca="1" si="32"/>
        <v>0</v>
      </c>
      <c r="P286" s="164" t="str">
        <f t="shared" ca="1" si="33"/>
        <v/>
      </c>
      <c r="Q286" s="140" t="str">
        <f ca="1">IF(C286="","",Q285+(E286+H286-IF(RESULTADOS!$C$17="Normal",I286,0)-J286)/2+(F286+G286-IF(RESULTADOS!$C$17="Normal",0,I286)))</f>
        <v/>
      </c>
      <c r="R286" s="140" t="str">
        <f ca="1">IF(C286="","",R285+(E286+H286-IF(RESULTADOS!$C$17="Normal",I286,0)-J286)/2)</f>
        <v/>
      </c>
      <c r="S286" s="140">
        <f t="shared" ca="1" si="36"/>
        <v>0</v>
      </c>
      <c r="U286" s="164" t="str">
        <f t="shared" ca="1" si="37"/>
        <v/>
      </c>
      <c r="V286" s="164" t="str">
        <f t="shared" ca="1" si="34"/>
        <v/>
      </c>
      <c r="W286" s="140">
        <f ca="1">IF(OR((W285-13/12*Z285)*(1+PREMISSAS!$C$16)&lt;0,W285=""),0,(W285-13/12*Z285)*(1+PREMISSAS!$C$16))</f>
        <v>0</v>
      </c>
      <c r="X286" s="140">
        <f ca="1">IF(OR((X285-13/12*AA285)*(1+PREMISSAS!$C$16)&lt;0,X285=""),0,(X285-13/12*AA285)*(1+PREMISSAS!$C$16))</f>
        <v>0</v>
      </c>
      <c r="Y286" s="140">
        <f t="shared" ca="1" si="35"/>
        <v>0</v>
      </c>
      <c r="Z286" s="167">
        <f t="shared" ca="1" si="38"/>
        <v>0</v>
      </c>
      <c r="AA286" s="167">
        <f t="shared" ca="1" si="39"/>
        <v>0</v>
      </c>
    </row>
    <row r="287" spans="2:27" x14ac:dyDescent="0.25">
      <c r="B287" s="21" t="str">
        <f ca="1">IF(B286="","",IF(EOMONTH(B286,1)&gt;EOMONTH(ELEGIBILIDADE!$J$17,0),"",EOMONTH(B286,1)))</f>
        <v/>
      </c>
      <c r="C287" s="22" t="str">
        <f ca="1">IF(B287="","",IF(MONTH(B287)=1,C286*(1+PREMISSAS!$C$57),C286))</f>
        <v/>
      </c>
      <c r="D287" s="22">
        <f ca="1">IF(RESULTADOS!$C$17="Normal",IFERROR(MAX(C287-PREMISSAS!$C$13,0),0),IF(Painel!$I$23=0,0,MAX(10*PREMISSAS!$C$38,RESULTADOS!$F$17)))</f>
        <v>0</v>
      </c>
      <c r="E287" s="4">
        <f ca="1">D287*IF(RESULTADOS!$C$17="Normal",RESULTADOS!$C$16,0)</f>
        <v>0</v>
      </c>
      <c r="F287" s="4">
        <f ca="1">IFERROR(IF(RESULTADOS!$C$17="Normal",D287,C287)*RESULTADOS!$C$18,0)</f>
        <v>0</v>
      </c>
      <c r="G287" s="4">
        <f ca="1">IFERROR(IF(RESULTADOS!$C$17="Normal",0,D287)*IF(RESULTADOS!$C$17="Normal",RESULTADOS!$C$18,RESULTADOS!$C$16),0)</f>
        <v>0</v>
      </c>
      <c r="H287" s="4">
        <f ca="1">IF(RESULTADOS!$C$17="Normal",E287,0)</f>
        <v>0</v>
      </c>
      <c r="I287" s="4">
        <f ca="1">(E287+H287+G287)*PREMISSAS!$C$60</f>
        <v>0</v>
      </c>
      <c r="J287" s="4">
        <f ca="1">D287*IF(RESULTADOS!$C$17="Normal",PREMISSAS!$C$62,0)</f>
        <v>0</v>
      </c>
      <c r="K287" s="116">
        <f ca="1">IFERROR(K286*(1+PREMISSAS!$C$18)+(E287+H287-IF(RESULTADOS!$C$17="Normal",I287,0)-J287)*IF(MONTH(B287)=12,2,1),0)</f>
        <v>0</v>
      </c>
      <c r="L287" s="116">
        <f ca="1">IFERROR((L286+G287-IF(RESULTADOS!$C$17="Normal",0,I287))*(1+PREMISSAS!$C$18)+F287,0)</f>
        <v>0</v>
      </c>
      <c r="N287" s="73">
        <f t="shared" ca="1" si="32"/>
        <v>0</v>
      </c>
      <c r="P287" s="164" t="str">
        <f t="shared" ca="1" si="33"/>
        <v/>
      </c>
      <c r="Q287" s="140" t="str">
        <f ca="1">IF(C287="","",Q286+(E287+H287-IF(RESULTADOS!$C$17="Normal",I287,0)-J287)/2+(F287+G287-IF(RESULTADOS!$C$17="Normal",0,I287)))</f>
        <v/>
      </c>
      <c r="R287" s="140" t="str">
        <f ca="1">IF(C287="","",R286+(E287+H287-IF(RESULTADOS!$C$17="Normal",I287,0)-J287)/2)</f>
        <v/>
      </c>
      <c r="S287" s="140">
        <f t="shared" ca="1" si="36"/>
        <v>0</v>
      </c>
      <c r="U287" s="164" t="str">
        <f t="shared" ca="1" si="37"/>
        <v/>
      </c>
      <c r="V287" s="164" t="str">
        <f t="shared" ca="1" si="34"/>
        <v/>
      </c>
      <c r="W287" s="140">
        <f ca="1">IF(OR((W286-13/12*Z286)*(1+PREMISSAS!$C$16)&lt;0,W286=""),0,(W286-13/12*Z286)*(1+PREMISSAS!$C$16))</f>
        <v>0</v>
      </c>
      <c r="X287" s="140">
        <f ca="1">IF(OR((X286-13/12*AA286)*(1+PREMISSAS!$C$16)&lt;0,X286=""),0,(X286-13/12*AA286)*(1+PREMISSAS!$C$16))</f>
        <v>0</v>
      </c>
      <c r="Y287" s="140">
        <f t="shared" ca="1" si="35"/>
        <v>0</v>
      </c>
      <c r="Z287" s="167">
        <f t="shared" ca="1" si="38"/>
        <v>0</v>
      </c>
      <c r="AA287" s="167">
        <f t="shared" ca="1" si="39"/>
        <v>0</v>
      </c>
    </row>
    <row r="288" spans="2:27" x14ac:dyDescent="0.25">
      <c r="B288" s="21" t="str">
        <f ca="1">IF(B287="","",IF(EOMONTH(B287,1)&gt;EOMONTH(ELEGIBILIDADE!$J$17,0),"",EOMONTH(B287,1)))</f>
        <v/>
      </c>
      <c r="C288" s="22" t="str">
        <f ca="1">IF(B288="","",IF(MONTH(B288)=1,C287*(1+PREMISSAS!$C$57),C287))</f>
        <v/>
      </c>
      <c r="D288" s="22">
        <f ca="1">IF(RESULTADOS!$C$17="Normal",IFERROR(MAX(C288-PREMISSAS!$C$13,0),0),IF(Painel!$I$23=0,0,MAX(10*PREMISSAS!$C$38,RESULTADOS!$F$17)))</f>
        <v>0</v>
      </c>
      <c r="E288" s="4">
        <f ca="1">D288*IF(RESULTADOS!$C$17="Normal",RESULTADOS!$C$16,0)</f>
        <v>0</v>
      </c>
      <c r="F288" s="4">
        <f ca="1">IFERROR(IF(RESULTADOS!$C$17="Normal",D288,C288)*RESULTADOS!$C$18,0)</f>
        <v>0</v>
      </c>
      <c r="G288" s="4">
        <f ca="1">IFERROR(IF(RESULTADOS!$C$17="Normal",0,D288)*IF(RESULTADOS!$C$17="Normal",RESULTADOS!$C$18,RESULTADOS!$C$16),0)</f>
        <v>0</v>
      </c>
      <c r="H288" s="4">
        <f ca="1">IF(RESULTADOS!$C$17="Normal",E288,0)</f>
        <v>0</v>
      </c>
      <c r="I288" s="4">
        <f ca="1">(E288+H288+G288)*PREMISSAS!$C$60</f>
        <v>0</v>
      </c>
      <c r="J288" s="4">
        <f ca="1">D288*IF(RESULTADOS!$C$17="Normal",PREMISSAS!$C$62,0)</f>
        <v>0</v>
      </c>
      <c r="K288" s="116">
        <f ca="1">IFERROR(K287*(1+PREMISSAS!$C$18)+(E288+H288-IF(RESULTADOS!$C$17="Normal",I288,0)-J288)*IF(MONTH(B288)=12,2,1),0)</f>
        <v>0</v>
      </c>
      <c r="L288" s="116">
        <f ca="1">IFERROR((L287+G288-IF(RESULTADOS!$C$17="Normal",0,I288))*(1+PREMISSAS!$C$18)+F288,0)</f>
        <v>0</v>
      </c>
      <c r="N288" s="73">
        <f t="shared" ca="1" si="32"/>
        <v>0</v>
      </c>
      <c r="P288" s="164" t="str">
        <f t="shared" ca="1" si="33"/>
        <v/>
      </c>
      <c r="Q288" s="140" t="str">
        <f ca="1">IF(C288="","",Q287+(E288+H288-IF(RESULTADOS!$C$17="Normal",I288,0)-J288)/2+(F288+G288-IF(RESULTADOS!$C$17="Normal",0,I288)))</f>
        <v/>
      </c>
      <c r="R288" s="140" t="str">
        <f ca="1">IF(C288="","",R287+(E288+H288-IF(RESULTADOS!$C$17="Normal",I288,0)-J288)/2)</f>
        <v/>
      </c>
      <c r="S288" s="140">
        <f t="shared" ca="1" si="36"/>
        <v>0</v>
      </c>
      <c r="U288" s="164" t="str">
        <f t="shared" ca="1" si="37"/>
        <v/>
      </c>
      <c r="V288" s="164" t="str">
        <f t="shared" ca="1" si="34"/>
        <v/>
      </c>
      <c r="W288" s="140">
        <f ca="1">IF(OR((W287-13/12*Z287)*(1+PREMISSAS!$C$16)&lt;0,W287=""),0,(W287-13/12*Z287)*(1+PREMISSAS!$C$16))</f>
        <v>0</v>
      </c>
      <c r="X288" s="140">
        <f ca="1">IF(OR((X287-13/12*AA287)*(1+PREMISSAS!$C$16)&lt;0,X287=""),0,(X287-13/12*AA287)*(1+PREMISSAS!$C$16))</f>
        <v>0</v>
      </c>
      <c r="Y288" s="140">
        <f t="shared" ca="1" si="35"/>
        <v>0</v>
      </c>
      <c r="Z288" s="167">
        <f t="shared" ca="1" si="38"/>
        <v>0</v>
      </c>
      <c r="AA288" s="167">
        <f t="shared" ca="1" si="39"/>
        <v>0</v>
      </c>
    </row>
    <row r="289" spans="2:27" x14ac:dyDescent="0.25">
      <c r="B289" s="21" t="str">
        <f ca="1">IF(B288="","",IF(EOMONTH(B288,1)&gt;EOMONTH(ELEGIBILIDADE!$J$17,0),"",EOMONTH(B288,1)))</f>
        <v/>
      </c>
      <c r="C289" s="22" t="str">
        <f ca="1">IF(B289="","",IF(MONTH(B289)=1,C288*(1+PREMISSAS!$C$57),C288))</f>
        <v/>
      </c>
      <c r="D289" s="22">
        <f ca="1">IF(RESULTADOS!$C$17="Normal",IFERROR(MAX(C289-PREMISSAS!$C$13,0),0),IF(Painel!$I$23=0,0,MAX(10*PREMISSAS!$C$38,RESULTADOS!$F$17)))</f>
        <v>0</v>
      </c>
      <c r="E289" s="4">
        <f ca="1">D289*IF(RESULTADOS!$C$17="Normal",RESULTADOS!$C$16,0)</f>
        <v>0</v>
      </c>
      <c r="F289" s="4">
        <f ca="1">IFERROR(IF(RESULTADOS!$C$17="Normal",D289,C289)*RESULTADOS!$C$18,0)</f>
        <v>0</v>
      </c>
      <c r="G289" s="4">
        <f ca="1">IFERROR(IF(RESULTADOS!$C$17="Normal",0,D289)*IF(RESULTADOS!$C$17="Normal",RESULTADOS!$C$18,RESULTADOS!$C$16),0)</f>
        <v>0</v>
      </c>
      <c r="H289" s="4">
        <f ca="1">IF(RESULTADOS!$C$17="Normal",E289,0)</f>
        <v>0</v>
      </c>
      <c r="I289" s="4">
        <f ca="1">(E289+H289+G289)*PREMISSAS!$C$60</f>
        <v>0</v>
      </c>
      <c r="J289" s="4">
        <f ca="1">D289*IF(RESULTADOS!$C$17="Normal",PREMISSAS!$C$62,0)</f>
        <v>0</v>
      </c>
      <c r="K289" s="116">
        <f ca="1">IFERROR(K288*(1+PREMISSAS!$C$18)+(E289+H289-IF(RESULTADOS!$C$17="Normal",I289,0)-J289)*IF(MONTH(B289)=12,2,1),0)</f>
        <v>0</v>
      </c>
      <c r="L289" s="116">
        <f ca="1">IFERROR((L288+G289-IF(RESULTADOS!$C$17="Normal",0,I289))*(1+PREMISSAS!$C$18)+F289,0)</f>
        <v>0</v>
      </c>
      <c r="N289" s="73">
        <f t="shared" ca="1" si="32"/>
        <v>0</v>
      </c>
      <c r="P289" s="164" t="str">
        <f t="shared" ca="1" si="33"/>
        <v/>
      </c>
      <c r="Q289" s="140" t="str">
        <f ca="1">IF(C289="","",Q288+(E289+H289-IF(RESULTADOS!$C$17="Normal",I289,0)-J289)/2+(F289+G289-IF(RESULTADOS!$C$17="Normal",0,I289)))</f>
        <v/>
      </c>
      <c r="R289" s="140" t="str">
        <f ca="1">IF(C289="","",R288+(E289+H289-IF(RESULTADOS!$C$17="Normal",I289,0)-J289)/2)</f>
        <v/>
      </c>
      <c r="S289" s="140">
        <f t="shared" ca="1" si="36"/>
        <v>0</v>
      </c>
      <c r="U289" s="164" t="str">
        <f t="shared" ca="1" si="37"/>
        <v/>
      </c>
      <c r="V289" s="164" t="str">
        <f t="shared" ca="1" si="34"/>
        <v/>
      </c>
      <c r="W289" s="140">
        <f ca="1">IF(OR((W288-13/12*Z288)*(1+PREMISSAS!$C$16)&lt;0,W288=""),0,(W288-13/12*Z288)*(1+PREMISSAS!$C$16))</f>
        <v>0</v>
      </c>
      <c r="X289" s="140">
        <f ca="1">IF(OR((X288-13/12*AA288)*(1+PREMISSAS!$C$16)&lt;0,X288=""),0,(X288-13/12*AA288)*(1+PREMISSAS!$C$16))</f>
        <v>0</v>
      </c>
      <c r="Y289" s="140">
        <f t="shared" ca="1" si="35"/>
        <v>0</v>
      </c>
      <c r="Z289" s="167">
        <f t="shared" ca="1" si="38"/>
        <v>0</v>
      </c>
      <c r="AA289" s="167">
        <f t="shared" ca="1" si="39"/>
        <v>0</v>
      </c>
    </row>
    <row r="290" spans="2:27" x14ac:dyDescent="0.25">
      <c r="B290" s="21" t="str">
        <f ca="1">IF(B289="","",IF(EOMONTH(B289,1)&gt;EOMONTH(ELEGIBILIDADE!$J$17,0),"",EOMONTH(B289,1)))</f>
        <v/>
      </c>
      <c r="C290" s="22" t="str">
        <f ca="1">IF(B290="","",IF(MONTH(B290)=1,C289*(1+PREMISSAS!$C$57),C289))</f>
        <v/>
      </c>
      <c r="D290" s="22">
        <f ca="1">IF(RESULTADOS!$C$17="Normal",IFERROR(MAX(C290-PREMISSAS!$C$13,0),0),IF(Painel!$I$23=0,0,MAX(10*PREMISSAS!$C$38,RESULTADOS!$F$17)))</f>
        <v>0</v>
      </c>
      <c r="E290" s="4">
        <f ca="1">D290*IF(RESULTADOS!$C$17="Normal",RESULTADOS!$C$16,0)</f>
        <v>0</v>
      </c>
      <c r="F290" s="4">
        <f ca="1">IFERROR(IF(RESULTADOS!$C$17="Normal",D290,C290)*RESULTADOS!$C$18,0)</f>
        <v>0</v>
      </c>
      <c r="G290" s="4">
        <f ca="1">IFERROR(IF(RESULTADOS!$C$17="Normal",0,D290)*IF(RESULTADOS!$C$17="Normal",RESULTADOS!$C$18,RESULTADOS!$C$16),0)</f>
        <v>0</v>
      </c>
      <c r="H290" s="4">
        <f ca="1">IF(RESULTADOS!$C$17="Normal",E290,0)</f>
        <v>0</v>
      </c>
      <c r="I290" s="4">
        <f ca="1">(E290+H290+G290)*PREMISSAS!$C$60</f>
        <v>0</v>
      </c>
      <c r="J290" s="4">
        <f ca="1">D290*IF(RESULTADOS!$C$17="Normal",PREMISSAS!$C$62,0)</f>
        <v>0</v>
      </c>
      <c r="K290" s="116">
        <f ca="1">IFERROR(K289*(1+PREMISSAS!$C$18)+(E290+H290-IF(RESULTADOS!$C$17="Normal",I290,0)-J290)*IF(MONTH(B290)=12,2,1),0)</f>
        <v>0</v>
      </c>
      <c r="L290" s="116">
        <f ca="1">IFERROR((L289+G290-IF(RESULTADOS!$C$17="Normal",0,I290))*(1+PREMISSAS!$C$18)+F290,0)</f>
        <v>0</v>
      </c>
      <c r="N290" s="73">
        <f t="shared" ca="1" si="32"/>
        <v>0</v>
      </c>
      <c r="P290" s="164" t="str">
        <f t="shared" ca="1" si="33"/>
        <v/>
      </c>
      <c r="Q290" s="140" t="str">
        <f ca="1">IF(C290="","",Q289+(E290+H290-IF(RESULTADOS!$C$17="Normal",I290,0)-J290)/2+(F290+G290-IF(RESULTADOS!$C$17="Normal",0,I290)))</f>
        <v/>
      </c>
      <c r="R290" s="140" t="str">
        <f ca="1">IF(C290="","",R289+(E290+H290-IF(RESULTADOS!$C$17="Normal",I290,0)-J290)/2)</f>
        <v/>
      </c>
      <c r="S290" s="140">
        <f t="shared" ca="1" si="36"/>
        <v>0</v>
      </c>
      <c r="U290" s="164" t="str">
        <f t="shared" ca="1" si="37"/>
        <v/>
      </c>
      <c r="V290" s="164" t="str">
        <f t="shared" ca="1" si="34"/>
        <v/>
      </c>
      <c r="W290" s="140">
        <f ca="1">IF(OR((W289-13/12*Z289)*(1+PREMISSAS!$C$16)&lt;0,W289=""),0,(W289-13/12*Z289)*(1+PREMISSAS!$C$16))</f>
        <v>0</v>
      </c>
      <c r="X290" s="140">
        <f ca="1">IF(OR((X289-13/12*AA289)*(1+PREMISSAS!$C$16)&lt;0,X289=""),0,(X289-13/12*AA289)*(1+PREMISSAS!$C$16))</f>
        <v>0</v>
      </c>
      <c r="Y290" s="140">
        <f t="shared" ca="1" si="35"/>
        <v>0</v>
      </c>
      <c r="Z290" s="167">
        <f t="shared" ca="1" si="38"/>
        <v>0</v>
      </c>
      <c r="AA290" s="167">
        <f t="shared" ca="1" si="39"/>
        <v>0</v>
      </c>
    </row>
    <row r="291" spans="2:27" x14ac:dyDescent="0.25">
      <c r="B291" s="21" t="str">
        <f ca="1">IF(B290="","",IF(EOMONTH(B290,1)&gt;EOMONTH(ELEGIBILIDADE!$J$17,0),"",EOMONTH(B290,1)))</f>
        <v/>
      </c>
      <c r="C291" s="22" t="str">
        <f ca="1">IF(B291="","",IF(MONTH(B291)=1,C290*(1+PREMISSAS!$C$57),C290))</f>
        <v/>
      </c>
      <c r="D291" s="22">
        <f ca="1">IF(RESULTADOS!$C$17="Normal",IFERROR(MAX(C291-PREMISSAS!$C$13,0),0),IF(Painel!$I$23=0,0,MAX(10*PREMISSAS!$C$38,RESULTADOS!$F$17)))</f>
        <v>0</v>
      </c>
      <c r="E291" s="4">
        <f ca="1">D291*IF(RESULTADOS!$C$17="Normal",RESULTADOS!$C$16,0)</f>
        <v>0</v>
      </c>
      <c r="F291" s="4">
        <f ca="1">IFERROR(IF(RESULTADOS!$C$17="Normal",D291,C291)*RESULTADOS!$C$18,0)</f>
        <v>0</v>
      </c>
      <c r="G291" s="4">
        <f ca="1">IFERROR(IF(RESULTADOS!$C$17="Normal",0,D291)*IF(RESULTADOS!$C$17="Normal",RESULTADOS!$C$18,RESULTADOS!$C$16),0)</f>
        <v>0</v>
      </c>
      <c r="H291" s="4">
        <f ca="1">IF(RESULTADOS!$C$17="Normal",E291,0)</f>
        <v>0</v>
      </c>
      <c r="I291" s="4">
        <f ca="1">(E291+H291+G291)*PREMISSAS!$C$60</f>
        <v>0</v>
      </c>
      <c r="J291" s="4">
        <f ca="1">D291*IF(RESULTADOS!$C$17="Normal",PREMISSAS!$C$62,0)</f>
        <v>0</v>
      </c>
      <c r="K291" s="116">
        <f ca="1">IFERROR(K290*(1+PREMISSAS!$C$18)+(E291+H291-IF(RESULTADOS!$C$17="Normal",I291,0)-J291)*IF(MONTH(B291)=12,2,1),0)</f>
        <v>0</v>
      </c>
      <c r="L291" s="116">
        <f ca="1">IFERROR((L290+G291-IF(RESULTADOS!$C$17="Normal",0,I291))*(1+PREMISSAS!$C$18)+F291,0)</f>
        <v>0</v>
      </c>
      <c r="N291" s="73">
        <f t="shared" ca="1" si="32"/>
        <v>0</v>
      </c>
      <c r="P291" s="164" t="str">
        <f t="shared" ca="1" si="33"/>
        <v/>
      </c>
      <c r="Q291" s="140" t="str">
        <f ca="1">IF(C291="","",Q290+(E291+H291-IF(RESULTADOS!$C$17="Normal",I291,0)-J291)/2+(F291+G291-IF(RESULTADOS!$C$17="Normal",0,I291)))</f>
        <v/>
      </c>
      <c r="R291" s="140" t="str">
        <f ca="1">IF(C291="","",R290+(E291+H291-IF(RESULTADOS!$C$17="Normal",I291,0)-J291)/2)</f>
        <v/>
      </c>
      <c r="S291" s="140">
        <f t="shared" ca="1" si="36"/>
        <v>0</v>
      </c>
      <c r="U291" s="164" t="str">
        <f t="shared" ca="1" si="37"/>
        <v/>
      </c>
      <c r="V291" s="164" t="str">
        <f t="shared" ca="1" si="34"/>
        <v/>
      </c>
      <c r="W291" s="140">
        <f ca="1">IF(OR((W290-13/12*Z290)*(1+PREMISSAS!$C$16)&lt;0,W290=""),0,(W290-13/12*Z290)*(1+PREMISSAS!$C$16))</f>
        <v>0</v>
      </c>
      <c r="X291" s="140">
        <f ca="1">IF(OR((X290-13/12*AA290)*(1+PREMISSAS!$C$16)&lt;0,X290=""),0,(X290-13/12*AA290)*(1+PREMISSAS!$C$16))</f>
        <v>0</v>
      </c>
      <c r="Y291" s="140">
        <f t="shared" ca="1" si="35"/>
        <v>0</v>
      </c>
      <c r="Z291" s="167">
        <f t="shared" ca="1" si="38"/>
        <v>0</v>
      </c>
      <c r="AA291" s="167">
        <f t="shared" ca="1" si="39"/>
        <v>0</v>
      </c>
    </row>
    <row r="292" spans="2:27" x14ac:dyDescent="0.25">
      <c r="B292" s="21" t="str">
        <f ca="1">IF(B291="","",IF(EOMONTH(B291,1)&gt;EOMONTH(ELEGIBILIDADE!$J$17,0),"",EOMONTH(B291,1)))</f>
        <v/>
      </c>
      <c r="C292" s="22" t="str">
        <f ca="1">IF(B292="","",IF(MONTH(B292)=1,C291*(1+PREMISSAS!$C$57),C291))</f>
        <v/>
      </c>
      <c r="D292" s="22">
        <f ca="1">IF(RESULTADOS!$C$17="Normal",IFERROR(MAX(C292-PREMISSAS!$C$13,0),0),IF(Painel!$I$23=0,0,MAX(10*PREMISSAS!$C$38,RESULTADOS!$F$17)))</f>
        <v>0</v>
      </c>
      <c r="E292" s="4">
        <f ca="1">D292*IF(RESULTADOS!$C$17="Normal",RESULTADOS!$C$16,0)</f>
        <v>0</v>
      </c>
      <c r="F292" s="4">
        <f ca="1">IFERROR(IF(RESULTADOS!$C$17="Normal",D292,C292)*RESULTADOS!$C$18,0)</f>
        <v>0</v>
      </c>
      <c r="G292" s="4">
        <f ca="1">IFERROR(IF(RESULTADOS!$C$17="Normal",0,D292)*IF(RESULTADOS!$C$17="Normal",RESULTADOS!$C$18,RESULTADOS!$C$16),0)</f>
        <v>0</v>
      </c>
      <c r="H292" s="4">
        <f ca="1">IF(RESULTADOS!$C$17="Normal",E292,0)</f>
        <v>0</v>
      </c>
      <c r="I292" s="4">
        <f ca="1">(E292+H292+G292)*PREMISSAS!$C$60</f>
        <v>0</v>
      </c>
      <c r="J292" s="4">
        <f ca="1">D292*IF(RESULTADOS!$C$17="Normal",PREMISSAS!$C$62,0)</f>
        <v>0</v>
      </c>
      <c r="K292" s="116">
        <f ca="1">IFERROR(K291*(1+PREMISSAS!$C$18)+(E292+H292-IF(RESULTADOS!$C$17="Normal",I292,0)-J292)*IF(MONTH(B292)=12,2,1),0)</f>
        <v>0</v>
      </c>
      <c r="L292" s="116">
        <f ca="1">IFERROR((L291+G292-IF(RESULTADOS!$C$17="Normal",0,I292))*(1+PREMISSAS!$C$18)+F292,0)</f>
        <v>0</v>
      </c>
      <c r="N292" s="73">
        <f t="shared" ca="1" si="32"/>
        <v>0</v>
      </c>
      <c r="P292" s="164" t="str">
        <f t="shared" ca="1" si="33"/>
        <v/>
      </c>
      <c r="Q292" s="140" t="str">
        <f ca="1">IF(C292="","",Q291+(E292+H292-IF(RESULTADOS!$C$17="Normal",I292,0)-J292)/2+(F292+G292-IF(RESULTADOS!$C$17="Normal",0,I292)))</f>
        <v/>
      </c>
      <c r="R292" s="140" t="str">
        <f ca="1">IF(C292="","",R291+(E292+H292-IF(RESULTADOS!$C$17="Normal",I292,0)-J292)/2)</f>
        <v/>
      </c>
      <c r="S292" s="140">
        <f t="shared" ca="1" si="36"/>
        <v>0</v>
      </c>
      <c r="U292" s="164" t="str">
        <f t="shared" ca="1" si="37"/>
        <v/>
      </c>
      <c r="V292" s="164" t="str">
        <f t="shared" ca="1" si="34"/>
        <v/>
      </c>
      <c r="W292" s="140">
        <f ca="1">IF(OR((W291-13/12*Z291)*(1+PREMISSAS!$C$16)&lt;0,W291=""),0,(W291-13/12*Z291)*(1+PREMISSAS!$C$16))</f>
        <v>0</v>
      </c>
      <c r="X292" s="140">
        <f ca="1">IF(OR((X291-13/12*AA291)*(1+PREMISSAS!$C$16)&lt;0,X291=""),0,(X291-13/12*AA291)*(1+PREMISSAS!$C$16))</f>
        <v>0</v>
      </c>
      <c r="Y292" s="140">
        <f t="shared" ca="1" si="35"/>
        <v>0</v>
      </c>
      <c r="Z292" s="167">
        <f t="shared" ca="1" si="38"/>
        <v>0</v>
      </c>
      <c r="AA292" s="167">
        <f t="shared" ca="1" si="39"/>
        <v>0</v>
      </c>
    </row>
    <row r="293" spans="2:27" x14ac:dyDescent="0.25">
      <c r="B293" s="21" t="str">
        <f ca="1">IF(B292="","",IF(EOMONTH(B292,1)&gt;EOMONTH(ELEGIBILIDADE!$J$17,0),"",EOMONTH(B292,1)))</f>
        <v/>
      </c>
      <c r="C293" s="22" t="str">
        <f ca="1">IF(B293="","",IF(MONTH(B293)=1,C292*(1+PREMISSAS!$C$57),C292))</f>
        <v/>
      </c>
      <c r="D293" s="22">
        <f ca="1">IF(RESULTADOS!$C$17="Normal",IFERROR(MAX(C293-PREMISSAS!$C$13,0),0),IF(Painel!$I$23=0,0,MAX(10*PREMISSAS!$C$38,RESULTADOS!$F$17)))</f>
        <v>0</v>
      </c>
      <c r="E293" s="4">
        <f ca="1">D293*IF(RESULTADOS!$C$17="Normal",RESULTADOS!$C$16,0)</f>
        <v>0</v>
      </c>
      <c r="F293" s="4">
        <f ca="1">IFERROR(IF(RESULTADOS!$C$17="Normal",D293,C293)*RESULTADOS!$C$18,0)</f>
        <v>0</v>
      </c>
      <c r="G293" s="4">
        <f ca="1">IFERROR(IF(RESULTADOS!$C$17="Normal",0,D293)*IF(RESULTADOS!$C$17="Normal",RESULTADOS!$C$18,RESULTADOS!$C$16),0)</f>
        <v>0</v>
      </c>
      <c r="H293" s="4">
        <f ca="1">IF(RESULTADOS!$C$17="Normal",E293,0)</f>
        <v>0</v>
      </c>
      <c r="I293" s="4">
        <f ca="1">(E293+H293+G293)*PREMISSAS!$C$60</f>
        <v>0</v>
      </c>
      <c r="J293" s="4">
        <f ca="1">D293*IF(RESULTADOS!$C$17="Normal",PREMISSAS!$C$62,0)</f>
        <v>0</v>
      </c>
      <c r="K293" s="116">
        <f ca="1">IFERROR(K292*(1+PREMISSAS!$C$18)+(E293+H293-IF(RESULTADOS!$C$17="Normal",I293,0)-J293)*IF(MONTH(B293)=12,2,1),0)</f>
        <v>0</v>
      </c>
      <c r="L293" s="116">
        <f ca="1">IFERROR((L292+G293-IF(RESULTADOS!$C$17="Normal",0,I293))*(1+PREMISSAS!$C$18)+F293,0)</f>
        <v>0</v>
      </c>
      <c r="N293" s="73">
        <f t="shared" ca="1" si="32"/>
        <v>0</v>
      </c>
      <c r="P293" s="164" t="str">
        <f t="shared" ca="1" si="33"/>
        <v/>
      </c>
      <c r="Q293" s="140" t="str">
        <f ca="1">IF(C293="","",Q292+(E293+H293-IF(RESULTADOS!$C$17="Normal",I293,0)-J293)/2+(F293+G293-IF(RESULTADOS!$C$17="Normal",0,I293)))</f>
        <v/>
      </c>
      <c r="R293" s="140" t="str">
        <f ca="1">IF(C293="","",R292+(E293+H293-IF(RESULTADOS!$C$17="Normal",I293,0)-J293)/2)</f>
        <v/>
      </c>
      <c r="S293" s="140">
        <f t="shared" ca="1" si="36"/>
        <v>0</v>
      </c>
      <c r="U293" s="164" t="str">
        <f t="shared" ca="1" si="37"/>
        <v/>
      </c>
      <c r="V293" s="164" t="str">
        <f t="shared" ca="1" si="34"/>
        <v/>
      </c>
      <c r="W293" s="140">
        <f ca="1">IF(OR((W292-13/12*Z292)*(1+PREMISSAS!$C$16)&lt;0,W292=""),0,(W292-13/12*Z292)*(1+PREMISSAS!$C$16))</f>
        <v>0</v>
      </c>
      <c r="X293" s="140">
        <f ca="1">IF(OR((X292-13/12*AA292)*(1+PREMISSAS!$C$16)&lt;0,X292=""),0,(X292-13/12*AA292)*(1+PREMISSAS!$C$16))</f>
        <v>0</v>
      </c>
      <c r="Y293" s="140">
        <f t="shared" ca="1" si="35"/>
        <v>0</v>
      </c>
      <c r="Z293" s="167">
        <f t="shared" ca="1" si="38"/>
        <v>0</v>
      </c>
      <c r="AA293" s="167">
        <f t="shared" ca="1" si="39"/>
        <v>0</v>
      </c>
    </row>
    <row r="294" spans="2:27" x14ac:dyDescent="0.25">
      <c r="B294" s="21" t="str">
        <f ca="1">IF(B293="","",IF(EOMONTH(B293,1)&gt;EOMONTH(ELEGIBILIDADE!$J$17,0),"",EOMONTH(B293,1)))</f>
        <v/>
      </c>
      <c r="C294" s="22" t="str">
        <f ca="1">IF(B294="","",IF(MONTH(B294)=1,C293*(1+PREMISSAS!$C$57),C293))</f>
        <v/>
      </c>
      <c r="D294" s="22">
        <f ca="1">IF(RESULTADOS!$C$17="Normal",IFERROR(MAX(C294-PREMISSAS!$C$13,0),0),IF(Painel!$I$23=0,0,MAX(10*PREMISSAS!$C$38,RESULTADOS!$F$17)))</f>
        <v>0</v>
      </c>
      <c r="E294" s="4">
        <f ca="1">D294*IF(RESULTADOS!$C$17="Normal",RESULTADOS!$C$16,0)</f>
        <v>0</v>
      </c>
      <c r="F294" s="4">
        <f ca="1">IFERROR(IF(RESULTADOS!$C$17="Normal",D294,C294)*RESULTADOS!$C$18,0)</f>
        <v>0</v>
      </c>
      <c r="G294" s="4">
        <f ca="1">IFERROR(IF(RESULTADOS!$C$17="Normal",0,D294)*IF(RESULTADOS!$C$17="Normal",RESULTADOS!$C$18,RESULTADOS!$C$16),0)</f>
        <v>0</v>
      </c>
      <c r="H294" s="4">
        <f ca="1">IF(RESULTADOS!$C$17="Normal",E294,0)</f>
        <v>0</v>
      </c>
      <c r="I294" s="4">
        <f ca="1">(E294+H294+G294)*PREMISSAS!$C$60</f>
        <v>0</v>
      </c>
      <c r="J294" s="4">
        <f ca="1">D294*IF(RESULTADOS!$C$17="Normal",PREMISSAS!$C$62,0)</f>
        <v>0</v>
      </c>
      <c r="K294" s="116">
        <f ca="1">IFERROR(K293*(1+PREMISSAS!$C$18)+(E294+H294-IF(RESULTADOS!$C$17="Normal",I294,0)-J294)*IF(MONTH(B294)=12,2,1),0)</f>
        <v>0</v>
      </c>
      <c r="L294" s="116">
        <f ca="1">IFERROR((L293+G294-IF(RESULTADOS!$C$17="Normal",0,I294))*(1+PREMISSAS!$C$18)+F294,0)</f>
        <v>0</v>
      </c>
      <c r="N294" s="73">
        <f t="shared" ca="1" si="32"/>
        <v>0</v>
      </c>
      <c r="P294" s="164" t="str">
        <f t="shared" ca="1" si="33"/>
        <v/>
      </c>
      <c r="Q294" s="140" t="str">
        <f ca="1">IF(C294="","",Q293+(E294+H294-IF(RESULTADOS!$C$17="Normal",I294,0)-J294)/2+(F294+G294-IF(RESULTADOS!$C$17="Normal",0,I294)))</f>
        <v/>
      </c>
      <c r="R294" s="140" t="str">
        <f ca="1">IF(C294="","",R293+(E294+H294-IF(RESULTADOS!$C$17="Normal",I294,0)-J294)/2)</f>
        <v/>
      </c>
      <c r="S294" s="140">
        <f t="shared" ca="1" si="36"/>
        <v>0</v>
      </c>
      <c r="U294" s="164" t="str">
        <f t="shared" ca="1" si="37"/>
        <v/>
      </c>
      <c r="V294" s="164" t="str">
        <f t="shared" ca="1" si="34"/>
        <v/>
      </c>
      <c r="W294" s="140">
        <f ca="1">IF(OR((W293-13/12*Z293)*(1+PREMISSAS!$C$16)&lt;0,W293=""),0,(W293-13/12*Z293)*(1+PREMISSAS!$C$16))</f>
        <v>0</v>
      </c>
      <c r="X294" s="140">
        <f ca="1">IF(OR((X293-13/12*AA293)*(1+PREMISSAS!$C$16)&lt;0,X293=""),0,(X293-13/12*AA293)*(1+PREMISSAS!$C$16))</f>
        <v>0</v>
      </c>
      <c r="Y294" s="140">
        <f t="shared" ca="1" si="35"/>
        <v>0</v>
      </c>
      <c r="Z294" s="167">
        <f t="shared" ca="1" si="38"/>
        <v>0</v>
      </c>
      <c r="AA294" s="167">
        <f t="shared" ca="1" si="39"/>
        <v>0</v>
      </c>
    </row>
    <row r="295" spans="2:27" x14ac:dyDescent="0.25">
      <c r="B295" s="21" t="str">
        <f ca="1">IF(B294="","",IF(EOMONTH(B294,1)&gt;EOMONTH(ELEGIBILIDADE!$J$17,0),"",EOMONTH(B294,1)))</f>
        <v/>
      </c>
      <c r="C295" s="22" t="str">
        <f ca="1">IF(B295="","",IF(MONTH(B295)=1,C294*(1+PREMISSAS!$C$57),C294))</f>
        <v/>
      </c>
      <c r="D295" s="22">
        <f ca="1">IF(RESULTADOS!$C$17="Normal",IFERROR(MAX(C295-PREMISSAS!$C$13,0),0),IF(Painel!$I$23=0,0,MAX(10*PREMISSAS!$C$38,RESULTADOS!$F$17)))</f>
        <v>0</v>
      </c>
      <c r="E295" s="4">
        <f ca="1">D295*IF(RESULTADOS!$C$17="Normal",RESULTADOS!$C$16,0)</f>
        <v>0</v>
      </c>
      <c r="F295" s="4">
        <f ca="1">IFERROR(IF(RESULTADOS!$C$17="Normal",D295,C295)*RESULTADOS!$C$18,0)</f>
        <v>0</v>
      </c>
      <c r="G295" s="4">
        <f ca="1">IFERROR(IF(RESULTADOS!$C$17="Normal",0,D295)*IF(RESULTADOS!$C$17="Normal",RESULTADOS!$C$18,RESULTADOS!$C$16),0)</f>
        <v>0</v>
      </c>
      <c r="H295" s="4">
        <f ca="1">IF(RESULTADOS!$C$17="Normal",E295,0)</f>
        <v>0</v>
      </c>
      <c r="I295" s="4">
        <f ca="1">(E295+H295+G295)*PREMISSAS!$C$60</f>
        <v>0</v>
      </c>
      <c r="J295" s="4">
        <f ca="1">D295*IF(RESULTADOS!$C$17="Normal",PREMISSAS!$C$62,0)</f>
        <v>0</v>
      </c>
      <c r="K295" s="116">
        <f ca="1">IFERROR(K294*(1+PREMISSAS!$C$18)+(E295+H295-IF(RESULTADOS!$C$17="Normal",I295,0)-J295)*IF(MONTH(B295)=12,2,1),0)</f>
        <v>0</v>
      </c>
      <c r="L295" s="116">
        <f ca="1">IFERROR((L294+G295-IF(RESULTADOS!$C$17="Normal",0,I295))*(1+PREMISSAS!$C$18)+F295,0)</f>
        <v>0</v>
      </c>
      <c r="N295" s="73">
        <f t="shared" ca="1" si="32"/>
        <v>0</v>
      </c>
      <c r="P295" s="164" t="str">
        <f t="shared" ca="1" si="33"/>
        <v/>
      </c>
      <c r="Q295" s="140" t="str">
        <f ca="1">IF(C295="","",Q294+(E295+H295-IF(RESULTADOS!$C$17="Normal",I295,0)-J295)/2+(F295+G295-IF(RESULTADOS!$C$17="Normal",0,I295)))</f>
        <v/>
      </c>
      <c r="R295" s="140" t="str">
        <f ca="1">IF(C295="","",R294+(E295+H295-IF(RESULTADOS!$C$17="Normal",I295,0)-J295)/2)</f>
        <v/>
      </c>
      <c r="S295" s="140">
        <f t="shared" ca="1" si="36"/>
        <v>0</v>
      </c>
      <c r="U295" s="164" t="str">
        <f t="shared" ca="1" si="37"/>
        <v/>
      </c>
      <c r="V295" s="164" t="str">
        <f t="shared" ca="1" si="34"/>
        <v/>
      </c>
      <c r="W295" s="140">
        <f ca="1">IF(OR((W294-13/12*Z294)*(1+PREMISSAS!$C$16)&lt;0,W294=""),0,(W294-13/12*Z294)*(1+PREMISSAS!$C$16))</f>
        <v>0</v>
      </c>
      <c r="X295" s="140">
        <f ca="1">IF(OR((X294-13/12*AA294)*(1+PREMISSAS!$C$16)&lt;0,X294=""),0,(X294-13/12*AA294)*(1+PREMISSAS!$C$16))</f>
        <v>0</v>
      </c>
      <c r="Y295" s="140">
        <f t="shared" ca="1" si="35"/>
        <v>0</v>
      </c>
      <c r="Z295" s="167">
        <f t="shared" ca="1" si="38"/>
        <v>0</v>
      </c>
      <c r="AA295" s="167">
        <f t="shared" ca="1" si="39"/>
        <v>0</v>
      </c>
    </row>
    <row r="296" spans="2:27" x14ac:dyDescent="0.25">
      <c r="B296" s="21" t="str">
        <f ca="1">IF(B295="","",IF(EOMONTH(B295,1)&gt;EOMONTH(ELEGIBILIDADE!$J$17,0),"",EOMONTH(B295,1)))</f>
        <v/>
      </c>
      <c r="C296" s="22" t="str">
        <f ca="1">IF(B296="","",IF(MONTH(B296)=1,C295*(1+PREMISSAS!$C$57),C295))</f>
        <v/>
      </c>
      <c r="D296" s="22">
        <f ca="1">IF(RESULTADOS!$C$17="Normal",IFERROR(MAX(C296-PREMISSAS!$C$13,0),0),IF(Painel!$I$23=0,0,MAX(10*PREMISSAS!$C$38,RESULTADOS!$F$17)))</f>
        <v>0</v>
      </c>
      <c r="E296" s="4">
        <f ca="1">D296*IF(RESULTADOS!$C$17="Normal",RESULTADOS!$C$16,0)</f>
        <v>0</v>
      </c>
      <c r="F296" s="4">
        <f ca="1">IFERROR(IF(RESULTADOS!$C$17="Normal",D296,C296)*RESULTADOS!$C$18,0)</f>
        <v>0</v>
      </c>
      <c r="G296" s="4">
        <f ca="1">IFERROR(IF(RESULTADOS!$C$17="Normal",0,D296)*IF(RESULTADOS!$C$17="Normal",RESULTADOS!$C$18,RESULTADOS!$C$16),0)</f>
        <v>0</v>
      </c>
      <c r="H296" s="4">
        <f ca="1">IF(RESULTADOS!$C$17="Normal",E296,0)</f>
        <v>0</v>
      </c>
      <c r="I296" s="4">
        <f ca="1">(E296+H296+G296)*PREMISSAS!$C$60</f>
        <v>0</v>
      </c>
      <c r="J296" s="4">
        <f ca="1">D296*IF(RESULTADOS!$C$17="Normal",PREMISSAS!$C$62,0)</f>
        <v>0</v>
      </c>
      <c r="K296" s="116">
        <f ca="1">IFERROR(K295*(1+PREMISSAS!$C$18)+(E296+H296-IF(RESULTADOS!$C$17="Normal",I296,0)-J296)*IF(MONTH(B296)=12,2,1),0)</f>
        <v>0</v>
      </c>
      <c r="L296" s="116">
        <f ca="1">IFERROR((L295+G296-IF(RESULTADOS!$C$17="Normal",0,I296))*(1+PREMISSAS!$C$18)+F296,0)</f>
        <v>0</v>
      </c>
      <c r="N296" s="73">
        <f t="shared" ca="1" si="32"/>
        <v>0</v>
      </c>
      <c r="P296" s="164" t="str">
        <f t="shared" ca="1" si="33"/>
        <v/>
      </c>
      <c r="Q296" s="140" t="str">
        <f ca="1">IF(C296="","",Q295+(E296+H296-IF(RESULTADOS!$C$17="Normal",I296,0)-J296)/2+(F296+G296-IF(RESULTADOS!$C$17="Normal",0,I296)))</f>
        <v/>
      </c>
      <c r="R296" s="140" t="str">
        <f ca="1">IF(C296="","",R295+(E296+H296-IF(RESULTADOS!$C$17="Normal",I296,0)-J296)/2)</f>
        <v/>
      </c>
      <c r="S296" s="140">
        <f t="shared" ca="1" si="36"/>
        <v>0</v>
      </c>
      <c r="U296" s="164" t="str">
        <f t="shared" ca="1" si="37"/>
        <v/>
      </c>
      <c r="V296" s="164" t="str">
        <f t="shared" ca="1" si="34"/>
        <v/>
      </c>
      <c r="W296" s="140">
        <f ca="1">IF(OR((W295-13/12*Z295)*(1+PREMISSAS!$C$16)&lt;0,W295=""),0,(W295-13/12*Z295)*(1+PREMISSAS!$C$16))</f>
        <v>0</v>
      </c>
      <c r="X296" s="140">
        <f ca="1">IF(OR((X295-13/12*AA295)*(1+PREMISSAS!$C$16)&lt;0,X295=""),0,(X295-13/12*AA295)*(1+PREMISSAS!$C$16))</f>
        <v>0</v>
      </c>
      <c r="Y296" s="140">
        <f t="shared" ca="1" si="35"/>
        <v>0</v>
      </c>
      <c r="Z296" s="167">
        <f t="shared" ca="1" si="38"/>
        <v>0</v>
      </c>
      <c r="AA296" s="167">
        <f t="shared" ca="1" si="39"/>
        <v>0</v>
      </c>
    </row>
    <row r="297" spans="2:27" x14ac:dyDescent="0.25">
      <c r="B297" s="21" t="str">
        <f ca="1">IF(B296="","",IF(EOMONTH(B296,1)&gt;EOMONTH(ELEGIBILIDADE!$J$17,0),"",EOMONTH(B296,1)))</f>
        <v/>
      </c>
      <c r="C297" s="22" t="str">
        <f ca="1">IF(B297="","",IF(MONTH(B297)=1,C296*(1+PREMISSAS!$C$57),C296))</f>
        <v/>
      </c>
      <c r="D297" s="22">
        <f ca="1">IF(RESULTADOS!$C$17="Normal",IFERROR(MAX(C297-PREMISSAS!$C$13,0),0),IF(Painel!$I$23=0,0,MAX(10*PREMISSAS!$C$38,RESULTADOS!$F$17)))</f>
        <v>0</v>
      </c>
      <c r="E297" s="4">
        <f ca="1">D297*IF(RESULTADOS!$C$17="Normal",RESULTADOS!$C$16,0)</f>
        <v>0</v>
      </c>
      <c r="F297" s="4">
        <f ca="1">IFERROR(IF(RESULTADOS!$C$17="Normal",D297,C297)*RESULTADOS!$C$18,0)</f>
        <v>0</v>
      </c>
      <c r="G297" s="4">
        <f ca="1">IFERROR(IF(RESULTADOS!$C$17="Normal",0,D297)*IF(RESULTADOS!$C$17="Normal",RESULTADOS!$C$18,RESULTADOS!$C$16),0)</f>
        <v>0</v>
      </c>
      <c r="H297" s="4">
        <f ca="1">IF(RESULTADOS!$C$17="Normal",E297,0)</f>
        <v>0</v>
      </c>
      <c r="I297" s="4">
        <f ca="1">(E297+H297+G297)*PREMISSAS!$C$60</f>
        <v>0</v>
      </c>
      <c r="J297" s="4">
        <f ca="1">D297*IF(RESULTADOS!$C$17="Normal",PREMISSAS!$C$62,0)</f>
        <v>0</v>
      </c>
      <c r="K297" s="116">
        <f ca="1">IFERROR(K296*(1+PREMISSAS!$C$18)+(E297+H297-IF(RESULTADOS!$C$17="Normal",I297,0)-J297)*IF(MONTH(B297)=12,2,1),0)</f>
        <v>0</v>
      </c>
      <c r="L297" s="116">
        <f ca="1">IFERROR((L296+G297-IF(RESULTADOS!$C$17="Normal",0,I297))*(1+PREMISSAS!$C$18)+F297,0)</f>
        <v>0</v>
      </c>
      <c r="N297" s="73">
        <f t="shared" ca="1" si="32"/>
        <v>0</v>
      </c>
      <c r="P297" s="164" t="str">
        <f t="shared" ca="1" si="33"/>
        <v/>
      </c>
      <c r="Q297" s="140" t="str">
        <f ca="1">IF(C297="","",Q296+(E297+H297-IF(RESULTADOS!$C$17="Normal",I297,0)-J297)/2+(F297+G297-IF(RESULTADOS!$C$17="Normal",0,I297)))</f>
        <v/>
      </c>
      <c r="R297" s="140" t="str">
        <f ca="1">IF(C297="","",R296+(E297+H297-IF(RESULTADOS!$C$17="Normal",I297,0)-J297)/2)</f>
        <v/>
      </c>
      <c r="S297" s="140">
        <f t="shared" ca="1" si="36"/>
        <v>0</v>
      </c>
      <c r="U297" s="164" t="str">
        <f t="shared" ca="1" si="37"/>
        <v/>
      </c>
      <c r="V297" s="164" t="str">
        <f t="shared" ca="1" si="34"/>
        <v/>
      </c>
      <c r="W297" s="140">
        <f ca="1">IF(OR((W296-13/12*Z296)*(1+PREMISSAS!$C$16)&lt;0,W296=""),0,(W296-13/12*Z296)*(1+PREMISSAS!$C$16))</f>
        <v>0</v>
      </c>
      <c r="X297" s="140">
        <f ca="1">IF(OR((X296-13/12*AA296)*(1+PREMISSAS!$C$16)&lt;0,X296=""),0,(X296-13/12*AA296)*(1+PREMISSAS!$C$16))</f>
        <v>0</v>
      </c>
      <c r="Y297" s="140">
        <f t="shared" ca="1" si="35"/>
        <v>0</v>
      </c>
      <c r="Z297" s="167">
        <f t="shared" ca="1" si="38"/>
        <v>0</v>
      </c>
      <c r="AA297" s="167">
        <f t="shared" ca="1" si="39"/>
        <v>0</v>
      </c>
    </row>
    <row r="298" spans="2:27" x14ac:dyDescent="0.25">
      <c r="B298" s="21" t="str">
        <f ca="1">IF(B297="","",IF(EOMONTH(B297,1)&gt;EOMONTH(ELEGIBILIDADE!$J$17,0),"",EOMONTH(B297,1)))</f>
        <v/>
      </c>
      <c r="C298" s="22" t="str">
        <f ca="1">IF(B298="","",IF(MONTH(B298)=1,C297*(1+PREMISSAS!$C$57),C297))</f>
        <v/>
      </c>
      <c r="D298" s="22">
        <f ca="1">IF(RESULTADOS!$C$17="Normal",IFERROR(MAX(C298-PREMISSAS!$C$13,0),0),IF(Painel!$I$23=0,0,MAX(10*PREMISSAS!$C$38,RESULTADOS!$F$17)))</f>
        <v>0</v>
      </c>
      <c r="E298" s="4">
        <f ca="1">D298*IF(RESULTADOS!$C$17="Normal",RESULTADOS!$C$16,0)</f>
        <v>0</v>
      </c>
      <c r="F298" s="4">
        <f ca="1">IFERROR(IF(RESULTADOS!$C$17="Normal",D298,C298)*RESULTADOS!$C$18,0)</f>
        <v>0</v>
      </c>
      <c r="G298" s="4">
        <f ca="1">IFERROR(IF(RESULTADOS!$C$17="Normal",0,D298)*IF(RESULTADOS!$C$17="Normal",RESULTADOS!$C$18,RESULTADOS!$C$16),0)</f>
        <v>0</v>
      </c>
      <c r="H298" s="4">
        <f ca="1">IF(RESULTADOS!$C$17="Normal",E298,0)</f>
        <v>0</v>
      </c>
      <c r="I298" s="4">
        <f ca="1">(E298+H298+G298)*PREMISSAS!$C$60</f>
        <v>0</v>
      </c>
      <c r="J298" s="4">
        <f ca="1">D298*IF(RESULTADOS!$C$17="Normal",PREMISSAS!$C$62,0)</f>
        <v>0</v>
      </c>
      <c r="K298" s="116">
        <f ca="1">IFERROR(K297*(1+PREMISSAS!$C$18)+(E298+H298-IF(RESULTADOS!$C$17="Normal",I298,0)-J298)*IF(MONTH(B298)=12,2,1),0)</f>
        <v>0</v>
      </c>
      <c r="L298" s="116">
        <f ca="1">IFERROR((L297+G298-IF(RESULTADOS!$C$17="Normal",0,I298))*(1+PREMISSAS!$C$18)+F298,0)</f>
        <v>0</v>
      </c>
      <c r="N298" s="73">
        <f t="shared" ca="1" si="32"/>
        <v>0</v>
      </c>
      <c r="P298" s="164" t="str">
        <f t="shared" ca="1" si="33"/>
        <v/>
      </c>
      <c r="Q298" s="140" t="str">
        <f ca="1">IF(C298="","",Q297+(E298+H298-IF(RESULTADOS!$C$17="Normal",I298,0)-J298)/2+(F298+G298-IF(RESULTADOS!$C$17="Normal",0,I298)))</f>
        <v/>
      </c>
      <c r="R298" s="140" t="str">
        <f ca="1">IF(C298="","",R297+(E298+H298-IF(RESULTADOS!$C$17="Normal",I298,0)-J298)/2)</f>
        <v/>
      </c>
      <c r="S298" s="140">
        <f t="shared" ca="1" si="36"/>
        <v>0</v>
      </c>
      <c r="U298" s="164" t="str">
        <f t="shared" ca="1" si="37"/>
        <v/>
      </c>
      <c r="V298" s="164" t="str">
        <f t="shared" ca="1" si="34"/>
        <v/>
      </c>
      <c r="W298" s="140">
        <f ca="1">IF(OR((W297-13/12*Z297)*(1+PREMISSAS!$C$16)&lt;0,W297=""),0,(W297-13/12*Z297)*(1+PREMISSAS!$C$16))</f>
        <v>0</v>
      </c>
      <c r="X298" s="140">
        <f ca="1">IF(OR((X297-13/12*AA297)*(1+PREMISSAS!$C$16)&lt;0,X297=""),0,(X297-13/12*AA297)*(1+PREMISSAS!$C$16))</f>
        <v>0</v>
      </c>
      <c r="Y298" s="140">
        <f t="shared" ca="1" si="35"/>
        <v>0</v>
      </c>
      <c r="Z298" s="167">
        <f t="shared" ca="1" si="38"/>
        <v>0</v>
      </c>
      <c r="AA298" s="167">
        <f t="shared" ca="1" si="39"/>
        <v>0</v>
      </c>
    </row>
    <row r="299" spans="2:27" x14ac:dyDescent="0.25">
      <c r="B299" s="21" t="str">
        <f ca="1">IF(B298="","",IF(EOMONTH(B298,1)&gt;EOMONTH(ELEGIBILIDADE!$J$17,0),"",EOMONTH(B298,1)))</f>
        <v/>
      </c>
      <c r="C299" s="22" t="str">
        <f ca="1">IF(B299="","",IF(MONTH(B299)=1,C298*(1+PREMISSAS!$C$57),C298))</f>
        <v/>
      </c>
      <c r="D299" s="22">
        <f ca="1">IF(RESULTADOS!$C$17="Normal",IFERROR(MAX(C299-PREMISSAS!$C$13,0),0),IF(Painel!$I$23=0,0,MAX(10*PREMISSAS!$C$38,RESULTADOS!$F$17)))</f>
        <v>0</v>
      </c>
      <c r="E299" s="4">
        <f ca="1">D299*IF(RESULTADOS!$C$17="Normal",RESULTADOS!$C$16,0)</f>
        <v>0</v>
      </c>
      <c r="F299" s="4">
        <f ca="1">IFERROR(IF(RESULTADOS!$C$17="Normal",D299,C299)*RESULTADOS!$C$18,0)</f>
        <v>0</v>
      </c>
      <c r="G299" s="4">
        <f ca="1">IFERROR(IF(RESULTADOS!$C$17="Normal",0,D299)*IF(RESULTADOS!$C$17="Normal",RESULTADOS!$C$18,RESULTADOS!$C$16),0)</f>
        <v>0</v>
      </c>
      <c r="H299" s="4">
        <f ca="1">IF(RESULTADOS!$C$17="Normal",E299,0)</f>
        <v>0</v>
      </c>
      <c r="I299" s="4">
        <f ca="1">(E299+H299+G299)*PREMISSAS!$C$60</f>
        <v>0</v>
      </c>
      <c r="J299" s="4">
        <f ca="1">D299*IF(RESULTADOS!$C$17="Normal",PREMISSAS!$C$62,0)</f>
        <v>0</v>
      </c>
      <c r="K299" s="116">
        <f ca="1">IFERROR(K298*(1+PREMISSAS!$C$18)+(E299+H299-IF(RESULTADOS!$C$17="Normal",I299,0)-J299)*IF(MONTH(B299)=12,2,1),0)</f>
        <v>0</v>
      </c>
      <c r="L299" s="116">
        <f ca="1">IFERROR((L298+G299-IF(RESULTADOS!$C$17="Normal",0,I299))*(1+PREMISSAS!$C$18)+F299,0)</f>
        <v>0</v>
      </c>
      <c r="N299" s="73">
        <f t="shared" ca="1" si="32"/>
        <v>0</v>
      </c>
      <c r="P299" s="164" t="str">
        <f t="shared" ca="1" si="33"/>
        <v/>
      </c>
      <c r="Q299" s="140" t="str">
        <f ca="1">IF(C299="","",Q298+(E299+H299-IF(RESULTADOS!$C$17="Normal",I299,0)-J299)/2+(F299+G299-IF(RESULTADOS!$C$17="Normal",0,I299)))</f>
        <v/>
      </c>
      <c r="R299" s="140" t="str">
        <f ca="1">IF(C299="","",R298+(E299+H299-IF(RESULTADOS!$C$17="Normal",I299,0)-J299)/2)</f>
        <v/>
      </c>
      <c r="S299" s="140">
        <f t="shared" ca="1" si="36"/>
        <v>0</v>
      </c>
      <c r="U299" s="164" t="str">
        <f t="shared" ca="1" si="37"/>
        <v/>
      </c>
      <c r="V299" s="164" t="str">
        <f t="shared" ca="1" si="34"/>
        <v/>
      </c>
      <c r="W299" s="140">
        <f ca="1">IF(OR((W298-13/12*Z298)*(1+PREMISSAS!$C$16)&lt;0,W298=""),0,(W298-13/12*Z298)*(1+PREMISSAS!$C$16))</f>
        <v>0</v>
      </c>
      <c r="X299" s="140">
        <f ca="1">IF(OR((X298-13/12*AA298)*(1+PREMISSAS!$C$16)&lt;0,X298=""),0,(X298-13/12*AA298)*(1+PREMISSAS!$C$16))</f>
        <v>0</v>
      </c>
      <c r="Y299" s="140">
        <f t="shared" ca="1" si="35"/>
        <v>0</v>
      </c>
      <c r="Z299" s="167">
        <f t="shared" ca="1" si="38"/>
        <v>0</v>
      </c>
      <c r="AA299" s="167">
        <f t="shared" ca="1" si="39"/>
        <v>0</v>
      </c>
    </row>
    <row r="300" spans="2:27" x14ac:dyDescent="0.25">
      <c r="B300" s="21" t="str">
        <f ca="1">IF(B299="","",IF(EOMONTH(B299,1)&gt;EOMONTH(ELEGIBILIDADE!$J$17,0),"",EOMONTH(B299,1)))</f>
        <v/>
      </c>
      <c r="C300" s="22" t="str">
        <f ca="1">IF(B300="","",IF(MONTH(B300)=1,C299*(1+PREMISSAS!$C$57),C299))</f>
        <v/>
      </c>
      <c r="D300" s="22">
        <f ca="1">IF(RESULTADOS!$C$17="Normal",IFERROR(MAX(C300-PREMISSAS!$C$13,0),0),IF(Painel!$I$23=0,0,MAX(10*PREMISSAS!$C$38,RESULTADOS!$F$17)))</f>
        <v>0</v>
      </c>
      <c r="E300" s="4">
        <f ca="1">D300*IF(RESULTADOS!$C$17="Normal",RESULTADOS!$C$16,0)</f>
        <v>0</v>
      </c>
      <c r="F300" s="4">
        <f ca="1">IFERROR(IF(RESULTADOS!$C$17="Normal",D300,C300)*RESULTADOS!$C$18,0)</f>
        <v>0</v>
      </c>
      <c r="G300" s="4">
        <f ca="1">IFERROR(IF(RESULTADOS!$C$17="Normal",0,D300)*IF(RESULTADOS!$C$17="Normal",RESULTADOS!$C$18,RESULTADOS!$C$16),0)</f>
        <v>0</v>
      </c>
      <c r="H300" s="4">
        <f ca="1">IF(RESULTADOS!$C$17="Normal",E300,0)</f>
        <v>0</v>
      </c>
      <c r="I300" s="4">
        <f ca="1">(E300+H300+G300)*PREMISSAS!$C$60</f>
        <v>0</v>
      </c>
      <c r="J300" s="4">
        <f ca="1">D300*IF(RESULTADOS!$C$17="Normal",PREMISSAS!$C$62,0)</f>
        <v>0</v>
      </c>
      <c r="K300" s="116">
        <f ca="1">IFERROR(K299*(1+PREMISSAS!$C$18)+(E300+H300-IF(RESULTADOS!$C$17="Normal",I300,0)-J300)*IF(MONTH(B300)=12,2,1),0)</f>
        <v>0</v>
      </c>
      <c r="L300" s="116">
        <f ca="1">IFERROR((L299+G300-IF(RESULTADOS!$C$17="Normal",0,I300))*(1+PREMISSAS!$C$18)+F300,0)</f>
        <v>0</v>
      </c>
      <c r="N300" s="73">
        <f t="shared" ca="1" si="32"/>
        <v>0</v>
      </c>
      <c r="P300" s="164" t="str">
        <f t="shared" ca="1" si="33"/>
        <v/>
      </c>
      <c r="Q300" s="140" t="str">
        <f ca="1">IF(C300="","",Q299+(E300+H300-IF(RESULTADOS!$C$17="Normal",I300,0)-J300)/2+(F300+G300-IF(RESULTADOS!$C$17="Normal",0,I300)))</f>
        <v/>
      </c>
      <c r="R300" s="140" t="str">
        <f ca="1">IF(C300="","",R299+(E300+H300-IF(RESULTADOS!$C$17="Normal",I300,0)-J300)/2)</f>
        <v/>
      </c>
      <c r="S300" s="140">
        <f t="shared" ca="1" si="36"/>
        <v>0</v>
      </c>
      <c r="U300" s="164" t="str">
        <f t="shared" ca="1" si="37"/>
        <v/>
      </c>
      <c r="V300" s="164" t="str">
        <f t="shared" ca="1" si="34"/>
        <v/>
      </c>
      <c r="W300" s="140">
        <f ca="1">IF(OR((W299-13/12*Z299)*(1+PREMISSAS!$C$16)&lt;0,W299=""),0,(W299-13/12*Z299)*(1+PREMISSAS!$C$16))</f>
        <v>0</v>
      </c>
      <c r="X300" s="140">
        <f ca="1">IF(OR((X299-13/12*AA299)*(1+PREMISSAS!$C$16)&lt;0,X299=""),0,(X299-13/12*AA299)*(1+PREMISSAS!$C$16))</f>
        <v>0</v>
      </c>
      <c r="Y300" s="140">
        <f t="shared" ca="1" si="35"/>
        <v>0</v>
      </c>
      <c r="Z300" s="167">
        <f t="shared" ca="1" si="38"/>
        <v>0</v>
      </c>
      <c r="AA300" s="167">
        <f t="shared" ca="1" si="39"/>
        <v>0</v>
      </c>
    </row>
    <row r="301" spans="2:27" x14ac:dyDescent="0.25">
      <c r="B301" s="21" t="str">
        <f ca="1">IF(B300="","",IF(EOMONTH(B300,1)&gt;EOMONTH(ELEGIBILIDADE!$J$17,0),"",EOMONTH(B300,1)))</f>
        <v/>
      </c>
      <c r="C301" s="22" t="str">
        <f ca="1">IF(B301="","",IF(MONTH(B301)=1,C300*(1+PREMISSAS!$C$57),C300))</f>
        <v/>
      </c>
      <c r="D301" s="22">
        <f ca="1">IF(RESULTADOS!$C$17="Normal",IFERROR(MAX(C301-PREMISSAS!$C$13,0),0),IF(Painel!$I$23=0,0,MAX(10*PREMISSAS!$C$38,RESULTADOS!$F$17)))</f>
        <v>0</v>
      </c>
      <c r="E301" s="4">
        <f ca="1">D301*IF(RESULTADOS!$C$17="Normal",RESULTADOS!$C$16,0)</f>
        <v>0</v>
      </c>
      <c r="F301" s="4">
        <f ca="1">IFERROR(IF(RESULTADOS!$C$17="Normal",D301,C301)*RESULTADOS!$C$18,0)</f>
        <v>0</v>
      </c>
      <c r="G301" s="4">
        <f ca="1">IFERROR(IF(RESULTADOS!$C$17="Normal",0,D301)*IF(RESULTADOS!$C$17="Normal",RESULTADOS!$C$18,RESULTADOS!$C$16),0)</f>
        <v>0</v>
      </c>
      <c r="H301" s="4">
        <f ca="1">IF(RESULTADOS!$C$17="Normal",E301,0)</f>
        <v>0</v>
      </c>
      <c r="I301" s="4">
        <f ca="1">(E301+H301+G301)*PREMISSAS!$C$60</f>
        <v>0</v>
      </c>
      <c r="J301" s="4">
        <f ca="1">D301*IF(RESULTADOS!$C$17="Normal",PREMISSAS!$C$62,0)</f>
        <v>0</v>
      </c>
      <c r="K301" s="116">
        <f ca="1">IFERROR(K300*(1+PREMISSAS!$C$18)+(E301+H301-IF(RESULTADOS!$C$17="Normal",I301,0)-J301)*IF(MONTH(B301)=12,2,1),0)</f>
        <v>0</v>
      </c>
      <c r="L301" s="116">
        <f ca="1">IFERROR((L300+G301-IF(RESULTADOS!$C$17="Normal",0,I301))*(1+PREMISSAS!$C$18)+F301,0)</f>
        <v>0</v>
      </c>
      <c r="N301" s="73">
        <f t="shared" ca="1" si="32"/>
        <v>0</v>
      </c>
      <c r="P301" s="164" t="str">
        <f t="shared" ca="1" si="33"/>
        <v/>
      </c>
      <c r="Q301" s="140" t="str">
        <f ca="1">IF(C301="","",Q300+(E301+H301-IF(RESULTADOS!$C$17="Normal",I301,0)-J301)/2+(F301+G301-IF(RESULTADOS!$C$17="Normal",0,I301)))</f>
        <v/>
      </c>
      <c r="R301" s="140" t="str">
        <f ca="1">IF(C301="","",R300+(E301+H301-IF(RESULTADOS!$C$17="Normal",I301,0)-J301)/2)</f>
        <v/>
      </c>
      <c r="S301" s="140">
        <f t="shared" ca="1" si="36"/>
        <v>0</v>
      </c>
      <c r="U301" s="164" t="str">
        <f t="shared" ca="1" si="37"/>
        <v/>
      </c>
      <c r="V301" s="164" t="str">
        <f t="shared" ca="1" si="34"/>
        <v/>
      </c>
      <c r="W301" s="140">
        <f ca="1">IF(OR((W300-13/12*Z300)*(1+PREMISSAS!$C$16)&lt;0,W300=""),0,(W300-13/12*Z300)*(1+PREMISSAS!$C$16))</f>
        <v>0</v>
      </c>
      <c r="X301" s="140">
        <f ca="1">IF(OR((X300-13/12*AA300)*(1+PREMISSAS!$C$16)&lt;0,X300=""),0,(X300-13/12*AA300)*(1+PREMISSAS!$C$16))</f>
        <v>0</v>
      </c>
      <c r="Y301" s="140">
        <f t="shared" ca="1" si="35"/>
        <v>0</v>
      </c>
      <c r="Z301" s="167">
        <f t="shared" ca="1" si="38"/>
        <v>0</v>
      </c>
      <c r="AA301" s="167">
        <f t="shared" ca="1" si="39"/>
        <v>0</v>
      </c>
    </row>
    <row r="302" spans="2:27" x14ac:dyDescent="0.25">
      <c r="B302" s="21" t="str">
        <f ca="1">IF(B301="","",IF(EOMONTH(B301,1)&gt;EOMONTH(ELEGIBILIDADE!$J$17,0),"",EOMONTH(B301,1)))</f>
        <v/>
      </c>
      <c r="C302" s="22" t="str">
        <f ca="1">IF(B302="","",IF(MONTH(B302)=1,C301*(1+PREMISSAS!$C$57),C301))</f>
        <v/>
      </c>
      <c r="D302" s="22">
        <f ca="1">IF(RESULTADOS!$C$17="Normal",IFERROR(MAX(C302-PREMISSAS!$C$13,0),0),IF(Painel!$I$23=0,0,MAX(10*PREMISSAS!$C$38,RESULTADOS!$F$17)))</f>
        <v>0</v>
      </c>
      <c r="E302" s="4">
        <f ca="1">D302*IF(RESULTADOS!$C$17="Normal",RESULTADOS!$C$16,0)</f>
        <v>0</v>
      </c>
      <c r="F302" s="4">
        <f ca="1">IFERROR(IF(RESULTADOS!$C$17="Normal",D302,C302)*RESULTADOS!$C$18,0)</f>
        <v>0</v>
      </c>
      <c r="G302" s="4">
        <f ca="1">IFERROR(IF(RESULTADOS!$C$17="Normal",0,D302)*IF(RESULTADOS!$C$17="Normal",RESULTADOS!$C$18,RESULTADOS!$C$16),0)</f>
        <v>0</v>
      </c>
      <c r="H302" s="4">
        <f ca="1">IF(RESULTADOS!$C$17="Normal",E302,0)</f>
        <v>0</v>
      </c>
      <c r="I302" s="4">
        <f ca="1">(E302+H302+G302)*PREMISSAS!$C$60</f>
        <v>0</v>
      </c>
      <c r="J302" s="4">
        <f ca="1">D302*IF(RESULTADOS!$C$17="Normal",PREMISSAS!$C$62,0)</f>
        <v>0</v>
      </c>
      <c r="K302" s="116">
        <f ca="1">IFERROR(K301*(1+PREMISSAS!$C$18)+(E302+H302-IF(RESULTADOS!$C$17="Normal",I302,0)-J302)*IF(MONTH(B302)=12,2,1),0)</f>
        <v>0</v>
      </c>
      <c r="L302" s="116">
        <f ca="1">IFERROR((L301+G302-IF(RESULTADOS!$C$17="Normal",0,I302))*(1+PREMISSAS!$C$18)+F302,0)</f>
        <v>0</v>
      </c>
      <c r="N302" s="73">
        <f t="shared" ca="1" si="32"/>
        <v>0</v>
      </c>
      <c r="P302" s="164" t="str">
        <f t="shared" ca="1" si="33"/>
        <v/>
      </c>
      <c r="Q302" s="140" t="str">
        <f ca="1">IF(C302="","",Q301+(E302+H302-IF(RESULTADOS!$C$17="Normal",I302,0)-J302)/2+(F302+G302-IF(RESULTADOS!$C$17="Normal",0,I302)))</f>
        <v/>
      </c>
      <c r="R302" s="140" t="str">
        <f ca="1">IF(C302="","",R301+(E302+H302-IF(RESULTADOS!$C$17="Normal",I302,0)-J302)/2)</f>
        <v/>
      </c>
      <c r="S302" s="140">
        <f t="shared" ca="1" si="36"/>
        <v>0</v>
      </c>
      <c r="U302" s="164" t="str">
        <f t="shared" ca="1" si="37"/>
        <v/>
      </c>
      <c r="V302" s="164" t="str">
        <f t="shared" ca="1" si="34"/>
        <v/>
      </c>
      <c r="W302" s="140">
        <f ca="1">IF(OR((W301-13/12*Z301)*(1+PREMISSAS!$C$16)&lt;0,W301=""),0,(W301-13/12*Z301)*(1+PREMISSAS!$C$16))</f>
        <v>0</v>
      </c>
      <c r="X302" s="140">
        <f ca="1">IF(OR((X301-13/12*AA301)*(1+PREMISSAS!$C$16)&lt;0,X301=""),0,(X301-13/12*AA301)*(1+PREMISSAS!$C$16))</f>
        <v>0</v>
      </c>
      <c r="Y302" s="140">
        <f t="shared" ca="1" si="35"/>
        <v>0</v>
      </c>
      <c r="Z302" s="167">
        <f t="shared" ca="1" si="38"/>
        <v>0</v>
      </c>
      <c r="AA302" s="167">
        <f t="shared" ca="1" si="39"/>
        <v>0</v>
      </c>
    </row>
    <row r="303" spans="2:27" x14ac:dyDescent="0.25">
      <c r="B303" s="21" t="str">
        <f ca="1">IF(B302="","",IF(EOMONTH(B302,1)&gt;EOMONTH(ELEGIBILIDADE!$J$17,0),"",EOMONTH(B302,1)))</f>
        <v/>
      </c>
      <c r="C303" s="22" t="str">
        <f ca="1">IF(B303="","",IF(MONTH(B303)=1,C302*(1+PREMISSAS!$C$57),C302))</f>
        <v/>
      </c>
      <c r="D303" s="22">
        <f ca="1">IF(RESULTADOS!$C$17="Normal",IFERROR(MAX(C303-PREMISSAS!$C$13,0),0),IF(Painel!$I$23=0,0,MAX(10*PREMISSAS!$C$38,RESULTADOS!$F$17)))</f>
        <v>0</v>
      </c>
      <c r="E303" s="4">
        <f ca="1">D303*IF(RESULTADOS!$C$17="Normal",RESULTADOS!$C$16,0)</f>
        <v>0</v>
      </c>
      <c r="F303" s="4">
        <f ca="1">IFERROR(IF(RESULTADOS!$C$17="Normal",D303,C303)*RESULTADOS!$C$18,0)</f>
        <v>0</v>
      </c>
      <c r="G303" s="4">
        <f ca="1">IFERROR(IF(RESULTADOS!$C$17="Normal",0,D303)*IF(RESULTADOS!$C$17="Normal",RESULTADOS!$C$18,RESULTADOS!$C$16),0)</f>
        <v>0</v>
      </c>
      <c r="H303" s="4">
        <f ca="1">IF(RESULTADOS!$C$17="Normal",E303,0)</f>
        <v>0</v>
      </c>
      <c r="I303" s="4">
        <f ca="1">(E303+H303+G303)*PREMISSAS!$C$60</f>
        <v>0</v>
      </c>
      <c r="J303" s="4">
        <f ca="1">D303*IF(RESULTADOS!$C$17="Normal",PREMISSAS!$C$62,0)</f>
        <v>0</v>
      </c>
      <c r="K303" s="116">
        <f ca="1">IFERROR(K302*(1+PREMISSAS!$C$18)+(E303+H303-IF(RESULTADOS!$C$17="Normal",I303,0)-J303)*IF(MONTH(B303)=12,2,1),0)</f>
        <v>0</v>
      </c>
      <c r="L303" s="116">
        <f ca="1">IFERROR((L302+G303-IF(RESULTADOS!$C$17="Normal",0,I303))*(1+PREMISSAS!$C$18)+F303,0)</f>
        <v>0</v>
      </c>
      <c r="N303" s="73">
        <f t="shared" ca="1" si="32"/>
        <v>0</v>
      </c>
      <c r="P303" s="164" t="str">
        <f t="shared" ca="1" si="33"/>
        <v/>
      </c>
      <c r="Q303" s="140" t="str">
        <f ca="1">IF(C303="","",Q302+(E303+H303-IF(RESULTADOS!$C$17="Normal",I303,0)-J303)/2+(F303+G303-IF(RESULTADOS!$C$17="Normal",0,I303)))</f>
        <v/>
      </c>
      <c r="R303" s="140" t="str">
        <f ca="1">IF(C303="","",R302+(E303+H303-IF(RESULTADOS!$C$17="Normal",I303,0)-J303)/2)</f>
        <v/>
      </c>
      <c r="S303" s="140">
        <f t="shared" ca="1" si="36"/>
        <v>0</v>
      </c>
      <c r="U303" s="164" t="str">
        <f t="shared" ca="1" si="37"/>
        <v/>
      </c>
      <c r="V303" s="164" t="str">
        <f t="shared" ca="1" si="34"/>
        <v/>
      </c>
      <c r="W303" s="140">
        <f ca="1">IF(OR((W302-13/12*Z302)*(1+PREMISSAS!$C$16)&lt;0,W302=""),0,(W302-13/12*Z302)*(1+PREMISSAS!$C$16))</f>
        <v>0</v>
      </c>
      <c r="X303" s="140">
        <f ca="1">IF(OR((X302-13/12*AA302)*(1+PREMISSAS!$C$16)&lt;0,X302=""),0,(X302-13/12*AA302)*(1+PREMISSAS!$C$16))</f>
        <v>0</v>
      </c>
      <c r="Y303" s="140">
        <f t="shared" ca="1" si="35"/>
        <v>0</v>
      </c>
      <c r="Z303" s="167">
        <f t="shared" ca="1" si="38"/>
        <v>0</v>
      </c>
      <c r="AA303" s="167">
        <f t="shared" ca="1" si="39"/>
        <v>0</v>
      </c>
    </row>
    <row r="304" spans="2:27" x14ac:dyDescent="0.25">
      <c r="B304" s="21" t="str">
        <f ca="1">IF(B303="","",IF(EOMONTH(B303,1)&gt;EOMONTH(ELEGIBILIDADE!$J$17,0),"",EOMONTH(B303,1)))</f>
        <v/>
      </c>
      <c r="C304" s="22" t="str">
        <f ca="1">IF(B304="","",IF(MONTH(B304)=1,C303*(1+PREMISSAS!$C$57),C303))</f>
        <v/>
      </c>
      <c r="D304" s="22">
        <f ca="1">IF(RESULTADOS!$C$17="Normal",IFERROR(MAX(C304-PREMISSAS!$C$13,0),0),IF(Painel!$I$23=0,0,MAX(10*PREMISSAS!$C$38,RESULTADOS!$F$17)))</f>
        <v>0</v>
      </c>
      <c r="E304" s="4">
        <f ca="1">D304*IF(RESULTADOS!$C$17="Normal",RESULTADOS!$C$16,0)</f>
        <v>0</v>
      </c>
      <c r="F304" s="4">
        <f ca="1">IFERROR(IF(RESULTADOS!$C$17="Normal",D304,C304)*RESULTADOS!$C$18,0)</f>
        <v>0</v>
      </c>
      <c r="G304" s="4">
        <f ca="1">IFERROR(IF(RESULTADOS!$C$17="Normal",0,D304)*IF(RESULTADOS!$C$17="Normal",RESULTADOS!$C$18,RESULTADOS!$C$16),0)</f>
        <v>0</v>
      </c>
      <c r="H304" s="4">
        <f ca="1">IF(RESULTADOS!$C$17="Normal",E304,0)</f>
        <v>0</v>
      </c>
      <c r="I304" s="4">
        <f ca="1">(E304+H304+G304)*PREMISSAS!$C$60</f>
        <v>0</v>
      </c>
      <c r="J304" s="4">
        <f ca="1">D304*IF(RESULTADOS!$C$17="Normal",PREMISSAS!$C$62,0)</f>
        <v>0</v>
      </c>
      <c r="K304" s="116">
        <f ca="1">IFERROR(K303*(1+PREMISSAS!$C$18)+(E304+H304-IF(RESULTADOS!$C$17="Normal",I304,0)-J304)*IF(MONTH(B304)=12,2,1),0)</f>
        <v>0</v>
      </c>
      <c r="L304" s="116">
        <f ca="1">IFERROR((L303+G304-IF(RESULTADOS!$C$17="Normal",0,I304))*(1+PREMISSAS!$C$18)+F304,0)</f>
        <v>0</v>
      </c>
      <c r="N304" s="73">
        <f t="shared" ca="1" si="32"/>
        <v>0</v>
      </c>
      <c r="P304" s="164" t="str">
        <f t="shared" ca="1" si="33"/>
        <v/>
      </c>
      <c r="Q304" s="140" t="str">
        <f ca="1">IF(C304="","",Q303+(E304+H304-IF(RESULTADOS!$C$17="Normal",I304,0)-J304)/2+(F304+G304-IF(RESULTADOS!$C$17="Normal",0,I304)))</f>
        <v/>
      </c>
      <c r="R304" s="140" t="str">
        <f ca="1">IF(C304="","",R303+(E304+H304-IF(RESULTADOS!$C$17="Normal",I304,0)-J304)/2)</f>
        <v/>
      </c>
      <c r="S304" s="140">
        <f t="shared" ca="1" si="36"/>
        <v>0</v>
      </c>
      <c r="U304" s="164" t="str">
        <f t="shared" ca="1" si="37"/>
        <v/>
      </c>
      <c r="V304" s="164" t="str">
        <f t="shared" ca="1" si="34"/>
        <v/>
      </c>
      <c r="W304" s="140">
        <f ca="1">IF(OR((W303-13/12*Z303)*(1+PREMISSAS!$C$16)&lt;0,W303=""),0,(W303-13/12*Z303)*(1+PREMISSAS!$C$16))</f>
        <v>0</v>
      </c>
      <c r="X304" s="140">
        <f ca="1">IF(OR((X303-13/12*AA303)*(1+PREMISSAS!$C$16)&lt;0,X303=""),0,(X303-13/12*AA303)*(1+PREMISSAS!$C$16))</f>
        <v>0</v>
      </c>
      <c r="Y304" s="140">
        <f t="shared" ca="1" si="35"/>
        <v>0</v>
      </c>
      <c r="Z304" s="167">
        <f t="shared" ca="1" si="38"/>
        <v>0</v>
      </c>
      <c r="AA304" s="167">
        <f t="shared" ca="1" si="39"/>
        <v>0</v>
      </c>
    </row>
    <row r="305" spans="2:27" x14ac:dyDescent="0.25">
      <c r="B305" s="21" t="str">
        <f ca="1">IF(B304="","",IF(EOMONTH(B304,1)&gt;EOMONTH(ELEGIBILIDADE!$J$17,0),"",EOMONTH(B304,1)))</f>
        <v/>
      </c>
      <c r="C305" s="22" t="str">
        <f ca="1">IF(B305="","",IF(MONTH(B305)=1,C304*(1+PREMISSAS!$C$57),C304))</f>
        <v/>
      </c>
      <c r="D305" s="22">
        <f ca="1">IF(RESULTADOS!$C$17="Normal",IFERROR(MAX(C305-PREMISSAS!$C$13,0),0),IF(Painel!$I$23=0,0,MAX(10*PREMISSAS!$C$38,RESULTADOS!$F$17)))</f>
        <v>0</v>
      </c>
      <c r="E305" s="4">
        <f ca="1">D305*IF(RESULTADOS!$C$17="Normal",RESULTADOS!$C$16,0)</f>
        <v>0</v>
      </c>
      <c r="F305" s="4">
        <f ca="1">IFERROR(IF(RESULTADOS!$C$17="Normal",D305,C305)*RESULTADOS!$C$18,0)</f>
        <v>0</v>
      </c>
      <c r="G305" s="4">
        <f ca="1">IFERROR(IF(RESULTADOS!$C$17="Normal",0,D305)*IF(RESULTADOS!$C$17="Normal",RESULTADOS!$C$18,RESULTADOS!$C$16),0)</f>
        <v>0</v>
      </c>
      <c r="H305" s="4">
        <f ca="1">IF(RESULTADOS!$C$17="Normal",E305,0)</f>
        <v>0</v>
      </c>
      <c r="I305" s="4">
        <f ca="1">(E305+H305+G305)*PREMISSAS!$C$60</f>
        <v>0</v>
      </c>
      <c r="J305" s="4">
        <f ca="1">D305*IF(RESULTADOS!$C$17="Normal",PREMISSAS!$C$62,0)</f>
        <v>0</v>
      </c>
      <c r="K305" s="116">
        <f ca="1">IFERROR(K304*(1+PREMISSAS!$C$18)+(E305+H305-IF(RESULTADOS!$C$17="Normal",I305,0)-J305)*IF(MONTH(B305)=12,2,1),0)</f>
        <v>0</v>
      </c>
      <c r="L305" s="116">
        <f ca="1">IFERROR((L304+G305-IF(RESULTADOS!$C$17="Normal",0,I305))*(1+PREMISSAS!$C$18)+F305,0)</f>
        <v>0</v>
      </c>
      <c r="N305" s="73">
        <f t="shared" ca="1" si="32"/>
        <v>0</v>
      </c>
      <c r="P305" s="164" t="str">
        <f t="shared" ca="1" si="33"/>
        <v/>
      </c>
      <c r="Q305" s="140" t="str">
        <f ca="1">IF(C305="","",Q304+(E305+H305-IF(RESULTADOS!$C$17="Normal",I305,0)-J305)/2+(F305+G305-IF(RESULTADOS!$C$17="Normal",0,I305)))</f>
        <v/>
      </c>
      <c r="R305" s="140" t="str">
        <f ca="1">IF(C305="","",R304+(E305+H305-IF(RESULTADOS!$C$17="Normal",I305,0)-J305)/2)</f>
        <v/>
      </c>
      <c r="S305" s="140">
        <f t="shared" ca="1" si="36"/>
        <v>0</v>
      </c>
      <c r="U305" s="164" t="str">
        <f t="shared" ca="1" si="37"/>
        <v/>
      </c>
      <c r="V305" s="164" t="str">
        <f t="shared" ca="1" si="34"/>
        <v/>
      </c>
      <c r="W305" s="140">
        <f ca="1">IF(OR((W304-13/12*Z304)*(1+PREMISSAS!$C$16)&lt;0,W304=""),0,(W304-13/12*Z304)*(1+PREMISSAS!$C$16))</f>
        <v>0</v>
      </c>
      <c r="X305" s="140">
        <f ca="1">IF(OR((X304-13/12*AA304)*(1+PREMISSAS!$C$16)&lt;0,X304=""),0,(X304-13/12*AA304)*(1+PREMISSAS!$C$16))</f>
        <v>0</v>
      </c>
      <c r="Y305" s="140">
        <f t="shared" ca="1" si="35"/>
        <v>0</v>
      </c>
      <c r="Z305" s="167">
        <f t="shared" ca="1" si="38"/>
        <v>0</v>
      </c>
      <c r="AA305" s="167">
        <f t="shared" ca="1" si="39"/>
        <v>0</v>
      </c>
    </row>
    <row r="306" spans="2:27" x14ac:dyDescent="0.25">
      <c r="B306" s="21" t="str">
        <f ca="1">IF(B305="","",IF(EOMONTH(B305,1)&gt;EOMONTH(ELEGIBILIDADE!$J$17,0),"",EOMONTH(B305,1)))</f>
        <v/>
      </c>
      <c r="C306" s="22" t="str">
        <f ca="1">IF(B306="","",IF(MONTH(B306)=1,C305*(1+PREMISSAS!$C$57),C305))</f>
        <v/>
      </c>
      <c r="D306" s="22">
        <f ca="1">IF(RESULTADOS!$C$17="Normal",IFERROR(MAX(C306-PREMISSAS!$C$13,0),0),IF(Painel!$I$23=0,0,MAX(10*PREMISSAS!$C$38,RESULTADOS!$F$17)))</f>
        <v>0</v>
      </c>
      <c r="E306" s="4">
        <f ca="1">D306*IF(RESULTADOS!$C$17="Normal",RESULTADOS!$C$16,0)</f>
        <v>0</v>
      </c>
      <c r="F306" s="4">
        <f ca="1">IFERROR(IF(RESULTADOS!$C$17="Normal",D306,C306)*RESULTADOS!$C$18,0)</f>
        <v>0</v>
      </c>
      <c r="G306" s="4">
        <f ca="1">IFERROR(IF(RESULTADOS!$C$17="Normal",0,D306)*IF(RESULTADOS!$C$17="Normal",RESULTADOS!$C$18,RESULTADOS!$C$16),0)</f>
        <v>0</v>
      </c>
      <c r="H306" s="4">
        <f ca="1">IF(RESULTADOS!$C$17="Normal",E306,0)</f>
        <v>0</v>
      </c>
      <c r="I306" s="4">
        <f ca="1">(E306+H306+G306)*PREMISSAS!$C$60</f>
        <v>0</v>
      </c>
      <c r="J306" s="4">
        <f ca="1">D306*IF(RESULTADOS!$C$17="Normal",PREMISSAS!$C$62,0)</f>
        <v>0</v>
      </c>
      <c r="K306" s="116">
        <f ca="1">IFERROR(K305*(1+PREMISSAS!$C$18)+(E306+H306-IF(RESULTADOS!$C$17="Normal",I306,0)-J306)*IF(MONTH(B306)=12,2,1),0)</f>
        <v>0</v>
      </c>
      <c r="L306" s="116">
        <f ca="1">IFERROR((L305+G306-IF(RESULTADOS!$C$17="Normal",0,I306))*(1+PREMISSAS!$C$18)+F306,0)</f>
        <v>0</v>
      </c>
      <c r="N306" s="73">
        <f t="shared" ca="1" si="32"/>
        <v>0</v>
      </c>
      <c r="P306" s="164" t="str">
        <f t="shared" ca="1" si="33"/>
        <v/>
      </c>
      <c r="Q306" s="140" t="str">
        <f ca="1">IF(C306="","",Q305+(E306+H306-IF(RESULTADOS!$C$17="Normal",I306,0)-J306)/2+(F306+G306-IF(RESULTADOS!$C$17="Normal",0,I306)))</f>
        <v/>
      </c>
      <c r="R306" s="140" t="str">
        <f ca="1">IF(C306="","",R305+(E306+H306-IF(RESULTADOS!$C$17="Normal",I306,0)-J306)/2)</f>
        <v/>
      </c>
      <c r="S306" s="140">
        <f t="shared" ca="1" si="36"/>
        <v>0</v>
      </c>
      <c r="U306" s="164" t="str">
        <f t="shared" ca="1" si="37"/>
        <v/>
      </c>
      <c r="V306" s="164" t="str">
        <f t="shared" ca="1" si="34"/>
        <v/>
      </c>
      <c r="W306" s="140">
        <f ca="1">IF(OR((W305-13/12*Z305)*(1+PREMISSAS!$C$16)&lt;0,W305=""),0,(W305-13/12*Z305)*(1+PREMISSAS!$C$16))</f>
        <v>0</v>
      </c>
      <c r="X306" s="140">
        <f ca="1">IF(OR((X305-13/12*AA305)*(1+PREMISSAS!$C$16)&lt;0,X305=""),0,(X305-13/12*AA305)*(1+PREMISSAS!$C$16))</f>
        <v>0</v>
      </c>
      <c r="Y306" s="140">
        <f t="shared" ca="1" si="35"/>
        <v>0</v>
      </c>
      <c r="Z306" s="167">
        <f t="shared" ca="1" si="38"/>
        <v>0</v>
      </c>
      <c r="AA306" s="167">
        <f t="shared" ca="1" si="39"/>
        <v>0</v>
      </c>
    </row>
    <row r="307" spans="2:27" x14ac:dyDescent="0.25">
      <c r="B307" s="21" t="str">
        <f ca="1">IF(B306="","",IF(EOMONTH(B306,1)&gt;EOMONTH(ELEGIBILIDADE!$J$17,0),"",EOMONTH(B306,1)))</f>
        <v/>
      </c>
      <c r="C307" s="22" t="str">
        <f ca="1">IF(B307="","",IF(MONTH(B307)=1,C306*(1+PREMISSAS!$C$57),C306))</f>
        <v/>
      </c>
      <c r="D307" s="22">
        <f ca="1">IF(RESULTADOS!$C$17="Normal",IFERROR(MAX(C307-PREMISSAS!$C$13,0),0),IF(Painel!$I$23=0,0,MAX(10*PREMISSAS!$C$38,RESULTADOS!$F$17)))</f>
        <v>0</v>
      </c>
      <c r="E307" s="4">
        <f ca="1">D307*IF(RESULTADOS!$C$17="Normal",RESULTADOS!$C$16,0)</f>
        <v>0</v>
      </c>
      <c r="F307" s="4">
        <f ca="1">IFERROR(IF(RESULTADOS!$C$17="Normal",D307,C307)*RESULTADOS!$C$18,0)</f>
        <v>0</v>
      </c>
      <c r="G307" s="4">
        <f ca="1">IFERROR(IF(RESULTADOS!$C$17="Normal",0,D307)*IF(RESULTADOS!$C$17="Normal",RESULTADOS!$C$18,RESULTADOS!$C$16),0)</f>
        <v>0</v>
      </c>
      <c r="H307" s="4">
        <f ca="1">IF(RESULTADOS!$C$17="Normal",E307,0)</f>
        <v>0</v>
      </c>
      <c r="I307" s="4">
        <f ca="1">(E307+H307+G307)*PREMISSAS!$C$60</f>
        <v>0</v>
      </c>
      <c r="J307" s="4">
        <f ca="1">D307*IF(RESULTADOS!$C$17="Normal",PREMISSAS!$C$62,0)</f>
        <v>0</v>
      </c>
      <c r="K307" s="116">
        <f ca="1">IFERROR(K306*(1+PREMISSAS!$C$18)+(E307+H307-IF(RESULTADOS!$C$17="Normal",I307,0)-J307)*IF(MONTH(B307)=12,2,1),0)</f>
        <v>0</v>
      </c>
      <c r="L307" s="116">
        <f ca="1">IFERROR((L306+G307-IF(RESULTADOS!$C$17="Normal",0,I307))*(1+PREMISSAS!$C$18)+F307,0)</f>
        <v>0</v>
      </c>
      <c r="N307" s="73">
        <f t="shared" ca="1" si="32"/>
        <v>0</v>
      </c>
      <c r="P307" s="164" t="str">
        <f t="shared" ca="1" si="33"/>
        <v/>
      </c>
      <c r="Q307" s="140" t="str">
        <f ca="1">IF(C307="","",Q306+(E307+H307-IF(RESULTADOS!$C$17="Normal",I307,0)-J307)/2+(F307+G307-IF(RESULTADOS!$C$17="Normal",0,I307)))</f>
        <v/>
      </c>
      <c r="R307" s="140" t="str">
        <f ca="1">IF(C307="","",R306+(E307+H307-IF(RESULTADOS!$C$17="Normal",I307,0)-J307)/2)</f>
        <v/>
      </c>
      <c r="S307" s="140">
        <f t="shared" ca="1" si="36"/>
        <v>0</v>
      </c>
      <c r="U307" s="164" t="str">
        <f t="shared" ca="1" si="37"/>
        <v/>
      </c>
      <c r="V307" s="164" t="str">
        <f t="shared" ca="1" si="34"/>
        <v/>
      </c>
      <c r="W307" s="140">
        <f ca="1">IF(OR((W306-13/12*Z306)*(1+PREMISSAS!$C$16)&lt;0,W306=""),0,(W306-13/12*Z306)*(1+PREMISSAS!$C$16))</f>
        <v>0</v>
      </c>
      <c r="X307" s="140">
        <f ca="1">IF(OR((X306-13/12*AA306)*(1+PREMISSAS!$C$16)&lt;0,X306=""),0,(X306-13/12*AA306)*(1+PREMISSAS!$C$16))</f>
        <v>0</v>
      </c>
      <c r="Y307" s="140">
        <f t="shared" ca="1" si="35"/>
        <v>0</v>
      </c>
      <c r="Z307" s="167">
        <f t="shared" ca="1" si="38"/>
        <v>0</v>
      </c>
      <c r="AA307" s="167">
        <f t="shared" ca="1" si="39"/>
        <v>0</v>
      </c>
    </row>
    <row r="308" spans="2:27" x14ac:dyDescent="0.25">
      <c r="B308" s="21" t="str">
        <f ca="1">IF(B307="","",IF(EOMONTH(B307,1)&gt;EOMONTH(ELEGIBILIDADE!$J$17,0),"",EOMONTH(B307,1)))</f>
        <v/>
      </c>
      <c r="C308" s="22" t="str">
        <f ca="1">IF(B308="","",IF(MONTH(B308)=1,C307*(1+PREMISSAS!$C$57),C307))</f>
        <v/>
      </c>
      <c r="D308" s="22">
        <f ca="1">IF(RESULTADOS!$C$17="Normal",IFERROR(MAX(C308-PREMISSAS!$C$13,0),0),IF(Painel!$I$23=0,0,MAX(10*PREMISSAS!$C$38,RESULTADOS!$F$17)))</f>
        <v>0</v>
      </c>
      <c r="E308" s="4">
        <f ca="1">D308*IF(RESULTADOS!$C$17="Normal",RESULTADOS!$C$16,0)</f>
        <v>0</v>
      </c>
      <c r="F308" s="4">
        <f ca="1">IFERROR(IF(RESULTADOS!$C$17="Normal",D308,C308)*RESULTADOS!$C$18,0)</f>
        <v>0</v>
      </c>
      <c r="G308" s="4">
        <f ca="1">IFERROR(IF(RESULTADOS!$C$17="Normal",0,D308)*IF(RESULTADOS!$C$17="Normal",RESULTADOS!$C$18,RESULTADOS!$C$16),0)</f>
        <v>0</v>
      </c>
      <c r="H308" s="4">
        <f ca="1">IF(RESULTADOS!$C$17="Normal",E308,0)</f>
        <v>0</v>
      </c>
      <c r="I308" s="4">
        <f ca="1">(E308+H308+G308)*PREMISSAS!$C$60</f>
        <v>0</v>
      </c>
      <c r="J308" s="4">
        <f ca="1">D308*IF(RESULTADOS!$C$17="Normal",PREMISSAS!$C$62,0)</f>
        <v>0</v>
      </c>
      <c r="K308" s="116">
        <f ca="1">IFERROR(K307*(1+PREMISSAS!$C$18)+(E308+H308-IF(RESULTADOS!$C$17="Normal",I308,0)-J308)*IF(MONTH(B308)=12,2,1),0)</f>
        <v>0</v>
      </c>
      <c r="L308" s="116">
        <f ca="1">IFERROR((L307+G308-IF(RESULTADOS!$C$17="Normal",0,I308))*(1+PREMISSAS!$C$18)+F308,0)</f>
        <v>0</v>
      </c>
      <c r="N308" s="73">
        <f t="shared" ca="1" si="32"/>
        <v>0</v>
      </c>
      <c r="P308" s="164" t="str">
        <f t="shared" ca="1" si="33"/>
        <v/>
      </c>
      <c r="Q308" s="140" t="str">
        <f ca="1">IF(C308="","",Q307+(E308+H308-IF(RESULTADOS!$C$17="Normal",I308,0)-J308)/2+(F308+G308-IF(RESULTADOS!$C$17="Normal",0,I308)))</f>
        <v/>
      </c>
      <c r="R308" s="140" t="str">
        <f ca="1">IF(C308="","",R307+(E308+H308-IF(RESULTADOS!$C$17="Normal",I308,0)-J308)/2)</f>
        <v/>
      </c>
      <c r="S308" s="140">
        <f t="shared" ca="1" si="36"/>
        <v>0</v>
      </c>
      <c r="U308" s="164" t="str">
        <f t="shared" ca="1" si="37"/>
        <v/>
      </c>
      <c r="V308" s="164" t="str">
        <f t="shared" ca="1" si="34"/>
        <v/>
      </c>
      <c r="W308" s="140">
        <f ca="1">IF(OR((W307-13/12*Z307)*(1+PREMISSAS!$C$16)&lt;0,W307=""),0,(W307-13/12*Z307)*(1+PREMISSAS!$C$16))</f>
        <v>0</v>
      </c>
      <c r="X308" s="140">
        <f ca="1">IF(OR((X307-13/12*AA307)*(1+PREMISSAS!$C$16)&lt;0,X307=""),0,(X307-13/12*AA307)*(1+PREMISSAS!$C$16))</f>
        <v>0</v>
      </c>
      <c r="Y308" s="140">
        <f t="shared" ca="1" si="35"/>
        <v>0</v>
      </c>
      <c r="Z308" s="167">
        <f t="shared" ca="1" si="38"/>
        <v>0</v>
      </c>
      <c r="AA308" s="167">
        <f t="shared" ca="1" si="39"/>
        <v>0</v>
      </c>
    </row>
    <row r="309" spans="2:27" x14ac:dyDescent="0.25">
      <c r="B309" s="21" t="str">
        <f ca="1">IF(B308="","",IF(EOMONTH(B308,1)&gt;EOMONTH(ELEGIBILIDADE!$J$17,0),"",EOMONTH(B308,1)))</f>
        <v/>
      </c>
      <c r="C309" s="22" t="str">
        <f ca="1">IF(B309="","",IF(MONTH(B309)=1,C308*(1+PREMISSAS!$C$57),C308))</f>
        <v/>
      </c>
      <c r="D309" s="22">
        <f ca="1">IF(RESULTADOS!$C$17="Normal",IFERROR(MAX(C309-PREMISSAS!$C$13,0),0),IF(Painel!$I$23=0,0,MAX(10*PREMISSAS!$C$38,RESULTADOS!$F$17)))</f>
        <v>0</v>
      </c>
      <c r="E309" s="4">
        <f ca="1">D309*IF(RESULTADOS!$C$17="Normal",RESULTADOS!$C$16,0)</f>
        <v>0</v>
      </c>
      <c r="F309" s="4">
        <f ca="1">IFERROR(IF(RESULTADOS!$C$17="Normal",D309,C309)*RESULTADOS!$C$18,0)</f>
        <v>0</v>
      </c>
      <c r="G309" s="4">
        <f ca="1">IFERROR(IF(RESULTADOS!$C$17="Normal",0,D309)*IF(RESULTADOS!$C$17="Normal",RESULTADOS!$C$18,RESULTADOS!$C$16),0)</f>
        <v>0</v>
      </c>
      <c r="H309" s="4">
        <f ca="1">IF(RESULTADOS!$C$17="Normal",E309,0)</f>
        <v>0</v>
      </c>
      <c r="I309" s="4">
        <f ca="1">(E309+H309+G309)*PREMISSAS!$C$60</f>
        <v>0</v>
      </c>
      <c r="J309" s="4">
        <f ca="1">D309*IF(RESULTADOS!$C$17="Normal",PREMISSAS!$C$62,0)</f>
        <v>0</v>
      </c>
      <c r="K309" s="116">
        <f ca="1">IFERROR(K308*(1+PREMISSAS!$C$18)+(E309+H309-IF(RESULTADOS!$C$17="Normal",I309,0)-J309)*IF(MONTH(B309)=12,2,1),0)</f>
        <v>0</v>
      </c>
      <c r="L309" s="116">
        <f ca="1">IFERROR((L308+G309-IF(RESULTADOS!$C$17="Normal",0,I309))*(1+PREMISSAS!$C$18)+F309,0)</f>
        <v>0</v>
      </c>
      <c r="N309" s="73">
        <f t="shared" ca="1" si="32"/>
        <v>0</v>
      </c>
      <c r="P309" s="164" t="str">
        <f t="shared" ca="1" si="33"/>
        <v/>
      </c>
      <c r="Q309" s="140" t="str">
        <f ca="1">IF(C309="","",Q308+(E309+H309-IF(RESULTADOS!$C$17="Normal",I309,0)-J309)/2+(F309+G309-IF(RESULTADOS!$C$17="Normal",0,I309)))</f>
        <v/>
      </c>
      <c r="R309" s="140" t="str">
        <f ca="1">IF(C309="","",R308+(E309+H309-IF(RESULTADOS!$C$17="Normal",I309,0)-J309)/2)</f>
        <v/>
      </c>
      <c r="S309" s="140">
        <f t="shared" ca="1" si="36"/>
        <v>0</v>
      </c>
      <c r="U309" s="164" t="str">
        <f t="shared" ca="1" si="37"/>
        <v/>
      </c>
      <c r="V309" s="164" t="str">
        <f t="shared" ca="1" si="34"/>
        <v/>
      </c>
      <c r="W309" s="140">
        <f ca="1">IF(OR((W308-13/12*Z308)*(1+PREMISSAS!$C$16)&lt;0,W308=""),0,(W308-13/12*Z308)*(1+PREMISSAS!$C$16))</f>
        <v>0</v>
      </c>
      <c r="X309" s="140">
        <f ca="1">IF(OR((X308-13/12*AA308)*(1+PREMISSAS!$C$16)&lt;0,X308=""),0,(X308-13/12*AA308)*(1+PREMISSAS!$C$16))</f>
        <v>0</v>
      </c>
      <c r="Y309" s="140">
        <f t="shared" ca="1" si="35"/>
        <v>0</v>
      </c>
      <c r="Z309" s="167">
        <f t="shared" ca="1" si="38"/>
        <v>0</v>
      </c>
      <c r="AA309" s="167">
        <f t="shared" ca="1" si="39"/>
        <v>0</v>
      </c>
    </row>
    <row r="310" spans="2:27" x14ac:dyDescent="0.25">
      <c r="B310" s="21" t="str">
        <f ca="1">IF(B309="","",IF(EOMONTH(B309,1)&gt;EOMONTH(ELEGIBILIDADE!$J$17,0),"",EOMONTH(B309,1)))</f>
        <v/>
      </c>
      <c r="C310" s="22" t="str">
        <f ca="1">IF(B310="","",IF(MONTH(B310)=1,C309*(1+PREMISSAS!$C$57),C309))</f>
        <v/>
      </c>
      <c r="D310" s="22">
        <f ca="1">IF(RESULTADOS!$C$17="Normal",IFERROR(MAX(C310-PREMISSAS!$C$13,0),0),IF(Painel!$I$23=0,0,MAX(10*PREMISSAS!$C$38,RESULTADOS!$F$17)))</f>
        <v>0</v>
      </c>
      <c r="E310" s="4">
        <f ca="1">D310*IF(RESULTADOS!$C$17="Normal",RESULTADOS!$C$16,0)</f>
        <v>0</v>
      </c>
      <c r="F310" s="4">
        <f ca="1">IFERROR(IF(RESULTADOS!$C$17="Normal",D310,C310)*RESULTADOS!$C$18,0)</f>
        <v>0</v>
      </c>
      <c r="G310" s="4">
        <f ca="1">IFERROR(IF(RESULTADOS!$C$17="Normal",0,D310)*IF(RESULTADOS!$C$17="Normal",RESULTADOS!$C$18,RESULTADOS!$C$16),0)</f>
        <v>0</v>
      </c>
      <c r="H310" s="4">
        <f ca="1">IF(RESULTADOS!$C$17="Normal",E310,0)</f>
        <v>0</v>
      </c>
      <c r="I310" s="4">
        <f ca="1">(E310+H310+G310)*PREMISSAS!$C$60</f>
        <v>0</v>
      </c>
      <c r="J310" s="4">
        <f ca="1">D310*IF(RESULTADOS!$C$17="Normal",PREMISSAS!$C$62,0)</f>
        <v>0</v>
      </c>
      <c r="K310" s="116">
        <f ca="1">IFERROR(K309*(1+PREMISSAS!$C$18)+(E310+H310-IF(RESULTADOS!$C$17="Normal",I310,0)-J310)*IF(MONTH(B310)=12,2,1),0)</f>
        <v>0</v>
      </c>
      <c r="L310" s="116">
        <f ca="1">IFERROR((L309+G310-IF(RESULTADOS!$C$17="Normal",0,I310))*(1+PREMISSAS!$C$18)+F310,0)</f>
        <v>0</v>
      </c>
      <c r="N310" s="73">
        <f t="shared" ca="1" si="32"/>
        <v>0</v>
      </c>
      <c r="P310" s="164" t="str">
        <f t="shared" ca="1" si="33"/>
        <v/>
      </c>
      <c r="Q310" s="140" t="str">
        <f ca="1">IF(C310="","",Q309+(E310+H310-IF(RESULTADOS!$C$17="Normal",I310,0)-J310)/2+(F310+G310-IF(RESULTADOS!$C$17="Normal",0,I310)))</f>
        <v/>
      </c>
      <c r="R310" s="140" t="str">
        <f ca="1">IF(C310="","",R309+(E310+H310-IF(RESULTADOS!$C$17="Normal",I310,0)-J310)/2)</f>
        <v/>
      </c>
      <c r="S310" s="140">
        <f t="shared" ca="1" si="36"/>
        <v>0</v>
      </c>
      <c r="U310" s="164" t="str">
        <f t="shared" ca="1" si="37"/>
        <v/>
      </c>
      <c r="V310" s="164" t="str">
        <f t="shared" ca="1" si="34"/>
        <v/>
      </c>
      <c r="W310" s="140">
        <f ca="1">IF(OR((W309-13/12*Z309)*(1+PREMISSAS!$C$16)&lt;0,W309=""),0,(W309-13/12*Z309)*(1+PREMISSAS!$C$16))</f>
        <v>0</v>
      </c>
      <c r="X310" s="140">
        <f ca="1">IF(OR((X309-13/12*AA309)*(1+PREMISSAS!$C$16)&lt;0,X309=""),0,(X309-13/12*AA309)*(1+PREMISSAS!$C$16))</f>
        <v>0</v>
      </c>
      <c r="Y310" s="140">
        <f t="shared" ca="1" si="35"/>
        <v>0</v>
      </c>
      <c r="Z310" s="167">
        <f t="shared" ca="1" si="38"/>
        <v>0</v>
      </c>
      <c r="AA310" s="167">
        <f t="shared" ca="1" si="39"/>
        <v>0</v>
      </c>
    </row>
    <row r="311" spans="2:27" x14ac:dyDescent="0.25">
      <c r="B311" s="21" t="str">
        <f ca="1">IF(B310="","",IF(EOMONTH(B310,1)&gt;EOMONTH(ELEGIBILIDADE!$J$17,0),"",EOMONTH(B310,1)))</f>
        <v/>
      </c>
      <c r="C311" s="22" t="str">
        <f ca="1">IF(B311="","",IF(MONTH(B311)=1,C310*(1+PREMISSAS!$C$57),C310))</f>
        <v/>
      </c>
      <c r="D311" s="22">
        <f ca="1">IF(RESULTADOS!$C$17="Normal",IFERROR(MAX(C311-PREMISSAS!$C$13,0),0),IF(Painel!$I$23=0,0,MAX(10*PREMISSAS!$C$38,RESULTADOS!$F$17)))</f>
        <v>0</v>
      </c>
      <c r="E311" s="4">
        <f ca="1">D311*IF(RESULTADOS!$C$17="Normal",RESULTADOS!$C$16,0)</f>
        <v>0</v>
      </c>
      <c r="F311" s="4">
        <f ca="1">IFERROR(IF(RESULTADOS!$C$17="Normal",D311,C311)*RESULTADOS!$C$18,0)</f>
        <v>0</v>
      </c>
      <c r="G311" s="4">
        <f ca="1">IFERROR(IF(RESULTADOS!$C$17="Normal",0,D311)*IF(RESULTADOS!$C$17="Normal",RESULTADOS!$C$18,RESULTADOS!$C$16),0)</f>
        <v>0</v>
      </c>
      <c r="H311" s="4">
        <f ca="1">IF(RESULTADOS!$C$17="Normal",E311,0)</f>
        <v>0</v>
      </c>
      <c r="I311" s="4">
        <f ca="1">(E311+H311+G311)*PREMISSAS!$C$60</f>
        <v>0</v>
      </c>
      <c r="J311" s="4">
        <f ca="1">D311*IF(RESULTADOS!$C$17="Normal",PREMISSAS!$C$62,0)</f>
        <v>0</v>
      </c>
      <c r="K311" s="116">
        <f ca="1">IFERROR(K310*(1+PREMISSAS!$C$18)+(E311+H311-IF(RESULTADOS!$C$17="Normal",I311,0)-J311)*IF(MONTH(B311)=12,2,1),0)</f>
        <v>0</v>
      </c>
      <c r="L311" s="116">
        <f ca="1">IFERROR((L310+G311-IF(RESULTADOS!$C$17="Normal",0,I311))*(1+PREMISSAS!$C$18)+F311,0)</f>
        <v>0</v>
      </c>
      <c r="N311" s="73">
        <f t="shared" ca="1" si="32"/>
        <v>0</v>
      </c>
      <c r="P311" s="164" t="str">
        <f t="shared" ca="1" si="33"/>
        <v/>
      </c>
      <c r="Q311" s="140" t="str">
        <f ca="1">IF(C311="","",Q310+(E311+H311-IF(RESULTADOS!$C$17="Normal",I311,0)-J311)/2+(F311+G311-IF(RESULTADOS!$C$17="Normal",0,I311)))</f>
        <v/>
      </c>
      <c r="R311" s="140" t="str">
        <f ca="1">IF(C311="","",R310+(E311+H311-IF(RESULTADOS!$C$17="Normal",I311,0)-J311)/2)</f>
        <v/>
      </c>
      <c r="S311" s="140">
        <f t="shared" ca="1" si="36"/>
        <v>0</v>
      </c>
      <c r="U311" s="164" t="str">
        <f t="shared" ca="1" si="37"/>
        <v/>
      </c>
      <c r="V311" s="164" t="str">
        <f t="shared" ca="1" si="34"/>
        <v/>
      </c>
      <c r="W311" s="140">
        <f ca="1">IF(OR((W310-13/12*Z310)*(1+PREMISSAS!$C$16)&lt;0,W310=""),0,(W310-13/12*Z310)*(1+PREMISSAS!$C$16))</f>
        <v>0</v>
      </c>
      <c r="X311" s="140">
        <f ca="1">IF(OR((X310-13/12*AA310)*(1+PREMISSAS!$C$16)&lt;0,X310=""),0,(X310-13/12*AA310)*(1+PREMISSAS!$C$16))</f>
        <v>0</v>
      </c>
      <c r="Y311" s="140">
        <f t="shared" ca="1" si="35"/>
        <v>0</v>
      </c>
      <c r="Z311" s="167">
        <f t="shared" ca="1" si="38"/>
        <v>0</v>
      </c>
      <c r="AA311" s="167">
        <f t="shared" ca="1" si="39"/>
        <v>0</v>
      </c>
    </row>
    <row r="312" spans="2:27" x14ac:dyDescent="0.25">
      <c r="B312" s="21" t="str">
        <f ca="1">IF(B311="","",IF(EOMONTH(B311,1)&gt;EOMONTH(ELEGIBILIDADE!$J$17,0),"",EOMONTH(B311,1)))</f>
        <v/>
      </c>
      <c r="C312" s="22" t="str">
        <f ca="1">IF(B312="","",IF(MONTH(B312)=1,C311*(1+PREMISSAS!$C$57),C311))</f>
        <v/>
      </c>
      <c r="D312" s="22">
        <f ca="1">IF(RESULTADOS!$C$17="Normal",IFERROR(MAX(C312-PREMISSAS!$C$13,0),0),IF(Painel!$I$23=0,0,MAX(10*PREMISSAS!$C$38,RESULTADOS!$F$17)))</f>
        <v>0</v>
      </c>
      <c r="E312" s="4">
        <f ca="1">D312*IF(RESULTADOS!$C$17="Normal",RESULTADOS!$C$16,0)</f>
        <v>0</v>
      </c>
      <c r="F312" s="4">
        <f ca="1">IFERROR(IF(RESULTADOS!$C$17="Normal",D312,C312)*RESULTADOS!$C$18,0)</f>
        <v>0</v>
      </c>
      <c r="G312" s="4">
        <f ca="1">IFERROR(IF(RESULTADOS!$C$17="Normal",0,D312)*IF(RESULTADOS!$C$17="Normal",RESULTADOS!$C$18,RESULTADOS!$C$16),0)</f>
        <v>0</v>
      </c>
      <c r="H312" s="4">
        <f ca="1">IF(RESULTADOS!$C$17="Normal",E312,0)</f>
        <v>0</v>
      </c>
      <c r="I312" s="4">
        <f ca="1">(E312+H312+G312)*PREMISSAS!$C$60</f>
        <v>0</v>
      </c>
      <c r="J312" s="4">
        <f ca="1">D312*IF(RESULTADOS!$C$17="Normal",PREMISSAS!$C$62,0)</f>
        <v>0</v>
      </c>
      <c r="K312" s="116">
        <f ca="1">IFERROR(K311*(1+PREMISSAS!$C$18)+(E312+H312-IF(RESULTADOS!$C$17="Normal",I312,0)-J312)*IF(MONTH(B312)=12,2,1),0)</f>
        <v>0</v>
      </c>
      <c r="L312" s="116">
        <f ca="1">IFERROR((L311+G312-IF(RESULTADOS!$C$17="Normal",0,I312))*(1+PREMISSAS!$C$18)+F312,0)</f>
        <v>0</v>
      </c>
      <c r="N312" s="73">
        <f t="shared" ca="1" si="32"/>
        <v>0</v>
      </c>
      <c r="P312" s="164" t="str">
        <f t="shared" ca="1" si="33"/>
        <v/>
      </c>
      <c r="Q312" s="140" t="str">
        <f ca="1">IF(C312="","",Q311+(E312+H312-IF(RESULTADOS!$C$17="Normal",I312,0)-J312)/2+(F312+G312-IF(RESULTADOS!$C$17="Normal",0,I312)))</f>
        <v/>
      </c>
      <c r="R312" s="140" t="str">
        <f ca="1">IF(C312="","",R311+(E312+H312-IF(RESULTADOS!$C$17="Normal",I312,0)-J312)/2)</f>
        <v/>
      </c>
      <c r="S312" s="140">
        <f t="shared" ca="1" si="36"/>
        <v>0</v>
      </c>
      <c r="U312" s="164" t="str">
        <f t="shared" ca="1" si="37"/>
        <v/>
      </c>
      <c r="V312" s="164" t="str">
        <f t="shared" ca="1" si="34"/>
        <v/>
      </c>
      <c r="W312" s="140">
        <f ca="1">IF(OR((W311-13/12*Z311)*(1+PREMISSAS!$C$16)&lt;0,W311=""),0,(W311-13/12*Z311)*(1+PREMISSAS!$C$16))</f>
        <v>0</v>
      </c>
      <c r="X312" s="140">
        <f ca="1">IF(OR((X311-13/12*AA311)*(1+PREMISSAS!$C$16)&lt;0,X311=""),0,(X311-13/12*AA311)*(1+PREMISSAS!$C$16))</f>
        <v>0</v>
      </c>
      <c r="Y312" s="140">
        <f t="shared" ca="1" si="35"/>
        <v>0</v>
      </c>
      <c r="Z312" s="167">
        <f t="shared" ca="1" si="38"/>
        <v>0</v>
      </c>
      <c r="AA312" s="167">
        <f t="shared" ca="1" si="39"/>
        <v>0</v>
      </c>
    </row>
    <row r="313" spans="2:27" x14ac:dyDescent="0.25">
      <c r="B313" s="21" t="str">
        <f ca="1">IF(B312="","",IF(EOMONTH(B312,1)&gt;EOMONTH(ELEGIBILIDADE!$J$17,0),"",EOMONTH(B312,1)))</f>
        <v/>
      </c>
      <c r="C313" s="22" t="str">
        <f ca="1">IF(B313="","",IF(MONTH(B313)=1,C312*(1+PREMISSAS!$C$57),C312))</f>
        <v/>
      </c>
      <c r="D313" s="22">
        <f ca="1">IF(RESULTADOS!$C$17="Normal",IFERROR(MAX(C313-PREMISSAS!$C$13,0),0),IF(Painel!$I$23=0,0,MAX(10*PREMISSAS!$C$38,RESULTADOS!$F$17)))</f>
        <v>0</v>
      </c>
      <c r="E313" s="4">
        <f ca="1">D313*IF(RESULTADOS!$C$17="Normal",RESULTADOS!$C$16,0)</f>
        <v>0</v>
      </c>
      <c r="F313" s="4">
        <f ca="1">IFERROR(IF(RESULTADOS!$C$17="Normal",D313,C313)*RESULTADOS!$C$18,0)</f>
        <v>0</v>
      </c>
      <c r="G313" s="4">
        <f ca="1">IFERROR(IF(RESULTADOS!$C$17="Normal",0,D313)*IF(RESULTADOS!$C$17="Normal",RESULTADOS!$C$18,RESULTADOS!$C$16),0)</f>
        <v>0</v>
      </c>
      <c r="H313" s="4">
        <f ca="1">IF(RESULTADOS!$C$17="Normal",E313,0)</f>
        <v>0</v>
      </c>
      <c r="I313" s="4">
        <f ca="1">(E313+H313+G313)*PREMISSAS!$C$60</f>
        <v>0</v>
      </c>
      <c r="J313" s="4">
        <f ca="1">D313*IF(RESULTADOS!$C$17="Normal",PREMISSAS!$C$62,0)</f>
        <v>0</v>
      </c>
      <c r="K313" s="116">
        <f ca="1">IFERROR(K312*(1+PREMISSAS!$C$18)+(E313+H313-IF(RESULTADOS!$C$17="Normal",I313,0)-J313)*IF(MONTH(B313)=12,2,1),0)</f>
        <v>0</v>
      </c>
      <c r="L313" s="116">
        <f ca="1">IFERROR((L312+G313-IF(RESULTADOS!$C$17="Normal",0,I313))*(1+PREMISSAS!$C$18)+F313,0)</f>
        <v>0</v>
      </c>
      <c r="N313" s="73">
        <f t="shared" ca="1" si="32"/>
        <v>0</v>
      </c>
      <c r="P313" s="164" t="str">
        <f t="shared" ca="1" si="33"/>
        <v/>
      </c>
      <c r="Q313" s="140" t="str">
        <f ca="1">IF(C313="","",Q312+(E313+H313-IF(RESULTADOS!$C$17="Normal",I313,0)-J313)/2+(F313+G313-IF(RESULTADOS!$C$17="Normal",0,I313)))</f>
        <v/>
      </c>
      <c r="R313" s="140" t="str">
        <f ca="1">IF(C313="","",R312+(E313+H313-IF(RESULTADOS!$C$17="Normal",I313,0)-J313)/2)</f>
        <v/>
      </c>
      <c r="S313" s="140">
        <f t="shared" ca="1" si="36"/>
        <v>0</v>
      </c>
      <c r="U313" s="164" t="str">
        <f t="shared" ca="1" si="37"/>
        <v/>
      </c>
      <c r="V313" s="164" t="str">
        <f t="shared" ca="1" si="34"/>
        <v/>
      </c>
      <c r="W313" s="140">
        <f ca="1">IF(OR((W312-13/12*Z312)*(1+PREMISSAS!$C$16)&lt;0,W312=""),0,(W312-13/12*Z312)*(1+PREMISSAS!$C$16))</f>
        <v>0</v>
      </c>
      <c r="X313" s="140">
        <f ca="1">IF(OR((X312-13/12*AA312)*(1+PREMISSAS!$C$16)&lt;0,X312=""),0,(X312-13/12*AA312)*(1+PREMISSAS!$C$16))</f>
        <v>0</v>
      </c>
      <c r="Y313" s="140">
        <f t="shared" ca="1" si="35"/>
        <v>0</v>
      </c>
      <c r="Z313" s="167">
        <f t="shared" ca="1" si="38"/>
        <v>0</v>
      </c>
      <c r="AA313" s="167">
        <f t="shared" ca="1" si="39"/>
        <v>0</v>
      </c>
    </row>
    <row r="314" spans="2:27" x14ac:dyDescent="0.25">
      <c r="B314" s="21" t="str">
        <f ca="1">IF(B313="","",IF(EOMONTH(B313,1)&gt;EOMONTH(ELEGIBILIDADE!$J$17,0),"",EOMONTH(B313,1)))</f>
        <v/>
      </c>
      <c r="C314" s="22" t="str">
        <f ca="1">IF(B314="","",IF(MONTH(B314)=1,C313*(1+PREMISSAS!$C$57),C313))</f>
        <v/>
      </c>
      <c r="D314" s="22">
        <f ca="1">IF(RESULTADOS!$C$17="Normal",IFERROR(MAX(C314-PREMISSAS!$C$13,0),0),IF(Painel!$I$23=0,0,MAX(10*PREMISSAS!$C$38,RESULTADOS!$F$17)))</f>
        <v>0</v>
      </c>
      <c r="E314" s="4">
        <f ca="1">D314*IF(RESULTADOS!$C$17="Normal",RESULTADOS!$C$16,0)</f>
        <v>0</v>
      </c>
      <c r="F314" s="4">
        <f ca="1">IFERROR(IF(RESULTADOS!$C$17="Normal",D314,C314)*RESULTADOS!$C$18,0)</f>
        <v>0</v>
      </c>
      <c r="G314" s="4">
        <f ca="1">IFERROR(IF(RESULTADOS!$C$17="Normal",0,D314)*IF(RESULTADOS!$C$17="Normal",RESULTADOS!$C$18,RESULTADOS!$C$16),0)</f>
        <v>0</v>
      </c>
      <c r="H314" s="4">
        <f ca="1">IF(RESULTADOS!$C$17="Normal",E314,0)</f>
        <v>0</v>
      </c>
      <c r="I314" s="4">
        <f ca="1">(E314+H314+G314)*PREMISSAS!$C$60</f>
        <v>0</v>
      </c>
      <c r="J314" s="4">
        <f ca="1">D314*IF(RESULTADOS!$C$17="Normal",PREMISSAS!$C$62,0)</f>
        <v>0</v>
      </c>
      <c r="K314" s="116">
        <f ca="1">IFERROR(K313*(1+PREMISSAS!$C$18)+(E314+H314-IF(RESULTADOS!$C$17="Normal",I314,0)-J314)*IF(MONTH(B314)=12,2,1),0)</f>
        <v>0</v>
      </c>
      <c r="L314" s="116">
        <f ca="1">IFERROR((L313+G314-IF(RESULTADOS!$C$17="Normal",0,I314))*(1+PREMISSAS!$C$18)+F314,0)</f>
        <v>0</v>
      </c>
      <c r="N314" s="73">
        <f t="shared" ca="1" si="32"/>
        <v>0</v>
      </c>
      <c r="P314" s="164" t="str">
        <f t="shared" ca="1" si="33"/>
        <v/>
      </c>
      <c r="Q314" s="140" t="str">
        <f ca="1">IF(C314="","",Q313+(E314+H314-IF(RESULTADOS!$C$17="Normal",I314,0)-J314)/2+(F314+G314-IF(RESULTADOS!$C$17="Normal",0,I314)))</f>
        <v/>
      </c>
      <c r="R314" s="140" t="str">
        <f ca="1">IF(C314="","",R313+(E314+H314-IF(RESULTADOS!$C$17="Normal",I314,0)-J314)/2)</f>
        <v/>
      </c>
      <c r="S314" s="140">
        <f t="shared" ca="1" si="36"/>
        <v>0</v>
      </c>
      <c r="U314" s="164" t="str">
        <f t="shared" ca="1" si="37"/>
        <v/>
      </c>
      <c r="V314" s="164" t="str">
        <f t="shared" ca="1" si="34"/>
        <v/>
      </c>
      <c r="W314" s="140">
        <f ca="1">IF(OR((W313-13/12*Z313)*(1+PREMISSAS!$C$16)&lt;0,W313=""),0,(W313-13/12*Z313)*(1+PREMISSAS!$C$16))</f>
        <v>0</v>
      </c>
      <c r="X314" s="140">
        <f ca="1">IF(OR((X313-13/12*AA313)*(1+PREMISSAS!$C$16)&lt;0,X313=""),0,(X313-13/12*AA313)*(1+PREMISSAS!$C$16))</f>
        <v>0</v>
      </c>
      <c r="Y314" s="140">
        <f t="shared" ca="1" si="35"/>
        <v>0</v>
      </c>
      <c r="Z314" s="167">
        <f t="shared" ca="1" si="38"/>
        <v>0</v>
      </c>
      <c r="AA314" s="167">
        <f t="shared" ca="1" si="39"/>
        <v>0</v>
      </c>
    </row>
    <row r="315" spans="2:27" x14ac:dyDescent="0.25">
      <c r="B315" s="21" t="str">
        <f ca="1">IF(B314="","",IF(EOMONTH(B314,1)&gt;EOMONTH(ELEGIBILIDADE!$J$17,0),"",EOMONTH(B314,1)))</f>
        <v/>
      </c>
      <c r="C315" s="22" t="str">
        <f ca="1">IF(B315="","",IF(MONTH(B315)=1,C314*(1+PREMISSAS!$C$57),C314))</f>
        <v/>
      </c>
      <c r="D315" s="22">
        <f ca="1">IF(RESULTADOS!$C$17="Normal",IFERROR(MAX(C315-PREMISSAS!$C$13,0),0),IF(Painel!$I$23=0,0,MAX(10*PREMISSAS!$C$38,RESULTADOS!$F$17)))</f>
        <v>0</v>
      </c>
      <c r="E315" s="4">
        <f ca="1">D315*IF(RESULTADOS!$C$17="Normal",RESULTADOS!$C$16,0)</f>
        <v>0</v>
      </c>
      <c r="F315" s="4">
        <f ca="1">IFERROR(IF(RESULTADOS!$C$17="Normal",D315,C315)*RESULTADOS!$C$18,0)</f>
        <v>0</v>
      </c>
      <c r="G315" s="4">
        <f ca="1">IFERROR(IF(RESULTADOS!$C$17="Normal",0,D315)*IF(RESULTADOS!$C$17="Normal",RESULTADOS!$C$18,RESULTADOS!$C$16),0)</f>
        <v>0</v>
      </c>
      <c r="H315" s="4">
        <f ca="1">IF(RESULTADOS!$C$17="Normal",E315,0)</f>
        <v>0</v>
      </c>
      <c r="I315" s="4">
        <f ca="1">(E315+H315+G315)*PREMISSAS!$C$60</f>
        <v>0</v>
      </c>
      <c r="J315" s="4">
        <f ca="1">D315*IF(RESULTADOS!$C$17="Normal",PREMISSAS!$C$62,0)</f>
        <v>0</v>
      </c>
      <c r="K315" s="116">
        <f ca="1">IFERROR(K314*(1+PREMISSAS!$C$18)+(E315+H315-IF(RESULTADOS!$C$17="Normal",I315,0)-J315)*IF(MONTH(B315)=12,2,1),0)</f>
        <v>0</v>
      </c>
      <c r="L315" s="116">
        <f ca="1">IFERROR((L314+G315-IF(RESULTADOS!$C$17="Normal",0,I315))*(1+PREMISSAS!$C$18)+F315,0)</f>
        <v>0</v>
      </c>
      <c r="N315" s="73">
        <f t="shared" ca="1" si="32"/>
        <v>0</v>
      </c>
      <c r="P315" s="164" t="str">
        <f t="shared" ca="1" si="33"/>
        <v/>
      </c>
      <c r="Q315" s="140" t="str">
        <f ca="1">IF(C315="","",Q314+(E315+H315-IF(RESULTADOS!$C$17="Normal",I315,0)-J315)/2+(F315+G315-IF(RESULTADOS!$C$17="Normal",0,I315)))</f>
        <v/>
      </c>
      <c r="R315" s="140" t="str">
        <f ca="1">IF(C315="","",R314+(E315+H315-IF(RESULTADOS!$C$17="Normal",I315,0)-J315)/2)</f>
        <v/>
      </c>
      <c r="S315" s="140">
        <f t="shared" ca="1" si="36"/>
        <v>0</v>
      </c>
      <c r="U315" s="164" t="str">
        <f t="shared" ca="1" si="37"/>
        <v/>
      </c>
      <c r="V315" s="164" t="str">
        <f t="shared" ca="1" si="34"/>
        <v/>
      </c>
      <c r="W315" s="140">
        <f ca="1">IF(OR((W314-13/12*Z314)*(1+PREMISSAS!$C$16)&lt;0,W314=""),0,(W314-13/12*Z314)*(1+PREMISSAS!$C$16))</f>
        <v>0</v>
      </c>
      <c r="X315" s="140">
        <f ca="1">IF(OR((X314-13/12*AA314)*(1+PREMISSAS!$C$16)&lt;0,X314=""),0,(X314-13/12*AA314)*(1+PREMISSAS!$C$16))</f>
        <v>0</v>
      </c>
      <c r="Y315" s="140">
        <f t="shared" ref="Y315:Y378" ca="1" si="40">SUM(W315:X315)</f>
        <v>0</v>
      </c>
      <c r="Z315" s="167">
        <f t="shared" ca="1" si="38"/>
        <v>0</v>
      </c>
      <c r="AA315" s="167">
        <f t="shared" ca="1" si="39"/>
        <v>0</v>
      </c>
    </row>
    <row r="316" spans="2:27" x14ac:dyDescent="0.25">
      <c r="B316" s="21" t="str">
        <f ca="1">IF(B315="","",IF(EOMONTH(B315,1)&gt;EOMONTH(ELEGIBILIDADE!$J$17,0),"",EOMONTH(B315,1)))</f>
        <v/>
      </c>
      <c r="C316" s="22" t="str">
        <f ca="1">IF(B316="","",IF(MONTH(B316)=1,C315*(1+PREMISSAS!$C$57),C315))</f>
        <v/>
      </c>
      <c r="D316" s="22">
        <f ca="1">IF(RESULTADOS!$C$17="Normal",IFERROR(MAX(C316-PREMISSAS!$C$13,0),0),IF(Painel!$I$23=0,0,MAX(10*PREMISSAS!$C$38,RESULTADOS!$F$17)))</f>
        <v>0</v>
      </c>
      <c r="E316" s="4">
        <f ca="1">D316*IF(RESULTADOS!$C$17="Normal",RESULTADOS!$C$16,0)</f>
        <v>0</v>
      </c>
      <c r="F316" s="4">
        <f ca="1">IFERROR(IF(RESULTADOS!$C$17="Normal",D316,C316)*RESULTADOS!$C$18,0)</f>
        <v>0</v>
      </c>
      <c r="G316" s="4">
        <f ca="1">IFERROR(IF(RESULTADOS!$C$17="Normal",0,D316)*IF(RESULTADOS!$C$17="Normal",RESULTADOS!$C$18,RESULTADOS!$C$16),0)</f>
        <v>0</v>
      </c>
      <c r="H316" s="4">
        <f ca="1">IF(RESULTADOS!$C$17="Normal",E316,0)</f>
        <v>0</v>
      </c>
      <c r="I316" s="4">
        <f ca="1">(E316+H316+G316)*PREMISSAS!$C$60</f>
        <v>0</v>
      </c>
      <c r="J316" s="4">
        <f ca="1">D316*IF(RESULTADOS!$C$17="Normal",PREMISSAS!$C$62,0)</f>
        <v>0</v>
      </c>
      <c r="K316" s="116">
        <f ca="1">IFERROR(K315*(1+PREMISSAS!$C$18)+(E316+H316-IF(RESULTADOS!$C$17="Normal",I316,0)-J316)*IF(MONTH(B316)=12,2,1),0)</f>
        <v>0</v>
      </c>
      <c r="L316" s="116">
        <f ca="1">IFERROR((L315+G316-IF(RESULTADOS!$C$17="Normal",0,I316))*(1+PREMISSAS!$C$18)+F316,0)</f>
        <v>0</v>
      </c>
      <c r="N316" s="73">
        <f t="shared" ca="1" si="32"/>
        <v>0</v>
      </c>
      <c r="P316" s="164" t="str">
        <f t="shared" ca="1" si="33"/>
        <v/>
      </c>
      <c r="Q316" s="140" t="str">
        <f ca="1">IF(C316="","",Q315+(E316+H316-IF(RESULTADOS!$C$17="Normal",I316,0)-J316)/2+(F316+G316-IF(RESULTADOS!$C$17="Normal",0,I316)))</f>
        <v/>
      </c>
      <c r="R316" s="140" t="str">
        <f ca="1">IF(C316="","",R315+(E316+H316-IF(RESULTADOS!$C$17="Normal",I316,0)-J316)/2)</f>
        <v/>
      </c>
      <c r="S316" s="140">
        <f t="shared" ca="1" si="36"/>
        <v>0</v>
      </c>
      <c r="U316" s="164" t="str">
        <f t="shared" ca="1" si="37"/>
        <v/>
      </c>
      <c r="V316" s="164" t="str">
        <f t="shared" ca="1" si="34"/>
        <v/>
      </c>
      <c r="W316" s="140">
        <f ca="1">IF(OR((W315-13/12*Z315)*(1+PREMISSAS!$C$16)&lt;0,W315=""),0,(W315-13/12*Z315)*(1+PREMISSAS!$C$16))</f>
        <v>0</v>
      </c>
      <c r="X316" s="140">
        <f ca="1">IF(OR((X315-13/12*AA315)*(1+PREMISSAS!$C$16)&lt;0,X315=""),0,(X315-13/12*AA315)*(1+PREMISSAS!$C$16))</f>
        <v>0</v>
      </c>
      <c r="Y316" s="140">
        <f t="shared" ca="1" si="40"/>
        <v>0</v>
      </c>
      <c r="Z316" s="167">
        <f t="shared" ca="1" si="38"/>
        <v>0</v>
      </c>
      <c r="AA316" s="167">
        <f t="shared" ca="1" si="39"/>
        <v>0</v>
      </c>
    </row>
    <row r="317" spans="2:27" x14ac:dyDescent="0.25">
      <c r="B317" s="21" t="str">
        <f ca="1">IF(B316="","",IF(EOMONTH(B316,1)&gt;EOMONTH(ELEGIBILIDADE!$J$17,0),"",EOMONTH(B316,1)))</f>
        <v/>
      </c>
      <c r="C317" s="22" t="str">
        <f ca="1">IF(B317="","",IF(MONTH(B317)=1,C316*(1+PREMISSAS!$C$57),C316))</f>
        <v/>
      </c>
      <c r="D317" s="22">
        <f ca="1">IF(RESULTADOS!$C$17="Normal",IFERROR(MAX(C317-PREMISSAS!$C$13,0),0),IF(Painel!$I$23=0,0,MAX(10*PREMISSAS!$C$38,RESULTADOS!$F$17)))</f>
        <v>0</v>
      </c>
      <c r="E317" s="4">
        <f ca="1">D317*IF(RESULTADOS!$C$17="Normal",RESULTADOS!$C$16,0)</f>
        <v>0</v>
      </c>
      <c r="F317" s="4">
        <f ca="1">IFERROR(IF(RESULTADOS!$C$17="Normal",D317,C317)*RESULTADOS!$C$18,0)</f>
        <v>0</v>
      </c>
      <c r="G317" s="4">
        <f ca="1">IFERROR(IF(RESULTADOS!$C$17="Normal",0,D317)*IF(RESULTADOS!$C$17="Normal",RESULTADOS!$C$18,RESULTADOS!$C$16),0)</f>
        <v>0</v>
      </c>
      <c r="H317" s="4">
        <f ca="1">IF(RESULTADOS!$C$17="Normal",E317,0)</f>
        <v>0</v>
      </c>
      <c r="I317" s="4">
        <f ca="1">(E317+H317+G317)*PREMISSAS!$C$60</f>
        <v>0</v>
      </c>
      <c r="J317" s="4">
        <f ca="1">D317*IF(RESULTADOS!$C$17="Normal",PREMISSAS!$C$62,0)</f>
        <v>0</v>
      </c>
      <c r="K317" s="116">
        <f ca="1">IFERROR(K316*(1+PREMISSAS!$C$18)+(E317+H317-IF(RESULTADOS!$C$17="Normal",I317,0)-J317)*IF(MONTH(B317)=12,2,1),0)</f>
        <v>0</v>
      </c>
      <c r="L317" s="116">
        <f ca="1">IFERROR((L316+G317-IF(RESULTADOS!$C$17="Normal",0,I317))*(1+PREMISSAS!$C$18)+F317,0)</f>
        <v>0</v>
      </c>
      <c r="N317" s="73">
        <f t="shared" ca="1" si="32"/>
        <v>0</v>
      </c>
      <c r="P317" s="164" t="str">
        <f t="shared" ca="1" si="33"/>
        <v/>
      </c>
      <c r="Q317" s="140" t="str">
        <f ca="1">IF(C317="","",Q316+(E317+H317-IF(RESULTADOS!$C$17="Normal",I317,0)-J317)/2+(F317+G317-IF(RESULTADOS!$C$17="Normal",0,I317)))</f>
        <v/>
      </c>
      <c r="R317" s="140" t="str">
        <f ca="1">IF(C317="","",R316+(E317+H317-IF(RESULTADOS!$C$17="Normal",I317,0)-J317)/2)</f>
        <v/>
      </c>
      <c r="S317" s="140">
        <f t="shared" ca="1" si="36"/>
        <v>0</v>
      </c>
      <c r="U317" s="164" t="str">
        <f t="shared" ca="1" si="37"/>
        <v/>
      </c>
      <c r="V317" s="164" t="str">
        <f t="shared" ca="1" si="34"/>
        <v/>
      </c>
      <c r="W317" s="140">
        <f ca="1">IF(OR((W316-13/12*Z316)*(1+PREMISSAS!$C$16)&lt;0,W316=""),0,(W316-13/12*Z316)*(1+PREMISSAS!$C$16))</f>
        <v>0</v>
      </c>
      <c r="X317" s="140">
        <f ca="1">IF(OR((X316-13/12*AA316)*(1+PREMISSAS!$C$16)&lt;0,X316=""),0,(X316-13/12*AA316)*(1+PREMISSAS!$C$16))</f>
        <v>0</v>
      </c>
      <c r="Y317" s="140">
        <f t="shared" ca="1" si="40"/>
        <v>0</v>
      </c>
      <c r="Z317" s="167">
        <f t="shared" ca="1" si="38"/>
        <v>0</v>
      </c>
      <c r="AA317" s="167">
        <f t="shared" ca="1" si="39"/>
        <v>0</v>
      </c>
    </row>
    <row r="318" spans="2:27" x14ac:dyDescent="0.25">
      <c r="B318" s="21" t="str">
        <f ca="1">IF(B317="","",IF(EOMONTH(B317,1)&gt;EOMONTH(ELEGIBILIDADE!$J$17,0),"",EOMONTH(B317,1)))</f>
        <v/>
      </c>
      <c r="C318" s="22" t="str">
        <f ca="1">IF(B318="","",IF(MONTH(B318)=1,C317*(1+PREMISSAS!$C$57),C317))</f>
        <v/>
      </c>
      <c r="D318" s="22">
        <f ca="1">IF(RESULTADOS!$C$17="Normal",IFERROR(MAX(C318-PREMISSAS!$C$13,0),0),IF(Painel!$I$23=0,0,MAX(10*PREMISSAS!$C$38,RESULTADOS!$F$17)))</f>
        <v>0</v>
      </c>
      <c r="E318" s="4">
        <f ca="1">D318*IF(RESULTADOS!$C$17="Normal",RESULTADOS!$C$16,0)</f>
        <v>0</v>
      </c>
      <c r="F318" s="4">
        <f ca="1">IFERROR(IF(RESULTADOS!$C$17="Normal",D318,C318)*RESULTADOS!$C$18,0)</f>
        <v>0</v>
      </c>
      <c r="G318" s="4">
        <f ca="1">IFERROR(IF(RESULTADOS!$C$17="Normal",0,D318)*IF(RESULTADOS!$C$17="Normal",RESULTADOS!$C$18,RESULTADOS!$C$16),0)</f>
        <v>0</v>
      </c>
      <c r="H318" s="4">
        <f ca="1">IF(RESULTADOS!$C$17="Normal",E318,0)</f>
        <v>0</v>
      </c>
      <c r="I318" s="4">
        <f ca="1">(E318+H318+G318)*PREMISSAS!$C$60</f>
        <v>0</v>
      </c>
      <c r="J318" s="4">
        <f ca="1">D318*IF(RESULTADOS!$C$17="Normal",PREMISSAS!$C$62,0)</f>
        <v>0</v>
      </c>
      <c r="K318" s="116">
        <f ca="1">IFERROR(K317*(1+PREMISSAS!$C$18)+(E318+H318-IF(RESULTADOS!$C$17="Normal",I318,0)-J318)*IF(MONTH(B318)=12,2,1),0)</f>
        <v>0</v>
      </c>
      <c r="L318" s="116">
        <f ca="1">IFERROR((L317+G318-IF(RESULTADOS!$C$17="Normal",0,I318))*(1+PREMISSAS!$C$18)+F318,0)</f>
        <v>0</v>
      </c>
      <c r="N318" s="73">
        <f t="shared" ca="1" si="32"/>
        <v>0</v>
      </c>
      <c r="P318" s="164" t="str">
        <f t="shared" ca="1" si="33"/>
        <v/>
      </c>
      <c r="Q318" s="140" t="str">
        <f ca="1">IF(C318="","",Q317+(E318+H318-IF(RESULTADOS!$C$17="Normal",I318,0)-J318)/2+(F318+G318-IF(RESULTADOS!$C$17="Normal",0,I318)))</f>
        <v/>
      </c>
      <c r="R318" s="140" t="str">
        <f ca="1">IF(C318="","",R317+(E318+H318-IF(RESULTADOS!$C$17="Normal",I318,0)-J318)/2)</f>
        <v/>
      </c>
      <c r="S318" s="140">
        <f t="shared" ca="1" si="36"/>
        <v>0</v>
      </c>
      <c r="U318" s="164" t="str">
        <f t="shared" ca="1" si="37"/>
        <v/>
      </c>
      <c r="V318" s="164" t="str">
        <f t="shared" ca="1" si="34"/>
        <v/>
      </c>
      <c r="W318" s="140">
        <f ca="1">IF(OR((W317-13/12*Z317)*(1+PREMISSAS!$C$16)&lt;0,W317=""),0,(W317-13/12*Z317)*(1+PREMISSAS!$C$16))</f>
        <v>0</v>
      </c>
      <c r="X318" s="140">
        <f ca="1">IF(OR((X317-13/12*AA317)*(1+PREMISSAS!$C$16)&lt;0,X317=""),0,(X317-13/12*AA317)*(1+PREMISSAS!$C$16))</f>
        <v>0</v>
      </c>
      <c r="Y318" s="140">
        <f t="shared" ca="1" si="40"/>
        <v>0</v>
      </c>
      <c r="Z318" s="167">
        <f t="shared" ca="1" si="38"/>
        <v>0</v>
      </c>
      <c r="AA318" s="167">
        <f t="shared" ca="1" si="39"/>
        <v>0</v>
      </c>
    </row>
    <row r="319" spans="2:27" x14ac:dyDescent="0.25">
      <c r="B319" s="21" t="str">
        <f ca="1">IF(B318="","",IF(EOMONTH(B318,1)&gt;EOMONTH(ELEGIBILIDADE!$J$17,0),"",EOMONTH(B318,1)))</f>
        <v/>
      </c>
      <c r="C319" s="22" t="str">
        <f ca="1">IF(B319="","",IF(MONTH(B319)=1,C318*(1+PREMISSAS!$C$57),C318))</f>
        <v/>
      </c>
      <c r="D319" s="22">
        <f ca="1">IF(RESULTADOS!$C$17="Normal",IFERROR(MAX(C319-PREMISSAS!$C$13,0),0),IF(Painel!$I$23=0,0,MAX(10*PREMISSAS!$C$38,RESULTADOS!$F$17)))</f>
        <v>0</v>
      </c>
      <c r="E319" s="4">
        <f ca="1">D319*IF(RESULTADOS!$C$17="Normal",RESULTADOS!$C$16,0)</f>
        <v>0</v>
      </c>
      <c r="F319" s="4">
        <f ca="1">IFERROR(IF(RESULTADOS!$C$17="Normal",D319,C319)*RESULTADOS!$C$18,0)</f>
        <v>0</v>
      </c>
      <c r="G319" s="4">
        <f ca="1">IFERROR(IF(RESULTADOS!$C$17="Normal",0,D319)*IF(RESULTADOS!$C$17="Normal",RESULTADOS!$C$18,RESULTADOS!$C$16),0)</f>
        <v>0</v>
      </c>
      <c r="H319" s="4">
        <f ca="1">IF(RESULTADOS!$C$17="Normal",E319,0)</f>
        <v>0</v>
      </c>
      <c r="I319" s="4">
        <f ca="1">(E319+H319+G319)*PREMISSAS!$C$60</f>
        <v>0</v>
      </c>
      <c r="J319" s="4">
        <f ca="1">D319*IF(RESULTADOS!$C$17="Normal",PREMISSAS!$C$62,0)</f>
        <v>0</v>
      </c>
      <c r="K319" s="116">
        <f ca="1">IFERROR(K318*(1+PREMISSAS!$C$18)+(E319+H319-IF(RESULTADOS!$C$17="Normal",I319,0)-J319)*IF(MONTH(B319)=12,2,1),0)</f>
        <v>0</v>
      </c>
      <c r="L319" s="116">
        <f ca="1">IFERROR((L318+G319-IF(RESULTADOS!$C$17="Normal",0,I319))*(1+PREMISSAS!$C$18)+F319,0)</f>
        <v>0</v>
      </c>
      <c r="N319" s="73">
        <f t="shared" ca="1" si="32"/>
        <v>0</v>
      </c>
      <c r="P319" s="164" t="str">
        <f t="shared" ca="1" si="33"/>
        <v/>
      </c>
      <c r="Q319" s="140" t="str">
        <f ca="1">IF(C319="","",Q318+(E319+H319-IF(RESULTADOS!$C$17="Normal",I319,0)-J319)/2+(F319+G319-IF(RESULTADOS!$C$17="Normal",0,I319)))</f>
        <v/>
      </c>
      <c r="R319" s="140" t="str">
        <f ca="1">IF(C319="","",R318+(E319+H319-IF(RESULTADOS!$C$17="Normal",I319,0)-J319)/2)</f>
        <v/>
      </c>
      <c r="S319" s="140">
        <f t="shared" ca="1" si="36"/>
        <v>0</v>
      </c>
      <c r="U319" s="164" t="str">
        <f t="shared" ca="1" si="37"/>
        <v/>
      </c>
      <c r="V319" s="164" t="str">
        <f t="shared" ca="1" si="34"/>
        <v/>
      </c>
      <c r="W319" s="140">
        <f ca="1">IF(OR((W318-13/12*Z318)*(1+PREMISSAS!$C$16)&lt;0,W318=""),0,(W318-13/12*Z318)*(1+PREMISSAS!$C$16))</f>
        <v>0</v>
      </c>
      <c r="X319" s="140">
        <f ca="1">IF(OR((X318-13/12*AA318)*(1+PREMISSAS!$C$16)&lt;0,X318=""),0,(X318-13/12*AA318)*(1+PREMISSAS!$C$16))</f>
        <v>0</v>
      </c>
      <c r="Y319" s="140">
        <f t="shared" ca="1" si="40"/>
        <v>0</v>
      </c>
      <c r="Z319" s="167">
        <f t="shared" ca="1" si="38"/>
        <v>0</v>
      </c>
      <c r="AA319" s="167">
        <f t="shared" ca="1" si="39"/>
        <v>0</v>
      </c>
    </row>
    <row r="320" spans="2:27" x14ac:dyDescent="0.25">
      <c r="B320" s="21" t="str">
        <f ca="1">IF(B319="","",IF(EOMONTH(B319,1)&gt;EOMONTH(ELEGIBILIDADE!$J$17,0),"",EOMONTH(B319,1)))</f>
        <v/>
      </c>
      <c r="C320" s="22" t="str">
        <f ca="1">IF(B320="","",IF(MONTH(B320)=1,C319*(1+PREMISSAS!$C$57),C319))</f>
        <v/>
      </c>
      <c r="D320" s="22">
        <f ca="1">IF(RESULTADOS!$C$17="Normal",IFERROR(MAX(C320-PREMISSAS!$C$13,0),0),IF(Painel!$I$23=0,0,MAX(10*PREMISSAS!$C$38,RESULTADOS!$F$17)))</f>
        <v>0</v>
      </c>
      <c r="E320" s="4">
        <f ca="1">D320*IF(RESULTADOS!$C$17="Normal",RESULTADOS!$C$16,0)</f>
        <v>0</v>
      </c>
      <c r="F320" s="4">
        <f ca="1">IFERROR(IF(RESULTADOS!$C$17="Normal",D320,C320)*RESULTADOS!$C$18,0)</f>
        <v>0</v>
      </c>
      <c r="G320" s="4">
        <f ca="1">IFERROR(IF(RESULTADOS!$C$17="Normal",0,D320)*IF(RESULTADOS!$C$17="Normal",RESULTADOS!$C$18,RESULTADOS!$C$16),0)</f>
        <v>0</v>
      </c>
      <c r="H320" s="4">
        <f ca="1">IF(RESULTADOS!$C$17="Normal",E320,0)</f>
        <v>0</v>
      </c>
      <c r="I320" s="4">
        <f ca="1">(E320+H320+G320)*PREMISSAS!$C$60</f>
        <v>0</v>
      </c>
      <c r="J320" s="4">
        <f ca="1">D320*IF(RESULTADOS!$C$17="Normal",PREMISSAS!$C$62,0)</f>
        <v>0</v>
      </c>
      <c r="K320" s="116">
        <f ca="1">IFERROR(K319*(1+PREMISSAS!$C$18)+(E320+H320-IF(RESULTADOS!$C$17="Normal",I320,0)-J320)*IF(MONTH(B320)=12,2,1),0)</f>
        <v>0</v>
      </c>
      <c r="L320" s="116">
        <f ca="1">IFERROR((L319+G320-IF(RESULTADOS!$C$17="Normal",0,I320))*(1+PREMISSAS!$C$18)+F320,0)</f>
        <v>0</v>
      </c>
      <c r="N320" s="73">
        <f t="shared" ca="1" si="32"/>
        <v>0</v>
      </c>
      <c r="P320" s="164" t="str">
        <f t="shared" ca="1" si="33"/>
        <v/>
      </c>
      <c r="Q320" s="140" t="str">
        <f ca="1">IF(C320="","",Q319+(E320+H320-IF(RESULTADOS!$C$17="Normal",I320,0)-J320)/2+(F320+G320-IF(RESULTADOS!$C$17="Normal",0,I320)))</f>
        <v/>
      </c>
      <c r="R320" s="140" t="str">
        <f ca="1">IF(C320="","",R319+(E320+H320-IF(RESULTADOS!$C$17="Normal",I320,0)-J320)/2)</f>
        <v/>
      </c>
      <c r="S320" s="140">
        <f t="shared" ca="1" si="36"/>
        <v>0</v>
      </c>
      <c r="U320" s="164" t="str">
        <f t="shared" ca="1" si="37"/>
        <v/>
      </c>
      <c r="V320" s="164" t="str">
        <f t="shared" ca="1" si="34"/>
        <v/>
      </c>
      <c r="W320" s="140">
        <f ca="1">IF(OR((W319-13/12*Z319)*(1+PREMISSAS!$C$16)&lt;0,W319=""),0,(W319-13/12*Z319)*(1+PREMISSAS!$C$16))</f>
        <v>0</v>
      </c>
      <c r="X320" s="140">
        <f ca="1">IF(OR((X319-13/12*AA319)*(1+PREMISSAS!$C$16)&lt;0,X319=""),0,(X319-13/12*AA319)*(1+PREMISSAS!$C$16))</f>
        <v>0</v>
      </c>
      <c r="Y320" s="140">
        <f t="shared" ca="1" si="40"/>
        <v>0</v>
      </c>
      <c r="Z320" s="167">
        <f t="shared" ca="1" si="38"/>
        <v>0</v>
      </c>
      <c r="AA320" s="167">
        <f t="shared" ca="1" si="39"/>
        <v>0</v>
      </c>
    </row>
    <row r="321" spans="2:27" x14ac:dyDescent="0.25">
      <c r="B321" s="21" t="str">
        <f ca="1">IF(B320="","",IF(EOMONTH(B320,1)&gt;EOMONTH(ELEGIBILIDADE!$J$17,0),"",EOMONTH(B320,1)))</f>
        <v/>
      </c>
      <c r="C321" s="22" t="str">
        <f ca="1">IF(B321="","",IF(MONTH(B321)=1,C320*(1+PREMISSAS!$C$57),C320))</f>
        <v/>
      </c>
      <c r="D321" s="22">
        <f ca="1">IF(RESULTADOS!$C$17="Normal",IFERROR(MAX(C321-PREMISSAS!$C$13,0),0),IF(Painel!$I$23=0,0,MAX(10*PREMISSAS!$C$38,RESULTADOS!$F$17)))</f>
        <v>0</v>
      </c>
      <c r="E321" s="4">
        <f ca="1">D321*IF(RESULTADOS!$C$17="Normal",RESULTADOS!$C$16,0)</f>
        <v>0</v>
      </c>
      <c r="F321" s="4">
        <f ca="1">IFERROR(IF(RESULTADOS!$C$17="Normal",D321,C321)*RESULTADOS!$C$18,0)</f>
        <v>0</v>
      </c>
      <c r="G321" s="4">
        <f ca="1">IFERROR(IF(RESULTADOS!$C$17="Normal",0,D321)*IF(RESULTADOS!$C$17="Normal",RESULTADOS!$C$18,RESULTADOS!$C$16),0)</f>
        <v>0</v>
      </c>
      <c r="H321" s="4">
        <f ca="1">IF(RESULTADOS!$C$17="Normal",E321,0)</f>
        <v>0</v>
      </c>
      <c r="I321" s="4">
        <f ca="1">(E321+H321+G321)*PREMISSAS!$C$60</f>
        <v>0</v>
      </c>
      <c r="J321" s="4">
        <f ca="1">D321*IF(RESULTADOS!$C$17="Normal",PREMISSAS!$C$62,0)</f>
        <v>0</v>
      </c>
      <c r="K321" s="116">
        <f ca="1">IFERROR(K320*(1+PREMISSAS!$C$18)+(E321+H321-IF(RESULTADOS!$C$17="Normal",I321,0)-J321)*IF(MONTH(B321)=12,2,1),0)</f>
        <v>0</v>
      </c>
      <c r="L321" s="116">
        <f ca="1">IFERROR((L320+G321-IF(RESULTADOS!$C$17="Normal",0,I321))*(1+PREMISSAS!$C$18)+F321,0)</f>
        <v>0</v>
      </c>
      <c r="N321" s="73">
        <f t="shared" ca="1" si="32"/>
        <v>0</v>
      </c>
      <c r="P321" s="164" t="str">
        <f t="shared" ca="1" si="33"/>
        <v/>
      </c>
      <c r="Q321" s="140" t="str">
        <f ca="1">IF(C321="","",Q320+(E321+H321-IF(RESULTADOS!$C$17="Normal",I321,0)-J321)/2+(F321+G321-IF(RESULTADOS!$C$17="Normal",0,I321)))</f>
        <v/>
      </c>
      <c r="R321" s="140" t="str">
        <f ca="1">IF(C321="","",R320+(E321+H321-IF(RESULTADOS!$C$17="Normal",I321,0)-J321)/2)</f>
        <v/>
      </c>
      <c r="S321" s="140">
        <f t="shared" ca="1" si="36"/>
        <v>0</v>
      </c>
      <c r="U321" s="164" t="str">
        <f t="shared" ca="1" si="37"/>
        <v/>
      </c>
      <c r="V321" s="164" t="str">
        <f t="shared" ca="1" si="34"/>
        <v/>
      </c>
      <c r="W321" s="140">
        <f ca="1">IF(OR((W320-13/12*Z320)*(1+PREMISSAS!$C$16)&lt;0,W320=""),0,(W320-13/12*Z320)*(1+PREMISSAS!$C$16))</f>
        <v>0</v>
      </c>
      <c r="X321" s="140">
        <f ca="1">IF(OR((X320-13/12*AA320)*(1+PREMISSAS!$C$16)&lt;0,X320=""),0,(X320-13/12*AA320)*(1+PREMISSAS!$C$16))</f>
        <v>0</v>
      </c>
      <c r="Y321" s="140">
        <f t="shared" ca="1" si="40"/>
        <v>0</v>
      </c>
      <c r="Z321" s="167">
        <f t="shared" ca="1" si="38"/>
        <v>0</v>
      </c>
      <c r="AA321" s="167">
        <f t="shared" ca="1" si="39"/>
        <v>0</v>
      </c>
    </row>
    <row r="322" spans="2:27" x14ac:dyDescent="0.25">
      <c r="B322" s="21" t="str">
        <f ca="1">IF(B321="","",IF(EOMONTH(B321,1)&gt;EOMONTH(ELEGIBILIDADE!$J$17,0),"",EOMONTH(B321,1)))</f>
        <v/>
      </c>
      <c r="C322" s="22" t="str">
        <f ca="1">IF(B322="","",IF(MONTH(B322)=1,C321*(1+PREMISSAS!$C$57),C321))</f>
        <v/>
      </c>
      <c r="D322" s="22">
        <f ca="1">IF(RESULTADOS!$C$17="Normal",IFERROR(MAX(C322-PREMISSAS!$C$13,0),0),IF(Painel!$I$23=0,0,MAX(10*PREMISSAS!$C$38,RESULTADOS!$F$17)))</f>
        <v>0</v>
      </c>
      <c r="E322" s="4">
        <f ca="1">D322*IF(RESULTADOS!$C$17="Normal",RESULTADOS!$C$16,0)</f>
        <v>0</v>
      </c>
      <c r="F322" s="4">
        <f ca="1">IFERROR(IF(RESULTADOS!$C$17="Normal",D322,C322)*RESULTADOS!$C$18,0)</f>
        <v>0</v>
      </c>
      <c r="G322" s="4">
        <f ca="1">IFERROR(IF(RESULTADOS!$C$17="Normal",0,D322)*IF(RESULTADOS!$C$17="Normal",RESULTADOS!$C$18,RESULTADOS!$C$16),0)</f>
        <v>0</v>
      </c>
      <c r="H322" s="4">
        <f ca="1">IF(RESULTADOS!$C$17="Normal",E322,0)</f>
        <v>0</v>
      </c>
      <c r="I322" s="4">
        <f ca="1">(E322+H322+G322)*PREMISSAS!$C$60</f>
        <v>0</v>
      </c>
      <c r="J322" s="4">
        <f ca="1">D322*IF(RESULTADOS!$C$17="Normal",PREMISSAS!$C$62,0)</f>
        <v>0</v>
      </c>
      <c r="K322" s="116">
        <f ca="1">IFERROR(K321*(1+PREMISSAS!$C$18)+(E322+H322-IF(RESULTADOS!$C$17="Normal",I322,0)-J322)*IF(MONTH(B322)=12,2,1),0)</f>
        <v>0</v>
      </c>
      <c r="L322" s="116">
        <f ca="1">IFERROR((L321+G322-IF(RESULTADOS!$C$17="Normal",0,I322))*(1+PREMISSAS!$C$18)+F322,0)</f>
        <v>0</v>
      </c>
      <c r="N322" s="73">
        <f t="shared" ca="1" si="32"/>
        <v>0</v>
      </c>
      <c r="P322" s="164" t="str">
        <f t="shared" ca="1" si="33"/>
        <v/>
      </c>
      <c r="Q322" s="140" t="str">
        <f ca="1">IF(C322="","",Q321+(E322+H322-IF(RESULTADOS!$C$17="Normal",I322,0)-J322)/2+(F322+G322-IF(RESULTADOS!$C$17="Normal",0,I322)))</f>
        <v/>
      </c>
      <c r="R322" s="140" t="str">
        <f ca="1">IF(C322="","",R321+(E322+H322-IF(RESULTADOS!$C$17="Normal",I322,0)-J322)/2)</f>
        <v/>
      </c>
      <c r="S322" s="140">
        <f t="shared" ca="1" si="36"/>
        <v>0</v>
      </c>
      <c r="U322" s="164" t="str">
        <f t="shared" ca="1" si="37"/>
        <v/>
      </c>
      <c r="V322" s="164" t="str">
        <f t="shared" ca="1" si="34"/>
        <v/>
      </c>
      <c r="W322" s="140">
        <f ca="1">IF(OR((W321-13/12*Z321)*(1+PREMISSAS!$C$16)&lt;0,W321=""),0,(W321-13/12*Z321)*(1+PREMISSAS!$C$16))</f>
        <v>0</v>
      </c>
      <c r="X322" s="140">
        <f ca="1">IF(OR((X321-13/12*AA321)*(1+PREMISSAS!$C$16)&lt;0,X321=""),0,(X321-13/12*AA321)*(1+PREMISSAS!$C$16))</f>
        <v>0</v>
      </c>
      <c r="Y322" s="140">
        <f t="shared" ca="1" si="40"/>
        <v>0</v>
      </c>
      <c r="Z322" s="167">
        <f t="shared" ca="1" si="38"/>
        <v>0</v>
      </c>
      <c r="AA322" s="167">
        <f t="shared" ca="1" si="39"/>
        <v>0</v>
      </c>
    </row>
    <row r="323" spans="2:27" x14ac:dyDescent="0.25">
      <c r="B323" s="21" t="str">
        <f ca="1">IF(B322="","",IF(EOMONTH(B322,1)&gt;EOMONTH(ELEGIBILIDADE!$J$17,0),"",EOMONTH(B322,1)))</f>
        <v/>
      </c>
      <c r="C323" s="22" t="str">
        <f ca="1">IF(B323="","",IF(MONTH(B323)=1,C322*(1+PREMISSAS!$C$57),C322))</f>
        <v/>
      </c>
      <c r="D323" s="22">
        <f ca="1">IF(RESULTADOS!$C$17="Normal",IFERROR(MAX(C323-PREMISSAS!$C$13,0),0),IF(Painel!$I$23=0,0,MAX(10*PREMISSAS!$C$38,RESULTADOS!$F$17)))</f>
        <v>0</v>
      </c>
      <c r="E323" s="4">
        <f ca="1">D323*IF(RESULTADOS!$C$17="Normal",RESULTADOS!$C$16,0)</f>
        <v>0</v>
      </c>
      <c r="F323" s="4">
        <f ca="1">IFERROR(IF(RESULTADOS!$C$17="Normal",D323,C323)*RESULTADOS!$C$18,0)</f>
        <v>0</v>
      </c>
      <c r="G323" s="4">
        <f ca="1">IFERROR(IF(RESULTADOS!$C$17="Normal",0,D323)*IF(RESULTADOS!$C$17="Normal",RESULTADOS!$C$18,RESULTADOS!$C$16),0)</f>
        <v>0</v>
      </c>
      <c r="H323" s="4">
        <f ca="1">IF(RESULTADOS!$C$17="Normal",E323,0)</f>
        <v>0</v>
      </c>
      <c r="I323" s="4">
        <f ca="1">(E323+H323+G323)*PREMISSAS!$C$60</f>
        <v>0</v>
      </c>
      <c r="J323" s="4">
        <f ca="1">D323*IF(RESULTADOS!$C$17="Normal",PREMISSAS!$C$62,0)</f>
        <v>0</v>
      </c>
      <c r="K323" s="116">
        <f ca="1">IFERROR(K322*(1+PREMISSAS!$C$18)+(E323+H323-IF(RESULTADOS!$C$17="Normal",I323,0)-J323)*IF(MONTH(B323)=12,2,1),0)</f>
        <v>0</v>
      </c>
      <c r="L323" s="116">
        <f ca="1">IFERROR((L322+G323-IF(RESULTADOS!$C$17="Normal",0,I323))*(1+PREMISSAS!$C$18)+F323,0)</f>
        <v>0</v>
      </c>
      <c r="N323" s="73">
        <f t="shared" ca="1" si="32"/>
        <v>0</v>
      </c>
      <c r="P323" s="164" t="str">
        <f t="shared" ca="1" si="33"/>
        <v/>
      </c>
      <c r="Q323" s="140" t="str">
        <f ca="1">IF(C323="","",Q322+(E323+H323-IF(RESULTADOS!$C$17="Normal",I323,0)-J323)/2+(F323+G323-IF(RESULTADOS!$C$17="Normal",0,I323)))</f>
        <v/>
      </c>
      <c r="R323" s="140" t="str">
        <f ca="1">IF(C323="","",R322+(E323+H323-IF(RESULTADOS!$C$17="Normal",I323,0)-J323)/2)</f>
        <v/>
      </c>
      <c r="S323" s="140">
        <f t="shared" ca="1" si="36"/>
        <v>0</v>
      </c>
      <c r="U323" s="164" t="str">
        <f t="shared" ca="1" si="37"/>
        <v/>
      </c>
      <c r="V323" s="164" t="str">
        <f t="shared" ca="1" si="34"/>
        <v/>
      </c>
      <c r="W323" s="140">
        <f ca="1">IF(OR((W322-13/12*Z322)*(1+PREMISSAS!$C$16)&lt;0,W322=""),0,(W322-13/12*Z322)*(1+PREMISSAS!$C$16))</f>
        <v>0</v>
      </c>
      <c r="X323" s="140">
        <f ca="1">IF(OR((X322-13/12*AA322)*(1+PREMISSAS!$C$16)&lt;0,X322=""),0,(X322-13/12*AA322)*(1+PREMISSAS!$C$16))</f>
        <v>0</v>
      </c>
      <c r="Y323" s="140">
        <f t="shared" ca="1" si="40"/>
        <v>0</v>
      </c>
      <c r="Z323" s="167">
        <f t="shared" ca="1" si="38"/>
        <v>0</v>
      </c>
      <c r="AA323" s="167">
        <f t="shared" ca="1" si="39"/>
        <v>0</v>
      </c>
    </row>
    <row r="324" spans="2:27" x14ac:dyDescent="0.25">
      <c r="B324" s="21" t="str">
        <f ca="1">IF(B323="","",IF(EOMONTH(B323,1)&gt;EOMONTH(ELEGIBILIDADE!$J$17,0),"",EOMONTH(B323,1)))</f>
        <v/>
      </c>
      <c r="C324" s="22" t="str">
        <f ca="1">IF(B324="","",IF(MONTH(B324)=1,C323*(1+PREMISSAS!$C$57),C323))</f>
        <v/>
      </c>
      <c r="D324" s="22">
        <f ca="1">IF(RESULTADOS!$C$17="Normal",IFERROR(MAX(C324-PREMISSAS!$C$13,0),0),IF(Painel!$I$23=0,0,MAX(10*PREMISSAS!$C$38,RESULTADOS!$F$17)))</f>
        <v>0</v>
      </c>
      <c r="E324" s="4">
        <f ca="1">D324*IF(RESULTADOS!$C$17="Normal",RESULTADOS!$C$16,0)</f>
        <v>0</v>
      </c>
      <c r="F324" s="4">
        <f ca="1">IFERROR(IF(RESULTADOS!$C$17="Normal",D324,C324)*RESULTADOS!$C$18,0)</f>
        <v>0</v>
      </c>
      <c r="G324" s="4">
        <f ca="1">IFERROR(IF(RESULTADOS!$C$17="Normal",0,D324)*IF(RESULTADOS!$C$17="Normal",RESULTADOS!$C$18,RESULTADOS!$C$16),0)</f>
        <v>0</v>
      </c>
      <c r="H324" s="4">
        <f ca="1">IF(RESULTADOS!$C$17="Normal",E324,0)</f>
        <v>0</v>
      </c>
      <c r="I324" s="4">
        <f ca="1">(E324+H324+G324)*PREMISSAS!$C$60</f>
        <v>0</v>
      </c>
      <c r="J324" s="4">
        <f ca="1">D324*IF(RESULTADOS!$C$17="Normal",PREMISSAS!$C$62,0)</f>
        <v>0</v>
      </c>
      <c r="K324" s="116">
        <f ca="1">IFERROR(K323*(1+PREMISSAS!$C$18)+(E324+H324-IF(RESULTADOS!$C$17="Normal",I324,0)-J324)*IF(MONTH(B324)=12,2,1),0)</f>
        <v>0</v>
      </c>
      <c r="L324" s="116">
        <f ca="1">IFERROR((L323+G324-IF(RESULTADOS!$C$17="Normal",0,I324))*(1+PREMISSAS!$C$18)+F324,0)</f>
        <v>0</v>
      </c>
      <c r="N324" s="73">
        <f t="shared" ca="1" si="32"/>
        <v>0</v>
      </c>
      <c r="P324" s="164" t="str">
        <f t="shared" ca="1" si="33"/>
        <v/>
      </c>
      <c r="Q324" s="140" t="str">
        <f ca="1">IF(C324="","",Q323+(E324+H324-IF(RESULTADOS!$C$17="Normal",I324,0)-J324)/2+(F324+G324-IF(RESULTADOS!$C$17="Normal",0,I324)))</f>
        <v/>
      </c>
      <c r="R324" s="140" t="str">
        <f ca="1">IF(C324="","",R323+(E324+H324-IF(RESULTADOS!$C$17="Normal",I324,0)-J324)/2)</f>
        <v/>
      </c>
      <c r="S324" s="140">
        <f t="shared" ca="1" si="36"/>
        <v>0</v>
      </c>
      <c r="U324" s="164" t="str">
        <f t="shared" ca="1" si="37"/>
        <v/>
      </c>
      <c r="V324" s="164" t="str">
        <f t="shared" ca="1" si="34"/>
        <v/>
      </c>
      <c r="W324" s="140">
        <f ca="1">IF(OR((W323-13/12*Z323)*(1+PREMISSAS!$C$16)&lt;0,W323=""),0,(W323-13/12*Z323)*(1+PREMISSAS!$C$16))</f>
        <v>0</v>
      </c>
      <c r="X324" s="140">
        <f ca="1">IF(OR((X323-13/12*AA323)*(1+PREMISSAS!$C$16)&lt;0,X323=""),0,(X323-13/12*AA323)*(1+PREMISSAS!$C$16))</f>
        <v>0</v>
      </c>
      <c r="Y324" s="140">
        <f t="shared" ca="1" si="40"/>
        <v>0</v>
      </c>
      <c r="Z324" s="167">
        <f t="shared" ca="1" si="38"/>
        <v>0</v>
      </c>
      <c r="AA324" s="167">
        <f t="shared" ca="1" si="39"/>
        <v>0</v>
      </c>
    </row>
    <row r="325" spans="2:27" x14ac:dyDescent="0.25">
      <c r="B325" s="21" t="str">
        <f ca="1">IF(B324="","",IF(EOMONTH(B324,1)&gt;EOMONTH(ELEGIBILIDADE!$J$17,0),"",EOMONTH(B324,1)))</f>
        <v/>
      </c>
      <c r="C325" s="22" t="str">
        <f ca="1">IF(B325="","",IF(MONTH(B325)=1,C324*(1+PREMISSAS!$C$57),C324))</f>
        <v/>
      </c>
      <c r="D325" s="22">
        <f ca="1">IF(RESULTADOS!$C$17="Normal",IFERROR(MAX(C325-PREMISSAS!$C$13,0),0),IF(Painel!$I$23=0,0,MAX(10*PREMISSAS!$C$38,RESULTADOS!$F$17)))</f>
        <v>0</v>
      </c>
      <c r="E325" s="4">
        <f ca="1">D325*IF(RESULTADOS!$C$17="Normal",RESULTADOS!$C$16,0)</f>
        <v>0</v>
      </c>
      <c r="F325" s="4">
        <f ca="1">IFERROR(IF(RESULTADOS!$C$17="Normal",D325,C325)*RESULTADOS!$C$18,0)</f>
        <v>0</v>
      </c>
      <c r="G325" s="4">
        <f ca="1">IFERROR(IF(RESULTADOS!$C$17="Normal",0,D325)*IF(RESULTADOS!$C$17="Normal",RESULTADOS!$C$18,RESULTADOS!$C$16),0)</f>
        <v>0</v>
      </c>
      <c r="H325" s="4">
        <f ca="1">IF(RESULTADOS!$C$17="Normal",E325,0)</f>
        <v>0</v>
      </c>
      <c r="I325" s="4">
        <f ca="1">(E325+H325+G325)*PREMISSAS!$C$60</f>
        <v>0</v>
      </c>
      <c r="J325" s="4">
        <f ca="1">D325*IF(RESULTADOS!$C$17="Normal",PREMISSAS!$C$62,0)</f>
        <v>0</v>
      </c>
      <c r="K325" s="116">
        <f ca="1">IFERROR(K324*(1+PREMISSAS!$C$18)+(E325+H325-IF(RESULTADOS!$C$17="Normal",I325,0)-J325)*IF(MONTH(B325)=12,2,1),0)</f>
        <v>0</v>
      </c>
      <c r="L325" s="116">
        <f ca="1">IFERROR((L324+G325-IF(RESULTADOS!$C$17="Normal",0,I325))*(1+PREMISSAS!$C$18)+F325,0)</f>
        <v>0</v>
      </c>
      <c r="N325" s="73">
        <f t="shared" ca="1" si="32"/>
        <v>0</v>
      </c>
      <c r="P325" s="164" t="str">
        <f t="shared" ca="1" si="33"/>
        <v/>
      </c>
      <c r="Q325" s="140" t="str">
        <f ca="1">IF(C325="","",Q324+(E325+H325-IF(RESULTADOS!$C$17="Normal",I325,0)-J325)/2+(F325+G325-IF(RESULTADOS!$C$17="Normal",0,I325)))</f>
        <v/>
      </c>
      <c r="R325" s="140" t="str">
        <f ca="1">IF(C325="","",R324+(E325+H325-IF(RESULTADOS!$C$17="Normal",I325,0)-J325)/2)</f>
        <v/>
      </c>
      <c r="S325" s="140">
        <f t="shared" ca="1" si="36"/>
        <v>0</v>
      </c>
      <c r="U325" s="164" t="str">
        <f t="shared" ca="1" si="37"/>
        <v/>
      </c>
      <c r="V325" s="164" t="str">
        <f t="shared" ca="1" si="34"/>
        <v/>
      </c>
      <c r="W325" s="140">
        <f ca="1">IF(OR((W324-13/12*Z324)*(1+PREMISSAS!$C$16)&lt;0,W324=""),0,(W324-13/12*Z324)*(1+PREMISSAS!$C$16))</f>
        <v>0</v>
      </c>
      <c r="X325" s="140">
        <f ca="1">IF(OR((X324-13/12*AA324)*(1+PREMISSAS!$C$16)&lt;0,X324=""),0,(X324-13/12*AA324)*(1+PREMISSAS!$C$16))</f>
        <v>0</v>
      </c>
      <c r="Y325" s="140">
        <f t="shared" ca="1" si="40"/>
        <v>0</v>
      </c>
      <c r="Z325" s="167">
        <f t="shared" ca="1" si="38"/>
        <v>0</v>
      </c>
      <c r="AA325" s="167">
        <f t="shared" ca="1" si="39"/>
        <v>0</v>
      </c>
    </row>
    <row r="326" spans="2:27" x14ac:dyDescent="0.25">
      <c r="B326" s="21" t="str">
        <f ca="1">IF(B325="","",IF(EOMONTH(B325,1)&gt;EOMONTH(ELEGIBILIDADE!$J$17,0),"",EOMONTH(B325,1)))</f>
        <v/>
      </c>
      <c r="C326" s="22" t="str">
        <f ca="1">IF(B326="","",IF(MONTH(B326)=1,C325*(1+PREMISSAS!$C$57),C325))</f>
        <v/>
      </c>
      <c r="D326" s="22">
        <f ca="1">IF(RESULTADOS!$C$17="Normal",IFERROR(MAX(C326-PREMISSAS!$C$13,0),0),IF(Painel!$I$23=0,0,MAX(10*PREMISSAS!$C$38,RESULTADOS!$F$17)))</f>
        <v>0</v>
      </c>
      <c r="E326" s="4">
        <f ca="1">D326*IF(RESULTADOS!$C$17="Normal",RESULTADOS!$C$16,0)</f>
        <v>0</v>
      </c>
      <c r="F326" s="4">
        <f ca="1">IFERROR(IF(RESULTADOS!$C$17="Normal",D326,C326)*RESULTADOS!$C$18,0)</f>
        <v>0</v>
      </c>
      <c r="G326" s="4">
        <f ca="1">IFERROR(IF(RESULTADOS!$C$17="Normal",0,D326)*IF(RESULTADOS!$C$17="Normal",RESULTADOS!$C$18,RESULTADOS!$C$16),0)</f>
        <v>0</v>
      </c>
      <c r="H326" s="4">
        <f ca="1">IF(RESULTADOS!$C$17="Normal",E326,0)</f>
        <v>0</v>
      </c>
      <c r="I326" s="4">
        <f ca="1">(E326+H326+G326)*PREMISSAS!$C$60</f>
        <v>0</v>
      </c>
      <c r="J326" s="4">
        <f ca="1">D326*IF(RESULTADOS!$C$17="Normal",PREMISSAS!$C$62,0)</f>
        <v>0</v>
      </c>
      <c r="K326" s="116">
        <f ca="1">IFERROR(K325*(1+PREMISSAS!$C$18)+(E326+H326-IF(RESULTADOS!$C$17="Normal",I326,0)-J326)*IF(MONTH(B326)=12,2,1),0)</f>
        <v>0</v>
      </c>
      <c r="L326" s="116">
        <f ca="1">IFERROR((L325+G326-IF(RESULTADOS!$C$17="Normal",0,I326))*(1+PREMISSAS!$C$18)+F326,0)</f>
        <v>0</v>
      </c>
      <c r="N326" s="73">
        <f t="shared" ref="N326:N389" ca="1" si="41">IFERROR((E326+F326+G326)/C326,0)</f>
        <v>0</v>
      </c>
      <c r="P326" s="164" t="str">
        <f t="shared" ref="P326:P389" ca="1" si="42">IF(C326="","",B326)</f>
        <v/>
      </c>
      <c r="Q326" s="140" t="str">
        <f ca="1">IF(C326="","",Q325+(E326+H326-IF(RESULTADOS!$C$17="Normal",I326,0)-J326)/2+(F326+G326-IF(RESULTADOS!$C$17="Normal",0,I326)))</f>
        <v/>
      </c>
      <c r="R326" s="140" t="str">
        <f ca="1">IF(C326="","",R325+(E326+H326-IF(RESULTADOS!$C$17="Normal",I326,0)-J326)/2)</f>
        <v/>
      </c>
      <c r="S326" s="140">
        <f t="shared" ca="1" si="36"/>
        <v>0</v>
      </c>
      <c r="U326" s="164" t="str">
        <f t="shared" ca="1" si="37"/>
        <v/>
      </c>
      <c r="V326" s="164" t="str">
        <f t="shared" ref="V326:V389" ca="1" si="43">IF(AA326&lt;&gt;"",U326,"")</f>
        <v/>
      </c>
      <c r="W326" s="140">
        <f ca="1">IF(OR((W325-13/12*Z325)*(1+PREMISSAS!$C$16)&lt;0,W325=""),0,(W325-13/12*Z325)*(1+PREMISSAS!$C$16))</f>
        <v>0</v>
      </c>
      <c r="X326" s="140">
        <f ca="1">IF(OR((X325-13/12*AA325)*(1+PREMISSAS!$C$16)&lt;0,X325=""),0,(X325-13/12*AA325)*(1+PREMISSAS!$C$16))</f>
        <v>0</v>
      </c>
      <c r="Y326" s="140">
        <f t="shared" ca="1" si="40"/>
        <v>0</v>
      </c>
      <c r="Z326" s="167">
        <f t="shared" ca="1" si="38"/>
        <v>0</v>
      </c>
      <c r="AA326" s="167">
        <f t="shared" ca="1" si="39"/>
        <v>0</v>
      </c>
    </row>
    <row r="327" spans="2:27" x14ac:dyDescent="0.25">
      <c r="B327" s="21" t="str">
        <f ca="1">IF(B326="","",IF(EOMONTH(B326,1)&gt;EOMONTH(ELEGIBILIDADE!$J$17,0),"",EOMONTH(B326,1)))</f>
        <v/>
      </c>
      <c r="C327" s="22" t="str">
        <f ca="1">IF(B327="","",IF(MONTH(B327)=1,C326*(1+PREMISSAS!$C$57),C326))</f>
        <v/>
      </c>
      <c r="D327" s="22">
        <f ca="1">IF(RESULTADOS!$C$17="Normal",IFERROR(MAX(C327-PREMISSAS!$C$13,0),0),IF(Painel!$I$23=0,0,MAX(10*PREMISSAS!$C$38,RESULTADOS!$F$17)))</f>
        <v>0</v>
      </c>
      <c r="E327" s="4">
        <f ca="1">D327*IF(RESULTADOS!$C$17="Normal",RESULTADOS!$C$16,0)</f>
        <v>0</v>
      </c>
      <c r="F327" s="4">
        <f ca="1">IFERROR(IF(RESULTADOS!$C$17="Normal",D327,C327)*RESULTADOS!$C$18,0)</f>
        <v>0</v>
      </c>
      <c r="G327" s="4">
        <f ca="1">IFERROR(IF(RESULTADOS!$C$17="Normal",0,D327)*IF(RESULTADOS!$C$17="Normal",RESULTADOS!$C$18,RESULTADOS!$C$16),0)</f>
        <v>0</v>
      </c>
      <c r="H327" s="4">
        <f ca="1">IF(RESULTADOS!$C$17="Normal",E327,0)</f>
        <v>0</v>
      </c>
      <c r="I327" s="4">
        <f ca="1">(E327+H327+G327)*PREMISSAS!$C$60</f>
        <v>0</v>
      </c>
      <c r="J327" s="4">
        <f ca="1">D327*IF(RESULTADOS!$C$17="Normal",PREMISSAS!$C$62,0)</f>
        <v>0</v>
      </c>
      <c r="K327" s="116">
        <f ca="1">IFERROR(K326*(1+PREMISSAS!$C$18)+(E327+H327-IF(RESULTADOS!$C$17="Normal",I327,0)-J327)*IF(MONTH(B327)=12,2,1),0)</f>
        <v>0</v>
      </c>
      <c r="L327" s="116">
        <f ca="1">IFERROR((L326+G327-IF(RESULTADOS!$C$17="Normal",0,I327))*(1+PREMISSAS!$C$18)+F327,0)</f>
        <v>0</v>
      </c>
      <c r="N327" s="73">
        <f t="shared" ca="1" si="41"/>
        <v>0</v>
      </c>
      <c r="P327" s="164" t="str">
        <f t="shared" ca="1" si="42"/>
        <v/>
      </c>
      <c r="Q327" s="140" t="str">
        <f ca="1">IF(C327="","",Q326+(E327+H327-IF(RESULTADOS!$C$17="Normal",I327,0)-J327)/2+(F327+G327-IF(RESULTADOS!$C$17="Normal",0,I327)))</f>
        <v/>
      </c>
      <c r="R327" s="140" t="str">
        <f ca="1">IF(C327="","",R326+(E327+H327-IF(RESULTADOS!$C$17="Normal",I327,0)-J327)/2)</f>
        <v/>
      </c>
      <c r="S327" s="140">
        <f t="shared" ref="S327:S390" ca="1" si="44">SUM(K327:L327)-SUM(Q327:R327)</f>
        <v>0</v>
      </c>
      <c r="U327" s="164" t="str">
        <f t="shared" ref="U327:U390" ca="1" si="45">IF(Y327=0,"",EOMONTH(U326,1))</f>
        <v/>
      </c>
      <c r="V327" s="164" t="str">
        <f t="shared" ca="1" si="43"/>
        <v/>
      </c>
      <c r="W327" s="140">
        <f ca="1">IF(OR((W326-13/12*Z326)*(1+PREMISSAS!$C$16)&lt;0,W326=""),0,(W326-13/12*Z326)*(1+PREMISSAS!$C$16))</f>
        <v>0</v>
      </c>
      <c r="X327" s="140">
        <f ca="1">IF(OR((X326-13/12*AA326)*(1+PREMISSAS!$C$16)&lt;0,X326=""),0,(X326-13/12*AA326)*(1+PREMISSAS!$C$16))</f>
        <v>0</v>
      </c>
      <c r="Y327" s="140">
        <f t="shared" ca="1" si="40"/>
        <v>0</v>
      </c>
      <c r="Z327" s="167">
        <f t="shared" ref="Z327:Z390" ca="1" si="46">IF(W327&lt;&gt;0,Z326,0)</f>
        <v>0</v>
      </c>
      <c r="AA327" s="167">
        <f t="shared" ref="AA327:AA390" ca="1" si="47">IF(X327&lt;&gt;0,AA326,0)</f>
        <v>0</v>
      </c>
    </row>
    <row r="328" spans="2:27" x14ac:dyDescent="0.25">
      <c r="B328" s="21" t="str">
        <f ca="1">IF(B327="","",IF(EOMONTH(B327,1)&gt;EOMONTH(ELEGIBILIDADE!$J$17,0),"",EOMONTH(B327,1)))</f>
        <v/>
      </c>
      <c r="C328" s="22" t="str">
        <f ca="1">IF(B328="","",IF(MONTH(B328)=1,C327*(1+PREMISSAS!$C$57),C327))</f>
        <v/>
      </c>
      <c r="D328" s="22">
        <f ca="1">IF(RESULTADOS!$C$17="Normal",IFERROR(MAX(C328-PREMISSAS!$C$13,0),0),IF(Painel!$I$23=0,0,MAX(10*PREMISSAS!$C$38,RESULTADOS!$F$17)))</f>
        <v>0</v>
      </c>
      <c r="E328" s="4">
        <f ca="1">D328*IF(RESULTADOS!$C$17="Normal",RESULTADOS!$C$16,0)</f>
        <v>0</v>
      </c>
      <c r="F328" s="4">
        <f ca="1">IFERROR(IF(RESULTADOS!$C$17="Normal",D328,C328)*RESULTADOS!$C$18,0)</f>
        <v>0</v>
      </c>
      <c r="G328" s="4">
        <f ca="1">IFERROR(IF(RESULTADOS!$C$17="Normal",0,D328)*IF(RESULTADOS!$C$17="Normal",RESULTADOS!$C$18,RESULTADOS!$C$16),0)</f>
        <v>0</v>
      </c>
      <c r="H328" s="4">
        <f ca="1">IF(RESULTADOS!$C$17="Normal",E328,0)</f>
        <v>0</v>
      </c>
      <c r="I328" s="4">
        <f ca="1">(E328+H328+G328)*PREMISSAS!$C$60</f>
        <v>0</v>
      </c>
      <c r="J328" s="4">
        <f ca="1">D328*IF(RESULTADOS!$C$17="Normal",PREMISSAS!$C$62,0)</f>
        <v>0</v>
      </c>
      <c r="K328" s="116">
        <f ca="1">IFERROR(K327*(1+PREMISSAS!$C$18)+(E328+H328-IF(RESULTADOS!$C$17="Normal",I328,0)-J328)*IF(MONTH(B328)=12,2,1),0)</f>
        <v>0</v>
      </c>
      <c r="L328" s="116">
        <f ca="1">IFERROR((L327+G328-IF(RESULTADOS!$C$17="Normal",0,I328))*(1+PREMISSAS!$C$18)+F328,0)</f>
        <v>0</v>
      </c>
      <c r="N328" s="73">
        <f t="shared" ca="1" si="41"/>
        <v>0</v>
      </c>
      <c r="P328" s="164" t="str">
        <f t="shared" ca="1" si="42"/>
        <v/>
      </c>
      <c r="Q328" s="140" t="str">
        <f ca="1">IF(C328="","",Q327+(E328+H328-IF(RESULTADOS!$C$17="Normal",I328,0)-J328)/2+(F328+G328-IF(RESULTADOS!$C$17="Normal",0,I328)))</f>
        <v/>
      </c>
      <c r="R328" s="140" t="str">
        <f ca="1">IF(C328="","",R327+(E328+H328-IF(RESULTADOS!$C$17="Normal",I328,0)-J328)/2)</f>
        <v/>
      </c>
      <c r="S328" s="140">
        <f t="shared" ca="1" si="44"/>
        <v>0</v>
      </c>
      <c r="U328" s="164" t="str">
        <f t="shared" ca="1" si="45"/>
        <v/>
      </c>
      <c r="V328" s="164" t="str">
        <f t="shared" ca="1" si="43"/>
        <v/>
      </c>
      <c r="W328" s="140">
        <f ca="1">IF(OR((W327-13/12*Z327)*(1+PREMISSAS!$C$16)&lt;0,W327=""),0,(W327-13/12*Z327)*(1+PREMISSAS!$C$16))</f>
        <v>0</v>
      </c>
      <c r="X328" s="140">
        <f ca="1">IF(OR((X327-13/12*AA327)*(1+PREMISSAS!$C$16)&lt;0,X327=""),0,(X327-13/12*AA327)*(1+PREMISSAS!$C$16))</f>
        <v>0</v>
      </c>
      <c r="Y328" s="140">
        <f t="shared" ca="1" si="40"/>
        <v>0</v>
      </c>
      <c r="Z328" s="167">
        <f t="shared" ca="1" si="46"/>
        <v>0</v>
      </c>
      <c r="AA328" s="167">
        <f t="shared" ca="1" si="47"/>
        <v>0</v>
      </c>
    </row>
    <row r="329" spans="2:27" x14ac:dyDescent="0.25">
      <c r="B329" s="21" t="str">
        <f ca="1">IF(B328="","",IF(EOMONTH(B328,1)&gt;EOMONTH(ELEGIBILIDADE!$J$17,0),"",EOMONTH(B328,1)))</f>
        <v/>
      </c>
      <c r="C329" s="22" t="str">
        <f ca="1">IF(B329="","",IF(MONTH(B329)=1,C328*(1+PREMISSAS!$C$57),C328))</f>
        <v/>
      </c>
      <c r="D329" s="22">
        <f ca="1">IF(RESULTADOS!$C$17="Normal",IFERROR(MAX(C329-PREMISSAS!$C$13,0),0),IF(Painel!$I$23=0,0,MAX(10*PREMISSAS!$C$38,RESULTADOS!$F$17)))</f>
        <v>0</v>
      </c>
      <c r="E329" s="4">
        <f ca="1">D329*IF(RESULTADOS!$C$17="Normal",RESULTADOS!$C$16,0)</f>
        <v>0</v>
      </c>
      <c r="F329" s="4">
        <f ca="1">IFERROR(IF(RESULTADOS!$C$17="Normal",D329,C329)*RESULTADOS!$C$18,0)</f>
        <v>0</v>
      </c>
      <c r="G329" s="4">
        <f ca="1">IFERROR(IF(RESULTADOS!$C$17="Normal",0,D329)*IF(RESULTADOS!$C$17="Normal",RESULTADOS!$C$18,RESULTADOS!$C$16),0)</f>
        <v>0</v>
      </c>
      <c r="H329" s="4">
        <f ca="1">IF(RESULTADOS!$C$17="Normal",E329,0)</f>
        <v>0</v>
      </c>
      <c r="I329" s="4">
        <f ca="1">(E329+H329+G329)*PREMISSAS!$C$60</f>
        <v>0</v>
      </c>
      <c r="J329" s="4">
        <f ca="1">D329*IF(RESULTADOS!$C$17="Normal",PREMISSAS!$C$62,0)</f>
        <v>0</v>
      </c>
      <c r="K329" s="116">
        <f ca="1">IFERROR(K328*(1+PREMISSAS!$C$18)+(E329+H329-IF(RESULTADOS!$C$17="Normal",I329,0)-J329)*IF(MONTH(B329)=12,2,1),0)</f>
        <v>0</v>
      </c>
      <c r="L329" s="116">
        <f ca="1">IFERROR((L328+G329-IF(RESULTADOS!$C$17="Normal",0,I329))*(1+PREMISSAS!$C$18)+F329,0)</f>
        <v>0</v>
      </c>
      <c r="N329" s="73">
        <f t="shared" ca="1" si="41"/>
        <v>0</v>
      </c>
      <c r="P329" s="164" t="str">
        <f t="shared" ca="1" si="42"/>
        <v/>
      </c>
      <c r="Q329" s="140" t="str">
        <f ca="1">IF(C329="","",Q328+(E329+H329-IF(RESULTADOS!$C$17="Normal",I329,0)-J329)/2+(F329+G329-IF(RESULTADOS!$C$17="Normal",0,I329)))</f>
        <v/>
      </c>
      <c r="R329" s="140" t="str">
        <f ca="1">IF(C329="","",R328+(E329+H329-IF(RESULTADOS!$C$17="Normal",I329,0)-J329)/2)</f>
        <v/>
      </c>
      <c r="S329" s="140">
        <f t="shared" ca="1" si="44"/>
        <v>0</v>
      </c>
      <c r="U329" s="164" t="str">
        <f t="shared" ca="1" si="45"/>
        <v/>
      </c>
      <c r="V329" s="164" t="str">
        <f t="shared" ca="1" si="43"/>
        <v/>
      </c>
      <c r="W329" s="140">
        <f ca="1">IF(OR((W328-13/12*Z328)*(1+PREMISSAS!$C$16)&lt;0,W328=""),0,(W328-13/12*Z328)*(1+PREMISSAS!$C$16))</f>
        <v>0</v>
      </c>
      <c r="X329" s="140">
        <f ca="1">IF(OR((X328-13/12*AA328)*(1+PREMISSAS!$C$16)&lt;0,X328=""),0,(X328-13/12*AA328)*(1+PREMISSAS!$C$16))</f>
        <v>0</v>
      </c>
      <c r="Y329" s="140">
        <f t="shared" ca="1" si="40"/>
        <v>0</v>
      </c>
      <c r="Z329" s="167">
        <f t="shared" ca="1" si="46"/>
        <v>0</v>
      </c>
      <c r="AA329" s="167">
        <f t="shared" ca="1" si="47"/>
        <v>0</v>
      </c>
    </row>
    <row r="330" spans="2:27" x14ac:dyDescent="0.25">
      <c r="B330" s="21" t="str">
        <f ca="1">IF(B329="","",IF(EOMONTH(B329,1)&gt;EOMONTH(ELEGIBILIDADE!$J$17,0),"",EOMONTH(B329,1)))</f>
        <v/>
      </c>
      <c r="C330" s="22" t="str">
        <f ca="1">IF(B330="","",IF(MONTH(B330)=1,C329*(1+PREMISSAS!$C$57),C329))</f>
        <v/>
      </c>
      <c r="D330" s="22">
        <f ca="1">IF(RESULTADOS!$C$17="Normal",IFERROR(MAX(C330-PREMISSAS!$C$13,0),0),IF(Painel!$I$23=0,0,MAX(10*PREMISSAS!$C$38,RESULTADOS!$F$17)))</f>
        <v>0</v>
      </c>
      <c r="E330" s="4">
        <f ca="1">D330*IF(RESULTADOS!$C$17="Normal",RESULTADOS!$C$16,0)</f>
        <v>0</v>
      </c>
      <c r="F330" s="4">
        <f ca="1">IFERROR(IF(RESULTADOS!$C$17="Normal",D330,C330)*RESULTADOS!$C$18,0)</f>
        <v>0</v>
      </c>
      <c r="G330" s="4">
        <f ca="1">IFERROR(IF(RESULTADOS!$C$17="Normal",0,D330)*IF(RESULTADOS!$C$17="Normal",RESULTADOS!$C$18,RESULTADOS!$C$16),0)</f>
        <v>0</v>
      </c>
      <c r="H330" s="4">
        <f ca="1">IF(RESULTADOS!$C$17="Normal",E330,0)</f>
        <v>0</v>
      </c>
      <c r="I330" s="4">
        <f ca="1">(E330+H330+G330)*PREMISSAS!$C$60</f>
        <v>0</v>
      </c>
      <c r="J330" s="4">
        <f ca="1">D330*IF(RESULTADOS!$C$17="Normal",PREMISSAS!$C$62,0)</f>
        <v>0</v>
      </c>
      <c r="K330" s="116">
        <f ca="1">IFERROR(K329*(1+PREMISSAS!$C$18)+(E330+H330-IF(RESULTADOS!$C$17="Normal",I330,0)-J330)*IF(MONTH(B330)=12,2,1),0)</f>
        <v>0</v>
      </c>
      <c r="L330" s="116">
        <f ca="1">IFERROR((L329+G330-IF(RESULTADOS!$C$17="Normal",0,I330))*(1+PREMISSAS!$C$18)+F330,0)</f>
        <v>0</v>
      </c>
      <c r="N330" s="73">
        <f t="shared" ca="1" si="41"/>
        <v>0</v>
      </c>
      <c r="P330" s="164" t="str">
        <f t="shared" ca="1" si="42"/>
        <v/>
      </c>
      <c r="Q330" s="140" t="str">
        <f ca="1">IF(C330="","",Q329+(E330+H330-IF(RESULTADOS!$C$17="Normal",I330,0)-J330)/2+(F330+G330-IF(RESULTADOS!$C$17="Normal",0,I330)))</f>
        <v/>
      </c>
      <c r="R330" s="140" t="str">
        <f ca="1">IF(C330="","",R329+(E330+H330-IF(RESULTADOS!$C$17="Normal",I330,0)-J330)/2)</f>
        <v/>
      </c>
      <c r="S330" s="140">
        <f t="shared" ca="1" si="44"/>
        <v>0</v>
      </c>
      <c r="U330" s="164" t="str">
        <f t="shared" ca="1" si="45"/>
        <v/>
      </c>
      <c r="V330" s="164" t="str">
        <f t="shared" ca="1" si="43"/>
        <v/>
      </c>
      <c r="W330" s="140">
        <f ca="1">IF(OR((W329-13/12*Z329)*(1+PREMISSAS!$C$16)&lt;0,W329=""),0,(W329-13/12*Z329)*(1+PREMISSAS!$C$16))</f>
        <v>0</v>
      </c>
      <c r="X330" s="140">
        <f ca="1">IF(OR((X329-13/12*AA329)*(1+PREMISSAS!$C$16)&lt;0,X329=""),0,(X329-13/12*AA329)*(1+PREMISSAS!$C$16))</f>
        <v>0</v>
      </c>
      <c r="Y330" s="140">
        <f t="shared" ca="1" si="40"/>
        <v>0</v>
      </c>
      <c r="Z330" s="167">
        <f t="shared" ca="1" si="46"/>
        <v>0</v>
      </c>
      <c r="AA330" s="167">
        <f t="shared" ca="1" si="47"/>
        <v>0</v>
      </c>
    </row>
    <row r="331" spans="2:27" x14ac:dyDescent="0.25">
      <c r="B331" s="21" t="str">
        <f ca="1">IF(B330="","",IF(EOMONTH(B330,1)&gt;EOMONTH(ELEGIBILIDADE!$J$17,0),"",EOMONTH(B330,1)))</f>
        <v/>
      </c>
      <c r="C331" s="22" t="str">
        <f ca="1">IF(B331="","",IF(MONTH(B331)=1,C330*(1+PREMISSAS!$C$57),C330))</f>
        <v/>
      </c>
      <c r="D331" s="22">
        <f ca="1">IF(RESULTADOS!$C$17="Normal",IFERROR(MAX(C331-PREMISSAS!$C$13,0),0),IF(Painel!$I$23=0,0,MAX(10*PREMISSAS!$C$38,RESULTADOS!$F$17)))</f>
        <v>0</v>
      </c>
      <c r="E331" s="4">
        <f ca="1">D331*IF(RESULTADOS!$C$17="Normal",RESULTADOS!$C$16,0)</f>
        <v>0</v>
      </c>
      <c r="F331" s="4">
        <f ca="1">IFERROR(IF(RESULTADOS!$C$17="Normal",D331,C331)*RESULTADOS!$C$18,0)</f>
        <v>0</v>
      </c>
      <c r="G331" s="4">
        <f ca="1">IFERROR(IF(RESULTADOS!$C$17="Normal",0,D331)*IF(RESULTADOS!$C$17="Normal",RESULTADOS!$C$18,RESULTADOS!$C$16),0)</f>
        <v>0</v>
      </c>
      <c r="H331" s="4">
        <f ca="1">IF(RESULTADOS!$C$17="Normal",E331,0)</f>
        <v>0</v>
      </c>
      <c r="I331" s="4">
        <f ca="1">(E331+H331+G331)*PREMISSAS!$C$60</f>
        <v>0</v>
      </c>
      <c r="J331" s="4">
        <f ca="1">D331*IF(RESULTADOS!$C$17="Normal",PREMISSAS!$C$62,0)</f>
        <v>0</v>
      </c>
      <c r="K331" s="116">
        <f ca="1">IFERROR(K330*(1+PREMISSAS!$C$18)+(E331+H331-IF(RESULTADOS!$C$17="Normal",I331,0)-J331)*IF(MONTH(B331)=12,2,1),0)</f>
        <v>0</v>
      </c>
      <c r="L331" s="116">
        <f ca="1">IFERROR((L330+G331-IF(RESULTADOS!$C$17="Normal",0,I331))*(1+PREMISSAS!$C$18)+F331,0)</f>
        <v>0</v>
      </c>
      <c r="N331" s="73">
        <f t="shared" ca="1" si="41"/>
        <v>0</v>
      </c>
      <c r="P331" s="164" t="str">
        <f t="shared" ca="1" si="42"/>
        <v/>
      </c>
      <c r="Q331" s="140" t="str">
        <f ca="1">IF(C331="","",Q330+(E331+H331-IF(RESULTADOS!$C$17="Normal",I331,0)-J331)/2+(F331+G331-IF(RESULTADOS!$C$17="Normal",0,I331)))</f>
        <v/>
      </c>
      <c r="R331" s="140" t="str">
        <f ca="1">IF(C331="","",R330+(E331+H331-IF(RESULTADOS!$C$17="Normal",I331,0)-J331)/2)</f>
        <v/>
      </c>
      <c r="S331" s="140">
        <f t="shared" ca="1" si="44"/>
        <v>0</v>
      </c>
      <c r="U331" s="164" t="str">
        <f t="shared" ca="1" si="45"/>
        <v/>
      </c>
      <c r="V331" s="164" t="str">
        <f t="shared" ca="1" si="43"/>
        <v/>
      </c>
      <c r="W331" s="140">
        <f ca="1">IF(OR((W330-13/12*Z330)*(1+PREMISSAS!$C$16)&lt;0,W330=""),0,(W330-13/12*Z330)*(1+PREMISSAS!$C$16))</f>
        <v>0</v>
      </c>
      <c r="X331" s="140">
        <f ca="1">IF(OR((X330-13/12*AA330)*(1+PREMISSAS!$C$16)&lt;0,X330=""),0,(X330-13/12*AA330)*(1+PREMISSAS!$C$16))</f>
        <v>0</v>
      </c>
      <c r="Y331" s="140">
        <f t="shared" ca="1" si="40"/>
        <v>0</v>
      </c>
      <c r="Z331" s="167">
        <f t="shared" ca="1" si="46"/>
        <v>0</v>
      </c>
      <c r="AA331" s="167">
        <f t="shared" ca="1" si="47"/>
        <v>0</v>
      </c>
    </row>
    <row r="332" spans="2:27" x14ac:dyDescent="0.25">
      <c r="B332" s="21" t="str">
        <f ca="1">IF(B331="","",IF(EOMONTH(B331,1)&gt;EOMONTH(ELEGIBILIDADE!$J$17,0),"",EOMONTH(B331,1)))</f>
        <v/>
      </c>
      <c r="C332" s="22" t="str">
        <f ca="1">IF(B332="","",IF(MONTH(B332)=1,C331*(1+PREMISSAS!$C$57),C331))</f>
        <v/>
      </c>
      <c r="D332" s="22">
        <f ca="1">IF(RESULTADOS!$C$17="Normal",IFERROR(MAX(C332-PREMISSAS!$C$13,0),0),IF(Painel!$I$23=0,0,MAX(10*PREMISSAS!$C$38,RESULTADOS!$F$17)))</f>
        <v>0</v>
      </c>
      <c r="E332" s="4">
        <f ca="1">D332*IF(RESULTADOS!$C$17="Normal",RESULTADOS!$C$16,0)</f>
        <v>0</v>
      </c>
      <c r="F332" s="4">
        <f ca="1">IFERROR(IF(RESULTADOS!$C$17="Normal",D332,C332)*RESULTADOS!$C$18,0)</f>
        <v>0</v>
      </c>
      <c r="G332" s="4">
        <f ca="1">IFERROR(IF(RESULTADOS!$C$17="Normal",0,D332)*IF(RESULTADOS!$C$17="Normal",RESULTADOS!$C$18,RESULTADOS!$C$16),0)</f>
        <v>0</v>
      </c>
      <c r="H332" s="4">
        <f ca="1">IF(RESULTADOS!$C$17="Normal",E332,0)</f>
        <v>0</v>
      </c>
      <c r="I332" s="4">
        <f ca="1">(E332+H332+G332)*PREMISSAS!$C$60</f>
        <v>0</v>
      </c>
      <c r="J332" s="4">
        <f ca="1">D332*IF(RESULTADOS!$C$17="Normal",PREMISSAS!$C$62,0)</f>
        <v>0</v>
      </c>
      <c r="K332" s="116">
        <f ca="1">IFERROR(K331*(1+PREMISSAS!$C$18)+(E332+H332-IF(RESULTADOS!$C$17="Normal",I332,0)-J332)*IF(MONTH(B332)=12,2,1),0)</f>
        <v>0</v>
      </c>
      <c r="L332" s="116">
        <f ca="1">IFERROR((L331+G332-IF(RESULTADOS!$C$17="Normal",0,I332))*(1+PREMISSAS!$C$18)+F332,0)</f>
        <v>0</v>
      </c>
      <c r="N332" s="73">
        <f t="shared" ca="1" si="41"/>
        <v>0</v>
      </c>
      <c r="P332" s="164" t="str">
        <f t="shared" ca="1" si="42"/>
        <v/>
      </c>
      <c r="Q332" s="140" t="str">
        <f ca="1">IF(C332="","",Q331+(E332+H332-IF(RESULTADOS!$C$17="Normal",I332,0)-J332)/2+(F332+G332-IF(RESULTADOS!$C$17="Normal",0,I332)))</f>
        <v/>
      </c>
      <c r="R332" s="140" t="str">
        <f ca="1">IF(C332="","",R331+(E332+H332-IF(RESULTADOS!$C$17="Normal",I332,0)-J332)/2)</f>
        <v/>
      </c>
      <c r="S332" s="140">
        <f t="shared" ca="1" si="44"/>
        <v>0</v>
      </c>
      <c r="U332" s="164" t="str">
        <f t="shared" ca="1" si="45"/>
        <v/>
      </c>
      <c r="V332" s="164" t="str">
        <f t="shared" ca="1" si="43"/>
        <v/>
      </c>
      <c r="W332" s="140">
        <f ca="1">IF(OR((W331-13/12*Z331)*(1+PREMISSAS!$C$16)&lt;0,W331=""),0,(W331-13/12*Z331)*(1+PREMISSAS!$C$16))</f>
        <v>0</v>
      </c>
      <c r="X332" s="140">
        <f ca="1">IF(OR((X331-13/12*AA331)*(1+PREMISSAS!$C$16)&lt;0,X331=""),0,(X331-13/12*AA331)*(1+PREMISSAS!$C$16))</f>
        <v>0</v>
      </c>
      <c r="Y332" s="140">
        <f t="shared" ca="1" si="40"/>
        <v>0</v>
      </c>
      <c r="Z332" s="167">
        <f t="shared" ca="1" si="46"/>
        <v>0</v>
      </c>
      <c r="AA332" s="167">
        <f t="shared" ca="1" si="47"/>
        <v>0</v>
      </c>
    </row>
    <row r="333" spans="2:27" x14ac:dyDescent="0.25">
      <c r="B333" s="21" t="str">
        <f ca="1">IF(B332="","",IF(EOMONTH(B332,1)&gt;EOMONTH(ELEGIBILIDADE!$J$17,0),"",EOMONTH(B332,1)))</f>
        <v/>
      </c>
      <c r="C333" s="22" t="str">
        <f ca="1">IF(B333="","",IF(MONTH(B333)=1,C332*(1+PREMISSAS!$C$57),C332))</f>
        <v/>
      </c>
      <c r="D333" s="22">
        <f ca="1">IF(RESULTADOS!$C$17="Normal",IFERROR(MAX(C333-PREMISSAS!$C$13,0),0),IF(Painel!$I$23=0,0,MAX(10*PREMISSAS!$C$38,RESULTADOS!$F$17)))</f>
        <v>0</v>
      </c>
      <c r="E333" s="4">
        <f ca="1">D333*IF(RESULTADOS!$C$17="Normal",RESULTADOS!$C$16,0)</f>
        <v>0</v>
      </c>
      <c r="F333" s="4">
        <f ca="1">IFERROR(IF(RESULTADOS!$C$17="Normal",D333,C333)*RESULTADOS!$C$18,0)</f>
        <v>0</v>
      </c>
      <c r="G333" s="4">
        <f ca="1">IFERROR(IF(RESULTADOS!$C$17="Normal",0,D333)*IF(RESULTADOS!$C$17="Normal",RESULTADOS!$C$18,RESULTADOS!$C$16),0)</f>
        <v>0</v>
      </c>
      <c r="H333" s="4">
        <f ca="1">IF(RESULTADOS!$C$17="Normal",E333,0)</f>
        <v>0</v>
      </c>
      <c r="I333" s="4">
        <f ca="1">(E333+H333+G333)*PREMISSAS!$C$60</f>
        <v>0</v>
      </c>
      <c r="J333" s="4">
        <f ca="1">D333*IF(RESULTADOS!$C$17="Normal",PREMISSAS!$C$62,0)</f>
        <v>0</v>
      </c>
      <c r="K333" s="116">
        <f ca="1">IFERROR(K332*(1+PREMISSAS!$C$18)+(E333+H333-IF(RESULTADOS!$C$17="Normal",I333,0)-J333)*IF(MONTH(B333)=12,2,1),0)</f>
        <v>0</v>
      </c>
      <c r="L333" s="116">
        <f ca="1">IFERROR((L332+G333-IF(RESULTADOS!$C$17="Normal",0,I333))*(1+PREMISSAS!$C$18)+F333,0)</f>
        <v>0</v>
      </c>
      <c r="N333" s="73">
        <f t="shared" ca="1" si="41"/>
        <v>0</v>
      </c>
      <c r="P333" s="164" t="str">
        <f t="shared" ca="1" si="42"/>
        <v/>
      </c>
      <c r="Q333" s="140" t="str">
        <f ca="1">IF(C333="","",Q332+(E333+H333-IF(RESULTADOS!$C$17="Normal",I333,0)-J333)/2+(F333+G333-IF(RESULTADOS!$C$17="Normal",0,I333)))</f>
        <v/>
      </c>
      <c r="R333" s="140" t="str">
        <f ca="1">IF(C333="","",R332+(E333+H333-IF(RESULTADOS!$C$17="Normal",I333,0)-J333)/2)</f>
        <v/>
      </c>
      <c r="S333" s="140">
        <f t="shared" ca="1" si="44"/>
        <v>0</v>
      </c>
      <c r="U333" s="164" t="str">
        <f t="shared" ca="1" si="45"/>
        <v/>
      </c>
      <c r="V333" s="164" t="str">
        <f t="shared" ca="1" si="43"/>
        <v/>
      </c>
      <c r="W333" s="140">
        <f ca="1">IF(OR((W332-13/12*Z332)*(1+PREMISSAS!$C$16)&lt;0,W332=""),0,(W332-13/12*Z332)*(1+PREMISSAS!$C$16))</f>
        <v>0</v>
      </c>
      <c r="X333" s="140">
        <f ca="1">IF(OR((X332-13/12*AA332)*(1+PREMISSAS!$C$16)&lt;0,X332=""),0,(X332-13/12*AA332)*(1+PREMISSAS!$C$16))</f>
        <v>0</v>
      </c>
      <c r="Y333" s="140">
        <f t="shared" ca="1" si="40"/>
        <v>0</v>
      </c>
      <c r="Z333" s="167">
        <f t="shared" ca="1" si="46"/>
        <v>0</v>
      </c>
      <c r="AA333" s="167">
        <f t="shared" ca="1" si="47"/>
        <v>0</v>
      </c>
    </row>
    <row r="334" spans="2:27" x14ac:dyDescent="0.25">
      <c r="B334" s="21" t="str">
        <f ca="1">IF(B333="","",IF(EOMONTH(B333,1)&gt;EOMONTH(ELEGIBILIDADE!$J$17,0),"",EOMONTH(B333,1)))</f>
        <v/>
      </c>
      <c r="C334" s="22" t="str">
        <f ca="1">IF(B334="","",IF(MONTH(B334)=1,C333*(1+PREMISSAS!$C$57),C333))</f>
        <v/>
      </c>
      <c r="D334" s="22">
        <f ca="1">IF(RESULTADOS!$C$17="Normal",IFERROR(MAX(C334-PREMISSAS!$C$13,0),0),IF(Painel!$I$23=0,0,MAX(10*PREMISSAS!$C$38,RESULTADOS!$F$17)))</f>
        <v>0</v>
      </c>
      <c r="E334" s="4">
        <f ca="1">D334*IF(RESULTADOS!$C$17="Normal",RESULTADOS!$C$16,0)</f>
        <v>0</v>
      </c>
      <c r="F334" s="4">
        <f ca="1">IFERROR(IF(RESULTADOS!$C$17="Normal",D334,C334)*RESULTADOS!$C$18,0)</f>
        <v>0</v>
      </c>
      <c r="G334" s="4">
        <f ca="1">IFERROR(IF(RESULTADOS!$C$17="Normal",0,D334)*IF(RESULTADOS!$C$17="Normal",RESULTADOS!$C$18,RESULTADOS!$C$16),0)</f>
        <v>0</v>
      </c>
      <c r="H334" s="4">
        <f ca="1">IF(RESULTADOS!$C$17="Normal",E334,0)</f>
        <v>0</v>
      </c>
      <c r="I334" s="4">
        <f ca="1">(E334+H334+G334)*PREMISSAS!$C$60</f>
        <v>0</v>
      </c>
      <c r="J334" s="4">
        <f ca="1">D334*IF(RESULTADOS!$C$17="Normal",PREMISSAS!$C$62,0)</f>
        <v>0</v>
      </c>
      <c r="K334" s="116">
        <f ca="1">IFERROR(K333*(1+PREMISSAS!$C$18)+(E334+H334-IF(RESULTADOS!$C$17="Normal",I334,0)-J334)*IF(MONTH(B334)=12,2,1),0)</f>
        <v>0</v>
      </c>
      <c r="L334" s="116">
        <f ca="1">IFERROR((L333+G334-IF(RESULTADOS!$C$17="Normal",0,I334))*(1+PREMISSAS!$C$18)+F334,0)</f>
        <v>0</v>
      </c>
      <c r="N334" s="73">
        <f t="shared" ca="1" si="41"/>
        <v>0</v>
      </c>
      <c r="P334" s="164" t="str">
        <f t="shared" ca="1" si="42"/>
        <v/>
      </c>
      <c r="Q334" s="140" t="str">
        <f ca="1">IF(C334="","",Q333+(E334+H334-IF(RESULTADOS!$C$17="Normal",I334,0)-J334)/2+(F334+G334-IF(RESULTADOS!$C$17="Normal",0,I334)))</f>
        <v/>
      </c>
      <c r="R334" s="140" t="str">
        <f ca="1">IF(C334="","",R333+(E334+H334-IF(RESULTADOS!$C$17="Normal",I334,0)-J334)/2)</f>
        <v/>
      </c>
      <c r="S334" s="140">
        <f t="shared" ca="1" si="44"/>
        <v>0</v>
      </c>
      <c r="U334" s="164" t="str">
        <f t="shared" ca="1" si="45"/>
        <v/>
      </c>
      <c r="V334" s="164" t="str">
        <f t="shared" ca="1" si="43"/>
        <v/>
      </c>
      <c r="W334" s="140">
        <f ca="1">IF(OR((W333-13/12*Z333)*(1+PREMISSAS!$C$16)&lt;0,W333=""),0,(W333-13/12*Z333)*(1+PREMISSAS!$C$16))</f>
        <v>0</v>
      </c>
      <c r="X334" s="140">
        <f ca="1">IF(OR((X333-13/12*AA333)*(1+PREMISSAS!$C$16)&lt;0,X333=""),0,(X333-13/12*AA333)*(1+PREMISSAS!$C$16))</f>
        <v>0</v>
      </c>
      <c r="Y334" s="140">
        <f t="shared" ca="1" si="40"/>
        <v>0</v>
      </c>
      <c r="Z334" s="167">
        <f t="shared" ca="1" si="46"/>
        <v>0</v>
      </c>
      <c r="AA334" s="167">
        <f t="shared" ca="1" si="47"/>
        <v>0</v>
      </c>
    </row>
    <row r="335" spans="2:27" x14ac:dyDescent="0.25">
      <c r="B335" s="21" t="str">
        <f ca="1">IF(B334="","",IF(EOMONTH(B334,1)&gt;EOMONTH(ELEGIBILIDADE!$J$17,0),"",EOMONTH(B334,1)))</f>
        <v/>
      </c>
      <c r="C335" s="22" t="str">
        <f ca="1">IF(B335="","",IF(MONTH(B335)=1,C334*(1+PREMISSAS!$C$57),C334))</f>
        <v/>
      </c>
      <c r="D335" s="22">
        <f ca="1">IF(RESULTADOS!$C$17="Normal",IFERROR(MAX(C335-PREMISSAS!$C$13,0),0),IF(Painel!$I$23=0,0,MAX(10*PREMISSAS!$C$38,RESULTADOS!$F$17)))</f>
        <v>0</v>
      </c>
      <c r="E335" s="4">
        <f ca="1">D335*IF(RESULTADOS!$C$17="Normal",RESULTADOS!$C$16,0)</f>
        <v>0</v>
      </c>
      <c r="F335" s="4">
        <f ca="1">IFERROR(IF(RESULTADOS!$C$17="Normal",D335,C335)*RESULTADOS!$C$18,0)</f>
        <v>0</v>
      </c>
      <c r="G335" s="4">
        <f ca="1">IFERROR(IF(RESULTADOS!$C$17="Normal",0,D335)*IF(RESULTADOS!$C$17="Normal",RESULTADOS!$C$18,RESULTADOS!$C$16),0)</f>
        <v>0</v>
      </c>
      <c r="H335" s="4">
        <f ca="1">IF(RESULTADOS!$C$17="Normal",E335,0)</f>
        <v>0</v>
      </c>
      <c r="I335" s="4">
        <f ca="1">(E335+H335+G335)*PREMISSAS!$C$60</f>
        <v>0</v>
      </c>
      <c r="J335" s="4">
        <f ca="1">D335*IF(RESULTADOS!$C$17="Normal",PREMISSAS!$C$62,0)</f>
        <v>0</v>
      </c>
      <c r="K335" s="116">
        <f ca="1">IFERROR(K334*(1+PREMISSAS!$C$18)+(E335+H335-IF(RESULTADOS!$C$17="Normal",I335,0)-J335)*IF(MONTH(B335)=12,2,1),0)</f>
        <v>0</v>
      </c>
      <c r="L335" s="116">
        <f ca="1">IFERROR((L334+G335-IF(RESULTADOS!$C$17="Normal",0,I335))*(1+PREMISSAS!$C$18)+F335,0)</f>
        <v>0</v>
      </c>
      <c r="N335" s="73">
        <f t="shared" ca="1" si="41"/>
        <v>0</v>
      </c>
      <c r="P335" s="164" t="str">
        <f t="shared" ca="1" si="42"/>
        <v/>
      </c>
      <c r="Q335" s="140" t="str">
        <f ca="1">IF(C335="","",Q334+(E335+H335-IF(RESULTADOS!$C$17="Normal",I335,0)-J335)/2+(F335+G335-IF(RESULTADOS!$C$17="Normal",0,I335)))</f>
        <v/>
      </c>
      <c r="R335" s="140" t="str">
        <f ca="1">IF(C335="","",R334+(E335+H335-IF(RESULTADOS!$C$17="Normal",I335,0)-J335)/2)</f>
        <v/>
      </c>
      <c r="S335" s="140">
        <f t="shared" ca="1" si="44"/>
        <v>0</v>
      </c>
      <c r="U335" s="164" t="str">
        <f t="shared" ca="1" si="45"/>
        <v/>
      </c>
      <c r="V335" s="164" t="str">
        <f t="shared" ca="1" si="43"/>
        <v/>
      </c>
      <c r="W335" s="140">
        <f ca="1">IF(OR((W334-13/12*Z334)*(1+PREMISSAS!$C$16)&lt;0,W334=""),0,(W334-13/12*Z334)*(1+PREMISSAS!$C$16))</f>
        <v>0</v>
      </c>
      <c r="X335" s="140">
        <f ca="1">IF(OR((X334-13/12*AA334)*(1+PREMISSAS!$C$16)&lt;0,X334=""),0,(X334-13/12*AA334)*(1+PREMISSAS!$C$16))</f>
        <v>0</v>
      </c>
      <c r="Y335" s="140">
        <f t="shared" ca="1" si="40"/>
        <v>0</v>
      </c>
      <c r="Z335" s="167">
        <f t="shared" ca="1" si="46"/>
        <v>0</v>
      </c>
      <c r="AA335" s="167">
        <f t="shared" ca="1" si="47"/>
        <v>0</v>
      </c>
    </row>
    <row r="336" spans="2:27" x14ac:dyDescent="0.25">
      <c r="B336" s="21" t="str">
        <f ca="1">IF(B335="","",IF(EOMONTH(B335,1)&gt;EOMONTH(ELEGIBILIDADE!$J$17,0),"",EOMONTH(B335,1)))</f>
        <v/>
      </c>
      <c r="C336" s="22" t="str">
        <f ca="1">IF(B336="","",IF(MONTH(B336)=1,C335*(1+PREMISSAS!$C$57),C335))</f>
        <v/>
      </c>
      <c r="D336" s="22">
        <f ca="1">IF(RESULTADOS!$C$17="Normal",IFERROR(MAX(C336-PREMISSAS!$C$13,0),0),IF(Painel!$I$23=0,0,MAX(10*PREMISSAS!$C$38,RESULTADOS!$F$17)))</f>
        <v>0</v>
      </c>
      <c r="E336" s="4">
        <f ca="1">D336*IF(RESULTADOS!$C$17="Normal",RESULTADOS!$C$16,0)</f>
        <v>0</v>
      </c>
      <c r="F336" s="4">
        <f ca="1">IFERROR(IF(RESULTADOS!$C$17="Normal",D336,C336)*RESULTADOS!$C$18,0)</f>
        <v>0</v>
      </c>
      <c r="G336" s="4">
        <f ca="1">IFERROR(IF(RESULTADOS!$C$17="Normal",0,D336)*IF(RESULTADOS!$C$17="Normal",RESULTADOS!$C$18,RESULTADOS!$C$16),0)</f>
        <v>0</v>
      </c>
      <c r="H336" s="4">
        <f ca="1">IF(RESULTADOS!$C$17="Normal",E336,0)</f>
        <v>0</v>
      </c>
      <c r="I336" s="4">
        <f ca="1">(E336+H336+G336)*PREMISSAS!$C$60</f>
        <v>0</v>
      </c>
      <c r="J336" s="4">
        <f ca="1">D336*IF(RESULTADOS!$C$17="Normal",PREMISSAS!$C$62,0)</f>
        <v>0</v>
      </c>
      <c r="K336" s="116">
        <f ca="1">IFERROR(K335*(1+PREMISSAS!$C$18)+(E336+H336-IF(RESULTADOS!$C$17="Normal",I336,0)-J336)*IF(MONTH(B336)=12,2,1),0)</f>
        <v>0</v>
      </c>
      <c r="L336" s="116">
        <f ca="1">IFERROR((L335+G336-IF(RESULTADOS!$C$17="Normal",0,I336))*(1+PREMISSAS!$C$18)+F336,0)</f>
        <v>0</v>
      </c>
      <c r="N336" s="73">
        <f t="shared" ca="1" si="41"/>
        <v>0</v>
      </c>
      <c r="P336" s="164" t="str">
        <f t="shared" ca="1" si="42"/>
        <v/>
      </c>
      <c r="Q336" s="140" t="str">
        <f ca="1">IF(C336="","",Q335+(E336+H336-IF(RESULTADOS!$C$17="Normal",I336,0)-J336)/2+(F336+G336-IF(RESULTADOS!$C$17="Normal",0,I336)))</f>
        <v/>
      </c>
      <c r="R336" s="140" t="str">
        <f ca="1">IF(C336="","",R335+(E336+H336-IF(RESULTADOS!$C$17="Normal",I336,0)-J336)/2)</f>
        <v/>
      </c>
      <c r="S336" s="140">
        <f t="shared" ca="1" si="44"/>
        <v>0</v>
      </c>
      <c r="U336" s="164" t="str">
        <f t="shared" ca="1" si="45"/>
        <v/>
      </c>
      <c r="V336" s="164" t="str">
        <f t="shared" ca="1" si="43"/>
        <v/>
      </c>
      <c r="W336" s="140">
        <f ca="1">IF(OR((W335-13/12*Z335)*(1+PREMISSAS!$C$16)&lt;0,W335=""),0,(W335-13/12*Z335)*(1+PREMISSAS!$C$16))</f>
        <v>0</v>
      </c>
      <c r="X336" s="140">
        <f ca="1">IF(OR((X335-13/12*AA335)*(1+PREMISSAS!$C$16)&lt;0,X335=""),0,(X335-13/12*AA335)*(1+PREMISSAS!$C$16))</f>
        <v>0</v>
      </c>
      <c r="Y336" s="140">
        <f t="shared" ca="1" si="40"/>
        <v>0</v>
      </c>
      <c r="Z336" s="167">
        <f t="shared" ca="1" si="46"/>
        <v>0</v>
      </c>
      <c r="AA336" s="167">
        <f t="shared" ca="1" si="47"/>
        <v>0</v>
      </c>
    </row>
    <row r="337" spans="2:27" x14ac:dyDescent="0.25">
      <c r="B337" s="21" t="str">
        <f ca="1">IF(B336="","",IF(EOMONTH(B336,1)&gt;EOMONTH(ELEGIBILIDADE!$J$17,0),"",EOMONTH(B336,1)))</f>
        <v/>
      </c>
      <c r="C337" s="22" t="str">
        <f ca="1">IF(B337="","",IF(MONTH(B337)=1,C336*(1+PREMISSAS!$C$57),C336))</f>
        <v/>
      </c>
      <c r="D337" s="22">
        <f ca="1">IF(RESULTADOS!$C$17="Normal",IFERROR(MAX(C337-PREMISSAS!$C$13,0),0),IF(Painel!$I$23=0,0,MAX(10*PREMISSAS!$C$38,RESULTADOS!$F$17)))</f>
        <v>0</v>
      </c>
      <c r="E337" s="4">
        <f ca="1">D337*IF(RESULTADOS!$C$17="Normal",RESULTADOS!$C$16,0)</f>
        <v>0</v>
      </c>
      <c r="F337" s="4">
        <f ca="1">IFERROR(IF(RESULTADOS!$C$17="Normal",D337,C337)*RESULTADOS!$C$18,0)</f>
        <v>0</v>
      </c>
      <c r="G337" s="4">
        <f ca="1">IFERROR(IF(RESULTADOS!$C$17="Normal",0,D337)*IF(RESULTADOS!$C$17="Normal",RESULTADOS!$C$18,RESULTADOS!$C$16),0)</f>
        <v>0</v>
      </c>
      <c r="H337" s="4">
        <f ca="1">IF(RESULTADOS!$C$17="Normal",E337,0)</f>
        <v>0</v>
      </c>
      <c r="I337" s="4">
        <f ca="1">(E337+H337+G337)*PREMISSAS!$C$60</f>
        <v>0</v>
      </c>
      <c r="J337" s="4">
        <f ca="1">D337*IF(RESULTADOS!$C$17="Normal",PREMISSAS!$C$62,0)</f>
        <v>0</v>
      </c>
      <c r="K337" s="116">
        <f ca="1">IFERROR(K336*(1+PREMISSAS!$C$18)+(E337+H337-IF(RESULTADOS!$C$17="Normal",I337,0)-J337)*IF(MONTH(B337)=12,2,1),0)</f>
        <v>0</v>
      </c>
      <c r="L337" s="116">
        <f ca="1">IFERROR((L336+G337-IF(RESULTADOS!$C$17="Normal",0,I337))*(1+PREMISSAS!$C$18)+F337,0)</f>
        <v>0</v>
      </c>
      <c r="N337" s="73">
        <f t="shared" ca="1" si="41"/>
        <v>0</v>
      </c>
      <c r="P337" s="164" t="str">
        <f t="shared" ca="1" si="42"/>
        <v/>
      </c>
      <c r="Q337" s="140" t="str">
        <f ca="1">IF(C337="","",Q336+(E337+H337-IF(RESULTADOS!$C$17="Normal",I337,0)-J337)/2+(F337+G337-IF(RESULTADOS!$C$17="Normal",0,I337)))</f>
        <v/>
      </c>
      <c r="R337" s="140" t="str">
        <f ca="1">IF(C337="","",R336+(E337+H337-IF(RESULTADOS!$C$17="Normal",I337,0)-J337)/2)</f>
        <v/>
      </c>
      <c r="S337" s="140">
        <f t="shared" ca="1" si="44"/>
        <v>0</v>
      </c>
      <c r="U337" s="164" t="str">
        <f t="shared" ca="1" si="45"/>
        <v/>
      </c>
      <c r="V337" s="164" t="str">
        <f t="shared" ca="1" si="43"/>
        <v/>
      </c>
      <c r="W337" s="140">
        <f ca="1">IF(OR((W336-13/12*Z336)*(1+PREMISSAS!$C$16)&lt;0,W336=""),0,(W336-13/12*Z336)*(1+PREMISSAS!$C$16))</f>
        <v>0</v>
      </c>
      <c r="X337" s="140">
        <f ca="1">IF(OR((X336-13/12*AA336)*(1+PREMISSAS!$C$16)&lt;0,X336=""),0,(X336-13/12*AA336)*(1+PREMISSAS!$C$16))</f>
        <v>0</v>
      </c>
      <c r="Y337" s="140">
        <f t="shared" ca="1" si="40"/>
        <v>0</v>
      </c>
      <c r="Z337" s="167">
        <f t="shared" ca="1" si="46"/>
        <v>0</v>
      </c>
      <c r="AA337" s="167">
        <f t="shared" ca="1" si="47"/>
        <v>0</v>
      </c>
    </row>
    <row r="338" spans="2:27" x14ac:dyDescent="0.25">
      <c r="B338" s="21" t="str">
        <f ca="1">IF(B337="","",IF(EOMONTH(B337,1)&gt;EOMONTH(ELEGIBILIDADE!$J$17,0),"",EOMONTH(B337,1)))</f>
        <v/>
      </c>
      <c r="C338" s="22" t="str">
        <f ca="1">IF(B338="","",IF(MONTH(B338)=1,C337*(1+PREMISSAS!$C$57),C337))</f>
        <v/>
      </c>
      <c r="D338" s="22">
        <f ca="1">IF(RESULTADOS!$C$17="Normal",IFERROR(MAX(C338-PREMISSAS!$C$13,0),0),IF(Painel!$I$23=0,0,MAX(10*PREMISSAS!$C$38,RESULTADOS!$F$17)))</f>
        <v>0</v>
      </c>
      <c r="E338" s="4">
        <f ca="1">D338*IF(RESULTADOS!$C$17="Normal",RESULTADOS!$C$16,0)</f>
        <v>0</v>
      </c>
      <c r="F338" s="4">
        <f ca="1">IFERROR(IF(RESULTADOS!$C$17="Normal",D338,C338)*RESULTADOS!$C$18,0)</f>
        <v>0</v>
      </c>
      <c r="G338" s="4">
        <f ca="1">IFERROR(IF(RESULTADOS!$C$17="Normal",0,D338)*IF(RESULTADOS!$C$17="Normal",RESULTADOS!$C$18,RESULTADOS!$C$16),0)</f>
        <v>0</v>
      </c>
      <c r="H338" s="4">
        <f ca="1">IF(RESULTADOS!$C$17="Normal",E338,0)</f>
        <v>0</v>
      </c>
      <c r="I338" s="4">
        <f ca="1">(E338+H338+G338)*PREMISSAS!$C$60</f>
        <v>0</v>
      </c>
      <c r="J338" s="4">
        <f ca="1">D338*IF(RESULTADOS!$C$17="Normal",PREMISSAS!$C$62,0)</f>
        <v>0</v>
      </c>
      <c r="K338" s="116">
        <f ca="1">IFERROR(K337*(1+PREMISSAS!$C$18)+(E338+H338-IF(RESULTADOS!$C$17="Normal",I338,0)-J338)*IF(MONTH(B338)=12,2,1),0)</f>
        <v>0</v>
      </c>
      <c r="L338" s="116">
        <f ca="1">IFERROR((L337+G338-IF(RESULTADOS!$C$17="Normal",0,I338))*(1+PREMISSAS!$C$18)+F338,0)</f>
        <v>0</v>
      </c>
      <c r="N338" s="73">
        <f t="shared" ca="1" si="41"/>
        <v>0</v>
      </c>
      <c r="P338" s="164" t="str">
        <f t="shared" ca="1" si="42"/>
        <v/>
      </c>
      <c r="Q338" s="140" t="str">
        <f ca="1">IF(C338="","",Q337+(E338+H338-IF(RESULTADOS!$C$17="Normal",I338,0)-J338)/2+(F338+G338-IF(RESULTADOS!$C$17="Normal",0,I338)))</f>
        <v/>
      </c>
      <c r="R338" s="140" t="str">
        <f ca="1">IF(C338="","",R337+(E338+H338-IF(RESULTADOS!$C$17="Normal",I338,0)-J338)/2)</f>
        <v/>
      </c>
      <c r="S338" s="140">
        <f t="shared" ca="1" si="44"/>
        <v>0</v>
      </c>
      <c r="U338" s="164" t="str">
        <f t="shared" ca="1" si="45"/>
        <v/>
      </c>
      <c r="V338" s="164" t="str">
        <f t="shared" ca="1" si="43"/>
        <v/>
      </c>
      <c r="W338" s="140">
        <f ca="1">IF(OR((W337-13/12*Z337)*(1+PREMISSAS!$C$16)&lt;0,W337=""),0,(W337-13/12*Z337)*(1+PREMISSAS!$C$16))</f>
        <v>0</v>
      </c>
      <c r="X338" s="140">
        <f ca="1">IF(OR((X337-13/12*AA337)*(1+PREMISSAS!$C$16)&lt;0,X337=""),0,(X337-13/12*AA337)*(1+PREMISSAS!$C$16))</f>
        <v>0</v>
      </c>
      <c r="Y338" s="140">
        <f t="shared" ca="1" si="40"/>
        <v>0</v>
      </c>
      <c r="Z338" s="167">
        <f t="shared" ca="1" si="46"/>
        <v>0</v>
      </c>
      <c r="AA338" s="167">
        <f t="shared" ca="1" si="47"/>
        <v>0</v>
      </c>
    </row>
    <row r="339" spans="2:27" x14ac:dyDescent="0.25">
      <c r="B339" s="21" t="str">
        <f ca="1">IF(B338="","",IF(EOMONTH(B338,1)&gt;EOMONTH(ELEGIBILIDADE!$J$17,0),"",EOMONTH(B338,1)))</f>
        <v/>
      </c>
      <c r="C339" s="22" t="str">
        <f ca="1">IF(B339="","",IF(MONTH(B339)=1,C338*(1+PREMISSAS!$C$57),C338))</f>
        <v/>
      </c>
      <c r="D339" s="22">
        <f ca="1">IF(RESULTADOS!$C$17="Normal",IFERROR(MAX(C339-PREMISSAS!$C$13,0),0),IF(Painel!$I$23=0,0,MAX(10*PREMISSAS!$C$38,RESULTADOS!$F$17)))</f>
        <v>0</v>
      </c>
      <c r="E339" s="4">
        <f ca="1">D339*IF(RESULTADOS!$C$17="Normal",RESULTADOS!$C$16,0)</f>
        <v>0</v>
      </c>
      <c r="F339" s="4">
        <f ca="1">IFERROR(IF(RESULTADOS!$C$17="Normal",D339,C339)*RESULTADOS!$C$18,0)</f>
        <v>0</v>
      </c>
      <c r="G339" s="4">
        <f ca="1">IFERROR(IF(RESULTADOS!$C$17="Normal",0,D339)*IF(RESULTADOS!$C$17="Normal",RESULTADOS!$C$18,RESULTADOS!$C$16),0)</f>
        <v>0</v>
      </c>
      <c r="H339" s="4">
        <f ca="1">IF(RESULTADOS!$C$17="Normal",E339,0)</f>
        <v>0</v>
      </c>
      <c r="I339" s="4">
        <f ca="1">(E339+H339+G339)*PREMISSAS!$C$60</f>
        <v>0</v>
      </c>
      <c r="J339" s="4">
        <f ca="1">D339*IF(RESULTADOS!$C$17="Normal",PREMISSAS!$C$62,0)</f>
        <v>0</v>
      </c>
      <c r="K339" s="116">
        <f ca="1">IFERROR(K338*(1+PREMISSAS!$C$18)+(E339+H339-IF(RESULTADOS!$C$17="Normal",I339,0)-J339)*IF(MONTH(B339)=12,2,1),0)</f>
        <v>0</v>
      </c>
      <c r="L339" s="116">
        <f ca="1">IFERROR((L338+G339-IF(RESULTADOS!$C$17="Normal",0,I339))*(1+PREMISSAS!$C$18)+F339,0)</f>
        <v>0</v>
      </c>
      <c r="N339" s="73">
        <f t="shared" ca="1" si="41"/>
        <v>0</v>
      </c>
      <c r="P339" s="164" t="str">
        <f t="shared" ca="1" si="42"/>
        <v/>
      </c>
      <c r="Q339" s="140" t="str">
        <f ca="1">IF(C339="","",Q338+(E339+H339-IF(RESULTADOS!$C$17="Normal",I339,0)-J339)/2+(F339+G339-IF(RESULTADOS!$C$17="Normal",0,I339)))</f>
        <v/>
      </c>
      <c r="R339" s="140" t="str">
        <f ca="1">IF(C339="","",R338+(E339+H339-IF(RESULTADOS!$C$17="Normal",I339,0)-J339)/2)</f>
        <v/>
      </c>
      <c r="S339" s="140">
        <f t="shared" ca="1" si="44"/>
        <v>0</v>
      </c>
      <c r="U339" s="164" t="str">
        <f t="shared" ca="1" si="45"/>
        <v/>
      </c>
      <c r="V339" s="164" t="str">
        <f t="shared" ca="1" si="43"/>
        <v/>
      </c>
      <c r="W339" s="140">
        <f ca="1">IF(OR((W338-13/12*Z338)*(1+PREMISSAS!$C$16)&lt;0,W338=""),0,(W338-13/12*Z338)*(1+PREMISSAS!$C$16))</f>
        <v>0</v>
      </c>
      <c r="X339" s="140">
        <f ca="1">IF(OR((X338-13/12*AA338)*(1+PREMISSAS!$C$16)&lt;0,X338=""),0,(X338-13/12*AA338)*(1+PREMISSAS!$C$16))</f>
        <v>0</v>
      </c>
      <c r="Y339" s="140">
        <f t="shared" ca="1" si="40"/>
        <v>0</v>
      </c>
      <c r="Z339" s="167">
        <f t="shared" ca="1" si="46"/>
        <v>0</v>
      </c>
      <c r="AA339" s="167">
        <f t="shared" ca="1" si="47"/>
        <v>0</v>
      </c>
    </row>
    <row r="340" spans="2:27" x14ac:dyDescent="0.25">
      <c r="B340" s="21" t="str">
        <f ca="1">IF(B339="","",IF(EOMONTH(B339,1)&gt;EOMONTH(ELEGIBILIDADE!$J$17,0),"",EOMONTH(B339,1)))</f>
        <v/>
      </c>
      <c r="C340" s="22" t="str">
        <f ca="1">IF(B340="","",IF(MONTH(B340)=1,C339*(1+PREMISSAS!$C$57),C339))</f>
        <v/>
      </c>
      <c r="D340" s="22">
        <f ca="1">IF(RESULTADOS!$C$17="Normal",IFERROR(MAX(C340-PREMISSAS!$C$13,0),0),IF(Painel!$I$23=0,0,MAX(10*PREMISSAS!$C$38,RESULTADOS!$F$17)))</f>
        <v>0</v>
      </c>
      <c r="E340" s="4">
        <f ca="1">D340*IF(RESULTADOS!$C$17="Normal",RESULTADOS!$C$16,0)</f>
        <v>0</v>
      </c>
      <c r="F340" s="4">
        <f ca="1">IFERROR(IF(RESULTADOS!$C$17="Normal",D340,C340)*RESULTADOS!$C$18,0)</f>
        <v>0</v>
      </c>
      <c r="G340" s="4">
        <f ca="1">IFERROR(IF(RESULTADOS!$C$17="Normal",0,D340)*IF(RESULTADOS!$C$17="Normal",RESULTADOS!$C$18,RESULTADOS!$C$16),0)</f>
        <v>0</v>
      </c>
      <c r="H340" s="4">
        <f ca="1">IF(RESULTADOS!$C$17="Normal",E340,0)</f>
        <v>0</v>
      </c>
      <c r="I340" s="4">
        <f ca="1">(E340+H340+G340)*PREMISSAS!$C$60</f>
        <v>0</v>
      </c>
      <c r="J340" s="4">
        <f ca="1">D340*IF(RESULTADOS!$C$17="Normal",PREMISSAS!$C$62,0)</f>
        <v>0</v>
      </c>
      <c r="K340" s="116">
        <f ca="1">IFERROR(K339*(1+PREMISSAS!$C$18)+(E340+H340-IF(RESULTADOS!$C$17="Normal",I340,0)-J340)*IF(MONTH(B340)=12,2,1),0)</f>
        <v>0</v>
      </c>
      <c r="L340" s="116">
        <f ca="1">IFERROR((L339+G340-IF(RESULTADOS!$C$17="Normal",0,I340))*(1+PREMISSAS!$C$18)+F340,0)</f>
        <v>0</v>
      </c>
      <c r="N340" s="73">
        <f t="shared" ca="1" si="41"/>
        <v>0</v>
      </c>
      <c r="P340" s="164" t="str">
        <f t="shared" ca="1" si="42"/>
        <v/>
      </c>
      <c r="Q340" s="140" t="str">
        <f ca="1">IF(C340="","",Q339+(E340+H340-IF(RESULTADOS!$C$17="Normal",I340,0)-J340)/2+(F340+G340-IF(RESULTADOS!$C$17="Normal",0,I340)))</f>
        <v/>
      </c>
      <c r="R340" s="140" t="str">
        <f ca="1">IF(C340="","",R339+(E340+H340-IF(RESULTADOS!$C$17="Normal",I340,0)-J340)/2)</f>
        <v/>
      </c>
      <c r="S340" s="140">
        <f t="shared" ca="1" si="44"/>
        <v>0</v>
      </c>
      <c r="U340" s="164" t="str">
        <f t="shared" ca="1" si="45"/>
        <v/>
      </c>
      <c r="V340" s="164" t="str">
        <f t="shared" ca="1" si="43"/>
        <v/>
      </c>
      <c r="W340" s="140">
        <f ca="1">IF(OR((W339-13/12*Z339)*(1+PREMISSAS!$C$16)&lt;0,W339=""),0,(W339-13/12*Z339)*(1+PREMISSAS!$C$16))</f>
        <v>0</v>
      </c>
      <c r="X340" s="140">
        <f ca="1">IF(OR((X339-13/12*AA339)*(1+PREMISSAS!$C$16)&lt;0,X339=""),0,(X339-13/12*AA339)*(1+PREMISSAS!$C$16))</f>
        <v>0</v>
      </c>
      <c r="Y340" s="140">
        <f t="shared" ca="1" si="40"/>
        <v>0</v>
      </c>
      <c r="Z340" s="167">
        <f t="shared" ca="1" si="46"/>
        <v>0</v>
      </c>
      <c r="AA340" s="167">
        <f t="shared" ca="1" si="47"/>
        <v>0</v>
      </c>
    </row>
    <row r="341" spans="2:27" x14ac:dyDescent="0.25">
      <c r="B341" s="21" t="str">
        <f ca="1">IF(B340="","",IF(EOMONTH(B340,1)&gt;EOMONTH(ELEGIBILIDADE!$J$17,0),"",EOMONTH(B340,1)))</f>
        <v/>
      </c>
      <c r="C341" s="22" t="str">
        <f ca="1">IF(B341="","",IF(MONTH(B341)=1,C340*(1+PREMISSAS!$C$57),C340))</f>
        <v/>
      </c>
      <c r="D341" s="22">
        <f ca="1">IF(RESULTADOS!$C$17="Normal",IFERROR(MAX(C341-PREMISSAS!$C$13,0),0),IF(Painel!$I$23=0,0,MAX(10*PREMISSAS!$C$38,RESULTADOS!$F$17)))</f>
        <v>0</v>
      </c>
      <c r="E341" s="4">
        <f ca="1">D341*IF(RESULTADOS!$C$17="Normal",RESULTADOS!$C$16,0)</f>
        <v>0</v>
      </c>
      <c r="F341" s="4">
        <f ca="1">IFERROR(IF(RESULTADOS!$C$17="Normal",D341,C341)*RESULTADOS!$C$18,0)</f>
        <v>0</v>
      </c>
      <c r="G341" s="4">
        <f ca="1">IFERROR(IF(RESULTADOS!$C$17="Normal",0,D341)*IF(RESULTADOS!$C$17="Normal",RESULTADOS!$C$18,RESULTADOS!$C$16),0)</f>
        <v>0</v>
      </c>
      <c r="H341" s="4">
        <f ca="1">IF(RESULTADOS!$C$17="Normal",E341,0)</f>
        <v>0</v>
      </c>
      <c r="I341" s="4">
        <f ca="1">(E341+H341+G341)*PREMISSAS!$C$60</f>
        <v>0</v>
      </c>
      <c r="J341" s="4">
        <f ca="1">D341*IF(RESULTADOS!$C$17="Normal",PREMISSAS!$C$62,0)</f>
        <v>0</v>
      </c>
      <c r="K341" s="116">
        <f ca="1">IFERROR(K340*(1+PREMISSAS!$C$18)+(E341+H341-IF(RESULTADOS!$C$17="Normal",I341,0)-J341)*IF(MONTH(B341)=12,2,1),0)</f>
        <v>0</v>
      </c>
      <c r="L341" s="116">
        <f ca="1">IFERROR((L340+G341-IF(RESULTADOS!$C$17="Normal",0,I341))*(1+PREMISSAS!$C$18)+F341,0)</f>
        <v>0</v>
      </c>
      <c r="N341" s="73">
        <f t="shared" ca="1" si="41"/>
        <v>0</v>
      </c>
      <c r="P341" s="164" t="str">
        <f t="shared" ca="1" si="42"/>
        <v/>
      </c>
      <c r="Q341" s="140" t="str">
        <f ca="1">IF(C341="","",Q340+(E341+H341-IF(RESULTADOS!$C$17="Normal",I341,0)-J341)/2+(F341+G341-IF(RESULTADOS!$C$17="Normal",0,I341)))</f>
        <v/>
      </c>
      <c r="R341" s="140" t="str">
        <f ca="1">IF(C341="","",R340+(E341+H341-IF(RESULTADOS!$C$17="Normal",I341,0)-J341)/2)</f>
        <v/>
      </c>
      <c r="S341" s="140">
        <f t="shared" ca="1" si="44"/>
        <v>0</v>
      </c>
      <c r="U341" s="164" t="str">
        <f t="shared" ca="1" si="45"/>
        <v/>
      </c>
      <c r="V341" s="164" t="str">
        <f t="shared" ca="1" si="43"/>
        <v/>
      </c>
      <c r="W341" s="140">
        <f ca="1">IF(OR((W340-13/12*Z340)*(1+PREMISSAS!$C$16)&lt;0,W340=""),0,(W340-13/12*Z340)*(1+PREMISSAS!$C$16))</f>
        <v>0</v>
      </c>
      <c r="X341" s="140">
        <f ca="1">IF(OR((X340-13/12*AA340)*(1+PREMISSAS!$C$16)&lt;0,X340=""),0,(X340-13/12*AA340)*(1+PREMISSAS!$C$16))</f>
        <v>0</v>
      </c>
      <c r="Y341" s="140">
        <f t="shared" ca="1" si="40"/>
        <v>0</v>
      </c>
      <c r="Z341" s="167">
        <f t="shared" ca="1" si="46"/>
        <v>0</v>
      </c>
      <c r="AA341" s="167">
        <f t="shared" ca="1" si="47"/>
        <v>0</v>
      </c>
    </row>
    <row r="342" spans="2:27" x14ac:dyDescent="0.25">
      <c r="B342" s="21" t="str">
        <f ca="1">IF(B341="","",IF(EOMONTH(B341,1)&gt;EOMONTH(ELEGIBILIDADE!$J$17,0),"",EOMONTH(B341,1)))</f>
        <v/>
      </c>
      <c r="C342" s="22" t="str">
        <f ca="1">IF(B342="","",IF(MONTH(B342)=1,C341*(1+PREMISSAS!$C$57),C341))</f>
        <v/>
      </c>
      <c r="D342" s="22">
        <f ca="1">IF(RESULTADOS!$C$17="Normal",IFERROR(MAX(C342-PREMISSAS!$C$13,0),0),IF(Painel!$I$23=0,0,MAX(10*PREMISSAS!$C$38,RESULTADOS!$F$17)))</f>
        <v>0</v>
      </c>
      <c r="E342" s="4">
        <f ca="1">D342*IF(RESULTADOS!$C$17="Normal",RESULTADOS!$C$16,0)</f>
        <v>0</v>
      </c>
      <c r="F342" s="4">
        <f ca="1">IFERROR(IF(RESULTADOS!$C$17="Normal",D342,C342)*RESULTADOS!$C$18,0)</f>
        <v>0</v>
      </c>
      <c r="G342" s="4">
        <f ca="1">IFERROR(IF(RESULTADOS!$C$17="Normal",0,D342)*IF(RESULTADOS!$C$17="Normal",RESULTADOS!$C$18,RESULTADOS!$C$16),0)</f>
        <v>0</v>
      </c>
      <c r="H342" s="4">
        <f ca="1">IF(RESULTADOS!$C$17="Normal",E342,0)</f>
        <v>0</v>
      </c>
      <c r="I342" s="4">
        <f ca="1">(E342+H342+G342)*PREMISSAS!$C$60</f>
        <v>0</v>
      </c>
      <c r="J342" s="4">
        <f ca="1">D342*IF(RESULTADOS!$C$17="Normal",PREMISSAS!$C$62,0)</f>
        <v>0</v>
      </c>
      <c r="K342" s="116">
        <f ca="1">IFERROR(K341*(1+PREMISSAS!$C$18)+(E342+H342-IF(RESULTADOS!$C$17="Normal",I342,0)-J342)*IF(MONTH(B342)=12,2,1),0)</f>
        <v>0</v>
      </c>
      <c r="L342" s="116">
        <f ca="1">IFERROR((L341+G342-IF(RESULTADOS!$C$17="Normal",0,I342))*(1+PREMISSAS!$C$18)+F342,0)</f>
        <v>0</v>
      </c>
      <c r="N342" s="73">
        <f t="shared" ca="1" si="41"/>
        <v>0</v>
      </c>
      <c r="P342" s="164" t="str">
        <f t="shared" ca="1" si="42"/>
        <v/>
      </c>
      <c r="Q342" s="140" t="str">
        <f ca="1">IF(C342="","",Q341+(E342+H342-IF(RESULTADOS!$C$17="Normal",I342,0)-J342)/2+(F342+G342-IF(RESULTADOS!$C$17="Normal",0,I342)))</f>
        <v/>
      </c>
      <c r="R342" s="140" t="str">
        <f ca="1">IF(C342="","",R341+(E342+H342-IF(RESULTADOS!$C$17="Normal",I342,0)-J342)/2)</f>
        <v/>
      </c>
      <c r="S342" s="140">
        <f t="shared" ca="1" si="44"/>
        <v>0</v>
      </c>
      <c r="U342" s="164" t="str">
        <f t="shared" ca="1" si="45"/>
        <v/>
      </c>
      <c r="V342" s="164" t="str">
        <f t="shared" ca="1" si="43"/>
        <v/>
      </c>
      <c r="W342" s="140">
        <f ca="1">IF(OR((W341-13/12*Z341)*(1+PREMISSAS!$C$16)&lt;0,W341=""),0,(W341-13/12*Z341)*(1+PREMISSAS!$C$16))</f>
        <v>0</v>
      </c>
      <c r="X342" s="140">
        <f ca="1">IF(OR((X341-13/12*AA341)*(1+PREMISSAS!$C$16)&lt;0,X341=""),0,(X341-13/12*AA341)*(1+PREMISSAS!$C$16))</f>
        <v>0</v>
      </c>
      <c r="Y342" s="140">
        <f t="shared" ca="1" si="40"/>
        <v>0</v>
      </c>
      <c r="Z342" s="167">
        <f t="shared" ca="1" si="46"/>
        <v>0</v>
      </c>
      <c r="AA342" s="167">
        <f t="shared" ca="1" si="47"/>
        <v>0</v>
      </c>
    </row>
    <row r="343" spans="2:27" x14ac:dyDescent="0.25">
      <c r="B343" s="21" t="str">
        <f ca="1">IF(B342="","",IF(EOMONTH(B342,1)&gt;EOMONTH(ELEGIBILIDADE!$J$17,0),"",EOMONTH(B342,1)))</f>
        <v/>
      </c>
      <c r="C343" s="22" t="str">
        <f ca="1">IF(B343="","",IF(MONTH(B343)=1,C342*(1+PREMISSAS!$C$57),C342))</f>
        <v/>
      </c>
      <c r="D343" s="22">
        <f ca="1">IF(RESULTADOS!$C$17="Normal",IFERROR(MAX(C343-PREMISSAS!$C$13,0),0),IF(Painel!$I$23=0,0,MAX(10*PREMISSAS!$C$38,RESULTADOS!$F$17)))</f>
        <v>0</v>
      </c>
      <c r="E343" s="4">
        <f ca="1">D343*IF(RESULTADOS!$C$17="Normal",RESULTADOS!$C$16,0)</f>
        <v>0</v>
      </c>
      <c r="F343" s="4">
        <f ca="1">IFERROR(IF(RESULTADOS!$C$17="Normal",D343,C343)*RESULTADOS!$C$18,0)</f>
        <v>0</v>
      </c>
      <c r="G343" s="4">
        <f ca="1">IFERROR(IF(RESULTADOS!$C$17="Normal",0,D343)*IF(RESULTADOS!$C$17="Normal",RESULTADOS!$C$18,RESULTADOS!$C$16),0)</f>
        <v>0</v>
      </c>
      <c r="H343" s="4">
        <f ca="1">IF(RESULTADOS!$C$17="Normal",E343,0)</f>
        <v>0</v>
      </c>
      <c r="I343" s="4">
        <f ca="1">(E343+H343+G343)*PREMISSAS!$C$60</f>
        <v>0</v>
      </c>
      <c r="J343" s="4">
        <f ca="1">D343*IF(RESULTADOS!$C$17="Normal",PREMISSAS!$C$62,0)</f>
        <v>0</v>
      </c>
      <c r="K343" s="116">
        <f ca="1">IFERROR(K342*(1+PREMISSAS!$C$18)+(E343+H343-IF(RESULTADOS!$C$17="Normal",I343,0)-J343)*IF(MONTH(B343)=12,2,1),0)</f>
        <v>0</v>
      </c>
      <c r="L343" s="116">
        <f ca="1">IFERROR((L342+G343-IF(RESULTADOS!$C$17="Normal",0,I343))*(1+PREMISSAS!$C$18)+F343,0)</f>
        <v>0</v>
      </c>
      <c r="N343" s="73">
        <f t="shared" ca="1" si="41"/>
        <v>0</v>
      </c>
      <c r="P343" s="164" t="str">
        <f t="shared" ca="1" si="42"/>
        <v/>
      </c>
      <c r="Q343" s="140" t="str">
        <f ca="1">IF(C343="","",Q342+(E343+H343-IF(RESULTADOS!$C$17="Normal",I343,0)-J343)/2+(F343+G343-IF(RESULTADOS!$C$17="Normal",0,I343)))</f>
        <v/>
      </c>
      <c r="R343" s="140" t="str">
        <f ca="1">IF(C343="","",R342+(E343+H343-IF(RESULTADOS!$C$17="Normal",I343,0)-J343)/2)</f>
        <v/>
      </c>
      <c r="S343" s="140">
        <f t="shared" ca="1" si="44"/>
        <v>0</v>
      </c>
      <c r="U343" s="164" t="str">
        <f t="shared" ca="1" si="45"/>
        <v/>
      </c>
      <c r="V343" s="164" t="str">
        <f t="shared" ca="1" si="43"/>
        <v/>
      </c>
      <c r="W343" s="140">
        <f ca="1">IF(OR((W342-13/12*Z342)*(1+PREMISSAS!$C$16)&lt;0,W342=""),0,(W342-13/12*Z342)*(1+PREMISSAS!$C$16))</f>
        <v>0</v>
      </c>
      <c r="X343" s="140">
        <f ca="1">IF(OR((X342-13/12*AA342)*(1+PREMISSAS!$C$16)&lt;0,X342=""),0,(X342-13/12*AA342)*(1+PREMISSAS!$C$16))</f>
        <v>0</v>
      </c>
      <c r="Y343" s="140">
        <f t="shared" ca="1" si="40"/>
        <v>0</v>
      </c>
      <c r="Z343" s="167">
        <f t="shared" ca="1" si="46"/>
        <v>0</v>
      </c>
      <c r="AA343" s="167">
        <f t="shared" ca="1" si="47"/>
        <v>0</v>
      </c>
    </row>
    <row r="344" spans="2:27" x14ac:dyDescent="0.25">
      <c r="B344" s="21" t="str">
        <f ca="1">IF(B343="","",IF(EOMONTH(B343,1)&gt;EOMONTH(ELEGIBILIDADE!$J$17,0),"",EOMONTH(B343,1)))</f>
        <v/>
      </c>
      <c r="C344" s="22" t="str">
        <f ca="1">IF(B344="","",IF(MONTH(B344)=1,C343*(1+PREMISSAS!$C$57),C343))</f>
        <v/>
      </c>
      <c r="D344" s="22">
        <f ca="1">IF(RESULTADOS!$C$17="Normal",IFERROR(MAX(C344-PREMISSAS!$C$13,0),0),IF(Painel!$I$23=0,0,MAX(10*PREMISSAS!$C$38,RESULTADOS!$F$17)))</f>
        <v>0</v>
      </c>
      <c r="E344" s="4">
        <f ca="1">D344*IF(RESULTADOS!$C$17="Normal",RESULTADOS!$C$16,0)</f>
        <v>0</v>
      </c>
      <c r="F344" s="4">
        <f ca="1">IFERROR(IF(RESULTADOS!$C$17="Normal",D344,C344)*RESULTADOS!$C$18,0)</f>
        <v>0</v>
      </c>
      <c r="G344" s="4">
        <f ca="1">IFERROR(IF(RESULTADOS!$C$17="Normal",0,D344)*IF(RESULTADOS!$C$17="Normal",RESULTADOS!$C$18,RESULTADOS!$C$16),0)</f>
        <v>0</v>
      </c>
      <c r="H344" s="4">
        <f ca="1">IF(RESULTADOS!$C$17="Normal",E344,0)</f>
        <v>0</v>
      </c>
      <c r="I344" s="4">
        <f ca="1">(E344+H344+G344)*PREMISSAS!$C$60</f>
        <v>0</v>
      </c>
      <c r="J344" s="4">
        <f ca="1">D344*IF(RESULTADOS!$C$17="Normal",PREMISSAS!$C$62,0)</f>
        <v>0</v>
      </c>
      <c r="K344" s="116">
        <f ca="1">IFERROR(K343*(1+PREMISSAS!$C$18)+(E344+H344-IF(RESULTADOS!$C$17="Normal",I344,0)-J344)*IF(MONTH(B344)=12,2,1),0)</f>
        <v>0</v>
      </c>
      <c r="L344" s="116">
        <f ca="1">IFERROR((L343+G344-IF(RESULTADOS!$C$17="Normal",0,I344))*(1+PREMISSAS!$C$18)+F344,0)</f>
        <v>0</v>
      </c>
      <c r="N344" s="73">
        <f t="shared" ca="1" si="41"/>
        <v>0</v>
      </c>
      <c r="P344" s="164" t="str">
        <f t="shared" ca="1" si="42"/>
        <v/>
      </c>
      <c r="Q344" s="140" t="str">
        <f ca="1">IF(C344="","",Q343+(E344+H344-IF(RESULTADOS!$C$17="Normal",I344,0)-J344)/2+(F344+G344-IF(RESULTADOS!$C$17="Normal",0,I344)))</f>
        <v/>
      </c>
      <c r="R344" s="140" t="str">
        <f ca="1">IF(C344="","",R343+(E344+H344-IF(RESULTADOS!$C$17="Normal",I344,0)-J344)/2)</f>
        <v/>
      </c>
      <c r="S344" s="140">
        <f t="shared" ca="1" si="44"/>
        <v>0</v>
      </c>
      <c r="U344" s="164" t="str">
        <f t="shared" ca="1" si="45"/>
        <v/>
      </c>
      <c r="V344" s="164" t="str">
        <f t="shared" ca="1" si="43"/>
        <v/>
      </c>
      <c r="W344" s="140">
        <f ca="1">IF(OR((W343-13/12*Z343)*(1+PREMISSAS!$C$16)&lt;0,W343=""),0,(W343-13/12*Z343)*(1+PREMISSAS!$C$16))</f>
        <v>0</v>
      </c>
      <c r="X344" s="140">
        <f ca="1">IF(OR((X343-13/12*AA343)*(1+PREMISSAS!$C$16)&lt;0,X343=""),0,(X343-13/12*AA343)*(1+PREMISSAS!$C$16))</f>
        <v>0</v>
      </c>
      <c r="Y344" s="140">
        <f t="shared" ca="1" si="40"/>
        <v>0</v>
      </c>
      <c r="Z344" s="167">
        <f t="shared" ca="1" si="46"/>
        <v>0</v>
      </c>
      <c r="AA344" s="167">
        <f t="shared" ca="1" si="47"/>
        <v>0</v>
      </c>
    </row>
    <row r="345" spans="2:27" x14ac:dyDescent="0.25">
      <c r="B345" s="21" t="str">
        <f ca="1">IF(B344="","",IF(EOMONTH(B344,1)&gt;EOMONTH(ELEGIBILIDADE!$J$17,0),"",EOMONTH(B344,1)))</f>
        <v/>
      </c>
      <c r="C345" s="22" t="str">
        <f ca="1">IF(B345="","",IF(MONTH(B345)=1,C344*(1+PREMISSAS!$C$57),C344))</f>
        <v/>
      </c>
      <c r="D345" s="22">
        <f ca="1">IF(RESULTADOS!$C$17="Normal",IFERROR(MAX(C345-PREMISSAS!$C$13,0),0),IF(Painel!$I$23=0,0,MAX(10*PREMISSAS!$C$38,RESULTADOS!$F$17)))</f>
        <v>0</v>
      </c>
      <c r="E345" s="4">
        <f ca="1">D345*IF(RESULTADOS!$C$17="Normal",RESULTADOS!$C$16,0)</f>
        <v>0</v>
      </c>
      <c r="F345" s="4">
        <f ca="1">IFERROR(IF(RESULTADOS!$C$17="Normal",D345,C345)*RESULTADOS!$C$18,0)</f>
        <v>0</v>
      </c>
      <c r="G345" s="4">
        <f ca="1">IFERROR(IF(RESULTADOS!$C$17="Normal",0,D345)*IF(RESULTADOS!$C$17="Normal",RESULTADOS!$C$18,RESULTADOS!$C$16),0)</f>
        <v>0</v>
      </c>
      <c r="H345" s="4">
        <f ca="1">IF(RESULTADOS!$C$17="Normal",E345,0)</f>
        <v>0</v>
      </c>
      <c r="I345" s="4">
        <f ca="1">(E345+H345+G345)*PREMISSAS!$C$60</f>
        <v>0</v>
      </c>
      <c r="J345" s="4">
        <f ca="1">D345*IF(RESULTADOS!$C$17="Normal",PREMISSAS!$C$62,0)</f>
        <v>0</v>
      </c>
      <c r="K345" s="116">
        <f ca="1">IFERROR(K344*(1+PREMISSAS!$C$18)+(E345+H345-IF(RESULTADOS!$C$17="Normal",I345,0)-J345)*IF(MONTH(B345)=12,2,1),0)</f>
        <v>0</v>
      </c>
      <c r="L345" s="116">
        <f ca="1">IFERROR((L344+G345-IF(RESULTADOS!$C$17="Normal",0,I345))*(1+PREMISSAS!$C$18)+F345,0)</f>
        <v>0</v>
      </c>
      <c r="N345" s="73">
        <f t="shared" ca="1" si="41"/>
        <v>0</v>
      </c>
      <c r="P345" s="164" t="str">
        <f t="shared" ca="1" si="42"/>
        <v/>
      </c>
      <c r="Q345" s="140" t="str">
        <f ca="1">IF(C345="","",Q344+(E345+H345-IF(RESULTADOS!$C$17="Normal",I345,0)-J345)/2+(F345+G345-IF(RESULTADOS!$C$17="Normal",0,I345)))</f>
        <v/>
      </c>
      <c r="R345" s="140" t="str">
        <f ca="1">IF(C345="","",R344+(E345+H345-IF(RESULTADOS!$C$17="Normal",I345,0)-J345)/2)</f>
        <v/>
      </c>
      <c r="S345" s="140">
        <f t="shared" ca="1" si="44"/>
        <v>0</v>
      </c>
      <c r="U345" s="164" t="str">
        <f t="shared" ca="1" si="45"/>
        <v/>
      </c>
      <c r="V345" s="164" t="str">
        <f t="shared" ca="1" si="43"/>
        <v/>
      </c>
      <c r="W345" s="140">
        <f ca="1">IF(OR((W344-13/12*Z344)*(1+PREMISSAS!$C$16)&lt;0,W344=""),0,(W344-13/12*Z344)*(1+PREMISSAS!$C$16))</f>
        <v>0</v>
      </c>
      <c r="X345" s="140">
        <f ca="1">IF(OR((X344-13/12*AA344)*(1+PREMISSAS!$C$16)&lt;0,X344=""),0,(X344-13/12*AA344)*(1+PREMISSAS!$C$16))</f>
        <v>0</v>
      </c>
      <c r="Y345" s="140">
        <f t="shared" ca="1" si="40"/>
        <v>0</v>
      </c>
      <c r="Z345" s="167">
        <f t="shared" ca="1" si="46"/>
        <v>0</v>
      </c>
      <c r="AA345" s="167">
        <f t="shared" ca="1" si="47"/>
        <v>0</v>
      </c>
    </row>
    <row r="346" spans="2:27" x14ac:dyDescent="0.25">
      <c r="B346" s="21" t="str">
        <f ca="1">IF(B345="","",IF(EOMONTH(B345,1)&gt;EOMONTH(ELEGIBILIDADE!$J$17,0),"",EOMONTH(B345,1)))</f>
        <v/>
      </c>
      <c r="C346" s="22" t="str">
        <f ca="1">IF(B346="","",IF(MONTH(B346)=1,C345*(1+PREMISSAS!$C$57),C345))</f>
        <v/>
      </c>
      <c r="D346" s="22">
        <f ca="1">IF(RESULTADOS!$C$17="Normal",IFERROR(MAX(C346-PREMISSAS!$C$13,0),0),IF(Painel!$I$23=0,0,MAX(10*PREMISSAS!$C$38,RESULTADOS!$F$17)))</f>
        <v>0</v>
      </c>
      <c r="E346" s="4">
        <f ca="1">D346*IF(RESULTADOS!$C$17="Normal",RESULTADOS!$C$16,0)</f>
        <v>0</v>
      </c>
      <c r="F346" s="4">
        <f ca="1">IFERROR(IF(RESULTADOS!$C$17="Normal",D346,C346)*RESULTADOS!$C$18,0)</f>
        <v>0</v>
      </c>
      <c r="G346" s="4">
        <f ca="1">IFERROR(IF(RESULTADOS!$C$17="Normal",0,D346)*IF(RESULTADOS!$C$17="Normal",RESULTADOS!$C$18,RESULTADOS!$C$16),0)</f>
        <v>0</v>
      </c>
      <c r="H346" s="4">
        <f ca="1">IF(RESULTADOS!$C$17="Normal",E346,0)</f>
        <v>0</v>
      </c>
      <c r="I346" s="4">
        <f ca="1">(E346+H346+G346)*PREMISSAS!$C$60</f>
        <v>0</v>
      </c>
      <c r="J346" s="4">
        <f ca="1">D346*IF(RESULTADOS!$C$17="Normal",PREMISSAS!$C$62,0)</f>
        <v>0</v>
      </c>
      <c r="K346" s="116">
        <f ca="1">IFERROR(K345*(1+PREMISSAS!$C$18)+(E346+H346-IF(RESULTADOS!$C$17="Normal",I346,0)-J346)*IF(MONTH(B346)=12,2,1),0)</f>
        <v>0</v>
      </c>
      <c r="L346" s="116">
        <f ca="1">IFERROR((L345+G346-IF(RESULTADOS!$C$17="Normal",0,I346))*(1+PREMISSAS!$C$18)+F346,0)</f>
        <v>0</v>
      </c>
      <c r="N346" s="73">
        <f t="shared" ca="1" si="41"/>
        <v>0</v>
      </c>
      <c r="P346" s="164" t="str">
        <f t="shared" ca="1" si="42"/>
        <v/>
      </c>
      <c r="Q346" s="140" t="str">
        <f ca="1">IF(C346="","",Q345+(E346+H346-IF(RESULTADOS!$C$17="Normal",I346,0)-J346)/2+(F346+G346-IF(RESULTADOS!$C$17="Normal",0,I346)))</f>
        <v/>
      </c>
      <c r="R346" s="140" t="str">
        <f ca="1">IF(C346="","",R345+(E346+H346-IF(RESULTADOS!$C$17="Normal",I346,0)-J346)/2)</f>
        <v/>
      </c>
      <c r="S346" s="140">
        <f t="shared" ca="1" si="44"/>
        <v>0</v>
      </c>
      <c r="U346" s="164" t="str">
        <f t="shared" ca="1" si="45"/>
        <v/>
      </c>
      <c r="V346" s="164" t="str">
        <f t="shared" ca="1" si="43"/>
        <v/>
      </c>
      <c r="W346" s="140">
        <f ca="1">IF(OR((W345-13/12*Z345)*(1+PREMISSAS!$C$16)&lt;0,W345=""),0,(W345-13/12*Z345)*(1+PREMISSAS!$C$16))</f>
        <v>0</v>
      </c>
      <c r="X346" s="140">
        <f ca="1">IF(OR((X345-13/12*AA345)*(1+PREMISSAS!$C$16)&lt;0,X345=""),0,(X345-13/12*AA345)*(1+PREMISSAS!$C$16))</f>
        <v>0</v>
      </c>
      <c r="Y346" s="140">
        <f t="shared" ca="1" si="40"/>
        <v>0</v>
      </c>
      <c r="Z346" s="167">
        <f t="shared" ca="1" si="46"/>
        <v>0</v>
      </c>
      <c r="AA346" s="167">
        <f t="shared" ca="1" si="47"/>
        <v>0</v>
      </c>
    </row>
    <row r="347" spans="2:27" x14ac:dyDescent="0.25">
      <c r="B347" s="21" t="str">
        <f ca="1">IF(B346="","",IF(EOMONTH(B346,1)&gt;EOMONTH(ELEGIBILIDADE!$J$17,0),"",EOMONTH(B346,1)))</f>
        <v/>
      </c>
      <c r="C347" s="22" t="str">
        <f ca="1">IF(B347="","",IF(MONTH(B347)=1,C346*(1+PREMISSAS!$C$57),C346))</f>
        <v/>
      </c>
      <c r="D347" s="22">
        <f ca="1">IF(RESULTADOS!$C$17="Normal",IFERROR(MAX(C347-PREMISSAS!$C$13,0),0),IF(Painel!$I$23=0,0,MAX(10*PREMISSAS!$C$38,RESULTADOS!$F$17)))</f>
        <v>0</v>
      </c>
      <c r="E347" s="4">
        <f ca="1">D347*IF(RESULTADOS!$C$17="Normal",RESULTADOS!$C$16,0)</f>
        <v>0</v>
      </c>
      <c r="F347" s="4">
        <f ca="1">IFERROR(IF(RESULTADOS!$C$17="Normal",D347,C347)*RESULTADOS!$C$18,0)</f>
        <v>0</v>
      </c>
      <c r="G347" s="4">
        <f ca="1">IFERROR(IF(RESULTADOS!$C$17="Normal",0,D347)*IF(RESULTADOS!$C$17="Normal",RESULTADOS!$C$18,RESULTADOS!$C$16),0)</f>
        <v>0</v>
      </c>
      <c r="H347" s="4">
        <f ca="1">IF(RESULTADOS!$C$17="Normal",E347,0)</f>
        <v>0</v>
      </c>
      <c r="I347" s="4">
        <f ca="1">(E347+H347+G347)*PREMISSAS!$C$60</f>
        <v>0</v>
      </c>
      <c r="J347" s="4">
        <f ca="1">D347*IF(RESULTADOS!$C$17="Normal",PREMISSAS!$C$62,0)</f>
        <v>0</v>
      </c>
      <c r="K347" s="116">
        <f ca="1">IFERROR(K346*(1+PREMISSAS!$C$18)+(E347+H347-IF(RESULTADOS!$C$17="Normal",I347,0)-J347)*IF(MONTH(B347)=12,2,1),0)</f>
        <v>0</v>
      </c>
      <c r="L347" s="116">
        <f ca="1">IFERROR((L346+G347-IF(RESULTADOS!$C$17="Normal",0,I347))*(1+PREMISSAS!$C$18)+F347,0)</f>
        <v>0</v>
      </c>
      <c r="N347" s="73">
        <f t="shared" ca="1" si="41"/>
        <v>0</v>
      </c>
      <c r="P347" s="164" t="str">
        <f t="shared" ca="1" si="42"/>
        <v/>
      </c>
      <c r="Q347" s="140" t="str">
        <f ca="1">IF(C347="","",Q346+(E347+H347-IF(RESULTADOS!$C$17="Normal",I347,0)-J347)/2+(F347+G347-IF(RESULTADOS!$C$17="Normal",0,I347)))</f>
        <v/>
      </c>
      <c r="R347" s="140" t="str">
        <f ca="1">IF(C347="","",R346+(E347+H347-IF(RESULTADOS!$C$17="Normal",I347,0)-J347)/2)</f>
        <v/>
      </c>
      <c r="S347" s="140">
        <f t="shared" ca="1" si="44"/>
        <v>0</v>
      </c>
      <c r="U347" s="164" t="str">
        <f t="shared" ca="1" si="45"/>
        <v/>
      </c>
      <c r="V347" s="164" t="str">
        <f t="shared" ca="1" si="43"/>
        <v/>
      </c>
      <c r="W347" s="140">
        <f ca="1">IF(OR((W346-13/12*Z346)*(1+PREMISSAS!$C$16)&lt;0,W346=""),0,(W346-13/12*Z346)*(1+PREMISSAS!$C$16))</f>
        <v>0</v>
      </c>
      <c r="X347" s="140">
        <f ca="1">IF(OR((X346-13/12*AA346)*(1+PREMISSAS!$C$16)&lt;0,X346=""),0,(X346-13/12*AA346)*(1+PREMISSAS!$C$16))</f>
        <v>0</v>
      </c>
      <c r="Y347" s="140">
        <f t="shared" ca="1" si="40"/>
        <v>0</v>
      </c>
      <c r="Z347" s="167">
        <f t="shared" ca="1" si="46"/>
        <v>0</v>
      </c>
      <c r="AA347" s="167">
        <f t="shared" ca="1" si="47"/>
        <v>0</v>
      </c>
    </row>
    <row r="348" spans="2:27" x14ac:dyDescent="0.25">
      <c r="B348" s="21" t="str">
        <f ca="1">IF(B347="","",IF(EOMONTH(B347,1)&gt;EOMONTH(ELEGIBILIDADE!$J$17,0),"",EOMONTH(B347,1)))</f>
        <v/>
      </c>
      <c r="C348" s="22" t="str">
        <f ca="1">IF(B348="","",IF(MONTH(B348)=1,C347*(1+PREMISSAS!$C$57),C347))</f>
        <v/>
      </c>
      <c r="D348" s="22">
        <f ca="1">IF(RESULTADOS!$C$17="Normal",IFERROR(MAX(C348-PREMISSAS!$C$13,0),0),IF(Painel!$I$23=0,0,MAX(10*PREMISSAS!$C$38,RESULTADOS!$F$17)))</f>
        <v>0</v>
      </c>
      <c r="E348" s="4">
        <f ca="1">D348*IF(RESULTADOS!$C$17="Normal",RESULTADOS!$C$16,0)</f>
        <v>0</v>
      </c>
      <c r="F348" s="4">
        <f ca="1">IFERROR(IF(RESULTADOS!$C$17="Normal",D348,C348)*RESULTADOS!$C$18,0)</f>
        <v>0</v>
      </c>
      <c r="G348" s="4">
        <f ca="1">IFERROR(IF(RESULTADOS!$C$17="Normal",0,D348)*IF(RESULTADOS!$C$17="Normal",RESULTADOS!$C$18,RESULTADOS!$C$16),0)</f>
        <v>0</v>
      </c>
      <c r="H348" s="4">
        <f ca="1">IF(RESULTADOS!$C$17="Normal",E348,0)</f>
        <v>0</v>
      </c>
      <c r="I348" s="4">
        <f ca="1">(E348+H348+G348)*PREMISSAS!$C$60</f>
        <v>0</v>
      </c>
      <c r="J348" s="4">
        <f ca="1">D348*IF(RESULTADOS!$C$17="Normal",PREMISSAS!$C$62,0)</f>
        <v>0</v>
      </c>
      <c r="K348" s="116">
        <f ca="1">IFERROR(K347*(1+PREMISSAS!$C$18)+(E348+H348-IF(RESULTADOS!$C$17="Normal",I348,0)-J348)*IF(MONTH(B348)=12,2,1),0)</f>
        <v>0</v>
      </c>
      <c r="L348" s="116">
        <f ca="1">IFERROR((L347+G348-IF(RESULTADOS!$C$17="Normal",0,I348))*(1+PREMISSAS!$C$18)+F348,0)</f>
        <v>0</v>
      </c>
      <c r="N348" s="73">
        <f t="shared" ca="1" si="41"/>
        <v>0</v>
      </c>
      <c r="P348" s="164" t="str">
        <f t="shared" ca="1" si="42"/>
        <v/>
      </c>
      <c r="Q348" s="140" t="str">
        <f ca="1">IF(C348="","",Q347+(E348+H348-IF(RESULTADOS!$C$17="Normal",I348,0)-J348)/2+(F348+G348-IF(RESULTADOS!$C$17="Normal",0,I348)))</f>
        <v/>
      </c>
      <c r="R348" s="140" t="str">
        <f ca="1">IF(C348="","",R347+(E348+H348-IF(RESULTADOS!$C$17="Normal",I348,0)-J348)/2)</f>
        <v/>
      </c>
      <c r="S348" s="140">
        <f t="shared" ca="1" si="44"/>
        <v>0</v>
      </c>
      <c r="U348" s="164" t="str">
        <f t="shared" ca="1" si="45"/>
        <v/>
      </c>
      <c r="V348" s="164" t="str">
        <f t="shared" ca="1" si="43"/>
        <v/>
      </c>
      <c r="W348" s="140">
        <f ca="1">IF(OR((W347-13/12*Z347)*(1+PREMISSAS!$C$16)&lt;0,W347=""),0,(W347-13/12*Z347)*(1+PREMISSAS!$C$16))</f>
        <v>0</v>
      </c>
      <c r="X348" s="140">
        <f ca="1">IF(OR((X347-13/12*AA347)*(1+PREMISSAS!$C$16)&lt;0,X347=""),0,(X347-13/12*AA347)*(1+PREMISSAS!$C$16))</f>
        <v>0</v>
      </c>
      <c r="Y348" s="140">
        <f t="shared" ca="1" si="40"/>
        <v>0</v>
      </c>
      <c r="Z348" s="167">
        <f t="shared" ca="1" si="46"/>
        <v>0</v>
      </c>
      <c r="AA348" s="167">
        <f t="shared" ca="1" si="47"/>
        <v>0</v>
      </c>
    </row>
    <row r="349" spans="2:27" x14ac:dyDescent="0.25">
      <c r="B349" s="21" t="str">
        <f ca="1">IF(B348="","",IF(EOMONTH(B348,1)&gt;EOMONTH(ELEGIBILIDADE!$J$17,0),"",EOMONTH(B348,1)))</f>
        <v/>
      </c>
      <c r="C349" s="22" t="str">
        <f ca="1">IF(B349="","",IF(MONTH(B349)=1,C348*(1+PREMISSAS!$C$57),C348))</f>
        <v/>
      </c>
      <c r="D349" s="22">
        <f ca="1">IF(RESULTADOS!$C$17="Normal",IFERROR(MAX(C349-PREMISSAS!$C$13,0),0),IF(Painel!$I$23=0,0,MAX(10*PREMISSAS!$C$38,RESULTADOS!$F$17)))</f>
        <v>0</v>
      </c>
      <c r="E349" s="4">
        <f ca="1">D349*IF(RESULTADOS!$C$17="Normal",RESULTADOS!$C$16,0)</f>
        <v>0</v>
      </c>
      <c r="F349" s="4">
        <f ca="1">IFERROR(IF(RESULTADOS!$C$17="Normal",D349,C349)*RESULTADOS!$C$18,0)</f>
        <v>0</v>
      </c>
      <c r="G349" s="4">
        <f ca="1">IFERROR(IF(RESULTADOS!$C$17="Normal",0,D349)*IF(RESULTADOS!$C$17="Normal",RESULTADOS!$C$18,RESULTADOS!$C$16),0)</f>
        <v>0</v>
      </c>
      <c r="H349" s="4">
        <f ca="1">IF(RESULTADOS!$C$17="Normal",E349,0)</f>
        <v>0</v>
      </c>
      <c r="I349" s="4">
        <f ca="1">(E349+H349+G349)*PREMISSAS!$C$60</f>
        <v>0</v>
      </c>
      <c r="J349" s="4">
        <f ca="1">D349*IF(RESULTADOS!$C$17="Normal",PREMISSAS!$C$62,0)</f>
        <v>0</v>
      </c>
      <c r="K349" s="116">
        <f ca="1">IFERROR(K348*(1+PREMISSAS!$C$18)+(E349+H349-IF(RESULTADOS!$C$17="Normal",I349,0)-J349)*IF(MONTH(B349)=12,2,1),0)</f>
        <v>0</v>
      </c>
      <c r="L349" s="116">
        <f ca="1">IFERROR((L348+G349-IF(RESULTADOS!$C$17="Normal",0,I349))*(1+PREMISSAS!$C$18)+F349,0)</f>
        <v>0</v>
      </c>
      <c r="N349" s="73">
        <f t="shared" ca="1" si="41"/>
        <v>0</v>
      </c>
      <c r="P349" s="164" t="str">
        <f t="shared" ca="1" si="42"/>
        <v/>
      </c>
      <c r="Q349" s="140" t="str">
        <f ca="1">IF(C349="","",Q348+(E349+H349-IF(RESULTADOS!$C$17="Normal",I349,0)-J349)/2+(F349+G349-IF(RESULTADOS!$C$17="Normal",0,I349)))</f>
        <v/>
      </c>
      <c r="R349" s="140" t="str">
        <f ca="1">IF(C349="","",R348+(E349+H349-IF(RESULTADOS!$C$17="Normal",I349,0)-J349)/2)</f>
        <v/>
      </c>
      <c r="S349" s="140">
        <f t="shared" ca="1" si="44"/>
        <v>0</v>
      </c>
      <c r="U349" s="164" t="str">
        <f t="shared" ca="1" si="45"/>
        <v/>
      </c>
      <c r="V349" s="164" t="str">
        <f t="shared" ca="1" si="43"/>
        <v/>
      </c>
      <c r="W349" s="140">
        <f ca="1">IF(OR((W348-13/12*Z348)*(1+PREMISSAS!$C$16)&lt;0,W348=""),0,(W348-13/12*Z348)*(1+PREMISSAS!$C$16))</f>
        <v>0</v>
      </c>
      <c r="X349" s="140">
        <f ca="1">IF(OR((X348-13/12*AA348)*(1+PREMISSAS!$C$16)&lt;0,X348=""),0,(X348-13/12*AA348)*(1+PREMISSAS!$C$16))</f>
        <v>0</v>
      </c>
      <c r="Y349" s="140">
        <f t="shared" ca="1" si="40"/>
        <v>0</v>
      </c>
      <c r="Z349" s="167">
        <f t="shared" ca="1" si="46"/>
        <v>0</v>
      </c>
      <c r="AA349" s="167">
        <f t="shared" ca="1" si="47"/>
        <v>0</v>
      </c>
    </row>
    <row r="350" spans="2:27" x14ac:dyDescent="0.25">
      <c r="B350" s="21" t="str">
        <f ca="1">IF(B349="","",IF(EOMONTH(B349,1)&gt;EOMONTH(ELEGIBILIDADE!$J$17,0),"",EOMONTH(B349,1)))</f>
        <v/>
      </c>
      <c r="C350" s="22" t="str">
        <f ca="1">IF(B350="","",IF(MONTH(B350)=1,C349*(1+PREMISSAS!$C$57),C349))</f>
        <v/>
      </c>
      <c r="D350" s="22">
        <f ca="1">IF(RESULTADOS!$C$17="Normal",IFERROR(MAX(C350-PREMISSAS!$C$13,0),0),IF(Painel!$I$23=0,0,MAX(10*PREMISSAS!$C$38,RESULTADOS!$F$17)))</f>
        <v>0</v>
      </c>
      <c r="E350" s="4">
        <f ca="1">D350*IF(RESULTADOS!$C$17="Normal",RESULTADOS!$C$16,0)</f>
        <v>0</v>
      </c>
      <c r="F350" s="4">
        <f ca="1">IFERROR(IF(RESULTADOS!$C$17="Normal",D350,C350)*RESULTADOS!$C$18,0)</f>
        <v>0</v>
      </c>
      <c r="G350" s="4">
        <f ca="1">IFERROR(IF(RESULTADOS!$C$17="Normal",0,D350)*IF(RESULTADOS!$C$17="Normal",RESULTADOS!$C$18,RESULTADOS!$C$16),0)</f>
        <v>0</v>
      </c>
      <c r="H350" s="4">
        <f ca="1">IF(RESULTADOS!$C$17="Normal",E350,0)</f>
        <v>0</v>
      </c>
      <c r="I350" s="4">
        <f ca="1">(E350+H350+G350)*PREMISSAS!$C$60</f>
        <v>0</v>
      </c>
      <c r="J350" s="4">
        <f ca="1">D350*IF(RESULTADOS!$C$17="Normal",PREMISSAS!$C$62,0)</f>
        <v>0</v>
      </c>
      <c r="K350" s="116">
        <f ca="1">IFERROR(K349*(1+PREMISSAS!$C$18)+(E350+H350-IF(RESULTADOS!$C$17="Normal",I350,0)-J350)*IF(MONTH(B350)=12,2,1),0)</f>
        <v>0</v>
      </c>
      <c r="L350" s="116">
        <f ca="1">IFERROR((L349+G350-IF(RESULTADOS!$C$17="Normal",0,I350))*(1+PREMISSAS!$C$18)+F350,0)</f>
        <v>0</v>
      </c>
      <c r="N350" s="73">
        <f t="shared" ca="1" si="41"/>
        <v>0</v>
      </c>
      <c r="P350" s="164" t="str">
        <f t="shared" ca="1" si="42"/>
        <v/>
      </c>
      <c r="Q350" s="140" t="str">
        <f ca="1">IF(C350="","",Q349+(E350+H350-IF(RESULTADOS!$C$17="Normal",I350,0)-J350)/2+(F350+G350-IF(RESULTADOS!$C$17="Normal",0,I350)))</f>
        <v/>
      </c>
      <c r="R350" s="140" t="str">
        <f ca="1">IF(C350="","",R349+(E350+H350-IF(RESULTADOS!$C$17="Normal",I350,0)-J350)/2)</f>
        <v/>
      </c>
      <c r="S350" s="140">
        <f t="shared" ca="1" si="44"/>
        <v>0</v>
      </c>
      <c r="U350" s="164" t="str">
        <f t="shared" ca="1" si="45"/>
        <v/>
      </c>
      <c r="V350" s="164" t="str">
        <f t="shared" ca="1" si="43"/>
        <v/>
      </c>
      <c r="W350" s="140">
        <f ca="1">IF(OR((W349-13/12*Z349)*(1+PREMISSAS!$C$16)&lt;0,W349=""),0,(W349-13/12*Z349)*(1+PREMISSAS!$C$16))</f>
        <v>0</v>
      </c>
      <c r="X350" s="140">
        <f ca="1">IF(OR((X349-13/12*AA349)*(1+PREMISSAS!$C$16)&lt;0,X349=""),0,(X349-13/12*AA349)*(1+PREMISSAS!$C$16))</f>
        <v>0</v>
      </c>
      <c r="Y350" s="140">
        <f t="shared" ca="1" si="40"/>
        <v>0</v>
      </c>
      <c r="Z350" s="167">
        <f t="shared" ca="1" si="46"/>
        <v>0</v>
      </c>
      <c r="AA350" s="167">
        <f t="shared" ca="1" si="47"/>
        <v>0</v>
      </c>
    </row>
    <row r="351" spans="2:27" x14ac:dyDescent="0.25">
      <c r="B351" s="21" t="str">
        <f ca="1">IF(B350="","",IF(EOMONTH(B350,1)&gt;EOMONTH(ELEGIBILIDADE!$J$17,0),"",EOMONTH(B350,1)))</f>
        <v/>
      </c>
      <c r="C351" s="22" t="str">
        <f ca="1">IF(B351="","",IF(MONTH(B351)=1,C350*(1+PREMISSAS!$C$57),C350))</f>
        <v/>
      </c>
      <c r="D351" s="22">
        <f ca="1">IF(RESULTADOS!$C$17="Normal",IFERROR(MAX(C351-PREMISSAS!$C$13,0),0),IF(Painel!$I$23=0,0,MAX(10*PREMISSAS!$C$38,RESULTADOS!$F$17)))</f>
        <v>0</v>
      </c>
      <c r="E351" s="4">
        <f ca="1">D351*IF(RESULTADOS!$C$17="Normal",RESULTADOS!$C$16,0)</f>
        <v>0</v>
      </c>
      <c r="F351" s="4">
        <f ca="1">IFERROR(IF(RESULTADOS!$C$17="Normal",D351,C351)*RESULTADOS!$C$18,0)</f>
        <v>0</v>
      </c>
      <c r="G351" s="4">
        <f ca="1">IFERROR(IF(RESULTADOS!$C$17="Normal",0,D351)*IF(RESULTADOS!$C$17="Normal",RESULTADOS!$C$18,RESULTADOS!$C$16),0)</f>
        <v>0</v>
      </c>
      <c r="H351" s="4">
        <f ca="1">IF(RESULTADOS!$C$17="Normal",E351,0)</f>
        <v>0</v>
      </c>
      <c r="I351" s="4">
        <f ca="1">(E351+H351+G351)*PREMISSAS!$C$60</f>
        <v>0</v>
      </c>
      <c r="J351" s="4">
        <f ca="1">D351*IF(RESULTADOS!$C$17="Normal",PREMISSAS!$C$62,0)</f>
        <v>0</v>
      </c>
      <c r="K351" s="116">
        <f ca="1">IFERROR(K350*(1+PREMISSAS!$C$18)+(E351+H351-IF(RESULTADOS!$C$17="Normal",I351,0)-J351)*IF(MONTH(B351)=12,2,1),0)</f>
        <v>0</v>
      </c>
      <c r="L351" s="116">
        <f ca="1">IFERROR((L350+G351-IF(RESULTADOS!$C$17="Normal",0,I351))*(1+PREMISSAS!$C$18)+F351,0)</f>
        <v>0</v>
      </c>
      <c r="N351" s="73">
        <f t="shared" ca="1" si="41"/>
        <v>0</v>
      </c>
      <c r="P351" s="164" t="str">
        <f t="shared" ca="1" si="42"/>
        <v/>
      </c>
      <c r="Q351" s="140" t="str">
        <f ca="1">IF(C351="","",Q350+(E351+H351-IF(RESULTADOS!$C$17="Normal",I351,0)-J351)/2+(F351+G351-IF(RESULTADOS!$C$17="Normal",0,I351)))</f>
        <v/>
      </c>
      <c r="R351" s="140" t="str">
        <f ca="1">IF(C351="","",R350+(E351+H351-IF(RESULTADOS!$C$17="Normal",I351,0)-J351)/2)</f>
        <v/>
      </c>
      <c r="S351" s="140">
        <f t="shared" ca="1" si="44"/>
        <v>0</v>
      </c>
      <c r="U351" s="164" t="str">
        <f t="shared" ca="1" si="45"/>
        <v/>
      </c>
      <c r="V351" s="164" t="str">
        <f t="shared" ca="1" si="43"/>
        <v/>
      </c>
      <c r="W351" s="140">
        <f ca="1">IF(OR((W350-13/12*Z350)*(1+PREMISSAS!$C$16)&lt;0,W350=""),0,(W350-13/12*Z350)*(1+PREMISSAS!$C$16))</f>
        <v>0</v>
      </c>
      <c r="X351" s="140">
        <f ca="1">IF(OR((X350-13/12*AA350)*(1+PREMISSAS!$C$16)&lt;0,X350=""),0,(X350-13/12*AA350)*(1+PREMISSAS!$C$16))</f>
        <v>0</v>
      </c>
      <c r="Y351" s="140">
        <f t="shared" ca="1" si="40"/>
        <v>0</v>
      </c>
      <c r="Z351" s="167">
        <f t="shared" ca="1" si="46"/>
        <v>0</v>
      </c>
      <c r="AA351" s="167">
        <f t="shared" ca="1" si="47"/>
        <v>0</v>
      </c>
    </row>
    <row r="352" spans="2:27" x14ac:dyDescent="0.25">
      <c r="B352" s="21" t="str">
        <f ca="1">IF(B351="","",IF(EOMONTH(B351,1)&gt;EOMONTH(ELEGIBILIDADE!$J$17,0),"",EOMONTH(B351,1)))</f>
        <v/>
      </c>
      <c r="C352" s="22" t="str">
        <f ca="1">IF(B352="","",IF(MONTH(B352)=1,C351*(1+PREMISSAS!$C$57),C351))</f>
        <v/>
      </c>
      <c r="D352" s="22">
        <f ca="1">IF(RESULTADOS!$C$17="Normal",IFERROR(MAX(C352-PREMISSAS!$C$13,0),0),IF(Painel!$I$23=0,0,MAX(10*PREMISSAS!$C$38,RESULTADOS!$F$17)))</f>
        <v>0</v>
      </c>
      <c r="E352" s="4">
        <f ca="1">D352*IF(RESULTADOS!$C$17="Normal",RESULTADOS!$C$16,0)</f>
        <v>0</v>
      </c>
      <c r="F352" s="4">
        <f ca="1">IFERROR(IF(RESULTADOS!$C$17="Normal",D352,C352)*RESULTADOS!$C$18,0)</f>
        <v>0</v>
      </c>
      <c r="G352" s="4">
        <f ca="1">IFERROR(IF(RESULTADOS!$C$17="Normal",0,D352)*IF(RESULTADOS!$C$17="Normal",RESULTADOS!$C$18,RESULTADOS!$C$16),0)</f>
        <v>0</v>
      </c>
      <c r="H352" s="4">
        <f ca="1">IF(RESULTADOS!$C$17="Normal",E352,0)</f>
        <v>0</v>
      </c>
      <c r="I352" s="4">
        <f ca="1">(E352+H352+G352)*PREMISSAS!$C$60</f>
        <v>0</v>
      </c>
      <c r="J352" s="4">
        <f ca="1">D352*IF(RESULTADOS!$C$17="Normal",PREMISSAS!$C$62,0)</f>
        <v>0</v>
      </c>
      <c r="K352" s="116">
        <f ca="1">IFERROR(K351*(1+PREMISSAS!$C$18)+(E352+H352-IF(RESULTADOS!$C$17="Normal",I352,0)-J352)*IF(MONTH(B352)=12,2,1),0)</f>
        <v>0</v>
      </c>
      <c r="L352" s="116">
        <f ca="1">IFERROR((L351+G352-IF(RESULTADOS!$C$17="Normal",0,I352))*(1+PREMISSAS!$C$18)+F352,0)</f>
        <v>0</v>
      </c>
      <c r="N352" s="73">
        <f t="shared" ca="1" si="41"/>
        <v>0</v>
      </c>
      <c r="P352" s="164" t="str">
        <f t="shared" ca="1" si="42"/>
        <v/>
      </c>
      <c r="Q352" s="140" t="str">
        <f ca="1">IF(C352="","",Q351+(E352+H352-IF(RESULTADOS!$C$17="Normal",I352,0)-J352)/2+(F352+G352-IF(RESULTADOS!$C$17="Normal",0,I352)))</f>
        <v/>
      </c>
      <c r="R352" s="140" t="str">
        <f ca="1">IF(C352="","",R351+(E352+H352-IF(RESULTADOS!$C$17="Normal",I352,0)-J352)/2)</f>
        <v/>
      </c>
      <c r="S352" s="140">
        <f t="shared" ca="1" si="44"/>
        <v>0</v>
      </c>
      <c r="U352" s="164" t="str">
        <f t="shared" ca="1" si="45"/>
        <v/>
      </c>
      <c r="V352" s="164" t="str">
        <f t="shared" ca="1" si="43"/>
        <v/>
      </c>
      <c r="W352" s="140">
        <f ca="1">IF(OR((W351-13/12*Z351)*(1+PREMISSAS!$C$16)&lt;0,W351=""),0,(W351-13/12*Z351)*(1+PREMISSAS!$C$16))</f>
        <v>0</v>
      </c>
      <c r="X352" s="140">
        <f ca="1">IF(OR((X351-13/12*AA351)*(1+PREMISSAS!$C$16)&lt;0,X351=""),0,(X351-13/12*AA351)*(1+PREMISSAS!$C$16))</f>
        <v>0</v>
      </c>
      <c r="Y352" s="140">
        <f t="shared" ca="1" si="40"/>
        <v>0</v>
      </c>
      <c r="Z352" s="167">
        <f t="shared" ca="1" si="46"/>
        <v>0</v>
      </c>
      <c r="AA352" s="167">
        <f t="shared" ca="1" si="47"/>
        <v>0</v>
      </c>
    </row>
    <row r="353" spans="2:27" x14ac:dyDescent="0.25">
      <c r="B353" s="21" t="str">
        <f ca="1">IF(B352="","",IF(EOMONTH(B352,1)&gt;EOMONTH(ELEGIBILIDADE!$J$17,0),"",EOMONTH(B352,1)))</f>
        <v/>
      </c>
      <c r="C353" s="22" t="str">
        <f ca="1">IF(B353="","",IF(MONTH(B353)=1,C352*(1+PREMISSAS!$C$57),C352))</f>
        <v/>
      </c>
      <c r="D353" s="22">
        <f ca="1">IF(RESULTADOS!$C$17="Normal",IFERROR(MAX(C353-PREMISSAS!$C$13,0),0),IF(Painel!$I$23=0,0,MAX(10*PREMISSAS!$C$38,RESULTADOS!$F$17)))</f>
        <v>0</v>
      </c>
      <c r="E353" s="4">
        <f ca="1">D353*IF(RESULTADOS!$C$17="Normal",RESULTADOS!$C$16,0)</f>
        <v>0</v>
      </c>
      <c r="F353" s="4">
        <f ca="1">IFERROR(IF(RESULTADOS!$C$17="Normal",D353,C353)*RESULTADOS!$C$18,0)</f>
        <v>0</v>
      </c>
      <c r="G353" s="4">
        <f ca="1">IFERROR(IF(RESULTADOS!$C$17="Normal",0,D353)*IF(RESULTADOS!$C$17="Normal",RESULTADOS!$C$18,RESULTADOS!$C$16),0)</f>
        <v>0</v>
      </c>
      <c r="H353" s="4">
        <f ca="1">IF(RESULTADOS!$C$17="Normal",E353,0)</f>
        <v>0</v>
      </c>
      <c r="I353" s="4">
        <f ca="1">(E353+H353+G353)*PREMISSAS!$C$60</f>
        <v>0</v>
      </c>
      <c r="J353" s="4">
        <f ca="1">D353*IF(RESULTADOS!$C$17="Normal",PREMISSAS!$C$62,0)</f>
        <v>0</v>
      </c>
      <c r="K353" s="116">
        <f ca="1">IFERROR(K352*(1+PREMISSAS!$C$18)+(E353+H353-IF(RESULTADOS!$C$17="Normal",I353,0)-J353)*IF(MONTH(B353)=12,2,1),0)</f>
        <v>0</v>
      </c>
      <c r="L353" s="116">
        <f ca="1">IFERROR((L352+G353-IF(RESULTADOS!$C$17="Normal",0,I353))*(1+PREMISSAS!$C$18)+F353,0)</f>
        <v>0</v>
      </c>
      <c r="N353" s="73">
        <f t="shared" ca="1" si="41"/>
        <v>0</v>
      </c>
      <c r="P353" s="164" t="str">
        <f t="shared" ca="1" si="42"/>
        <v/>
      </c>
      <c r="Q353" s="140" t="str">
        <f ca="1">IF(C353="","",Q352+(E353+H353-IF(RESULTADOS!$C$17="Normal",I353,0)-J353)/2+(F353+G353-IF(RESULTADOS!$C$17="Normal",0,I353)))</f>
        <v/>
      </c>
      <c r="R353" s="140" t="str">
        <f ca="1">IF(C353="","",R352+(E353+H353-IF(RESULTADOS!$C$17="Normal",I353,0)-J353)/2)</f>
        <v/>
      </c>
      <c r="S353" s="140">
        <f t="shared" ca="1" si="44"/>
        <v>0</v>
      </c>
      <c r="U353" s="164" t="str">
        <f t="shared" ca="1" si="45"/>
        <v/>
      </c>
      <c r="V353" s="164" t="str">
        <f t="shared" ca="1" si="43"/>
        <v/>
      </c>
      <c r="W353" s="140">
        <f ca="1">IF(OR((W352-13/12*Z352)*(1+PREMISSAS!$C$16)&lt;0,W352=""),0,(W352-13/12*Z352)*(1+PREMISSAS!$C$16))</f>
        <v>0</v>
      </c>
      <c r="X353" s="140">
        <f ca="1">IF(OR((X352-13/12*AA352)*(1+PREMISSAS!$C$16)&lt;0,X352=""),0,(X352-13/12*AA352)*(1+PREMISSAS!$C$16))</f>
        <v>0</v>
      </c>
      <c r="Y353" s="140">
        <f t="shared" ca="1" si="40"/>
        <v>0</v>
      </c>
      <c r="Z353" s="167">
        <f t="shared" ca="1" si="46"/>
        <v>0</v>
      </c>
      <c r="AA353" s="167">
        <f t="shared" ca="1" si="47"/>
        <v>0</v>
      </c>
    </row>
    <row r="354" spans="2:27" x14ac:dyDescent="0.25">
      <c r="B354" s="21" t="str">
        <f ca="1">IF(B353="","",IF(EOMONTH(B353,1)&gt;EOMONTH(ELEGIBILIDADE!$J$17,0),"",EOMONTH(B353,1)))</f>
        <v/>
      </c>
      <c r="C354" s="22" t="str">
        <f ca="1">IF(B354="","",IF(MONTH(B354)=1,C353*(1+PREMISSAS!$C$57),C353))</f>
        <v/>
      </c>
      <c r="D354" s="22">
        <f ca="1">IF(RESULTADOS!$C$17="Normal",IFERROR(MAX(C354-PREMISSAS!$C$13,0),0),IF(Painel!$I$23=0,0,MAX(10*PREMISSAS!$C$38,RESULTADOS!$F$17)))</f>
        <v>0</v>
      </c>
      <c r="E354" s="4">
        <f ca="1">D354*IF(RESULTADOS!$C$17="Normal",RESULTADOS!$C$16,0)</f>
        <v>0</v>
      </c>
      <c r="F354" s="4">
        <f ca="1">IFERROR(IF(RESULTADOS!$C$17="Normal",D354,C354)*RESULTADOS!$C$18,0)</f>
        <v>0</v>
      </c>
      <c r="G354" s="4">
        <f ca="1">IFERROR(IF(RESULTADOS!$C$17="Normal",0,D354)*IF(RESULTADOS!$C$17="Normal",RESULTADOS!$C$18,RESULTADOS!$C$16),0)</f>
        <v>0</v>
      </c>
      <c r="H354" s="4">
        <f ca="1">IF(RESULTADOS!$C$17="Normal",E354,0)</f>
        <v>0</v>
      </c>
      <c r="I354" s="4">
        <f ca="1">(E354+H354+G354)*PREMISSAS!$C$60</f>
        <v>0</v>
      </c>
      <c r="J354" s="4">
        <f ca="1">D354*IF(RESULTADOS!$C$17="Normal",PREMISSAS!$C$62,0)</f>
        <v>0</v>
      </c>
      <c r="K354" s="116">
        <f ca="1">IFERROR(K353*(1+PREMISSAS!$C$18)+(E354+H354-IF(RESULTADOS!$C$17="Normal",I354,0)-J354)*IF(MONTH(B354)=12,2,1),0)</f>
        <v>0</v>
      </c>
      <c r="L354" s="116">
        <f ca="1">IFERROR((L353+G354-IF(RESULTADOS!$C$17="Normal",0,I354))*(1+PREMISSAS!$C$18)+F354,0)</f>
        <v>0</v>
      </c>
      <c r="N354" s="73">
        <f t="shared" ca="1" si="41"/>
        <v>0</v>
      </c>
      <c r="P354" s="164" t="str">
        <f t="shared" ca="1" si="42"/>
        <v/>
      </c>
      <c r="Q354" s="140" t="str">
        <f ca="1">IF(C354="","",Q353+(E354+H354-IF(RESULTADOS!$C$17="Normal",I354,0)-J354)/2+(F354+G354-IF(RESULTADOS!$C$17="Normal",0,I354)))</f>
        <v/>
      </c>
      <c r="R354" s="140" t="str">
        <f ca="1">IF(C354="","",R353+(E354+H354-IF(RESULTADOS!$C$17="Normal",I354,0)-J354)/2)</f>
        <v/>
      </c>
      <c r="S354" s="140">
        <f t="shared" ca="1" si="44"/>
        <v>0</v>
      </c>
      <c r="U354" s="164" t="str">
        <f t="shared" ca="1" si="45"/>
        <v/>
      </c>
      <c r="V354" s="164" t="str">
        <f t="shared" ca="1" si="43"/>
        <v/>
      </c>
      <c r="W354" s="140">
        <f ca="1">IF(OR((W353-13/12*Z353)*(1+PREMISSAS!$C$16)&lt;0,W353=""),0,(W353-13/12*Z353)*(1+PREMISSAS!$C$16))</f>
        <v>0</v>
      </c>
      <c r="X354" s="140">
        <f ca="1">IF(OR((X353-13/12*AA353)*(1+PREMISSAS!$C$16)&lt;0,X353=""),0,(X353-13/12*AA353)*(1+PREMISSAS!$C$16))</f>
        <v>0</v>
      </c>
      <c r="Y354" s="140">
        <f t="shared" ca="1" si="40"/>
        <v>0</v>
      </c>
      <c r="Z354" s="167">
        <f t="shared" ca="1" si="46"/>
        <v>0</v>
      </c>
      <c r="AA354" s="167">
        <f t="shared" ca="1" si="47"/>
        <v>0</v>
      </c>
    </row>
    <row r="355" spans="2:27" x14ac:dyDescent="0.25">
      <c r="B355" s="21" t="str">
        <f ca="1">IF(B354="","",IF(EOMONTH(B354,1)&gt;EOMONTH(ELEGIBILIDADE!$J$17,0),"",EOMONTH(B354,1)))</f>
        <v/>
      </c>
      <c r="C355" s="22" t="str">
        <f ca="1">IF(B355="","",IF(MONTH(B355)=1,C354*(1+PREMISSAS!$C$57),C354))</f>
        <v/>
      </c>
      <c r="D355" s="22">
        <f ca="1">IF(RESULTADOS!$C$17="Normal",IFERROR(MAX(C355-PREMISSAS!$C$13,0),0),IF(Painel!$I$23=0,0,MAX(10*PREMISSAS!$C$38,RESULTADOS!$F$17)))</f>
        <v>0</v>
      </c>
      <c r="E355" s="4">
        <f ca="1">D355*IF(RESULTADOS!$C$17="Normal",RESULTADOS!$C$16,0)</f>
        <v>0</v>
      </c>
      <c r="F355" s="4">
        <f ca="1">IFERROR(IF(RESULTADOS!$C$17="Normal",D355,C355)*RESULTADOS!$C$18,0)</f>
        <v>0</v>
      </c>
      <c r="G355" s="4">
        <f ca="1">IFERROR(IF(RESULTADOS!$C$17="Normal",0,D355)*IF(RESULTADOS!$C$17="Normal",RESULTADOS!$C$18,RESULTADOS!$C$16),0)</f>
        <v>0</v>
      </c>
      <c r="H355" s="4">
        <f ca="1">IF(RESULTADOS!$C$17="Normal",E355,0)</f>
        <v>0</v>
      </c>
      <c r="I355" s="4">
        <f ca="1">(E355+H355+G355)*PREMISSAS!$C$60</f>
        <v>0</v>
      </c>
      <c r="J355" s="4">
        <f ca="1">D355*IF(RESULTADOS!$C$17="Normal",PREMISSAS!$C$62,0)</f>
        <v>0</v>
      </c>
      <c r="K355" s="116">
        <f ca="1">IFERROR(K354*(1+PREMISSAS!$C$18)+(E355+H355-IF(RESULTADOS!$C$17="Normal",I355,0)-J355)*IF(MONTH(B355)=12,2,1),0)</f>
        <v>0</v>
      </c>
      <c r="L355" s="116">
        <f ca="1">IFERROR((L354+G355-IF(RESULTADOS!$C$17="Normal",0,I355))*(1+PREMISSAS!$C$18)+F355,0)</f>
        <v>0</v>
      </c>
      <c r="N355" s="73">
        <f t="shared" ca="1" si="41"/>
        <v>0</v>
      </c>
      <c r="P355" s="164" t="str">
        <f t="shared" ca="1" si="42"/>
        <v/>
      </c>
      <c r="Q355" s="140" t="str">
        <f ca="1">IF(C355="","",Q354+(E355+H355-IF(RESULTADOS!$C$17="Normal",I355,0)-J355)/2+(F355+G355-IF(RESULTADOS!$C$17="Normal",0,I355)))</f>
        <v/>
      </c>
      <c r="R355" s="140" t="str">
        <f ca="1">IF(C355="","",R354+(E355+H355-IF(RESULTADOS!$C$17="Normal",I355,0)-J355)/2)</f>
        <v/>
      </c>
      <c r="S355" s="140">
        <f t="shared" ca="1" si="44"/>
        <v>0</v>
      </c>
      <c r="U355" s="164" t="str">
        <f t="shared" ca="1" si="45"/>
        <v/>
      </c>
      <c r="V355" s="164" t="str">
        <f t="shared" ca="1" si="43"/>
        <v/>
      </c>
      <c r="W355" s="140">
        <f ca="1">IF(OR((W354-13/12*Z354)*(1+PREMISSAS!$C$16)&lt;0,W354=""),0,(W354-13/12*Z354)*(1+PREMISSAS!$C$16))</f>
        <v>0</v>
      </c>
      <c r="X355" s="140">
        <f ca="1">IF(OR((X354-13/12*AA354)*(1+PREMISSAS!$C$16)&lt;0,X354=""),0,(X354-13/12*AA354)*(1+PREMISSAS!$C$16))</f>
        <v>0</v>
      </c>
      <c r="Y355" s="140">
        <f t="shared" ca="1" si="40"/>
        <v>0</v>
      </c>
      <c r="Z355" s="167">
        <f t="shared" ca="1" si="46"/>
        <v>0</v>
      </c>
      <c r="AA355" s="167">
        <f t="shared" ca="1" si="47"/>
        <v>0</v>
      </c>
    </row>
    <row r="356" spans="2:27" x14ac:dyDescent="0.25">
      <c r="B356" s="21" t="str">
        <f ca="1">IF(B355="","",IF(EOMONTH(B355,1)&gt;EOMONTH(ELEGIBILIDADE!$J$17,0),"",EOMONTH(B355,1)))</f>
        <v/>
      </c>
      <c r="C356" s="22" t="str">
        <f ca="1">IF(B356="","",IF(MONTH(B356)=1,C355*(1+PREMISSAS!$C$57),C355))</f>
        <v/>
      </c>
      <c r="D356" s="22">
        <f ca="1">IF(RESULTADOS!$C$17="Normal",IFERROR(MAX(C356-PREMISSAS!$C$13,0),0),IF(Painel!$I$23=0,0,MAX(10*PREMISSAS!$C$38,RESULTADOS!$F$17)))</f>
        <v>0</v>
      </c>
      <c r="E356" s="4">
        <f ca="1">D356*IF(RESULTADOS!$C$17="Normal",RESULTADOS!$C$16,0)</f>
        <v>0</v>
      </c>
      <c r="F356" s="4">
        <f ca="1">IFERROR(IF(RESULTADOS!$C$17="Normal",D356,C356)*RESULTADOS!$C$18,0)</f>
        <v>0</v>
      </c>
      <c r="G356" s="4">
        <f ca="1">IFERROR(IF(RESULTADOS!$C$17="Normal",0,D356)*IF(RESULTADOS!$C$17="Normal",RESULTADOS!$C$18,RESULTADOS!$C$16),0)</f>
        <v>0</v>
      </c>
      <c r="H356" s="4">
        <f ca="1">IF(RESULTADOS!$C$17="Normal",E356,0)</f>
        <v>0</v>
      </c>
      <c r="I356" s="4">
        <f ca="1">(E356+H356+G356)*PREMISSAS!$C$60</f>
        <v>0</v>
      </c>
      <c r="J356" s="4">
        <f ca="1">D356*IF(RESULTADOS!$C$17="Normal",PREMISSAS!$C$62,0)</f>
        <v>0</v>
      </c>
      <c r="K356" s="116">
        <f ca="1">IFERROR(K355*(1+PREMISSAS!$C$18)+(E356+H356-IF(RESULTADOS!$C$17="Normal",I356,0)-J356)*IF(MONTH(B356)=12,2,1),0)</f>
        <v>0</v>
      </c>
      <c r="L356" s="116">
        <f ca="1">IFERROR((L355+G356-IF(RESULTADOS!$C$17="Normal",0,I356))*(1+PREMISSAS!$C$18)+F356,0)</f>
        <v>0</v>
      </c>
      <c r="N356" s="73">
        <f t="shared" ca="1" si="41"/>
        <v>0</v>
      </c>
      <c r="P356" s="164" t="str">
        <f t="shared" ca="1" si="42"/>
        <v/>
      </c>
      <c r="Q356" s="140" t="str">
        <f ca="1">IF(C356="","",Q355+(E356+H356-IF(RESULTADOS!$C$17="Normal",I356,0)-J356)/2+(F356+G356-IF(RESULTADOS!$C$17="Normal",0,I356)))</f>
        <v/>
      </c>
      <c r="R356" s="140" t="str">
        <f ca="1">IF(C356="","",R355+(E356+H356-IF(RESULTADOS!$C$17="Normal",I356,0)-J356)/2)</f>
        <v/>
      </c>
      <c r="S356" s="140">
        <f t="shared" ca="1" si="44"/>
        <v>0</v>
      </c>
      <c r="U356" s="164" t="str">
        <f t="shared" ca="1" si="45"/>
        <v/>
      </c>
      <c r="V356" s="164" t="str">
        <f t="shared" ca="1" si="43"/>
        <v/>
      </c>
      <c r="W356" s="140">
        <f ca="1">IF(OR((W355-13/12*Z355)*(1+PREMISSAS!$C$16)&lt;0,W355=""),0,(W355-13/12*Z355)*(1+PREMISSAS!$C$16))</f>
        <v>0</v>
      </c>
      <c r="X356" s="140">
        <f ca="1">IF(OR((X355-13/12*AA355)*(1+PREMISSAS!$C$16)&lt;0,X355=""),0,(X355-13/12*AA355)*(1+PREMISSAS!$C$16))</f>
        <v>0</v>
      </c>
      <c r="Y356" s="140">
        <f t="shared" ca="1" si="40"/>
        <v>0</v>
      </c>
      <c r="Z356" s="167">
        <f t="shared" ca="1" si="46"/>
        <v>0</v>
      </c>
      <c r="AA356" s="167">
        <f t="shared" ca="1" si="47"/>
        <v>0</v>
      </c>
    </row>
    <row r="357" spans="2:27" x14ac:dyDescent="0.25">
      <c r="B357" s="21" t="str">
        <f ca="1">IF(B356="","",IF(EOMONTH(B356,1)&gt;EOMONTH(ELEGIBILIDADE!$J$17,0),"",EOMONTH(B356,1)))</f>
        <v/>
      </c>
      <c r="C357" s="22" t="str">
        <f ca="1">IF(B357="","",IF(MONTH(B357)=1,C356*(1+PREMISSAS!$C$57),C356))</f>
        <v/>
      </c>
      <c r="D357" s="22">
        <f ca="1">IF(RESULTADOS!$C$17="Normal",IFERROR(MAX(C357-PREMISSAS!$C$13,0),0),IF(Painel!$I$23=0,0,MAX(10*PREMISSAS!$C$38,RESULTADOS!$F$17)))</f>
        <v>0</v>
      </c>
      <c r="E357" s="4">
        <f ca="1">D357*IF(RESULTADOS!$C$17="Normal",RESULTADOS!$C$16,0)</f>
        <v>0</v>
      </c>
      <c r="F357" s="4">
        <f ca="1">IFERROR(IF(RESULTADOS!$C$17="Normal",D357,C357)*RESULTADOS!$C$18,0)</f>
        <v>0</v>
      </c>
      <c r="G357" s="4">
        <f ca="1">IFERROR(IF(RESULTADOS!$C$17="Normal",0,D357)*IF(RESULTADOS!$C$17="Normal",RESULTADOS!$C$18,RESULTADOS!$C$16),0)</f>
        <v>0</v>
      </c>
      <c r="H357" s="4">
        <f ca="1">IF(RESULTADOS!$C$17="Normal",E357,0)</f>
        <v>0</v>
      </c>
      <c r="I357" s="4">
        <f ca="1">(E357+H357+G357)*PREMISSAS!$C$60</f>
        <v>0</v>
      </c>
      <c r="J357" s="4">
        <f ca="1">D357*IF(RESULTADOS!$C$17="Normal",PREMISSAS!$C$62,0)</f>
        <v>0</v>
      </c>
      <c r="K357" s="116">
        <f ca="1">IFERROR(K356*(1+PREMISSAS!$C$18)+(E357+H357-IF(RESULTADOS!$C$17="Normal",I357,0)-J357)*IF(MONTH(B357)=12,2,1),0)</f>
        <v>0</v>
      </c>
      <c r="L357" s="116">
        <f ca="1">IFERROR((L356+G357-IF(RESULTADOS!$C$17="Normal",0,I357))*(1+PREMISSAS!$C$18)+F357,0)</f>
        <v>0</v>
      </c>
      <c r="N357" s="73">
        <f t="shared" ca="1" si="41"/>
        <v>0</v>
      </c>
      <c r="P357" s="164" t="str">
        <f t="shared" ca="1" si="42"/>
        <v/>
      </c>
      <c r="Q357" s="140" t="str">
        <f ca="1">IF(C357="","",Q356+(E357+H357-IF(RESULTADOS!$C$17="Normal",I357,0)-J357)/2+(F357+G357-IF(RESULTADOS!$C$17="Normal",0,I357)))</f>
        <v/>
      </c>
      <c r="R357" s="140" t="str">
        <f ca="1">IF(C357="","",R356+(E357+H357-IF(RESULTADOS!$C$17="Normal",I357,0)-J357)/2)</f>
        <v/>
      </c>
      <c r="S357" s="140">
        <f t="shared" ca="1" si="44"/>
        <v>0</v>
      </c>
      <c r="U357" s="164" t="str">
        <f t="shared" ca="1" si="45"/>
        <v/>
      </c>
      <c r="V357" s="164" t="str">
        <f t="shared" ca="1" si="43"/>
        <v/>
      </c>
      <c r="W357" s="140">
        <f ca="1">IF(OR((W356-13/12*Z356)*(1+PREMISSAS!$C$16)&lt;0,W356=""),0,(W356-13/12*Z356)*(1+PREMISSAS!$C$16))</f>
        <v>0</v>
      </c>
      <c r="X357" s="140">
        <f ca="1">IF(OR((X356-13/12*AA356)*(1+PREMISSAS!$C$16)&lt;0,X356=""),0,(X356-13/12*AA356)*(1+PREMISSAS!$C$16))</f>
        <v>0</v>
      </c>
      <c r="Y357" s="140">
        <f t="shared" ca="1" si="40"/>
        <v>0</v>
      </c>
      <c r="Z357" s="167">
        <f t="shared" ca="1" si="46"/>
        <v>0</v>
      </c>
      <c r="AA357" s="167">
        <f t="shared" ca="1" si="47"/>
        <v>0</v>
      </c>
    </row>
    <row r="358" spans="2:27" x14ac:dyDescent="0.25">
      <c r="B358" s="21" t="str">
        <f ca="1">IF(B357="","",IF(EOMONTH(B357,1)&gt;EOMONTH(ELEGIBILIDADE!$J$17,0),"",EOMONTH(B357,1)))</f>
        <v/>
      </c>
      <c r="C358" s="22" t="str">
        <f ca="1">IF(B358="","",IF(MONTH(B358)=1,C357*(1+PREMISSAS!$C$57),C357))</f>
        <v/>
      </c>
      <c r="D358" s="22">
        <f ca="1">IF(RESULTADOS!$C$17="Normal",IFERROR(MAX(C358-PREMISSAS!$C$13,0),0),IF(Painel!$I$23=0,0,MAX(10*PREMISSAS!$C$38,RESULTADOS!$F$17)))</f>
        <v>0</v>
      </c>
      <c r="E358" s="4">
        <f ca="1">D358*IF(RESULTADOS!$C$17="Normal",RESULTADOS!$C$16,0)</f>
        <v>0</v>
      </c>
      <c r="F358" s="4">
        <f ca="1">IFERROR(IF(RESULTADOS!$C$17="Normal",D358,C358)*RESULTADOS!$C$18,0)</f>
        <v>0</v>
      </c>
      <c r="G358" s="4">
        <f ca="1">IFERROR(IF(RESULTADOS!$C$17="Normal",0,D358)*IF(RESULTADOS!$C$17="Normal",RESULTADOS!$C$18,RESULTADOS!$C$16),0)</f>
        <v>0</v>
      </c>
      <c r="H358" s="4">
        <f ca="1">IF(RESULTADOS!$C$17="Normal",E358,0)</f>
        <v>0</v>
      </c>
      <c r="I358" s="4">
        <f ca="1">(E358+H358+G358)*PREMISSAS!$C$60</f>
        <v>0</v>
      </c>
      <c r="J358" s="4">
        <f ca="1">D358*IF(RESULTADOS!$C$17="Normal",PREMISSAS!$C$62,0)</f>
        <v>0</v>
      </c>
      <c r="K358" s="116">
        <f ca="1">IFERROR(K357*(1+PREMISSAS!$C$18)+(E358+H358-IF(RESULTADOS!$C$17="Normal",I358,0)-J358)*IF(MONTH(B358)=12,2,1),0)</f>
        <v>0</v>
      </c>
      <c r="L358" s="116">
        <f ca="1">IFERROR((L357+G358-IF(RESULTADOS!$C$17="Normal",0,I358))*(1+PREMISSAS!$C$18)+F358,0)</f>
        <v>0</v>
      </c>
      <c r="N358" s="73">
        <f t="shared" ca="1" si="41"/>
        <v>0</v>
      </c>
      <c r="P358" s="164" t="str">
        <f t="shared" ca="1" si="42"/>
        <v/>
      </c>
      <c r="Q358" s="140" t="str">
        <f ca="1">IF(C358="","",Q357+(E358+H358-IF(RESULTADOS!$C$17="Normal",I358,0)-J358)/2+(F358+G358-IF(RESULTADOS!$C$17="Normal",0,I358)))</f>
        <v/>
      </c>
      <c r="R358" s="140" t="str">
        <f ca="1">IF(C358="","",R357+(E358+H358-IF(RESULTADOS!$C$17="Normal",I358,0)-J358)/2)</f>
        <v/>
      </c>
      <c r="S358" s="140">
        <f t="shared" ca="1" si="44"/>
        <v>0</v>
      </c>
      <c r="U358" s="164" t="str">
        <f t="shared" ca="1" si="45"/>
        <v/>
      </c>
      <c r="V358" s="164" t="str">
        <f t="shared" ca="1" si="43"/>
        <v/>
      </c>
      <c r="W358" s="140">
        <f ca="1">IF(OR((W357-13/12*Z357)*(1+PREMISSAS!$C$16)&lt;0,W357=""),0,(W357-13/12*Z357)*(1+PREMISSAS!$C$16))</f>
        <v>0</v>
      </c>
      <c r="X358" s="140">
        <f ca="1">IF(OR((X357-13/12*AA357)*(1+PREMISSAS!$C$16)&lt;0,X357=""),0,(X357-13/12*AA357)*(1+PREMISSAS!$C$16))</f>
        <v>0</v>
      </c>
      <c r="Y358" s="140">
        <f t="shared" ca="1" si="40"/>
        <v>0</v>
      </c>
      <c r="Z358" s="167">
        <f t="shared" ca="1" si="46"/>
        <v>0</v>
      </c>
      <c r="AA358" s="167">
        <f t="shared" ca="1" si="47"/>
        <v>0</v>
      </c>
    </row>
    <row r="359" spans="2:27" x14ac:dyDescent="0.25">
      <c r="B359" s="21" t="str">
        <f ca="1">IF(B358="","",IF(EOMONTH(B358,1)&gt;EOMONTH(ELEGIBILIDADE!$J$17,0),"",EOMONTH(B358,1)))</f>
        <v/>
      </c>
      <c r="C359" s="22" t="str">
        <f ca="1">IF(B359="","",IF(MONTH(B359)=1,C358*(1+PREMISSAS!$C$57),C358))</f>
        <v/>
      </c>
      <c r="D359" s="22">
        <f ca="1">IF(RESULTADOS!$C$17="Normal",IFERROR(MAX(C359-PREMISSAS!$C$13,0),0),IF(Painel!$I$23=0,0,MAX(10*PREMISSAS!$C$38,RESULTADOS!$F$17)))</f>
        <v>0</v>
      </c>
      <c r="E359" s="4">
        <f ca="1">D359*IF(RESULTADOS!$C$17="Normal",RESULTADOS!$C$16,0)</f>
        <v>0</v>
      </c>
      <c r="F359" s="4">
        <f ca="1">IFERROR(IF(RESULTADOS!$C$17="Normal",D359,C359)*RESULTADOS!$C$18,0)</f>
        <v>0</v>
      </c>
      <c r="G359" s="4">
        <f ca="1">IFERROR(IF(RESULTADOS!$C$17="Normal",0,D359)*IF(RESULTADOS!$C$17="Normal",RESULTADOS!$C$18,RESULTADOS!$C$16),0)</f>
        <v>0</v>
      </c>
      <c r="H359" s="4">
        <f ca="1">IF(RESULTADOS!$C$17="Normal",E359,0)</f>
        <v>0</v>
      </c>
      <c r="I359" s="4">
        <f ca="1">(E359+H359+G359)*PREMISSAS!$C$60</f>
        <v>0</v>
      </c>
      <c r="J359" s="4">
        <f ca="1">D359*IF(RESULTADOS!$C$17="Normal",PREMISSAS!$C$62,0)</f>
        <v>0</v>
      </c>
      <c r="K359" s="116">
        <f ca="1">IFERROR(K358*(1+PREMISSAS!$C$18)+(E359+H359-IF(RESULTADOS!$C$17="Normal",I359,0)-J359)*IF(MONTH(B359)=12,2,1),0)</f>
        <v>0</v>
      </c>
      <c r="L359" s="116">
        <f ca="1">IFERROR((L358+G359-IF(RESULTADOS!$C$17="Normal",0,I359))*(1+PREMISSAS!$C$18)+F359,0)</f>
        <v>0</v>
      </c>
      <c r="N359" s="73">
        <f t="shared" ca="1" si="41"/>
        <v>0</v>
      </c>
      <c r="P359" s="164" t="str">
        <f t="shared" ca="1" si="42"/>
        <v/>
      </c>
      <c r="Q359" s="140" t="str">
        <f ca="1">IF(C359="","",Q358+(E359+H359-IF(RESULTADOS!$C$17="Normal",I359,0)-J359)/2+(F359+G359-IF(RESULTADOS!$C$17="Normal",0,I359)))</f>
        <v/>
      </c>
      <c r="R359" s="140" t="str">
        <f ca="1">IF(C359="","",R358+(E359+H359-IF(RESULTADOS!$C$17="Normal",I359,0)-J359)/2)</f>
        <v/>
      </c>
      <c r="S359" s="140">
        <f t="shared" ca="1" si="44"/>
        <v>0</v>
      </c>
      <c r="U359" s="164" t="str">
        <f t="shared" ca="1" si="45"/>
        <v/>
      </c>
      <c r="V359" s="164" t="str">
        <f t="shared" ca="1" si="43"/>
        <v/>
      </c>
      <c r="W359" s="140">
        <f ca="1">IF(OR((W358-13/12*Z358)*(1+PREMISSAS!$C$16)&lt;0,W358=""),0,(W358-13/12*Z358)*(1+PREMISSAS!$C$16))</f>
        <v>0</v>
      </c>
      <c r="X359" s="140">
        <f ca="1">IF(OR((X358-13/12*AA358)*(1+PREMISSAS!$C$16)&lt;0,X358=""),0,(X358-13/12*AA358)*(1+PREMISSAS!$C$16))</f>
        <v>0</v>
      </c>
      <c r="Y359" s="140">
        <f t="shared" ca="1" si="40"/>
        <v>0</v>
      </c>
      <c r="Z359" s="167">
        <f t="shared" ca="1" si="46"/>
        <v>0</v>
      </c>
      <c r="AA359" s="167">
        <f t="shared" ca="1" si="47"/>
        <v>0</v>
      </c>
    </row>
    <row r="360" spans="2:27" x14ac:dyDescent="0.25">
      <c r="B360" s="21" t="str">
        <f ca="1">IF(B359="","",IF(EOMONTH(B359,1)&gt;EOMONTH(ELEGIBILIDADE!$J$17,0),"",EOMONTH(B359,1)))</f>
        <v/>
      </c>
      <c r="C360" s="22" t="str">
        <f ca="1">IF(B360="","",IF(MONTH(B360)=1,C359*(1+PREMISSAS!$C$57),C359))</f>
        <v/>
      </c>
      <c r="D360" s="22">
        <f ca="1">IF(RESULTADOS!$C$17="Normal",IFERROR(MAX(C360-PREMISSAS!$C$13,0),0),IF(Painel!$I$23=0,0,MAX(10*PREMISSAS!$C$38,RESULTADOS!$F$17)))</f>
        <v>0</v>
      </c>
      <c r="E360" s="4">
        <f ca="1">D360*IF(RESULTADOS!$C$17="Normal",RESULTADOS!$C$16,0)</f>
        <v>0</v>
      </c>
      <c r="F360" s="4">
        <f ca="1">IFERROR(IF(RESULTADOS!$C$17="Normal",D360,C360)*RESULTADOS!$C$18,0)</f>
        <v>0</v>
      </c>
      <c r="G360" s="4">
        <f ca="1">IFERROR(IF(RESULTADOS!$C$17="Normal",0,D360)*IF(RESULTADOS!$C$17="Normal",RESULTADOS!$C$18,RESULTADOS!$C$16),0)</f>
        <v>0</v>
      </c>
      <c r="H360" s="4">
        <f ca="1">IF(RESULTADOS!$C$17="Normal",E360,0)</f>
        <v>0</v>
      </c>
      <c r="I360" s="4">
        <f ca="1">(E360+H360+G360)*PREMISSAS!$C$60</f>
        <v>0</v>
      </c>
      <c r="J360" s="4">
        <f ca="1">D360*IF(RESULTADOS!$C$17="Normal",PREMISSAS!$C$62,0)</f>
        <v>0</v>
      </c>
      <c r="K360" s="116">
        <f ca="1">IFERROR(K359*(1+PREMISSAS!$C$18)+(E360+H360-IF(RESULTADOS!$C$17="Normal",I360,0)-J360)*IF(MONTH(B360)=12,2,1),0)</f>
        <v>0</v>
      </c>
      <c r="L360" s="116">
        <f ca="1">IFERROR((L359+G360-IF(RESULTADOS!$C$17="Normal",0,I360))*(1+PREMISSAS!$C$18)+F360,0)</f>
        <v>0</v>
      </c>
      <c r="N360" s="73">
        <f t="shared" ca="1" si="41"/>
        <v>0</v>
      </c>
      <c r="P360" s="164" t="str">
        <f t="shared" ca="1" si="42"/>
        <v/>
      </c>
      <c r="Q360" s="140" t="str">
        <f ca="1">IF(C360="","",Q359+(E360+H360-IF(RESULTADOS!$C$17="Normal",I360,0)-J360)/2+(F360+G360-IF(RESULTADOS!$C$17="Normal",0,I360)))</f>
        <v/>
      </c>
      <c r="R360" s="140" t="str">
        <f ca="1">IF(C360="","",R359+(E360+H360-IF(RESULTADOS!$C$17="Normal",I360,0)-J360)/2)</f>
        <v/>
      </c>
      <c r="S360" s="140">
        <f t="shared" ca="1" si="44"/>
        <v>0</v>
      </c>
      <c r="U360" s="164" t="str">
        <f t="shared" ca="1" si="45"/>
        <v/>
      </c>
      <c r="V360" s="164" t="str">
        <f t="shared" ca="1" si="43"/>
        <v/>
      </c>
      <c r="W360" s="140">
        <f ca="1">IF(OR((W359-13/12*Z359)*(1+PREMISSAS!$C$16)&lt;0,W359=""),0,(W359-13/12*Z359)*(1+PREMISSAS!$C$16))</f>
        <v>0</v>
      </c>
      <c r="X360" s="140">
        <f ca="1">IF(OR((X359-13/12*AA359)*(1+PREMISSAS!$C$16)&lt;0,X359=""),0,(X359-13/12*AA359)*(1+PREMISSAS!$C$16))</f>
        <v>0</v>
      </c>
      <c r="Y360" s="140">
        <f t="shared" ca="1" si="40"/>
        <v>0</v>
      </c>
      <c r="Z360" s="167">
        <f t="shared" ca="1" si="46"/>
        <v>0</v>
      </c>
      <c r="AA360" s="167">
        <f t="shared" ca="1" si="47"/>
        <v>0</v>
      </c>
    </row>
    <row r="361" spans="2:27" x14ac:dyDescent="0.25">
      <c r="B361" s="21" t="str">
        <f ca="1">IF(B360="","",IF(EOMONTH(B360,1)&gt;EOMONTH(ELEGIBILIDADE!$J$17,0),"",EOMONTH(B360,1)))</f>
        <v/>
      </c>
      <c r="C361" s="22" t="str">
        <f ca="1">IF(B361="","",IF(MONTH(B361)=1,C360*(1+PREMISSAS!$C$57),C360))</f>
        <v/>
      </c>
      <c r="D361" s="22">
        <f ca="1">IF(RESULTADOS!$C$17="Normal",IFERROR(MAX(C361-PREMISSAS!$C$13,0),0),IF(Painel!$I$23=0,0,MAX(10*PREMISSAS!$C$38,RESULTADOS!$F$17)))</f>
        <v>0</v>
      </c>
      <c r="E361" s="4">
        <f ca="1">D361*IF(RESULTADOS!$C$17="Normal",RESULTADOS!$C$16,0)</f>
        <v>0</v>
      </c>
      <c r="F361" s="4">
        <f ca="1">IFERROR(IF(RESULTADOS!$C$17="Normal",D361,C361)*RESULTADOS!$C$18,0)</f>
        <v>0</v>
      </c>
      <c r="G361" s="4">
        <f ca="1">IFERROR(IF(RESULTADOS!$C$17="Normal",0,D361)*IF(RESULTADOS!$C$17="Normal",RESULTADOS!$C$18,RESULTADOS!$C$16),0)</f>
        <v>0</v>
      </c>
      <c r="H361" s="4">
        <f ca="1">IF(RESULTADOS!$C$17="Normal",E361,0)</f>
        <v>0</v>
      </c>
      <c r="I361" s="4">
        <f ca="1">(E361+H361+G361)*PREMISSAS!$C$60</f>
        <v>0</v>
      </c>
      <c r="J361" s="4">
        <f ca="1">D361*IF(RESULTADOS!$C$17="Normal",PREMISSAS!$C$62,0)</f>
        <v>0</v>
      </c>
      <c r="K361" s="116">
        <f ca="1">IFERROR(K360*(1+PREMISSAS!$C$18)+(E361+H361-IF(RESULTADOS!$C$17="Normal",I361,0)-J361)*IF(MONTH(B361)=12,2,1),0)</f>
        <v>0</v>
      </c>
      <c r="L361" s="116">
        <f ca="1">IFERROR((L360+G361-IF(RESULTADOS!$C$17="Normal",0,I361))*(1+PREMISSAS!$C$18)+F361,0)</f>
        <v>0</v>
      </c>
      <c r="N361" s="73">
        <f t="shared" ca="1" si="41"/>
        <v>0</v>
      </c>
      <c r="P361" s="164" t="str">
        <f t="shared" ca="1" si="42"/>
        <v/>
      </c>
      <c r="Q361" s="140" t="str">
        <f ca="1">IF(C361="","",Q360+(E361+H361-IF(RESULTADOS!$C$17="Normal",I361,0)-J361)/2+(F361+G361-IF(RESULTADOS!$C$17="Normal",0,I361)))</f>
        <v/>
      </c>
      <c r="R361" s="140" t="str">
        <f ca="1">IF(C361="","",R360+(E361+H361-IF(RESULTADOS!$C$17="Normal",I361,0)-J361)/2)</f>
        <v/>
      </c>
      <c r="S361" s="140">
        <f t="shared" ca="1" si="44"/>
        <v>0</v>
      </c>
      <c r="U361" s="164" t="str">
        <f t="shared" ca="1" si="45"/>
        <v/>
      </c>
      <c r="V361" s="164" t="str">
        <f t="shared" ca="1" si="43"/>
        <v/>
      </c>
      <c r="W361" s="140">
        <f ca="1">IF(OR((W360-13/12*Z360)*(1+PREMISSAS!$C$16)&lt;0,W360=""),0,(W360-13/12*Z360)*(1+PREMISSAS!$C$16))</f>
        <v>0</v>
      </c>
      <c r="X361" s="140">
        <f ca="1">IF(OR((X360-13/12*AA360)*(1+PREMISSAS!$C$16)&lt;0,X360=""),0,(X360-13/12*AA360)*(1+PREMISSAS!$C$16))</f>
        <v>0</v>
      </c>
      <c r="Y361" s="140">
        <f t="shared" ca="1" si="40"/>
        <v>0</v>
      </c>
      <c r="Z361" s="167">
        <f t="shared" ca="1" si="46"/>
        <v>0</v>
      </c>
      <c r="AA361" s="167">
        <f t="shared" ca="1" si="47"/>
        <v>0</v>
      </c>
    </row>
    <row r="362" spans="2:27" x14ac:dyDescent="0.25">
      <c r="B362" s="21" t="str">
        <f ca="1">IF(B361="","",IF(EOMONTH(B361,1)&gt;EOMONTH(ELEGIBILIDADE!$J$17,0),"",EOMONTH(B361,1)))</f>
        <v/>
      </c>
      <c r="C362" s="22" t="str">
        <f ca="1">IF(B362="","",IF(MONTH(B362)=1,C361*(1+PREMISSAS!$C$57),C361))</f>
        <v/>
      </c>
      <c r="D362" s="22">
        <f ca="1">IF(RESULTADOS!$C$17="Normal",IFERROR(MAX(C362-PREMISSAS!$C$13,0),0),IF(Painel!$I$23=0,0,MAX(10*PREMISSAS!$C$38,RESULTADOS!$F$17)))</f>
        <v>0</v>
      </c>
      <c r="E362" s="4">
        <f ca="1">D362*IF(RESULTADOS!$C$17="Normal",RESULTADOS!$C$16,0)</f>
        <v>0</v>
      </c>
      <c r="F362" s="4">
        <f ca="1">IFERROR(IF(RESULTADOS!$C$17="Normal",D362,C362)*RESULTADOS!$C$18,0)</f>
        <v>0</v>
      </c>
      <c r="G362" s="4">
        <f ca="1">IFERROR(IF(RESULTADOS!$C$17="Normal",0,D362)*IF(RESULTADOS!$C$17="Normal",RESULTADOS!$C$18,RESULTADOS!$C$16),0)</f>
        <v>0</v>
      </c>
      <c r="H362" s="4">
        <f ca="1">IF(RESULTADOS!$C$17="Normal",E362,0)</f>
        <v>0</v>
      </c>
      <c r="I362" s="4">
        <f ca="1">(E362+H362+G362)*PREMISSAS!$C$60</f>
        <v>0</v>
      </c>
      <c r="J362" s="4">
        <f ca="1">D362*IF(RESULTADOS!$C$17="Normal",PREMISSAS!$C$62,0)</f>
        <v>0</v>
      </c>
      <c r="K362" s="116">
        <f ca="1">IFERROR(K361*(1+PREMISSAS!$C$18)+(E362+H362-IF(RESULTADOS!$C$17="Normal",I362,0)-J362)*IF(MONTH(B362)=12,2,1),0)</f>
        <v>0</v>
      </c>
      <c r="L362" s="116">
        <f ca="1">IFERROR((L361+G362-IF(RESULTADOS!$C$17="Normal",0,I362))*(1+PREMISSAS!$C$18)+F362,0)</f>
        <v>0</v>
      </c>
      <c r="N362" s="73">
        <f t="shared" ca="1" si="41"/>
        <v>0</v>
      </c>
      <c r="P362" s="164" t="str">
        <f t="shared" ca="1" si="42"/>
        <v/>
      </c>
      <c r="Q362" s="140" t="str">
        <f ca="1">IF(C362="","",Q361+(E362+H362-IF(RESULTADOS!$C$17="Normal",I362,0)-J362)/2+(F362+G362-IF(RESULTADOS!$C$17="Normal",0,I362)))</f>
        <v/>
      </c>
      <c r="R362" s="140" t="str">
        <f ca="1">IF(C362="","",R361+(E362+H362-IF(RESULTADOS!$C$17="Normal",I362,0)-J362)/2)</f>
        <v/>
      </c>
      <c r="S362" s="140">
        <f t="shared" ca="1" si="44"/>
        <v>0</v>
      </c>
      <c r="U362" s="164" t="str">
        <f t="shared" ca="1" si="45"/>
        <v/>
      </c>
      <c r="V362" s="164" t="str">
        <f t="shared" ca="1" si="43"/>
        <v/>
      </c>
      <c r="W362" s="140">
        <f ca="1">IF(OR((W361-13/12*Z361)*(1+PREMISSAS!$C$16)&lt;0,W361=""),0,(W361-13/12*Z361)*(1+PREMISSAS!$C$16))</f>
        <v>0</v>
      </c>
      <c r="X362" s="140">
        <f ca="1">IF(OR((X361-13/12*AA361)*(1+PREMISSAS!$C$16)&lt;0,X361=""),0,(X361-13/12*AA361)*(1+PREMISSAS!$C$16))</f>
        <v>0</v>
      </c>
      <c r="Y362" s="140">
        <f t="shared" ca="1" si="40"/>
        <v>0</v>
      </c>
      <c r="Z362" s="167">
        <f t="shared" ca="1" si="46"/>
        <v>0</v>
      </c>
      <c r="AA362" s="167">
        <f t="shared" ca="1" si="47"/>
        <v>0</v>
      </c>
    </row>
    <row r="363" spans="2:27" x14ac:dyDescent="0.25">
      <c r="B363" s="21" t="str">
        <f ca="1">IF(B362="","",IF(EOMONTH(B362,1)&gt;EOMONTH(ELEGIBILIDADE!$J$17,0),"",EOMONTH(B362,1)))</f>
        <v/>
      </c>
      <c r="C363" s="22" t="str">
        <f ca="1">IF(B363="","",IF(MONTH(B363)=1,C362*(1+PREMISSAS!$C$57),C362))</f>
        <v/>
      </c>
      <c r="D363" s="22">
        <f ca="1">IF(RESULTADOS!$C$17="Normal",IFERROR(MAX(C363-PREMISSAS!$C$13,0),0),IF(Painel!$I$23=0,0,MAX(10*PREMISSAS!$C$38,RESULTADOS!$F$17)))</f>
        <v>0</v>
      </c>
      <c r="E363" s="4">
        <f ca="1">D363*IF(RESULTADOS!$C$17="Normal",RESULTADOS!$C$16,0)</f>
        <v>0</v>
      </c>
      <c r="F363" s="4">
        <f ca="1">IFERROR(IF(RESULTADOS!$C$17="Normal",D363,C363)*RESULTADOS!$C$18,0)</f>
        <v>0</v>
      </c>
      <c r="G363" s="4">
        <f ca="1">IFERROR(IF(RESULTADOS!$C$17="Normal",0,D363)*IF(RESULTADOS!$C$17="Normal",RESULTADOS!$C$18,RESULTADOS!$C$16),0)</f>
        <v>0</v>
      </c>
      <c r="H363" s="4">
        <f ca="1">IF(RESULTADOS!$C$17="Normal",E363,0)</f>
        <v>0</v>
      </c>
      <c r="I363" s="4">
        <f ca="1">(E363+H363+G363)*PREMISSAS!$C$60</f>
        <v>0</v>
      </c>
      <c r="J363" s="4">
        <f ca="1">D363*IF(RESULTADOS!$C$17="Normal",PREMISSAS!$C$62,0)</f>
        <v>0</v>
      </c>
      <c r="K363" s="116">
        <f ca="1">IFERROR(K362*(1+PREMISSAS!$C$18)+(E363+H363-IF(RESULTADOS!$C$17="Normal",I363,0)-J363)*IF(MONTH(B363)=12,2,1),0)</f>
        <v>0</v>
      </c>
      <c r="L363" s="116">
        <f ca="1">IFERROR((L362+G363-IF(RESULTADOS!$C$17="Normal",0,I363))*(1+PREMISSAS!$C$18)+F363,0)</f>
        <v>0</v>
      </c>
      <c r="N363" s="73">
        <f t="shared" ca="1" si="41"/>
        <v>0</v>
      </c>
      <c r="P363" s="164" t="str">
        <f t="shared" ca="1" si="42"/>
        <v/>
      </c>
      <c r="Q363" s="140" t="str">
        <f ca="1">IF(C363="","",Q362+(E363+H363-IF(RESULTADOS!$C$17="Normal",I363,0)-J363)/2+(F363+G363-IF(RESULTADOS!$C$17="Normal",0,I363)))</f>
        <v/>
      </c>
      <c r="R363" s="140" t="str">
        <f ca="1">IF(C363="","",R362+(E363+H363-IF(RESULTADOS!$C$17="Normal",I363,0)-J363)/2)</f>
        <v/>
      </c>
      <c r="S363" s="140">
        <f t="shared" ca="1" si="44"/>
        <v>0</v>
      </c>
      <c r="U363" s="164" t="str">
        <f t="shared" ca="1" si="45"/>
        <v/>
      </c>
      <c r="V363" s="164" t="str">
        <f t="shared" ca="1" si="43"/>
        <v/>
      </c>
      <c r="W363" s="140">
        <f ca="1">IF(OR((W362-13/12*Z362)*(1+PREMISSAS!$C$16)&lt;0,W362=""),0,(W362-13/12*Z362)*(1+PREMISSAS!$C$16))</f>
        <v>0</v>
      </c>
      <c r="X363" s="140">
        <f ca="1">IF(OR((X362-13/12*AA362)*(1+PREMISSAS!$C$16)&lt;0,X362=""),0,(X362-13/12*AA362)*(1+PREMISSAS!$C$16))</f>
        <v>0</v>
      </c>
      <c r="Y363" s="140">
        <f t="shared" ca="1" si="40"/>
        <v>0</v>
      </c>
      <c r="Z363" s="167">
        <f t="shared" ca="1" si="46"/>
        <v>0</v>
      </c>
      <c r="AA363" s="167">
        <f t="shared" ca="1" si="47"/>
        <v>0</v>
      </c>
    </row>
    <row r="364" spans="2:27" x14ac:dyDescent="0.25">
      <c r="B364" s="21" t="str">
        <f ca="1">IF(B363="","",IF(EOMONTH(B363,1)&gt;EOMONTH(ELEGIBILIDADE!$J$17,0),"",EOMONTH(B363,1)))</f>
        <v/>
      </c>
      <c r="C364" s="22" t="str">
        <f ca="1">IF(B364="","",IF(MONTH(B364)=1,C363*(1+PREMISSAS!$C$57),C363))</f>
        <v/>
      </c>
      <c r="D364" s="22">
        <f ca="1">IF(RESULTADOS!$C$17="Normal",IFERROR(MAX(C364-PREMISSAS!$C$13,0),0),IF(Painel!$I$23=0,0,MAX(10*PREMISSAS!$C$38,RESULTADOS!$F$17)))</f>
        <v>0</v>
      </c>
      <c r="E364" s="4">
        <f ca="1">D364*IF(RESULTADOS!$C$17="Normal",RESULTADOS!$C$16,0)</f>
        <v>0</v>
      </c>
      <c r="F364" s="4">
        <f ca="1">IFERROR(IF(RESULTADOS!$C$17="Normal",D364,C364)*RESULTADOS!$C$18,0)</f>
        <v>0</v>
      </c>
      <c r="G364" s="4">
        <f ca="1">IFERROR(IF(RESULTADOS!$C$17="Normal",0,D364)*IF(RESULTADOS!$C$17="Normal",RESULTADOS!$C$18,RESULTADOS!$C$16),0)</f>
        <v>0</v>
      </c>
      <c r="H364" s="4">
        <f ca="1">IF(RESULTADOS!$C$17="Normal",E364,0)</f>
        <v>0</v>
      </c>
      <c r="I364" s="4">
        <f ca="1">(E364+H364+G364)*PREMISSAS!$C$60</f>
        <v>0</v>
      </c>
      <c r="J364" s="4">
        <f ca="1">D364*IF(RESULTADOS!$C$17="Normal",PREMISSAS!$C$62,0)</f>
        <v>0</v>
      </c>
      <c r="K364" s="116">
        <f ca="1">IFERROR(K363*(1+PREMISSAS!$C$18)+(E364+H364-IF(RESULTADOS!$C$17="Normal",I364,0)-J364)*IF(MONTH(B364)=12,2,1),0)</f>
        <v>0</v>
      </c>
      <c r="L364" s="116">
        <f ca="1">IFERROR((L363+G364-IF(RESULTADOS!$C$17="Normal",0,I364))*(1+PREMISSAS!$C$18)+F364,0)</f>
        <v>0</v>
      </c>
      <c r="N364" s="73">
        <f t="shared" ca="1" si="41"/>
        <v>0</v>
      </c>
      <c r="P364" s="164" t="str">
        <f t="shared" ca="1" si="42"/>
        <v/>
      </c>
      <c r="Q364" s="140" t="str">
        <f ca="1">IF(C364="","",Q363+(E364+H364-IF(RESULTADOS!$C$17="Normal",I364,0)-J364)/2+(F364+G364-IF(RESULTADOS!$C$17="Normal",0,I364)))</f>
        <v/>
      </c>
      <c r="R364" s="140" t="str">
        <f ca="1">IF(C364="","",R363+(E364+H364-IF(RESULTADOS!$C$17="Normal",I364,0)-J364)/2)</f>
        <v/>
      </c>
      <c r="S364" s="140">
        <f t="shared" ca="1" si="44"/>
        <v>0</v>
      </c>
      <c r="U364" s="164" t="str">
        <f t="shared" ca="1" si="45"/>
        <v/>
      </c>
      <c r="V364" s="164" t="str">
        <f t="shared" ca="1" si="43"/>
        <v/>
      </c>
      <c r="W364" s="140">
        <f ca="1">IF(OR((W363-13/12*Z363)*(1+PREMISSAS!$C$16)&lt;0,W363=""),0,(W363-13/12*Z363)*(1+PREMISSAS!$C$16))</f>
        <v>0</v>
      </c>
      <c r="X364" s="140">
        <f ca="1">IF(OR((X363-13/12*AA363)*(1+PREMISSAS!$C$16)&lt;0,X363=""),0,(X363-13/12*AA363)*(1+PREMISSAS!$C$16))</f>
        <v>0</v>
      </c>
      <c r="Y364" s="140">
        <f t="shared" ca="1" si="40"/>
        <v>0</v>
      </c>
      <c r="Z364" s="167">
        <f t="shared" ca="1" si="46"/>
        <v>0</v>
      </c>
      <c r="AA364" s="167">
        <f t="shared" ca="1" si="47"/>
        <v>0</v>
      </c>
    </row>
    <row r="365" spans="2:27" x14ac:dyDescent="0.25">
      <c r="B365" s="21" t="str">
        <f ca="1">IF(B364="","",IF(EOMONTH(B364,1)&gt;EOMONTH(ELEGIBILIDADE!$J$17,0),"",EOMONTH(B364,1)))</f>
        <v/>
      </c>
      <c r="C365" s="22" t="str">
        <f ca="1">IF(B365="","",IF(MONTH(B365)=1,C364*(1+PREMISSAS!$C$57),C364))</f>
        <v/>
      </c>
      <c r="D365" s="22">
        <f ca="1">IF(RESULTADOS!$C$17="Normal",IFERROR(MAX(C365-PREMISSAS!$C$13,0),0),IF(Painel!$I$23=0,0,MAX(10*PREMISSAS!$C$38,RESULTADOS!$F$17)))</f>
        <v>0</v>
      </c>
      <c r="E365" s="4">
        <f ca="1">D365*IF(RESULTADOS!$C$17="Normal",RESULTADOS!$C$16,0)</f>
        <v>0</v>
      </c>
      <c r="F365" s="4">
        <f ca="1">IFERROR(IF(RESULTADOS!$C$17="Normal",D365,C365)*RESULTADOS!$C$18,0)</f>
        <v>0</v>
      </c>
      <c r="G365" s="4">
        <f ca="1">IFERROR(IF(RESULTADOS!$C$17="Normal",0,D365)*IF(RESULTADOS!$C$17="Normal",RESULTADOS!$C$18,RESULTADOS!$C$16),0)</f>
        <v>0</v>
      </c>
      <c r="H365" s="4">
        <f ca="1">IF(RESULTADOS!$C$17="Normal",E365,0)</f>
        <v>0</v>
      </c>
      <c r="I365" s="4">
        <f ca="1">(E365+H365+G365)*PREMISSAS!$C$60</f>
        <v>0</v>
      </c>
      <c r="J365" s="4">
        <f ca="1">D365*IF(RESULTADOS!$C$17="Normal",PREMISSAS!$C$62,0)</f>
        <v>0</v>
      </c>
      <c r="K365" s="116">
        <f ca="1">IFERROR(K364*(1+PREMISSAS!$C$18)+(E365+H365-IF(RESULTADOS!$C$17="Normal",I365,0)-J365)*IF(MONTH(B365)=12,2,1),0)</f>
        <v>0</v>
      </c>
      <c r="L365" s="116">
        <f ca="1">IFERROR((L364+G365-IF(RESULTADOS!$C$17="Normal",0,I365))*(1+PREMISSAS!$C$18)+F365,0)</f>
        <v>0</v>
      </c>
      <c r="N365" s="73">
        <f t="shared" ca="1" si="41"/>
        <v>0</v>
      </c>
      <c r="P365" s="164" t="str">
        <f t="shared" ca="1" si="42"/>
        <v/>
      </c>
      <c r="Q365" s="140" t="str">
        <f ca="1">IF(C365="","",Q364+(E365+H365-IF(RESULTADOS!$C$17="Normal",I365,0)-J365)/2+(F365+G365-IF(RESULTADOS!$C$17="Normal",0,I365)))</f>
        <v/>
      </c>
      <c r="R365" s="140" t="str">
        <f ca="1">IF(C365="","",R364+(E365+H365-IF(RESULTADOS!$C$17="Normal",I365,0)-J365)/2)</f>
        <v/>
      </c>
      <c r="S365" s="140">
        <f t="shared" ca="1" si="44"/>
        <v>0</v>
      </c>
      <c r="U365" s="164" t="str">
        <f t="shared" ca="1" si="45"/>
        <v/>
      </c>
      <c r="V365" s="164" t="str">
        <f t="shared" ca="1" si="43"/>
        <v/>
      </c>
      <c r="W365" s="140">
        <f ca="1">IF(OR((W364-13/12*Z364)*(1+PREMISSAS!$C$16)&lt;0,W364=""),0,(W364-13/12*Z364)*(1+PREMISSAS!$C$16))</f>
        <v>0</v>
      </c>
      <c r="X365" s="140">
        <f ca="1">IF(OR((X364-13/12*AA364)*(1+PREMISSAS!$C$16)&lt;0,X364=""),0,(X364-13/12*AA364)*(1+PREMISSAS!$C$16))</f>
        <v>0</v>
      </c>
      <c r="Y365" s="140">
        <f t="shared" ca="1" si="40"/>
        <v>0</v>
      </c>
      <c r="Z365" s="167">
        <f t="shared" ca="1" si="46"/>
        <v>0</v>
      </c>
      <c r="AA365" s="167">
        <f t="shared" ca="1" si="47"/>
        <v>0</v>
      </c>
    </row>
    <row r="366" spans="2:27" x14ac:dyDescent="0.25">
      <c r="B366" s="21" t="str">
        <f ca="1">IF(B365="","",IF(EOMONTH(B365,1)&gt;EOMONTH(ELEGIBILIDADE!$J$17,0),"",EOMONTH(B365,1)))</f>
        <v/>
      </c>
      <c r="C366" s="22" t="str">
        <f ca="1">IF(B366="","",IF(MONTH(B366)=1,C365*(1+PREMISSAS!$C$57),C365))</f>
        <v/>
      </c>
      <c r="D366" s="22">
        <f ca="1">IF(RESULTADOS!$C$17="Normal",IFERROR(MAX(C366-PREMISSAS!$C$13,0),0),IF(Painel!$I$23=0,0,MAX(10*PREMISSAS!$C$38,RESULTADOS!$F$17)))</f>
        <v>0</v>
      </c>
      <c r="E366" s="4">
        <f ca="1">D366*IF(RESULTADOS!$C$17="Normal",RESULTADOS!$C$16,0)</f>
        <v>0</v>
      </c>
      <c r="F366" s="4">
        <f ca="1">IFERROR(IF(RESULTADOS!$C$17="Normal",D366,C366)*RESULTADOS!$C$18,0)</f>
        <v>0</v>
      </c>
      <c r="G366" s="4">
        <f ca="1">IFERROR(IF(RESULTADOS!$C$17="Normal",0,D366)*IF(RESULTADOS!$C$17="Normal",RESULTADOS!$C$18,RESULTADOS!$C$16),0)</f>
        <v>0</v>
      </c>
      <c r="H366" s="4">
        <f ca="1">IF(RESULTADOS!$C$17="Normal",E366,0)</f>
        <v>0</v>
      </c>
      <c r="I366" s="4">
        <f ca="1">(E366+H366+G366)*PREMISSAS!$C$60</f>
        <v>0</v>
      </c>
      <c r="J366" s="4">
        <f ca="1">D366*IF(RESULTADOS!$C$17="Normal",PREMISSAS!$C$62,0)</f>
        <v>0</v>
      </c>
      <c r="K366" s="116">
        <f ca="1">IFERROR(K365*(1+PREMISSAS!$C$18)+(E366+H366-IF(RESULTADOS!$C$17="Normal",I366,0)-J366)*IF(MONTH(B366)=12,2,1),0)</f>
        <v>0</v>
      </c>
      <c r="L366" s="116">
        <f ca="1">IFERROR((L365+G366-IF(RESULTADOS!$C$17="Normal",0,I366))*(1+PREMISSAS!$C$18)+F366,0)</f>
        <v>0</v>
      </c>
      <c r="N366" s="73">
        <f t="shared" ca="1" si="41"/>
        <v>0</v>
      </c>
      <c r="P366" s="164" t="str">
        <f t="shared" ca="1" si="42"/>
        <v/>
      </c>
      <c r="Q366" s="140" t="str">
        <f ca="1">IF(C366="","",Q365+(E366+H366-IF(RESULTADOS!$C$17="Normal",I366,0)-J366)/2+(F366+G366-IF(RESULTADOS!$C$17="Normal",0,I366)))</f>
        <v/>
      </c>
      <c r="R366" s="140" t="str">
        <f ca="1">IF(C366="","",R365+(E366+H366-IF(RESULTADOS!$C$17="Normal",I366,0)-J366)/2)</f>
        <v/>
      </c>
      <c r="S366" s="140">
        <f t="shared" ca="1" si="44"/>
        <v>0</v>
      </c>
      <c r="U366" s="164" t="str">
        <f t="shared" ca="1" si="45"/>
        <v/>
      </c>
      <c r="V366" s="164" t="str">
        <f t="shared" ca="1" si="43"/>
        <v/>
      </c>
      <c r="W366" s="140">
        <f ca="1">IF(OR((W365-13/12*Z365)*(1+PREMISSAS!$C$16)&lt;0,W365=""),0,(W365-13/12*Z365)*(1+PREMISSAS!$C$16))</f>
        <v>0</v>
      </c>
      <c r="X366" s="140">
        <f ca="1">IF(OR((X365-13/12*AA365)*(1+PREMISSAS!$C$16)&lt;0,X365=""),0,(X365-13/12*AA365)*(1+PREMISSAS!$C$16))</f>
        <v>0</v>
      </c>
      <c r="Y366" s="140">
        <f t="shared" ca="1" si="40"/>
        <v>0</v>
      </c>
      <c r="Z366" s="167">
        <f t="shared" ca="1" si="46"/>
        <v>0</v>
      </c>
      <c r="AA366" s="167">
        <f t="shared" ca="1" si="47"/>
        <v>0</v>
      </c>
    </row>
    <row r="367" spans="2:27" x14ac:dyDescent="0.25">
      <c r="B367" s="21" t="str">
        <f ca="1">IF(B366="","",IF(EOMONTH(B366,1)&gt;EOMONTH(ELEGIBILIDADE!$J$17,0),"",EOMONTH(B366,1)))</f>
        <v/>
      </c>
      <c r="C367" s="22" t="str">
        <f ca="1">IF(B367="","",IF(MONTH(B367)=1,C366*(1+PREMISSAS!$C$57),C366))</f>
        <v/>
      </c>
      <c r="D367" s="22">
        <f ca="1">IF(RESULTADOS!$C$17="Normal",IFERROR(MAX(C367-PREMISSAS!$C$13,0),0),IF(Painel!$I$23=0,0,MAX(10*PREMISSAS!$C$38,RESULTADOS!$F$17)))</f>
        <v>0</v>
      </c>
      <c r="E367" s="4">
        <f ca="1">D367*IF(RESULTADOS!$C$17="Normal",RESULTADOS!$C$16,0)</f>
        <v>0</v>
      </c>
      <c r="F367" s="4">
        <f ca="1">IFERROR(IF(RESULTADOS!$C$17="Normal",D367,C367)*RESULTADOS!$C$18,0)</f>
        <v>0</v>
      </c>
      <c r="G367" s="4">
        <f ca="1">IFERROR(IF(RESULTADOS!$C$17="Normal",0,D367)*IF(RESULTADOS!$C$17="Normal",RESULTADOS!$C$18,RESULTADOS!$C$16),0)</f>
        <v>0</v>
      </c>
      <c r="H367" s="4">
        <f ca="1">IF(RESULTADOS!$C$17="Normal",E367,0)</f>
        <v>0</v>
      </c>
      <c r="I367" s="4">
        <f ca="1">(E367+H367+G367)*PREMISSAS!$C$60</f>
        <v>0</v>
      </c>
      <c r="J367" s="4">
        <f ca="1">D367*IF(RESULTADOS!$C$17="Normal",PREMISSAS!$C$62,0)</f>
        <v>0</v>
      </c>
      <c r="K367" s="116">
        <f ca="1">IFERROR(K366*(1+PREMISSAS!$C$18)+(E367+H367-IF(RESULTADOS!$C$17="Normal",I367,0)-J367)*IF(MONTH(B367)=12,2,1),0)</f>
        <v>0</v>
      </c>
      <c r="L367" s="116">
        <f ca="1">IFERROR((L366+G367-IF(RESULTADOS!$C$17="Normal",0,I367))*(1+PREMISSAS!$C$18)+F367,0)</f>
        <v>0</v>
      </c>
      <c r="N367" s="73">
        <f t="shared" ca="1" si="41"/>
        <v>0</v>
      </c>
      <c r="P367" s="164" t="str">
        <f t="shared" ca="1" si="42"/>
        <v/>
      </c>
      <c r="Q367" s="140" t="str">
        <f ca="1">IF(C367="","",Q366+(E367+H367-IF(RESULTADOS!$C$17="Normal",I367,0)-J367)/2+(F367+G367-IF(RESULTADOS!$C$17="Normal",0,I367)))</f>
        <v/>
      </c>
      <c r="R367" s="140" t="str">
        <f ca="1">IF(C367="","",R366+(E367+H367-IF(RESULTADOS!$C$17="Normal",I367,0)-J367)/2)</f>
        <v/>
      </c>
      <c r="S367" s="140">
        <f t="shared" ca="1" si="44"/>
        <v>0</v>
      </c>
      <c r="U367" s="164" t="str">
        <f t="shared" ca="1" si="45"/>
        <v/>
      </c>
      <c r="V367" s="164" t="str">
        <f t="shared" ca="1" si="43"/>
        <v/>
      </c>
      <c r="W367" s="140">
        <f ca="1">IF(OR((W366-13/12*Z366)*(1+PREMISSAS!$C$16)&lt;0,W366=""),0,(W366-13/12*Z366)*(1+PREMISSAS!$C$16))</f>
        <v>0</v>
      </c>
      <c r="X367" s="140">
        <f ca="1">IF(OR((X366-13/12*AA366)*(1+PREMISSAS!$C$16)&lt;0,X366=""),0,(X366-13/12*AA366)*(1+PREMISSAS!$C$16))</f>
        <v>0</v>
      </c>
      <c r="Y367" s="140">
        <f t="shared" ca="1" si="40"/>
        <v>0</v>
      </c>
      <c r="Z367" s="167">
        <f t="shared" ca="1" si="46"/>
        <v>0</v>
      </c>
      <c r="AA367" s="167">
        <f t="shared" ca="1" si="47"/>
        <v>0</v>
      </c>
    </row>
    <row r="368" spans="2:27" x14ac:dyDescent="0.25">
      <c r="B368" s="21" t="str">
        <f ca="1">IF(B367="","",IF(EOMONTH(B367,1)&gt;EOMONTH(ELEGIBILIDADE!$J$17,0),"",EOMONTH(B367,1)))</f>
        <v/>
      </c>
      <c r="C368" s="22" t="str">
        <f ca="1">IF(B368="","",IF(MONTH(B368)=1,C367*(1+PREMISSAS!$C$57),C367))</f>
        <v/>
      </c>
      <c r="D368" s="22">
        <f ca="1">IF(RESULTADOS!$C$17="Normal",IFERROR(MAX(C368-PREMISSAS!$C$13,0),0),IF(Painel!$I$23=0,0,MAX(10*PREMISSAS!$C$38,RESULTADOS!$F$17)))</f>
        <v>0</v>
      </c>
      <c r="E368" s="4">
        <f ca="1">D368*IF(RESULTADOS!$C$17="Normal",RESULTADOS!$C$16,0)</f>
        <v>0</v>
      </c>
      <c r="F368" s="4">
        <f ca="1">IFERROR(IF(RESULTADOS!$C$17="Normal",D368,C368)*RESULTADOS!$C$18,0)</f>
        <v>0</v>
      </c>
      <c r="G368" s="4">
        <f ca="1">IFERROR(IF(RESULTADOS!$C$17="Normal",0,D368)*IF(RESULTADOS!$C$17="Normal",RESULTADOS!$C$18,RESULTADOS!$C$16),0)</f>
        <v>0</v>
      </c>
      <c r="H368" s="4">
        <f ca="1">IF(RESULTADOS!$C$17="Normal",E368,0)</f>
        <v>0</v>
      </c>
      <c r="I368" s="4">
        <f ca="1">(E368+H368+G368)*PREMISSAS!$C$60</f>
        <v>0</v>
      </c>
      <c r="J368" s="4">
        <f ca="1">D368*IF(RESULTADOS!$C$17="Normal",PREMISSAS!$C$62,0)</f>
        <v>0</v>
      </c>
      <c r="K368" s="116">
        <f ca="1">IFERROR(K367*(1+PREMISSAS!$C$18)+(E368+H368-IF(RESULTADOS!$C$17="Normal",I368,0)-J368)*IF(MONTH(B368)=12,2,1),0)</f>
        <v>0</v>
      </c>
      <c r="L368" s="116">
        <f ca="1">IFERROR((L367+G368-IF(RESULTADOS!$C$17="Normal",0,I368))*(1+PREMISSAS!$C$18)+F368,0)</f>
        <v>0</v>
      </c>
      <c r="N368" s="73">
        <f t="shared" ca="1" si="41"/>
        <v>0</v>
      </c>
      <c r="P368" s="164" t="str">
        <f t="shared" ca="1" si="42"/>
        <v/>
      </c>
      <c r="Q368" s="140" t="str">
        <f ca="1">IF(C368="","",Q367+(E368+H368-IF(RESULTADOS!$C$17="Normal",I368,0)-J368)/2+(F368+G368-IF(RESULTADOS!$C$17="Normal",0,I368)))</f>
        <v/>
      </c>
      <c r="R368" s="140" t="str">
        <f ca="1">IF(C368="","",R367+(E368+H368-IF(RESULTADOS!$C$17="Normal",I368,0)-J368)/2)</f>
        <v/>
      </c>
      <c r="S368" s="140">
        <f t="shared" ca="1" si="44"/>
        <v>0</v>
      </c>
      <c r="U368" s="164" t="str">
        <f t="shared" ca="1" si="45"/>
        <v/>
      </c>
      <c r="V368" s="164" t="str">
        <f t="shared" ca="1" si="43"/>
        <v/>
      </c>
      <c r="W368" s="140">
        <f ca="1">IF(OR((W367-13/12*Z367)*(1+PREMISSAS!$C$16)&lt;0,W367=""),0,(W367-13/12*Z367)*(1+PREMISSAS!$C$16))</f>
        <v>0</v>
      </c>
      <c r="X368" s="140">
        <f ca="1">IF(OR((X367-13/12*AA367)*(1+PREMISSAS!$C$16)&lt;0,X367=""),0,(X367-13/12*AA367)*(1+PREMISSAS!$C$16))</f>
        <v>0</v>
      </c>
      <c r="Y368" s="140">
        <f t="shared" ca="1" si="40"/>
        <v>0</v>
      </c>
      <c r="Z368" s="167">
        <f t="shared" ca="1" si="46"/>
        <v>0</v>
      </c>
      <c r="AA368" s="167">
        <f t="shared" ca="1" si="47"/>
        <v>0</v>
      </c>
    </row>
    <row r="369" spans="2:27" x14ac:dyDescent="0.25">
      <c r="B369" s="21" t="str">
        <f ca="1">IF(B368="","",IF(EOMONTH(B368,1)&gt;EOMONTH(ELEGIBILIDADE!$J$17,0),"",EOMONTH(B368,1)))</f>
        <v/>
      </c>
      <c r="C369" s="22" t="str">
        <f ca="1">IF(B369="","",IF(MONTH(B369)=1,C368*(1+PREMISSAS!$C$57),C368))</f>
        <v/>
      </c>
      <c r="D369" s="22">
        <f ca="1">IF(RESULTADOS!$C$17="Normal",IFERROR(MAX(C369-PREMISSAS!$C$13,0),0),IF(Painel!$I$23=0,0,MAX(10*PREMISSAS!$C$38,RESULTADOS!$F$17)))</f>
        <v>0</v>
      </c>
      <c r="E369" s="4">
        <f ca="1">D369*IF(RESULTADOS!$C$17="Normal",RESULTADOS!$C$16,0)</f>
        <v>0</v>
      </c>
      <c r="F369" s="4">
        <f ca="1">IFERROR(IF(RESULTADOS!$C$17="Normal",D369,C369)*RESULTADOS!$C$18,0)</f>
        <v>0</v>
      </c>
      <c r="G369" s="4">
        <f ca="1">IFERROR(IF(RESULTADOS!$C$17="Normal",0,D369)*IF(RESULTADOS!$C$17="Normal",RESULTADOS!$C$18,RESULTADOS!$C$16),0)</f>
        <v>0</v>
      </c>
      <c r="H369" s="4">
        <f ca="1">IF(RESULTADOS!$C$17="Normal",E369,0)</f>
        <v>0</v>
      </c>
      <c r="I369" s="4">
        <f ca="1">(E369+H369+G369)*PREMISSAS!$C$60</f>
        <v>0</v>
      </c>
      <c r="J369" s="4">
        <f ca="1">D369*IF(RESULTADOS!$C$17="Normal",PREMISSAS!$C$62,0)</f>
        <v>0</v>
      </c>
      <c r="K369" s="116">
        <f ca="1">IFERROR(K368*(1+PREMISSAS!$C$18)+(E369+H369-IF(RESULTADOS!$C$17="Normal",I369,0)-J369)*IF(MONTH(B369)=12,2,1),0)</f>
        <v>0</v>
      </c>
      <c r="L369" s="116">
        <f ca="1">IFERROR((L368+G369-IF(RESULTADOS!$C$17="Normal",0,I369))*(1+PREMISSAS!$C$18)+F369,0)</f>
        <v>0</v>
      </c>
      <c r="N369" s="73">
        <f t="shared" ca="1" si="41"/>
        <v>0</v>
      </c>
      <c r="P369" s="164" t="str">
        <f t="shared" ca="1" si="42"/>
        <v/>
      </c>
      <c r="Q369" s="140" t="str">
        <f ca="1">IF(C369="","",Q368+(E369+H369-IF(RESULTADOS!$C$17="Normal",I369,0)-J369)/2+(F369+G369-IF(RESULTADOS!$C$17="Normal",0,I369)))</f>
        <v/>
      </c>
      <c r="R369" s="140" t="str">
        <f ca="1">IF(C369="","",R368+(E369+H369-IF(RESULTADOS!$C$17="Normal",I369,0)-J369)/2)</f>
        <v/>
      </c>
      <c r="S369" s="140">
        <f t="shared" ca="1" si="44"/>
        <v>0</v>
      </c>
      <c r="U369" s="164" t="str">
        <f t="shared" ca="1" si="45"/>
        <v/>
      </c>
      <c r="V369" s="164" t="str">
        <f t="shared" ca="1" si="43"/>
        <v/>
      </c>
      <c r="W369" s="140">
        <f ca="1">IF(OR((W368-13/12*Z368)*(1+PREMISSAS!$C$16)&lt;0,W368=""),0,(W368-13/12*Z368)*(1+PREMISSAS!$C$16))</f>
        <v>0</v>
      </c>
      <c r="X369" s="140">
        <f ca="1">IF(OR((X368-13/12*AA368)*(1+PREMISSAS!$C$16)&lt;0,X368=""),0,(X368-13/12*AA368)*(1+PREMISSAS!$C$16))</f>
        <v>0</v>
      </c>
      <c r="Y369" s="140">
        <f t="shared" ca="1" si="40"/>
        <v>0</v>
      </c>
      <c r="Z369" s="167">
        <f t="shared" ca="1" si="46"/>
        <v>0</v>
      </c>
      <c r="AA369" s="167">
        <f t="shared" ca="1" si="47"/>
        <v>0</v>
      </c>
    </row>
    <row r="370" spans="2:27" x14ac:dyDescent="0.25">
      <c r="B370" s="21" t="str">
        <f ca="1">IF(B369="","",IF(EOMONTH(B369,1)&gt;EOMONTH(ELEGIBILIDADE!$J$17,0),"",EOMONTH(B369,1)))</f>
        <v/>
      </c>
      <c r="C370" s="22" t="str">
        <f ca="1">IF(B370="","",IF(MONTH(B370)=1,C369*(1+PREMISSAS!$C$57),C369))</f>
        <v/>
      </c>
      <c r="D370" s="22">
        <f ca="1">IF(RESULTADOS!$C$17="Normal",IFERROR(MAX(C370-PREMISSAS!$C$13,0),0),IF(Painel!$I$23=0,0,MAX(10*PREMISSAS!$C$38,RESULTADOS!$F$17)))</f>
        <v>0</v>
      </c>
      <c r="E370" s="4">
        <f ca="1">D370*IF(RESULTADOS!$C$17="Normal",RESULTADOS!$C$16,0)</f>
        <v>0</v>
      </c>
      <c r="F370" s="4">
        <f ca="1">IFERROR(IF(RESULTADOS!$C$17="Normal",D370,C370)*RESULTADOS!$C$18,0)</f>
        <v>0</v>
      </c>
      <c r="G370" s="4">
        <f ca="1">IFERROR(IF(RESULTADOS!$C$17="Normal",0,D370)*IF(RESULTADOS!$C$17="Normal",RESULTADOS!$C$18,RESULTADOS!$C$16),0)</f>
        <v>0</v>
      </c>
      <c r="H370" s="4">
        <f ca="1">IF(RESULTADOS!$C$17="Normal",E370,0)</f>
        <v>0</v>
      </c>
      <c r="I370" s="4">
        <f ca="1">(E370+H370+G370)*PREMISSAS!$C$60</f>
        <v>0</v>
      </c>
      <c r="J370" s="4">
        <f ca="1">D370*IF(RESULTADOS!$C$17="Normal",PREMISSAS!$C$62,0)</f>
        <v>0</v>
      </c>
      <c r="K370" s="116">
        <f ca="1">IFERROR(K369*(1+PREMISSAS!$C$18)+(E370+H370-IF(RESULTADOS!$C$17="Normal",I370,0)-J370)*IF(MONTH(B370)=12,2,1),0)</f>
        <v>0</v>
      </c>
      <c r="L370" s="116">
        <f ca="1">IFERROR((L369+G370-IF(RESULTADOS!$C$17="Normal",0,I370))*(1+PREMISSAS!$C$18)+F370,0)</f>
        <v>0</v>
      </c>
      <c r="N370" s="73">
        <f t="shared" ca="1" si="41"/>
        <v>0</v>
      </c>
      <c r="P370" s="164" t="str">
        <f t="shared" ca="1" si="42"/>
        <v/>
      </c>
      <c r="Q370" s="140" t="str">
        <f ca="1">IF(C370="","",Q369+(E370+H370-IF(RESULTADOS!$C$17="Normal",I370,0)-J370)/2+(F370+G370-IF(RESULTADOS!$C$17="Normal",0,I370)))</f>
        <v/>
      </c>
      <c r="R370" s="140" t="str">
        <f ca="1">IF(C370="","",R369+(E370+H370-IF(RESULTADOS!$C$17="Normal",I370,0)-J370)/2)</f>
        <v/>
      </c>
      <c r="S370" s="140">
        <f t="shared" ca="1" si="44"/>
        <v>0</v>
      </c>
      <c r="U370" s="164" t="str">
        <f t="shared" ca="1" si="45"/>
        <v/>
      </c>
      <c r="V370" s="164" t="str">
        <f t="shared" ca="1" si="43"/>
        <v/>
      </c>
      <c r="W370" s="140">
        <f ca="1">IF(OR((W369-13/12*Z369)*(1+PREMISSAS!$C$16)&lt;0,W369=""),0,(W369-13/12*Z369)*(1+PREMISSAS!$C$16))</f>
        <v>0</v>
      </c>
      <c r="X370" s="140">
        <f ca="1">IF(OR((X369-13/12*AA369)*(1+PREMISSAS!$C$16)&lt;0,X369=""),0,(X369-13/12*AA369)*(1+PREMISSAS!$C$16))</f>
        <v>0</v>
      </c>
      <c r="Y370" s="140">
        <f t="shared" ca="1" si="40"/>
        <v>0</v>
      </c>
      <c r="Z370" s="167">
        <f t="shared" ca="1" si="46"/>
        <v>0</v>
      </c>
      <c r="AA370" s="167">
        <f t="shared" ca="1" si="47"/>
        <v>0</v>
      </c>
    </row>
    <row r="371" spans="2:27" x14ac:dyDescent="0.25">
      <c r="B371" s="21" t="str">
        <f ca="1">IF(B370="","",IF(EOMONTH(B370,1)&gt;EOMONTH(ELEGIBILIDADE!$J$17,0),"",EOMONTH(B370,1)))</f>
        <v/>
      </c>
      <c r="C371" s="22" t="str">
        <f ca="1">IF(B371="","",IF(MONTH(B371)=1,C370*(1+PREMISSAS!$C$57),C370))</f>
        <v/>
      </c>
      <c r="D371" s="22">
        <f ca="1">IF(RESULTADOS!$C$17="Normal",IFERROR(MAX(C371-PREMISSAS!$C$13,0),0),IF(Painel!$I$23=0,0,MAX(10*PREMISSAS!$C$38,RESULTADOS!$F$17)))</f>
        <v>0</v>
      </c>
      <c r="E371" s="4">
        <f ca="1">D371*IF(RESULTADOS!$C$17="Normal",RESULTADOS!$C$16,0)</f>
        <v>0</v>
      </c>
      <c r="F371" s="4">
        <f ca="1">IFERROR(IF(RESULTADOS!$C$17="Normal",D371,C371)*RESULTADOS!$C$18,0)</f>
        <v>0</v>
      </c>
      <c r="G371" s="4">
        <f ca="1">IFERROR(IF(RESULTADOS!$C$17="Normal",0,D371)*IF(RESULTADOS!$C$17="Normal",RESULTADOS!$C$18,RESULTADOS!$C$16),0)</f>
        <v>0</v>
      </c>
      <c r="H371" s="4">
        <f ca="1">IF(RESULTADOS!$C$17="Normal",E371,0)</f>
        <v>0</v>
      </c>
      <c r="I371" s="4">
        <f ca="1">(E371+H371+G371)*PREMISSAS!$C$60</f>
        <v>0</v>
      </c>
      <c r="J371" s="4">
        <f ca="1">D371*IF(RESULTADOS!$C$17="Normal",PREMISSAS!$C$62,0)</f>
        <v>0</v>
      </c>
      <c r="K371" s="116">
        <f ca="1">IFERROR(K370*(1+PREMISSAS!$C$18)+(E371+H371-IF(RESULTADOS!$C$17="Normal",I371,0)-J371)*IF(MONTH(B371)=12,2,1),0)</f>
        <v>0</v>
      </c>
      <c r="L371" s="116">
        <f ca="1">IFERROR((L370+G371-IF(RESULTADOS!$C$17="Normal",0,I371))*(1+PREMISSAS!$C$18)+F371,0)</f>
        <v>0</v>
      </c>
      <c r="N371" s="73">
        <f t="shared" ca="1" si="41"/>
        <v>0</v>
      </c>
      <c r="P371" s="164" t="str">
        <f t="shared" ca="1" si="42"/>
        <v/>
      </c>
      <c r="Q371" s="140" t="str">
        <f ca="1">IF(C371="","",Q370+(E371+H371-IF(RESULTADOS!$C$17="Normal",I371,0)-J371)/2+(F371+G371-IF(RESULTADOS!$C$17="Normal",0,I371)))</f>
        <v/>
      </c>
      <c r="R371" s="140" t="str">
        <f ca="1">IF(C371="","",R370+(E371+H371-IF(RESULTADOS!$C$17="Normal",I371,0)-J371)/2)</f>
        <v/>
      </c>
      <c r="S371" s="140">
        <f t="shared" ca="1" si="44"/>
        <v>0</v>
      </c>
      <c r="U371" s="164" t="str">
        <f t="shared" ca="1" si="45"/>
        <v/>
      </c>
      <c r="V371" s="164" t="str">
        <f t="shared" ca="1" si="43"/>
        <v/>
      </c>
      <c r="W371" s="140">
        <f ca="1">IF(OR((W370-13/12*Z370)*(1+PREMISSAS!$C$16)&lt;0,W370=""),0,(W370-13/12*Z370)*(1+PREMISSAS!$C$16))</f>
        <v>0</v>
      </c>
      <c r="X371" s="140">
        <f ca="1">IF(OR((X370-13/12*AA370)*(1+PREMISSAS!$C$16)&lt;0,X370=""),0,(X370-13/12*AA370)*(1+PREMISSAS!$C$16))</f>
        <v>0</v>
      </c>
      <c r="Y371" s="140">
        <f t="shared" ca="1" si="40"/>
        <v>0</v>
      </c>
      <c r="Z371" s="167">
        <f t="shared" ca="1" si="46"/>
        <v>0</v>
      </c>
      <c r="AA371" s="167">
        <f t="shared" ca="1" si="47"/>
        <v>0</v>
      </c>
    </row>
    <row r="372" spans="2:27" x14ac:dyDescent="0.25">
      <c r="B372" s="21" t="str">
        <f ca="1">IF(B371="","",IF(EOMONTH(B371,1)&gt;EOMONTH(ELEGIBILIDADE!$J$17,0),"",EOMONTH(B371,1)))</f>
        <v/>
      </c>
      <c r="C372" s="22" t="str">
        <f ca="1">IF(B372="","",IF(MONTH(B372)=1,C371*(1+PREMISSAS!$C$57),C371))</f>
        <v/>
      </c>
      <c r="D372" s="22">
        <f ca="1">IF(RESULTADOS!$C$17="Normal",IFERROR(MAX(C372-PREMISSAS!$C$13,0),0),IF(Painel!$I$23=0,0,MAX(10*PREMISSAS!$C$38,RESULTADOS!$F$17)))</f>
        <v>0</v>
      </c>
      <c r="E372" s="4">
        <f ca="1">D372*IF(RESULTADOS!$C$17="Normal",RESULTADOS!$C$16,0)</f>
        <v>0</v>
      </c>
      <c r="F372" s="4">
        <f ca="1">IFERROR(IF(RESULTADOS!$C$17="Normal",D372,C372)*RESULTADOS!$C$18,0)</f>
        <v>0</v>
      </c>
      <c r="G372" s="4">
        <f ca="1">IFERROR(IF(RESULTADOS!$C$17="Normal",0,D372)*IF(RESULTADOS!$C$17="Normal",RESULTADOS!$C$18,RESULTADOS!$C$16),0)</f>
        <v>0</v>
      </c>
      <c r="H372" s="4">
        <f ca="1">IF(RESULTADOS!$C$17="Normal",E372,0)</f>
        <v>0</v>
      </c>
      <c r="I372" s="4">
        <f ca="1">(E372+H372+G372)*PREMISSAS!$C$60</f>
        <v>0</v>
      </c>
      <c r="J372" s="4">
        <f ca="1">D372*IF(RESULTADOS!$C$17="Normal",PREMISSAS!$C$62,0)</f>
        <v>0</v>
      </c>
      <c r="K372" s="116">
        <f ca="1">IFERROR(K371*(1+PREMISSAS!$C$18)+(E372+H372-IF(RESULTADOS!$C$17="Normal",I372,0)-J372)*IF(MONTH(B372)=12,2,1),0)</f>
        <v>0</v>
      </c>
      <c r="L372" s="116">
        <f ca="1">IFERROR((L371+G372-IF(RESULTADOS!$C$17="Normal",0,I372))*(1+PREMISSAS!$C$18)+F372,0)</f>
        <v>0</v>
      </c>
      <c r="N372" s="73">
        <f t="shared" ca="1" si="41"/>
        <v>0</v>
      </c>
      <c r="P372" s="164" t="str">
        <f t="shared" ca="1" si="42"/>
        <v/>
      </c>
      <c r="Q372" s="140" t="str">
        <f ca="1">IF(C372="","",Q371+(E372+H372-IF(RESULTADOS!$C$17="Normal",I372,0)-J372)/2+(F372+G372-IF(RESULTADOS!$C$17="Normal",0,I372)))</f>
        <v/>
      </c>
      <c r="R372" s="140" t="str">
        <f ca="1">IF(C372="","",R371+(E372+H372-IF(RESULTADOS!$C$17="Normal",I372,0)-J372)/2)</f>
        <v/>
      </c>
      <c r="S372" s="140">
        <f t="shared" ca="1" si="44"/>
        <v>0</v>
      </c>
      <c r="U372" s="164" t="str">
        <f t="shared" ca="1" si="45"/>
        <v/>
      </c>
      <c r="V372" s="164" t="str">
        <f t="shared" ca="1" si="43"/>
        <v/>
      </c>
      <c r="W372" s="140">
        <f ca="1">IF(OR((W371-13/12*Z371)*(1+PREMISSAS!$C$16)&lt;0,W371=""),0,(W371-13/12*Z371)*(1+PREMISSAS!$C$16))</f>
        <v>0</v>
      </c>
      <c r="X372" s="140">
        <f ca="1">IF(OR((X371-13/12*AA371)*(1+PREMISSAS!$C$16)&lt;0,X371=""),0,(X371-13/12*AA371)*(1+PREMISSAS!$C$16))</f>
        <v>0</v>
      </c>
      <c r="Y372" s="140">
        <f t="shared" ca="1" si="40"/>
        <v>0</v>
      </c>
      <c r="Z372" s="167">
        <f t="shared" ca="1" si="46"/>
        <v>0</v>
      </c>
      <c r="AA372" s="167">
        <f t="shared" ca="1" si="47"/>
        <v>0</v>
      </c>
    </row>
    <row r="373" spans="2:27" x14ac:dyDescent="0.25">
      <c r="B373" s="21" t="str">
        <f ca="1">IF(B372="","",IF(EOMONTH(B372,1)&gt;EOMONTH(ELEGIBILIDADE!$J$17,0),"",EOMONTH(B372,1)))</f>
        <v/>
      </c>
      <c r="C373" s="22" t="str">
        <f ca="1">IF(B373="","",IF(MONTH(B373)=1,C372*(1+PREMISSAS!$C$57),C372))</f>
        <v/>
      </c>
      <c r="D373" s="22">
        <f ca="1">IF(RESULTADOS!$C$17="Normal",IFERROR(MAX(C373-PREMISSAS!$C$13,0),0),IF(Painel!$I$23=0,0,MAX(10*PREMISSAS!$C$38,RESULTADOS!$F$17)))</f>
        <v>0</v>
      </c>
      <c r="E373" s="4">
        <f ca="1">D373*IF(RESULTADOS!$C$17="Normal",RESULTADOS!$C$16,0)</f>
        <v>0</v>
      </c>
      <c r="F373" s="4">
        <f ca="1">IFERROR(IF(RESULTADOS!$C$17="Normal",D373,C373)*RESULTADOS!$C$18,0)</f>
        <v>0</v>
      </c>
      <c r="G373" s="4">
        <f ca="1">IFERROR(IF(RESULTADOS!$C$17="Normal",0,D373)*IF(RESULTADOS!$C$17="Normal",RESULTADOS!$C$18,RESULTADOS!$C$16),0)</f>
        <v>0</v>
      </c>
      <c r="H373" s="4">
        <f ca="1">IF(RESULTADOS!$C$17="Normal",E373,0)</f>
        <v>0</v>
      </c>
      <c r="I373" s="4">
        <f ca="1">(E373+H373+G373)*PREMISSAS!$C$60</f>
        <v>0</v>
      </c>
      <c r="J373" s="4">
        <f ca="1">D373*IF(RESULTADOS!$C$17="Normal",PREMISSAS!$C$62,0)</f>
        <v>0</v>
      </c>
      <c r="K373" s="116">
        <f ca="1">IFERROR(K372*(1+PREMISSAS!$C$18)+(E373+H373-IF(RESULTADOS!$C$17="Normal",I373,0)-J373)*IF(MONTH(B373)=12,2,1),0)</f>
        <v>0</v>
      </c>
      <c r="L373" s="116">
        <f ca="1">IFERROR((L372+G373-IF(RESULTADOS!$C$17="Normal",0,I373))*(1+PREMISSAS!$C$18)+F373,0)</f>
        <v>0</v>
      </c>
      <c r="N373" s="73">
        <f t="shared" ca="1" si="41"/>
        <v>0</v>
      </c>
      <c r="P373" s="164" t="str">
        <f t="shared" ca="1" si="42"/>
        <v/>
      </c>
      <c r="Q373" s="140" t="str">
        <f ca="1">IF(C373="","",Q372+(E373+H373-IF(RESULTADOS!$C$17="Normal",I373,0)-J373)/2+(F373+G373-IF(RESULTADOS!$C$17="Normal",0,I373)))</f>
        <v/>
      </c>
      <c r="R373" s="140" t="str">
        <f ca="1">IF(C373="","",R372+(E373+H373-IF(RESULTADOS!$C$17="Normal",I373,0)-J373)/2)</f>
        <v/>
      </c>
      <c r="S373" s="140">
        <f t="shared" ca="1" si="44"/>
        <v>0</v>
      </c>
      <c r="U373" s="164" t="str">
        <f t="shared" ca="1" si="45"/>
        <v/>
      </c>
      <c r="V373" s="164" t="str">
        <f t="shared" ca="1" si="43"/>
        <v/>
      </c>
      <c r="W373" s="140">
        <f ca="1">IF(OR((W372-13/12*Z372)*(1+PREMISSAS!$C$16)&lt;0,W372=""),0,(W372-13/12*Z372)*(1+PREMISSAS!$C$16))</f>
        <v>0</v>
      </c>
      <c r="X373" s="140">
        <f ca="1">IF(OR((X372-13/12*AA372)*(1+PREMISSAS!$C$16)&lt;0,X372=""),0,(X372-13/12*AA372)*(1+PREMISSAS!$C$16))</f>
        <v>0</v>
      </c>
      <c r="Y373" s="140">
        <f t="shared" ca="1" si="40"/>
        <v>0</v>
      </c>
      <c r="Z373" s="167">
        <f t="shared" ca="1" si="46"/>
        <v>0</v>
      </c>
      <c r="AA373" s="167">
        <f t="shared" ca="1" si="47"/>
        <v>0</v>
      </c>
    </row>
    <row r="374" spans="2:27" x14ac:dyDescent="0.25">
      <c r="B374" s="21" t="str">
        <f ca="1">IF(B373="","",IF(EOMONTH(B373,1)&gt;EOMONTH(ELEGIBILIDADE!$J$17,0),"",EOMONTH(B373,1)))</f>
        <v/>
      </c>
      <c r="C374" s="22" t="str">
        <f ca="1">IF(B374="","",IF(MONTH(B374)=1,C373*(1+PREMISSAS!$C$57),C373))</f>
        <v/>
      </c>
      <c r="D374" s="22">
        <f ca="1">IF(RESULTADOS!$C$17="Normal",IFERROR(MAX(C374-PREMISSAS!$C$13,0),0),IF(Painel!$I$23=0,0,MAX(10*PREMISSAS!$C$38,RESULTADOS!$F$17)))</f>
        <v>0</v>
      </c>
      <c r="E374" s="4">
        <f ca="1">D374*IF(RESULTADOS!$C$17="Normal",RESULTADOS!$C$16,0)</f>
        <v>0</v>
      </c>
      <c r="F374" s="4">
        <f ca="1">IFERROR(IF(RESULTADOS!$C$17="Normal",D374,C374)*RESULTADOS!$C$18,0)</f>
        <v>0</v>
      </c>
      <c r="G374" s="4">
        <f ca="1">IFERROR(IF(RESULTADOS!$C$17="Normal",0,D374)*IF(RESULTADOS!$C$17="Normal",RESULTADOS!$C$18,RESULTADOS!$C$16),0)</f>
        <v>0</v>
      </c>
      <c r="H374" s="4">
        <f ca="1">IF(RESULTADOS!$C$17="Normal",E374,0)</f>
        <v>0</v>
      </c>
      <c r="I374" s="4">
        <f ca="1">(E374+H374+G374)*PREMISSAS!$C$60</f>
        <v>0</v>
      </c>
      <c r="J374" s="4">
        <f ca="1">D374*IF(RESULTADOS!$C$17="Normal",PREMISSAS!$C$62,0)</f>
        <v>0</v>
      </c>
      <c r="K374" s="116">
        <f ca="1">IFERROR(K373*(1+PREMISSAS!$C$18)+(E374+H374-IF(RESULTADOS!$C$17="Normal",I374,0)-J374)*IF(MONTH(B374)=12,2,1),0)</f>
        <v>0</v>
      </c>
      <c r="L374" s="116">
        <f ca="1">IFERROR((L373+G374-IF(RESULTADOS!$C$17="Normal",0,I374))*(1+PREMISSAS!$C$18)+F374,0)</f>
        <v>0</v>
      </c>
      <c r="N374" s="73">
        <f t="shared" ca="1" si="41"/>
        <v>0</v>
      </c>
      <c r="P374" s="164" t="str">
        <f t="shared" ca="1" si="42"/>
        <v/>
      </c>
      <c r="Q374" s="140" t="str">
        <f ca="1">IF(C374="","",Q373+(E374+H374-IF(RESULTADOS!$C$17="Normal",I374,0)-J374)/2+(F374+G374-IF(RESULTADOS!$C$17="Normal",0,I374)))</f>
        <v/>
      </c>
      <c r="R374" s="140" t="str">
        <f ca="1">IF(C374="","",R373+(E374+H374-IF(RESULTADOS!$C$17="Normal",I374,0)-J374)/2)</f>
        <v/>
      </c>
      <c r="S374" s="140">
        <f t="shared" ca="1" si="44"/>
        <v>0</v>
      </c>
      <c r="U374" s="164" t="str">
        <f t="shared" ca="1" si="45"/>
        <v/>
      </c>
      <c r="V374" s="164" t="str">
        <f t="shared" ca="1" si="43"/>
        <v/>
      </c>
      <c r="W374" s="140">
        <f ca="1">IF(OR((W373-13/12*Z373)*(1+PREMISSAS!$C$16)&lt;0,W373=""),0,(W373-13/12*Z373)*(1+PREMISSAS!$C$16))</f>
        <v>0</v>
      </c>
      <c r="X374" s="140">
        <f ca="1">IF(OR((X373-13/12*AA373)*(1+PREMISSAS!$C$16)&lt;0,X373=""),0,(X373-13/12*AA373)*(1+PREMISSAS!$C$16))</f>
        <v>0</v>
      </c>
      <c r="Y374" s="140">
        <f t="shared" ca="1" si="40"/>
        <v>0</v>
      </c>
      <c r="Z374" s="167">
        <f t="shared" ca="1" si="46"/>
        <v>0</v>
      </c>
      <c r="AA374" s="167">
        <f t="shared" ca="1" si="47"/>
        <v>0</v>
      </c>
    </row>
    <row r="375" spans="2:27" x14ac:dyDescent="0.25">
      <c r="B375" s="21" t="str">
        <f ca="1">IF(B374="","",IF(EOMONTH(B374,1)&gt;EOMONTH(ELEGIBILIDADE!$J$17,0),"",EOMONTH(B374,1)))</f>
        <v/>
      </c>
      <c r="C375" s="22" t="str">
        <f ca="1">IF(B375="","",IF(MONTH(B375)=1,C374*(1+PREMISSAS!$C$57),C374))</f>
        <v/>
      </c>
      <c r="D375" s="22">
        <f ca="1">IF(RESULTADOS!$C$17="Normal",IFERROR(MAX(C375-PREMISSAS!$C$13,0),0),IF(Painel!$I$23=0,0,MAX(10*PREMISSAS!$C$38,RESULTADOS!$F$17)))</f>
        <v>0</v>
      </c>
      <c r="E375" s="4">
        <f ca="1">D375*IF(RESULTADOS!$C$17="Normal",RESULTADOS!$C$16,0)</f>
        <v>0</v>
      </c>
      <c r="F375" s="4">
        <f ca="1">IFERROR(IF(RESULTADOS!$C$17="Normal",D375,C375)*RESULTADOS!$C$18,0)</f>
        <v>0</v>
      </c>
      <c r="G375" s="4">
        <f ca="1">IFERROR(IF(RESULTADOS!$C$17="Normal",0,D375)*IF(RESULTADOS!$C$17="Normal",RESULTADOS!$C$18,RESULTADOS!$C$16),0)</f>
        <v>0</v>
      </c>
      <c r="H375" s="4">
        <f ca="1">IF(RESULTADOS!$C$17="Normal",E375,0)</f>
        <v>0</v>
      </c>
      <c r="I375" s="4">
        <f ca="1">(E375+H375+G375)*PREMISSAS!$C$60</f>
        <v>0</v>
      </c>
      <c r="J375" s="4">
        <f ca="1">D375*IF(RESULTADOS!$C$17="Normal",PREMISSAS!$C$62,0)</f>
        <v>0</v>
      </c>
      <c r="K375" s="116">
        <f ca="1">IFERROR(K374*(1+PREMISSAS!$C$18)+(E375+H375-IF(RESULTADOS!$C$17="Normal",I375,0)-J375)*IF(MONTH(B375)=12,2,1),0)</f>
        <v>0</v>
      </c>
      <c r="L375" s="116">
        <f ca="1">IFERROR((L374+G375-IF(RESULTADOS!$C$17="Normal",0,I375))*(1+PREMISSAS!$C$18)+F375,0)</f>
        <v>0</v>
      </c>
      <c r="N375" s="73">
        <f t="shared" ca="1" si="41"/>
        <v>0</v>
      </c>
      <c r="P375" s="164" t="str">
        <f t="shared" ca="1" si="42"/>
        <v/>
      </c>
      <c r="Q375" s="140" t="str">
        <f ca="1">IF(C375="","",Q374+(E375+H375-IF(RESULTADOS!$C$17="Normal",I375,0)-J375)/2+(F375+G375-IF(RESULTADOS!$C$17="Normal",0,I375)))</f>
        <v/>
      </c>
      <c r="R375" s="140" t="str">
        <f ca="1">IF(C375="","",R374+(E375+H375-IF(RESULTADOS!$C$17="Normal",I375,0)-J375)/2)</f>
        <v/>
      </c>
      <c r="S375" s="140">
        <f t="shared" ca="1" si="44"/>
        <v>0</v>
      </c>
      <c r="U375" s="164" t="str">
        <f t="shared" ca="1" si="45"/>
        <v/>
      </c>
      <c r="V375" s="164" t="str">
        <f t="shared" ca="1" si="43"/>
        <v/>
      </c>
      <c r="W375" s="140">
        <f ca="1">IF(OR((W374-13/12*Z374)*(1+PREMISSAS!$C$16)&lt;0,W374=""),0,(W374-13/12*Z374)*(1+PREMISSAS!$C$16))</f>
        <v>0</v>
      </c>
      <c r="X375" s="140">
        <f ca="1">IF(OR((X374-13/12*AA374)*(1+PREMISSAS!$C$16)&lt;0,X374=""),0,(X374-13/12*AA374)*(1+PREMISSAS!$C$16))</f>
        <v>0</v>
      </c>
      <c r="Y375" s="140">
        <f t="shared" ca="1" si="40"/>
        <v>0</v>
      </c>
      <c r="Z375" s="167">
        <f t="shared" ca="1" si="46"/>
        <v>0</v>
      </c>
      <c r="AA375" s="167">
        <f t="shared" ca="1" si="47"/>
        <v>0</v>
      </c>
    </row>
    <row r="376" spans="2:27" x14ac:dyDescent="0.25">
      <c r="B376" s="21" t="str">
        <f ca="1">IF(B375="","",IF(EOMONTH(B375,1)&gt;EOMONTH(ELEGIBILIDADE!$J$17,0),"",EOMONTH(B375,1)))</f>
        <v/>
      </c>
      <c r="C376" s="22" t="str">
        <f ca="1">IF(B376="","",IF(MONTH(B376)=1,C375*(1+PREMISSAS!$C$57),C375))</f>
        <v/>
      </c>
      <c r="D376" s="22">
        <f ca="1">IF(RESULTADOS!$C$17="Normal",IFERROR(MAX(C376-PREMISSAS!$C$13,0),0),IF(Painel!$I$23=0,0,MAX(10*PREMISSAS!$C$38,RESULTADOS!$F$17)))</f>
        <v>0</v>
      </c>
      <c r="E376" s="4">
        <f ca="1">D376*IF(RESULTADOS!$C$17="Normal",RESULTADOS!$C$16,0)</f>
        <v>0</v>
      </c>
      <c r="F376" s="4">
        <f ca="1">IFERROR(IF(RESULTADOS!$C$17="Normal",D376,C376)*RESULTADOS!$C$18,0)</f>
        <v>0</v>
      </c>
      <c r="G376" s="4">
        <f ca="1">IFERROR(IF(RESULTADOS!$C$17="Normal",0,D376)*IF(RESULTADOS!$C$17="Normal",RESULTADOS!$C$18,RESULTADOS!$C$16),0)</f>
        <v>0</v>
      </c>
      <c r="H376" s="4">
        <f ca="1">IF(RESULTADOS!$C$17="Normal",E376,0)</f>
        <v>0</v>
      </c>
      <c r="I376" s="4">
        <f ca="1">(E376+H376+G376)*PREMISSAS!$C$60</f>
        <v>0</v>
      </c>
      <c r="J376" s="4">
        <f ca="1">D376*IF(RESULTADOS!$C$17="Normal",PREMISSAS!$C$62,0)</f>
        <v>0</v>
      </c>
      <c r="K376" s="116">
        <f ca="1">IFERROR(K375*(1+PREMISSAS!$C$18)+(E376+H376-IF(RESULTADOS!$C$17="Normal",I376,0)-J376)*IF(MONTH(B376)=12,2,1),0)</f>
        <v>0</v>
      </c>
      <c r="L376" s="116">
        <f ca="1">IFERROR((L375+G376-IF(RESULTADOS!$C$17="Normal",0,I376))*(1+PREMISSAS!$C$18)+F376,0)</f>
        <v>0</v>
      </c>
      <c r="N376" s="73">
        <f t="shared" ca="1" si="41"/>
        <v>0</v>
      </c>
      <c r="P376" s="164" t="str">
        <f t="shared" ca="1" si="42"/>
        <v/>
      </c>
      <c r="Q376" s="140" t="str">
        <f ca="1">IF(C376="","",Q375+(E376+H376-IF(RESULTADOS!$C$17="Normal",I376,0)-J376)/2+(F376+G376-IF(RESULTADOS!$C$17="Normal",0,I376)))</f>
        <v/>
      </c>
      <c r="R376" s="140" t="str">
        <f ca="1">IF(C376="","",R375+(E376+H376-IF(RESULTADOS!$C$17="Normal",I376,0)-J376)/2)</f>
        <v/>
      </c>
      <c r="S376" s="140">
        <f t="shared" ca="1" si="44"/>
        <v>0</v>
      </c>
      <c r="U376" s="164" t="str">
        <f t="shared" ca="1" si="45"/>
        <v/>
      </c>
      <c r="V376" s="164" t="str">
        <f t="shared" ca="1" si="43"/>
        <v/>
      </c>
      <c r="W376" s="140">
        <f ca="1">IF(OR((W375-13/12*Z375)*(1+PREMISSAS!$C$16)&lt;0,W375=""),0,(W375-13/12*Z375)*(1+PREMISSAS!$C$16))</f>
        <v>0</v>
      </c>
      <c r="X376" s="140">
        <f ca="1">IF(OR((X375-13/12*AA375)*(1+PREMISSAS!$C$16)&lt;0,X375=""),0,(X375-13/12*AA375)*(1+PREMISSAS!$C$16))</f>
        <v>0</v>
      </c>
      <c r="Y376" s="140">
        <f t="shared" ca="1" si="40"/>
        <v>0</v>
      </c>
      <c r="Z376" s="167">
        <f t="shared" ca="1" si="46"/>
        <v>0</v>
      </c>
      <c r="AA376" s="167">
        <f t="shared" ca="1" si="47"/>
        <v>0</v>
      </c>
    </row>
    <row r="377" spans="2:27" x14ac:dyDescent="0.25">
      <c r="B377" s="21" t="str">
        <f ca="1">IF(B376="","",IF(EOMONTH(B376,1)&gt;EOMONTH(ELEGIBILIDADE!$J$17,0),"",EOMONTH(B376,1)))</f>
        <v/>
      </c>
      <c r="C377" s="22" t="str">
        <f ca="1">IF(B377="","",IF(MONTH(B377)=1,C376*(1+PREMISSAS!$C$57),C376))</f>
        <v/>
      </c>
      <c r="D377" s="22">
        <f ca="1">IF(RESULTADOS!$C$17="Normal",IFERROR(MAX(C377-PREMISSAS!$C$13,0),0),IF(Painel!$I$23=0,0,MAX(10*PREMISSAS!$C$38,RESULTADOS!$F$17)))</f>
        <v>0</v>
      </c>
      <c r="E377" s="4">
        <f ca="1">D377*IF(RESULTADOS!$C$17="Normal",RESULTADOS!$C$16,0)</f>
        <v>0</v>
      </c>
      <c r="F377" s="4">
        <f ca="1">IFERROR(IF(RESULTADOS!$C$17="Normal",D377,C377)*RESULTADOS!$C$18,0)</f>
        <v>0</v>
      </c>
      <c r="G377" s="4">
        <f ca="1">IFERROR(IF(RESULTADOS!$C$17="Normal",0,D377)*IF(RESULTADOS!$C$17="Normal",RESULTADOS!$C$18,RESULTADOS!$C$16),0)</f>
        <v>0</v>
      </c>
      <c r="H377" s="4">
        <f ca="1">IF(RESULTADOS!$C$17="Normal",E377,0)</f>
        <v>0</v>
      </c>
      <c r="I377" s="4">
        <f ca="1">(E377+H377+G377)*PREMISSAS!$C$60</f>
        <v>0</v>
      </c>
      <c r="J377" s="4">
        <f ca="1">D377*IF(RESULTADOS!$C$17="Normal",PREMISSAS!$C$62,0)</f>
        <v>0</v>
      </c>
      <c r="K377" s="116">
        <f ca="1">IFERROR(K376*(1+PREMISSAS!$C$18)+(E377+H377-IF(RESULTADOS!$C$17="Normal",I377,0)-J377)*IF(MONTH(B377)=12,2,1),0)</f>
        <v>0</v>
      </c>
      <c r="L377" s="116">
        <f ca="1">IFERROR((L376+G377-IF(RESULTADOS!$C$17="Normal",0,I377))*(1+PREMISSAS!$C$18)+F377,0)</f>
        <v>0</v>
      </c>
      <c r="N377" s="73">
        <f t="shared" ca="1" si="41"/>
        <v>0</v>
      </c>
      <c r="P377" s="164" t="str">
        <f t="shared" ca="1" si="42"/>
        <v/>
      </c>
      <c r="Q377" s="140" t="str">
        <f ca="1">IF(C377="","",Q376+(E377+H377-IF(RESULTADOS!$C$17="Normal",I377,0)-J377)/2+(F377+G377-IF(RESULTADOS!$C$17="Normal",0,I377)))</f>
        <v/>
      </c>
      <c r="R377" s="140" t="str">
        <f ca="1">IF(C377="","",R376+(E377+H377-IF(RESULTADOS!$C$17="Normal",I377,0)-J377)/2)</f>
        <v/>
      </c>
      <c r="S377" s="140">
        <f t="shared" ca="1" si="44"/>
        <v>0</v>
      </c>
      <c r="U377" s="164" t="str">
        <f t="shared" ca="1" si="45"/>
        <v/>
      </c>
      <c r="V377" s="164" t="str">
        <f t="shared" ca="1" si="43"/>
        <v/>
      </c>
      <c r="W377" s="140">
        <f ca="1">IF(OR((W376-13/12*Z376)*(1+PREMISSAS!$C$16)&lt;0,W376=""),0,(W376-13/12*Z376)*(1+PREMISSAS!$C$16))</f>
        <v>0</v>
      </c>
      <c r="X377" s="140">
        <f ca="1">IF(OR((X376-13/12*AA376)*(1+PREMISSAS!$C$16)&lt;0,X376=""),0,(X376-13/12*AA376)*(1+PREMISSAS!$C$16))</f>
        <v>0</v>
      </c>
      <c r="Y377" s="140">
        <f t="shared" ca="1" si="40"/>
        <v>0</v>
      </c>
      <c r="Z377" s="167">
        <f t="shared" ca="1" si="46"/>
        <v>0</v>
      </c>
      <c r="AA377" s="167">
        <f t="shared" ca="1" si="47"/>
        <v>0</v>
      </c>
    </row>
    <row r="378" spans="2:27" x14ac:dyDescent="0.25">
      <c r="B378" s="21" t="str">
        <f ca="1">IF(B377="","",IF(EOMONTH(B377,1)&gt;EOMONTH(ELEGIBILIDADE!$J$17,0),"",EOMONTH(B377,1)))</f>
        <v/>
      </c>
      <c r="C378" s="22" t="str">
        <f ca="1">IF(B378="","",IF(MONTH(B378)=1,C377*(1+PREMISSAS!$C$57),C377))</f>
        <v/>
      </c>
      <c r="D378" s="22">
        <f ca="1">IF(RESULTADOS!$C$17="Normal",IFERROR(MAX(C378-PREMISSAS!$C$13,0),0),IF(Painel!$I$23=0,0,MAX(10*PREMISSAS!$C$38,RESULTADOS!$F$17)))</f>
        <v>0</v>
      </c>
      <c r="E378" s="4">
        <f ca="1">D378*IF(RESULTADOS!$C$17="Normal",RESULTADOS!$C$16,0)</f>
        <v>0</v>
      </c>
      <c r="F378" s="4">
        <f ca="1">IFERROR(IF(RESULTADOS!$C$17="Normal",D378,C378)*RESULTADOS!$C$18,0)</f>
        <v>0</v>
      </c>
      <c r="G378" s="4">
        <f ca="1">IFERROR(IF(RESULTADOS!$C$17="Normal",0,D378)*IF(RESULTADOS!$C$17="Normal",RESULTADOS!$C$18,RESULTADOS!$C$16),0)</f>
        <v>0</v>
      </c>
      <c r="H378" s="4">
        <f ca="1">IF(RESULTADOS!$C$17="Normal",E378,0)</f>
        <v>0</v>
      </c>
      <c r="I378" s="4">
        <f ca="1">(E378+H378+G378)*PREMISSAS!$C$60</f>
        <v>0</v>
      </c>
      <c r="J378" s="4">
        <f ca="1">D378*IF(RESULTADOS!$C$17="Normal",PREMISSAS!$C$62,0)</f>
        <v>0</v>
      </c>
      <c r="K378" s="116">
        <f ca="1">IFERROR(K377*(1+PREMISSAS!$C$18)+(E378+H378-IF(RESULTADOS!$C$17="Normal",I378,0)-J378)*IF(MONTH(B378)=12,2,1),0)</f>
        <v>0</v>
      </c>
      <c r="L378" s="116">
        <f ca="1">IFERROR((L377+G378-IF(RESULTADOS!$C$17="Normal",0,I378))*(1+PREMISSAS!$C$18)+F378,0)</f>
        <v>0</v>
      </c>
      <c r="N378" s="73">
        <f t="shared" ca="1" si="41"/>
        <v>0</v>
      </c>
      <c r="P378" s="164" t="str">
        <f t="shared" ca="1" si="42"/>
        <v/>
      </c>
      <c r="Q378" s="140" t="str">
        <f ca="1">IF(C378="","",Q377+(E378+H378-IF(RESULTADOS!$C$17="Normal",I378,0)-J378)/2+(F378+G378-IF(RESULTADOS!$C$17="Normal",0,I378)))</f>
        <v/>
      </c>
      <c r="R378" s="140" t="str">
        <f ca="1">IF(C378="","",R377+(E378+H378-IF(RESULTADOS!$C$17="Normal",I378,0)-J378)/2)</f>
        <v/>
      </c>
      <c r="S378" s="140">
        <f t="shared" ca="1" si="44"/>
        <v>0</v>
      </c>
      <c r="U378" s="164" t="str">
        <f t="shared" ca="1" si="45"/>
        <v/>
      </c>
      <c r="V378" s="164" t="str">
        <f t="shared" ca="1" si="43"/>
        <v/>
      </c>
      <c r="W378" s="140">
        <f ca="1">IF(OR((W377-13/12*Z377)*(1+PREMISSAS!$C$16)&lt;0,W377=""),0,(W377-13/12*Z377)*(1+PREMISSAS!$C$16))</f>
        <v>0</v>
      </c>
      <c r="X378" s="140">
        <f ca="1">IF(OR((X377-13/12*AA377)*(1+PREMISSAS!$C$16)&lt;0,X377=""),0,(X377-13/12*AA377)*(1+PREMISSAS!$C$16))</f>
        <v>0</v>
      </c>
      <c r="Y378" s="140">
        <f t="shared" ca="1" si="40"/>
        <v>0</v>
      </c>
      <c r="Z378" s="167">
        <f t="shared" ca="1" si="46"/>
        <v>0</v>
      </c>
      <c r="AA378" s="167">
        <f t="shared" ca="1" si="47"/>
        <v>0</v>
      </c>
    </row>
    <row r="379" spans="2:27" x14ac:dyDescent="0.25">
      <c r="B379" s="21" t="str">
        <f ca="1">IF(B378="","",IF(EOMONTH(B378,1)&gt;EOMONTH(ELEGIBILIDADE!$J$17,0),"",EOMONTH(B378,1)))</f>
        <v/>
      </c>
      <c r="C379" s="22" t="str">
        <f ca="1">IF(B379="","",IF(MONTH(B379)=1,C378*(1+PREMISSAS!$C$57),C378))</f>
        <v/>
      </c>
      <c r="D379" s="22">
        <f ca="1">IF(RESULTADOS!$C$17="Normal",IFERROR(MAX(C379-PREMISSAS!$C$13,0),0),IF(Painel!$I$23=0,0,MAX(10*PREMISSAS!$C$38,RESULTADOS!$F$17)))</f>
        <v>0</v>
      </c>
      <c r="E379" s="4">
        <f ca="1">D379*IF(RESULTADOS!$C$17="Normal",RESULTADOS!$C$16,0)</f>
        <v>0</v>
      </c>
      <c r="F379" s="4">
        <f ca="1">IFERROR(IF(RESULTADOS!$C$17="Normal",D379,C379)*RESULTADOS!$C$18,0)</f>
        <v>0</v>
      </c>
      <c r="G379" s="4">
        <f ca="1">IFERROR(IF(RESULTADOS!$C$17="Normal",0,D379)*IF(RESULTADOS!$C$17="Normal",RESULTADOS!$C$18,RESULTADOS!$C$16),0)</f>
        <v>0</v>
      </c>
      <c r="H379" s="4">
        <f ca="1">IF(RESULTADOS!$C$17="Normal",E379,0)</f>
        <v>0</v>
      </c>
      <c r="I379" s="4">
        <f ca="1">(E379+H379+G379)*PREMISSAS!$C$60</f>
        <v>0</v>
      </c>
      <c r="J379" s="4">
        <f ca="1">D379*IF(RESULTADOS!$C$17="Normal",PREMISSAS!$C$62,0)</f>
        <v>0</v>
      </c>
      <c r="K379" s="116">
        <f ca="1">IFERROR(K378*(1+PREMISSAS!$C$18)+(E379+H379-IF(RESULTADOS!$C$17="Normal",I379,0)-J379)*IF(MONTH(B379)=12,2,1),0)</f>
        <v>0</v>
      </c>
      <c r="L379" s="116">
        <f ca="1">IFERROR((L378+G379-IF(RESULTADOS!$C$17="Normal",0,I379))*(1+PREMISSAS!$C$18)+F379,0)</f>
        <v>0</v>
      </c>
      <c r="N379" s="73">
        <f t="shared" ca="1" si="41"/>
        <v>0</v>
      </c>
      <c r="P379" s="164" t="str">
        <f t="shared" ca="1" si="42"/>
        <v/>
      </c>
      <c r="Q379" s="140" t="str">
        <f ca="1">IF(C379="","",Q378+(E379+H379-IF(RESULTADOS!$C$17="Normal",I379,0)-J379)/2+(F379+G379-IF(RESULTADOS!$C$17="Normal",0,I379)))</f>
        <v/>
      </c>
      <c r="R379" s="140" t="str">
        <f ca="1">IF(C379="","",R378+(E379+H379-IF(RESULTADOS!$C$17="Normal",I379,0)-J379)/2)</f>
        <v/>
      </c>
      <c r="S379" s="140">
        <f t="shared" ca="1" si="44"/>
        <v>0</v>
      </c>
      <c r="U379" s="164" t="str">
        <f t="shared" ca="1" si="45"/>
        <v/>
      </c>
      <c r="V379" s="164" t="str">
        <f t="shared" ca="1" si="43"/>
        <v/>
      </c>
      <c r="W379" s="140">
        <f ca="1">IF(OR((W378-13/12*Z378)*(1+PREMISSAS!$C$16)&lt;0,W378=""),0,(W378-13/12*Z378)*(1+PREMISSAS!$C$16))</f>
        <v>0</v>
      </c>
      <c r="X379" s="140">
        <f ca="1">IF(OR((X378-13/12*AA378)*(1+PREMISSAS!$C$16)&lt;0,X378=""),0,(X378-13/12*AA378)*(1+PREMISSAS!$C$16))</f>
        <v>0</v>
      </c>
      <c r="Y379" s="140">
        <f t="shared" ref="Y379:Y442" ca="1" si="48">SUM(W379:X379)</f>
        <v>0</v>
      </c>
      <c r="Z379" s="167">
        <f t="shared" ca="1" si="46"/>
        <v>0</v>
      </c>
      <c r="AA379" s="167">
        <f t="shared" ca="1" si="47"/>
        <v>0</v>
      </c>
    </row>
    <row r="380" spans="2:27" x14ac:dyDescent="0.25">
      <c r="B380" s="21" t="str">
        <f ca="1">IF(B379="","",IF(EOMONTH(B379,1)&gt;EOMONTH(ELEGIBILIDADE!$J$17,0),"",EOMONTH(B379,1)))</f>
        <v/>
      </c>
      <c r="C380" s="22" t="str">
        <f ca="1">IF(B380="","",IF(MONTH(B380)=1,C379*(1+PREMISSAS!$C$57),C379))</f>
        <v/>
      </c>
      <c r="D380" s="22">
        <f ca="1">IF(RESULTADOS!$C$17="Normal",IFERROR(MAX(C380-PREMISSAS!$C$13,0),0),IF(Painel!$I$23=0,0,MAX(10*PREMISSAS!$C$38,RESULTADOS!$F$17)))</f>
        <v>0</v>
      </c>
      <c r="E380" s="4">
        <f ca="1">D380*IF(RESULTADOS!$C$17="Normal",RESULTADOS!$C$16,0)</f>
        <v>0</v>
      </c>
      <c r="F380" s="4">
        <f ca="1">IFERROR(IF(RESULTADOS!$C$17="Normal",D380,C380)*RESULTADOS!$C$18,0)</f>
        <v>0</v>
      </c>
      <c r="G380" s="4">
        <f ca="1">IFERROR(IF(RESULTADOS!$C$17="Normal",0,D380)*IF(RESULTADOS!$C$17="Normal",RESULTADOS!$C$18,RESULTADOS!$C$16),0)</f>
        <v>0</v>
      </c>
      <c r="H380" s="4">
        <f ca="1">IF(RESULTADOS!$C$17="Normal",E380,0)</f>
        <v>0</v>
      </c>
      <c r="I380" s="4">
        <f ca="1">(E380+H380+G380)*PREMISSAS!$C$60</f>
        <v>0</v>
      </c>
      <c r="J380" s="4">
        <f ca="1">D380*IF(RESULTADOS!$C$17="Normal",PREMISSAS!$C$62,0)</f>
        <v>0</v>
      </c>
      <c r="K380" s="116">
        <f ca="1">IFERROR(K379*(1+PREMISSAS!$C$18)+(E380+H380-IF(RESULTADOS!$C$17="Normal",I380,0)-J380)*IF(MONTH(B380)=12,2,1),0)</f>
        <v>0</v>
      </c>
      <c r="L380" s="116">
        <f ca="1">IFERROR((L379+G380-IF(RESULTADOS!$C$17="Normal",0,I380))*(1+PREMISSAS!$C$18)+F380,0)</f>
        <v>0</v>
      </c>
      <c r="N380" s="73">
        <f t="shared" ca="1" si="41"/>
        <v>0</v>
      </c>
      <c r="P380" s="164" t="str">
        <f t="shared" ca="1" si="42"/>
        <v/>
      </c>
      <c r="Q380" s="140" t="str">
        <f ca="1">IF(C380="","",Q379+(E380+H380-IF(RESULTADOS!$C$17="Normal",I380,0)-J380)/2+(F380+G380-IF(RESULTADOS!$C$17="Normal",0,I380)))</f>
        <v/>
      </c>
      <c r="R380" s="140" t="str">
        <f ca="1">IF(C380="","",R379+(E380+H380-IF(RESULTADOS!$C$17="Normal",I380,0)-J380)/2)</f>
        <v/>
      </c>
      <c r="S380" s="140">
        <f t="shared" ca="1" si="44"/>
        <v>0</v>
      </c>
      <c r="U380" s="164" t="str">
        <f t="shared" ca="1" si="45"/>
        <v/>
      </c>
      <c r="V380" s="164" t="str">
        <f t="shared" ca="1" si="43"/>
        <v/>
      </c>
      <c r="W380" s="140">
        <f ca="1">IF(OR((W379-13/12*Z379)*(1+PREMISSAS!$C$16)&lt;0,W379=""),0,(W379-13/12*Z379)*(1+PREMISSAS!$C$16))</f>
        <v>0</v>
      </c>
      <c r="X380" s="140">
        <f ca="1">IF(OR((X379-13/12*AA379)*(1+PREMISSAS!$C$16)&lt;0,X379=""),0,(X379-13/12*AA379)*(1+PREMISSAS!$C$16))</f>
        <v>0</v>
      </c>
      <c r="Y380" s="140">
        <f t="shared" ca="1" si="48"/>
        <v>0</v>
      </c>
      <c r="Z380" s="167">
        <f t="shared" ca="1" si="46"/>
        <v>0</v>
      </c>
      <c r="AA380" s="167">
        <f t="shared" ca="1" si="47"/>
        <v>0</v>
      </c>
    </row>
    <row r="381" spans="2:27" x14ac:dyDescent="0.25">
      <c r="B381" s="21" t="str">
        <f ca="1">IF(B380="","",IF(EOMONTH(B380,1)&gt;EOMONTH(ELEGIBILIDADE!$J$17,0),"",EOMONTH(B380,1)))</f>
        <v/>
      </c>
      <c r="C381" s="22" t="str">
        <f ca="1">IF(B381="","",IF(MONTH(B381)=1,C380*(1+PREMISSAS!$C$57),C380))</f>
        <v/>
      </c>
      <c r="D381" s="22">
        <f ca="1">IF(RESULTADOS!$C$17="Normal",IFERROR(MAX(C381-PREMISSAS!$C$13,0),0),IF(Painel!$I$23=0,0,MAX(10*PREMISSAS!$C$38,RESULTADOS!$F$17)))</f>
        <v>0</v>
      </c>
      <c r="E381" s="4">
        <f ca="1">D381*IF(RESULTADOS!$C$17="Normal",RESULTADOS!$C$16,0)</f>
        <v>0</v>
      </c>
      <c r="F381" s="4">
        <f ca="1">IFERROR(IF(RESULTADOS!$C$17="Normal",D381,C381)*RESULTADOS!$C$18,0)</f>
        <v>0</v>
      </c>
      <c r="G381" s="4">
        <f ca="1">IFERROR(IF(RESULTADOS!$C$17="Normal",0,D381)*IF(RESULTADOS!$C$17="Normal",RESULTADOS!$C$18,RESULTADOS!$C$16),0)</f>
        <v>0</v>
      </c>
      <c r="H381" s="4">
        <f ca="1">IF(RESULTADOS!$C$17="Normal",E381,0)</f>
        <v>0</v>
      </c>
      <c r="I381" s="4">
        <f ca="1">(E381+H381+G381)*PREMISSAS!$C$60</f>
        <v>0</v>
      </c>
      <c r="J381" s="4">
        <f ca="1">D381*IF(RESULTADOS!$C$17="Normal",PREMISSAS!$C$62,0)</f>
        <v>0</v>
      </c>
      <c r="K381" s="116">
        <f ca="1">IFERROR(K380*(1+PREMISSAS!$C$18)+(E381+H381-IF(RESULTADOS!$C$17="Normal",I381,0)-J381)*IF(MONTH(B381)=12,2,1),0)</f>
        <v>0</v>
      </c>
      <c r="L381" s="116">
        <f ca="1">IFERROR((L380+G381-IF(RESULTADOS!$C$17="Normal",0,I381))*(1+PREMISSAS!$C$18)+F381,0)</f>
        <v>0</v>
      </c>
      <c r="N381" s="73">
        <f t="shared" ca="1" si="41"/>
        <v>0</v>
      </c>
      <c r="P381" s="164" t="str">
        <f t="shared" ca="1" si="42"/>
        <v/>
      </c>
      <c r="Q381" s="140" t="str">
        <f ca="1">IF(C381="","",Q380+(E381+H381-IF(RESULTADOS!$C$17="Normal",I381,0)-J381)/2+(F381+G381-IF(RESULTADOS!$C$17="Normal",0,I381)))</f>
        <v/>
      </c>
      <c r="R381" s="140" t="str">
        <f ca="1">IF(C381="","",R380+(E381+H381-IF(RESULTADOS!$C$17="Normal",I381,0)-J381)/2)</f>
        <v/>
      </c>
      <c r="S381" s="140">
        <f t="shared" ca="1" si="44"/>
        <v>0</v>
      </c>
      <c r="U381" s="164" t="str">
        <f t="shared" ca="1" si="45"/>
        <v/>
      </c>
      <c r="V381" s="164" t="str">
        <f t="shared" ca="1" si="43"/>
        <v/>
      </c>
      <c r="W381" s="140">
        <f ca="1">IF(OR((W380-13/12*Z380)*(1+PREMISSAS!$C$16)&lt;0,W380=""),0,(W380-13/12*Z380)*(1+PREMISSAS!$C$16))</f>
        <v>0</v>
      </c>
      <c r="X381" s="140">
        <f ca="1">IF(OR((X380-13/12*AA380)*(1+PREMISSAS!$C$16)&lt;0,X380=""),0,(X380-13/12*AA380)*(1+PREMISSAS!$C$16))</f>
        <v>0</v>
      </c>
      <c r="Y381" s="140">
        <f t="shared" ca="1" si="48"/>
        <v>0</v>
      </c>
      <c r="Z381" s="167">
        <f t="shared" ca="1" si="46"/>
        <v>0</v>
      </c>
      <c r="AA381" s="167">
        <f t="shared" ca="1" si="47"/>
        <v>0</v>
      </c>
    </row>
    <row r="382" spans="2:27" x14ac:dyDescent="0.25">
      <c r="B382" s="21" t="str">
        <f ca="1">IF(B381="","",IF(EOMONTH(B381,1)&gt;EOMONTH(ELEGIBILIDADE!$J$17,0),"",EOMONTH(B381,1)))</f>
        <v/>
      </c>
      <c r="C382" s="22" t="str">
        <f ca="1">IF(B382="","",IF(MONTH(B382)=1,C381*(1+PREMISSAS!$C$57),C381))</f>
        <v/>
      </c>
      <c r="D382" s="22">
        <f ca="1">IF(RESULTADOS!$C$17="Normal",IFERROR(MAX(C382-PREMISSAS!$C$13,0),0),IF(Painel!$I$23=0,0,MAX(10*PREMISSAS!$C$38,RESULTADOS!$F$17)))</f>
        <v>0</v>
      </c>
      <c r="E382" s="4">
        <f ca="1">D382*IF(RESULTADOS!$C$17="Normal",RESULTADOS!$C$16,0)</f>
        <v>0</v>
      </c>
      <c r="F382" s="4">
        <f ca="1">IFERROR(IF(RESULTADOS!$C$17="Normal",D382,C382)*RESULTADOS!$C$18,0)</f>
        <v>0</v>
      </c>
      <c r="G382" s="4">
        <f ca="1">IFERROR(IF(RESULTADOS!$C$17="Normal",0,D382)*IF(RESULTADOS!$C$17="Normal",RESULTADOS!$C$18,RESULTADOS!$C$16),0)</f>
        <v>0</v>
      </c>
      <c r="H382" s="4">
        <f ca="1">IF(RESULTADOS!$C$17="Normal",E382,0)</f>
        <v>0</v>
      </c>
      <c r="I382" s="4">
        <f ca="1">(E382+H382+G382)*PREMISSAS!$C$60</f>
        <v>0</v>
      </c>
      <c r="J382" s="4">
        <f ca="1">D382*IF(RESULTADOS!$C$17="Normal",PREMISSAS!$C$62,0)</f>
        <v>0</v>
      </c>
      <c r="K382" s="116">
        <f ca="1">IFERROR(K381*(1+PREMISSAS!$C$18)+(E382+H382-IF(RESULTADOS!$C$17="Normal",I382,0)-J382)*IF(MONTH(B382)=12,2,1),0)</f>
        <v>0</v>
      </c>
      <c r="L382" s="116">
        <f ca="1">IFERROR((L381+G382-IF(RESULTADOS!$C$17="Normal",0,I382))*(1+PREMISSAS!$C$18)+F382,0)</f>
        <v>0</v>
      </c>
      <c r="N382" s="73">
        <f t="shared" ca="1" si="41"/>
        <v>0</v>
      </c>
      <c r="P382" s="164" t="str">
        <f t="shared" ca="1" si="42"/>
        <v/>
      </c>
      <c r="Q382" s="140" t="str">
        <f ca="1">IF(C382="","",Q381+(E382+H382-IF(RESULTADOS!$C$17="Normal",I382,0)-J382)/2+(F382+G382-IF(RESULTADOS!$C$17="Normal",0,I382)))</f>
        <v/>
      </c>
      <c r="R382" s="140" t="str">
        <f ca="1">IF(C382="","",R381+(E382+H382-IF(RESULTADOS!$C$17="Normal",I382,0)-J382)/2)</f>
        <v/>
      </c>
      <c r="S382" s="140">
        <f t="shared" ca="1" si="44"/>
        <v>0</v>
      </c>
      <c r="U382" s="164" t="str">
        <f t="shared" ca="1" si="45"/>
        <v/>
      </c>
      <c r="V382" s="164" t="str">
        <f t="shared" ca="1" si="43"/>
        <v/>
      </c>
      <c r="W382" s="140">
        <f ca="1">IF(OR((W381-13/12*Z381)*(1+PREMISSAS!$C$16)&lt;0,W381=""),0,(W381-13/12*Z381)*(1+PREMISSAS!$C$16))</f>
        <v>0</v>
      </c>
      <c r="X382" s="140">
        <f ca="1">IF(OR((X381-13/12*AA381)*(1+PREMISSAS!$C$16)&lt;0,X381=""),0,(X381-13/12*AA381)*(1+PREMISSAS!$C$16))</f>
        <v>0</v>
      </c>
      <c r="Y382" s="140">
        <f t="shared" ca="1" si="48"/>
        <v>0</v>
      </c>
      <c r="Z382" s="167">
        <f t="shared" ca="1" si="46"/>
        <v>0</v>
      </c>
      <c r="AA382" s="167">
        <f t="shared" ca="1" si="47"/>
        <v>0</v>
      </c>
    </row>
    <row r="383" spans="2:27" x14ac:dyDescent="0.25">
      <c r="B383" s="21" t="str">
        <f ca="1">IF(B382="","",IF(EOMONTH(B382,1)&gt;EOMONTH(ELEGIBILIDADE!$J$17,0),"",EOMONTH(B382,1)))</f>
        <v/>
      </c>
      <c r="C383" s="22" t="str">
        <f ca="1">IF(B383="","",IF(MONTH(B383)=1,C382*(1+PREMISSAS!$C$57),C382))</f>
        <v/>
      </c>
      <c r="D383" s="22">
        <f ca="1">IF(RESULTADOS!$C$17="Normal",IFERROR(MAX(C383-PREMISSAS!$C$13,0),0),IF(Painel!$I$23=0,0,MAX(10*PREMISSAS!$C$38,RESULTADOS!$F$17)))</f>
        <v>0</v>
      </c>
      <c r="E383" s="4">
        <f ca="1">D383*IF(RESULTADOS!$C$17="Normal",RESULTADOS!$C$16,0)</f>
        <v>0</v>
      </c>
      <c r="F383" s="4">
        <f ca="1">IFERROR(IF(RESULTADOS!$C$17="Normal",D383,C383)*RESULTADOS!$C$18,0)</f>
        <v>0</v>
      </c>
      <c r="G383" s="4">
        <f ca="1">IFERROR(IF(RESULTADOS!$C$17="Normal",0,D383)*IF(RESULTADOS!$C$17="Normal",RESULTADOS!$C$18,RESULTADOS!$C$16),0)</f>
        <v>0</v>
      </c>
      <c r="H383" s="4">
        <f ca="1">IF(RESULTADOS!$C$17="Normal",E383,0)</f>
        <v>0</v>
      </c>
      <c r="I383" s="4">
        <f ca="1">(E383+H383+G383)*PREMISSAS!$C$60</f>
        <v>0</v>
      </c>
      <c r="J383" s="4">
        <f ca="1">D383*IF(RESULTADOS!$C$17="Normal",PREMISSAS!$C$62,0)</f>
        <v>0</v>
      </c>
      <c r="K383" s="116">
        <f ca="1">IFERROR(K382*(1+PREMISSAS!$C$18)+(E383+H383-IF(RESULTADOS!$C$17="Normal",I383,0)-J383)*IF(MONTH(B383)=12,2,1),0)</f>
        <v>0</v>
      </c>
      <c r="L383" s="116">
        <f ca="1">IFERROR((L382+G383-IF(RESULTADOS!$C$17="Normal",0,I383))*(1+PREMISSAS!$C$18)+F383,0)</f>
        <v>0</v>
      </c>
      <c r="N383" s="73">
        <f t="shared" ca="1" si="41"/>
        <v>0</v>
      </c>
      <c r="P383" s="164" t="str">
        <f t="shared" ca="1" si="42"/>
        <v/>
      </c>
      <c r="Q383" s="140" t="str">
        <f ca="1">IF(C383="","",Q382+(E383+H383-IF(RESULTADOS!$C$17="Normal",I383,0)-J383)/2+(F383+G383-IF(RESULTADOS!$C$17="Normal",0,I383)))</f>
        <v/>
      </c>
      <c r="R383" s="140" t="str">
        <f ca="1">IF(C383="","",R382+(E383+H383-IF(RESULTADOS!$C$17="Normal",I383,0)-J383)/2)</f>
        <v/>
      </c>
      <c r="S383" s="140">
        <f t="shared" ca="1" si="44"/>
        <v>0</v>
      </c>
      <c r="U383" s="164" t="str">
        <f t="shared" ca="1" si="45"/>
        <v/>
      </c>
      <c r="V383" s="164" t="str">
        <f t="shared" ca="1" si="43"/>
        <v/>
      </c>
      <c r="W383" s="140">
        <f ca="1">IF(OR((W382-13/12*Z382)*(1+PREMISSAS!$C$16)&lt;0,W382=""),0,(W382-13/12*Z382)*(1+PREMISSAS!$C$16))</f>
        <v>0</v>
      </c>
      <c r="X383" s="140">
        <f ca="1">IF(OR((X382-13/12*AA382)*(1+PREMISSAS!$C$16)&lt;0,X382=""),0,(X382-13/12*AA382)*(1+PREMISSAS!$C$16))</f>
        <v>0</v>
      </c>
      <c r="Y383" s="140">
        <f t="shared" ca="1" si="48"/>
        <v>0</v>
      </c>
      <c r="Z383" s="167">
        <f t="shared" ca="1" si="46"/>
        <v>0</v>
      </c>
      <c r="AA383" s="167">
        <f t="shared" ca="1" si="47"/>
        <v>0</v>
      </c>
    </row>
    <row r="384" spans="2:27" x14ac:dyDescent="0.25">
      <c r="B384" s="21" t="str">
        <f ca="1">IF(B383="","",IF(EOMONTH(B383,1)&gt;EOMONTH(ELEGIBILIDADE!$J$17,0),"",EOMONTH(B383,1)))</f>
        <v/>
      </c>
      <c r="C384" s="22" t="str">
        <f ca="1">IF(B384="","",IF(MONTH(B384)=1,C383*(1+PREMISSAS!$C$57),C383))</f>
        <v/>
      </c>
      <c r="D384" s="22">
        <f ca="1">IF(RESULTADOS!$C$17="Normal",IFERROR(MAX(C384-PREMISSAS!$C$13,0),0),IF(Painel!$I$23=0,0,MAX(10*PREMISSAS!$C$38,RESULTADOS!$F$17)))</f>
        <v>0</v>
      </c>
      <c r="E384" s="4">
        <f ca="1">D384*IF(RESULTADOS!$C$17="Normal",RESULTADOS!$C$16,0)</f>
        <v>0</v>
      </c>
      <c r="F384" s="4">
        <f ca="1">IFERROR(IF(RESULTADOS!$C$17="Normal",D384,C384)*RESULTADOS!$C$18,0)</f>
        <v>0</v>
      </c>
      <c r="G384" s="4">
        <f ca="1">IFERROR(IF(RESULTADOS!$C$17="Normal",0,D384)*IF(RESULTADOS!$C$17="Normal",RESULTADOS!$C$18,RESULTADOS!$C$16),0)</f>
        <v>0</v>
      </c>
      <c r="H384" s="4">
        <f ca="1">IF(RESULTADOS!$C$17="Normal",E384,0)</f>
        <v>0</v>
      </c>
      <c r="I384" s="4">
        <f ca="1">(E384+H384+G384)*PREMISSAS!$C$60</f>
        <v>0</v>
      </c>
      <c r="J384" s="4">
        <f ca="1">D384*IF(RESULTADOS!$C$17="Normal",PREMISSAS!$C$62,0)</f>
        <v>0</v>
      </c>
      <c r="K384" s="116">
        <f ca="1">IFERROR(K383*(1+PREMISSAS!$C$18)+(E384+H384-IF(RESULTADOS!$C$17="Normal",I384,0)-J384)*IF(MONTH(B384)=12,2,1),0)</f>
        <v>0</v>
      </c>
      <c r="L384" s="116">
        <f ca="1">IFERROR((L383+G384-IF(RESULTADOS!$C$17="Normal",0,I384))*(1+PREMISSAS!$C$18)+F384,0)</f>
        <v>0</v>
      </c>
      <c r="N384" s="73">
        <f t="shared" ca="1" si="41"/>
        <v>0</v>
      </c>
      <c r="P384" s="164" t="str">
        <f t="shared" ca="1" si="42"/>
        <v/>
      </c>
      <c r="Q384" s="140" t="str">
        <f ca="1">IF(C384="","",Q383+(E384+H384-IF(RESULTADOS!$C$17="Normal",I384,0)-J384)/2+(F384+G384-IF(RESULTADOS!$C$17="Normal",0,I384)))</f>
        <v/>
      </c>
      <c r="R384" s="140" t="str">
        <f ca="1">IF(C384="","",R383+(E384+H384-IF(RESULTADOS!$C$17="Normal",I384,0)-J384)/2)</f>
        <v/>
      </c>
      <c r="S384" s="140">
        <f t="shared" ca="1" si="44"/>
        <v>0</v>
      </c>
      <c r="U384" s="164" t="str">
        <f t="shared" ca="1" si="45"/>
        <v/>
      </c>
      <c r="V384" s="164" t="str">
        <f t="shared" ca="1" si="43"/>
        <v/>
      </c>
      <c r="W384" s="140">
        <f ca="1">IF(OR((W383-13/12*Z383)*(1+PREMISSAS!$C$16)&lt;0,W383=""),0,(W383-13/12*Z383)*(1+PREMISSAS!$C$16))</f>
        <v>0</v>
      </c>
      <c r="X384" s="140">
        <f ca="1">IF(OR((X383-13/12*AA383)*(1+PREMISSAS!$C$16)&lt;0,X383=""),0,(X383-13/12*AA383)*(1+PREMISSAS!$C$16))</f>
        <v>0</v>
      </c>
      <c r="Y384" s="140">
        <f t="shared" ca="1" si="48"/>
        <v>0</v>
      </c>
      <c r="Z384" s="167">
        <f t="shared" ca="1" si="46"/>
        <v>0</v>
      </c>
      <c r="AA384" s="167">
        <f t="shared" ca="1" si="47"/>
        <v>0</v>
      </c>
    </row>
    <row r="385" spans="2:27" x14ac:dyDescent="0.25">
      <c r="B385" s="21" t="str">
        <f ca="1">IF(B384="","",IF(EOMONTH(B384,1)&gt;EOMONTH(ELEGIBILIDADE!$J$17,0),"",EOMONTH(B384,1)))</f>
        <v/>
      </c>
      <c r="C385" s="22" t="str">
        <f ca="1">IF(B385="","",IF(MONTH(B385)=1,C384*(1+PREMISSAS!$C$57),C384))</f>
        <v/>
      </c>
      <c r="D385" s="22">
        <f ca="1">IF(RESULTADOS!$C$17="Normal",IFERROR(MAX(C385-PREMISSAS!$C$13,0),0),IF(Painel!$I$23=0,0,MAX(10*PREMISSAS!$C$38,RESULTADOS!$F$17)))</f>
        <v>0</v>
      </c>
      <c r="E385" s="4">
        <f ca="1">D385*IF(RESULTADOS!$C$17="Normal",RESULTADOS!$C$16,0)</f>
        <v>0</v>
      </c>
      <c r="F385" s="4">
        <f ca="1">IFERROR(IF(RESULTADOS!$C$17="Normal",D385,C385)*RESULTADOS!$C$18,0)</f>
        <v>0</v>
      </c>
      <c r="G385" s="4">
        <f ca="1">IFERROR(IF(RESULTADOS!$C$17="Normal",0,D385)*IF(RESULTADOS!$C$17="Normal",RESULTADOS!$C$18,RESULTADOS!$C$16),0)</f>
        <v>0</v>
      </c>
      <c r="H385" s="4">
        <f ca="1">IF(RESULTADOS!$C$17="Normal",E385,0)</f>
        <v>0</v>
      </c>
      <c r="I385" s="4">
        <f ca="1">(E385+H385+G385)*PREMISSAS!$C$60</f>
        <v>0</v>
      </c>
      <c r="J385" s="4">
        <f ca="1">D385*IF(RESULTADOS!$C$17="Normal",PREMISSAS!$C$62,0)</f>
        <v>0</v>
      </c>
      <c r="K385" s="116">
        <f ca="1">IFERROR(K384*(1+PREMISSAS!$C$18)+(E385+H385-IF(RESULTADOS!$C$17="Normal",I385,0)-J385)*IF(MONTH(B385)=12,2,1),0)</f>
        <v>0</v>
      </c>
      <c r="L385" s="116">
        <f ca="1">IFERROR((L384+G385-IF(RESULTADOS!$C$17="Normal",0,I385))*(1+PREMISSAS!$C$18)+F385,0)</f>
        <v>0</v>
      </c>
      <c r="N385" s="73">
        <f t="shared" ca="1" si="41"/>
        <v>0</v>
      </c>
      <c r="P385" s="164" t="str">
        <f t="shared" ca="1" si="42"/>
        <v/>
      </c>
      <c r="Q385" s="140" t="str">
        <f ca="1">IF(C385="","",Q384+(E385+H385-IF(RESULTADOS!$C$17="Normal",I385,0)-J385)/2+(F385+G385-IF(RESULTADOS!$C$17="Normal",0,I385)))</f>
        <v/>
      </c>
      <c r="R385" s="140" t="str">
        <f ca="1">IF(C385="","",R384+(E385+H385-IF(RESULTADOS!$C$17="Normal",I385,0)-J385)/2)</f>
        <v/>
      </c>
      <c r="S385" s="140">
        <f t="shared" ca="1" si="44"/>
        <v>0</v>
      </c>
      <c r="U385" s="164" t="str">
        <f t="shared" ca="1" si="45"/>
        <v/>
      </c>
      <c r="V385" s="164" t="str">
        <f t="shared" ca="1" si="43"/>
        <v/>
      </c>
      <c r="W385" s="140">
        <f ca="1">IF(OR((W384-13/12*Z384)*(1+PREMISSAS!$C$16)&lt;0,W384=""),0,(W384-13/12*Z384)*(1+PREMISSAS!$C$16))</f>
        <v>0</v>
      </c>
      <c r="X385" s="140">
        <f ca="1">IF(OR((X384-13/12*AA384)*(1+PREMISSAS!$C$16)&lt;0,X384=""),0,(X384-13/12*AA384)*(1+PREMISSAS!$C$16))</f>
        <v>0</v>
      </c>
      <c r="Y385" s="140">
        <f t="shared" ca="1" si="48"/>
        <v>0</v>
      </c>
      <c r="Z385" s="167">
        <f t="shared" ca="1" si="46"/>
        <v>0</v>
      </c>
      <c r="AA385" s="167">
        <f t="shared" ca="1" si="47"/>
        <v>0</v>
      </c>
    </row>
    <row r="386" spans="2:27" x14ac:dyDescent="0.25">
      <c r="B386" s="21" t="str">
        <f ca="1">IF(B385="","",IF(EOMONTH(B385,1)&gt;EOMONTH(ELEGIBILIDADE!$J$17,0),"",EOMONTH(B385,1)))</f>
        <v/>
      </c>
      <c r="C386" s="22" t="str">
        <f ca="1">IF(B386="","",IF(MONTH(B386)=1,C385*(1+PREMISSAS!$C$57),C385))</f>
        <v/>
      </c>
      <c r="D386" s="22">
        <f ca="1">IF(RESULTADOS!$C$17="Normal",IFERROR(MAX(C386-PREMISSAS!$C$13,0),0),IF(Painel!$I$23=0,0,MAX(10*PREMISSAS!$C$38,RESULTADOS!$F$17)))</f>
        <v>0</v>
      </c>
      <c r="E386" s="4">
        <f ca="1">D386*IF(RESULTADOS!$C$17="Normal",RESULTADOS!$C$16,0)</f>
        <v>0</v>
      </c>
      <c r="F386" s="4">
        <f ca="1">IFERROR(IF(RESULTADOS!$C$17="Normal",D386,C386)*RESULTADOS!$C$18,0)</f>
        <v>0</v>
      </c>
      <c r="G386" s="4">
        <f ca="1">IFERROR(IF(RESULTADOS!$C$17="Normal",0,D386)*IF(RESULTADOS!$C$17="Normal",RESULTADOS!$C$18,RESULTADOS!$C$16),0)</f>
        <v>0</v>
      </c>
      <c r="H386" s="4">
        <f ca="1">IF(RESULTADOS!$C$17="Normal",E386,0)</f>
        <v>0</v>
      </c>
      <c r="I386" s="4">
        <f ca="1">(E386+H386+G386)*PREMISSAS!$C$60</f>
        <v>0</v>
      </c>
      <c r="J386" s="4">
        <f ca="1">D386*IF(RESULTADOS!$C$17="Normal",PREMISSAS!$C$62,0)</f>
        <v>0</v>
      </c>
      <c r="K386" s="116">
        <f ca="1">IFERROR(K385*(1+PREMISSAS!$C$18)+(E386+H386-IF(RESULTADOS!$C$17="Normal",I386,0)-J386)*IF(MONTH(B386)=12,2,1),0)</f>
        <v>0</v>
      </c>
      <c r="L386" s="116">
        <f ca="1">IFERROR((L385+G386-IF(RESULTADOS!$C$17="Normal",0,I386))*(1+PREMISSAS!$C$18)+F386,0)</f>
        <v>0</v>
      </c>
      <c r="N386" s="73">
        <f t="shared" ca="1" si="41"/>
        <v>0</v>
      </c>
      <c r="P386" s="164" t="str">
        <f t="shared" ca="1" si="42"/>
        <v/>
      </c>
      <c r="Q386" s="140" t="str">
        <f ca="1">IF(C386="","",Q385+(E386+H386-IF(RESULTADOS!$C$17="Normal",I386,0)-J386)/2+(F386+G386-IF(RESULTADOS!$C$17="Normal",0,I386)))</f>
        <v/>
      </c>
      <c r="R386" s="140" t="str">
        <f ca="1">IF(C386="","",R385+(E386+H386-IF(RESULTADOS!$C$17="Normal",I386,0)-J386)/2)</f>
        <v/>
      </c>
      <c r="S386" s="140">
        <f t="shared" ca="1" si="44"/>
        <v>0</v>
      </c>
      <c r="U386" s="164" t="str">
        <f t="shared" ca="1" si="45"/>
        <v/>
      </c>
      <c r="V386" s="164" t="str">
        <f t="shared" ca="1" si="43"/>
        <v/>
      </c>
      <c r="W386" s="140">
        <f ca="1">IF(OR((W385-13/12*Z385)*(1+PREMISSAS!$C$16)&lt;0,W385=""),0,(W385-13/12*Z385)*(1+PREMISSAS!$C$16))</f>
        <v>0</v>
      </c>
      <c r="X386" s="140">
        <f ca="1">IF(OR((X385-13/12*AA385)*(1+PREMISSAS!$C$16)&lt;0,X385=""),0,(X385-13/12*AA385)*(1+PREMISSAS!$C$16))</f>
        <v>0</v>
      </c>
      <c r="Y386" s="140">
        <f t="shared" ca="1" si="48"/>
        <v>0</v>
      </c>
      <c r="Z386" s="167">
        <f t="shared" ca="1" si="46"/>
        <v>0</v>
      </c>
      <c r="AA386" s="167">
        <f t="shared" ca="1" si="47"/>
        <v>0</v>
      </c>
    </row>
    <row r="387" spans="2:27" x14ac:dyDescent="0.25">
      <c r="B387" s="21" t="str">
        <f ca="1">IF(B386="","",IF(EOMONTH(B386,1)&gt;EOMONTH(ELEGIBILIDADE!$J$17,0),"",EOMONTH(B386,1)))</f>
        <v/>
      </c>
      <c r="C387" s="22" t="str">
        <f ca="1">IF(B387="","",IF(MONTH(B387)=1,C386*(1+PREMISSAS!$C$57),C386))</f>
        <v/>
      </c>
      <c r="D387" s="22">
        <f ca="1">IF(RESULTADOS!$C$17="Normal",IFERROR(MAX(C387-PREMISSAS!$C$13,0),0),IF(Painel!$I$23=0,0,MAX(10*PREMISSAS!$C$38,RESULTADOS!$F$17)))</f>
        <v>0</v>
      </c>
      <c r="E387" s="4">
        <f ca="1">D387*IF(RESULTADOS!$C$17="Normal",RESULTADOS!$C$16,0)</f>
        <v>0</v>
      </c>
      <c r="F387" s="4">
        <f ca="1">IFERROR(IF(RESULTADOS!$C$17="Normal",D387,C387)*RESULTADOS!$C$18,0)</f>
        <v>0</v>
      </c>
      <c r="G387" s="4">
        <f ca="1">IFERROR(IF(RESULTADOS!$C$17="Normal",0,D387)*IF(RESULTADOS!$C$17="Normal",RESULTADOS!$C$18,RESULTADOS!$C$16),0)</f>
        <v>0</v>
      </c>
      <c r="H387" s="4">
        <f ca="1">IF(RESULTADOS!$C$17="Normal",E387,0)</f>
        <v>0</v>
      </c>
      <c r="I387" s="4">
        <f ca="1">(E387+H387+G387)*PREMISSAS!$C$60</f>
        <v>0</v>
      </c>
      <c r="J387" s="4">
        <f ca="1">D387*IF(RESULTADOS!$C$17="Normal",PREMISSAS!$C$62,0)</f>
        <v>0</v>
      </c>
      <c r="K387" s="116">
        <f ca="1">IFERROR(K386*(1+PREMISSAS!$C$18)+(E387+H387-IF(RESULTADOS!$C$17="Normal",I387,0)-J387)*IF(MONTH(B387)=12,2,1),0)</f>
        <v>0</v>
      </c>
      <c r="L387" s="116">
        <f ca="1">IFERROR((L386+G387-IF(RESULTADOS!$C$17="Normal",0,I387))*(1+PREMISSAS!$C$18)+F387,0)</f>
        <v>0</v>
      </c>
      <c r="N387" s="73">
        <f t="shared" ca="1" si="41"/>
        <v>0</v>
      </c>
      <c r="P387" s="164" t="str">
        <f t="shared" ca="1" si="42"/>
        <v/>
      </c>
      <c r="Q387" s="140" t="str">
        <f ca="1">IF(C387="","",Q386+(E387+H387-IF(RESULTADOS!$C$17="Normal",I387,0)-J387)/2+(F387+G387-IF(RESULTADOS!$C$17="Normal",0,I387)))</f>
        <v/>
      </c>
      <c r="R387" s="140" t="str">
        <f ca="1">IF(C387="","",R386+(E387+H387-IF(RESULTADOS!$C$17="Normal",I387,0)-J387)/2)</f>
        <v/>
      </c>
      <c r="S387" s="140">
        <f t="shared" ca="1" si="44"/>
        <v>0</v>
      </c>
      <c r="U387" s="164" t="str">
        <f t="shared" ca="1" si="45"/>
        <v/>
      </c>
      <c r="V387" s="164" t="str">
        <f t="shared" ca="1" si="43"/>
        <v/>
      </c>
      <c r="W387" s="140">
        <f ca="1">IF(OR((W386-13/12*Z386)*(1+PREMISSAS!$C$16)&lt;0,W386=""),0,(W386-13/12*Z386)*(1+PREMISSAS!$C$16))</f>
        <v>0</v>
      </c>
      <c r="X387" s="140">
        <f ca="1">IF(OR((X386-13/12*AA386)*(1+PREMISSAS!$C$16)&lt;0,X386=""),0,(X386-13/12*AA386)*(1+PREMISSAS!$C$16))</f>
        <v>0</v>
      </c>
      <c r="Y387" s="140">
        <f t="shared" ca="1" si="48"/>
        <v>0</v>
      </c>
      <c r="Z387" s="167">
        <f t="shared" ca="1" si="46"/>
        <v>0</v>
      </c>
      <c r="AA387" s="167">
        <f t="shared" ca="1" si="47"/>
        <v>0</v>
      </c>
    </row>
    <row r="388" spans="2:27" x14ac:dyDescent="0.25">
      <c r="B388" s="21" t="str">
        <f ca="1">IF(B387="","",IF(EOMONTH(B387,1)&gt;EOMONTH(ELEGIBILIDADE!$J$17,0),"",EOMONTH(B387,1)))</f>
        <v/>
      </c>
      <c r="C388" s="22" t="str">
        <f ca="1">IF(B388="","",IF(MONTH(B388)=1,C387*(1+PREMISSAS!$C$57),C387))</f>
        <v/>
      </c>
      <c r="D388" s="22">
        <f ca="1">IF(RESULTADOS!$C$17="Normal",IFERROR(MAX(C388-PREMISSAS!$C$13,0),0),IF(Painel!$I$23=0,0,MAX(10*PREMISSAS!$C$38,RESULTADOS!$F$17)))</f>
        <v>0</v>
      </c>
      <c r="E388" s="4">
        <f ca="1">D388*IF(RESULTADOS!$C$17="Normal",RESULTADOS!$C$16,0)</f>
        <v>0</v>
      </c>
      <c r="F388" s="4">
        <f ca="1">IFERROR(IF(RESULTADOS!$C$17="Normal",D388,C388)*RESULTADOS!$C$18,0)</f>
        <v>0</v>
      </c>
      <c r="G388" s="4">
        <f ca="1">IFERROR(IF(RESULTADOS!$C$17="Normal",0,D388)*IF(RESULTADOS!$C$17="Normal",RESULTADOS!$C$18,RESULTADOS!$C$16),0)</f>
        <v>0</v>
      </c>
      <c r="H388" s="4">
        <f ca="1">IF(RESULTADOS!$C$17="Normal",E388,0)</f>
        <v>0</v>
      </c>
      <c r="I388" s="4">
        <f ca="1">(E388+H388+G388)*PREMISSAS!$C$60</f>
        <v>0</v>
      </c>
      <c r="J388" s="4">
        <f ca="1">D388*IF(RESULTADOS!$C$17="Normal",PREMISSAS!$C$62,0)</f>
        <v>0</v>
      </c>
      <c r="K388" s="116">
        <f ca="1">IFERROR(K387*(1+PREMISSAS!$C$18)+(E388+H388-IF(RESULTADOS!$C$17="Normal",I388,0)-J388)*IF(MONTH(B388)=12,2,1),0)</f>
        <v>0</v>
      </c>
      <c r="L388" s="116">
        <f ca="1">IFERROR((L387+G388-IF(RESULTADOS!$C$17="Normal",0,I388))*(1+PREMISSAS!$C$18)+F388,0)</f>
        <v>0</v>
      </c>
      <c r="N388" s="73">
        <f t="shared" ca="1" si="41"/>
        <v>0</v>
      </c>
      <c r="P388" s="164" t="str">
        <f t="shared" ca="1" si="42"/>
        <v/>
      </c>
      <c r="Q388" s="140" t="str">
        <f ca="1">IF(C388="","",Q387+(E388+H388-IF(RESULTADOS!$C$17="Normal",I388,0)-J388)/2+(F388+G388-IF(RESULTADOS!$C$17="Normal",0,I388)))</f>
        <v/>
      </c>
      <c r="R388" s="140" t="str">
        <f ca="1">IF(C388="","",R387+(E388+H388-IF(RESULTADOS!$C$17="Normal",I388,0)-J388)/2)</f>
        <v/>
      </c>
      <c r="S388" s="140">
        <f t="shared" ca="1" si="44"/>
        <v>0</v>
      </c>
      <c r="U388" s="164" t="str">
        <f t="shared" ca="1" si="45"/>
        <v/>
      </c>
      <c r="V388" s="164" t="str">
        <f t="shared" ca="1" si="43"/>
        <v/>
      </c>
      <c r="W388" s="140">
        <f ca="1">IF(OR((W387-13/12*Z387)*(1+PREMISSAS!$C$16)&lt;0,W387=""),0,(W387-13/12*Z387)*(1+PREMISSAS!$C$16))</f>
        <v>0</v>
      </c>
      <c r="X388" s="140">
        <f ca="1">IF(OR((X387-13/12*AA387)*(1+PREMISSAS!$C$16)&lt;0,X387=""),0,(X387-13/12*AA387)*(1+PREMISSAS!$C$16))</f>
        <v>0</v>
      </c>
      <c r="Y388" s="140">
        <f t="shared" ca="1" si="48"/>
        <v>0</v>
      </c>
      <c r="Z388" s="167">
        <f t="shared" ca="1" si="46"/>
        <v>0</v>
      </c>
      <c r="AA388" s="167">
        <f t="shared" ca="1" si="47"/>
        <v>0</v>
      </c>
    </row>
    <row r="389" spans="2:27" x14ac:dyDescent="0.25">
      <c r="B389" s="21" t="str">
        <f ca="1">IF(B388="","",IF(EOMONTH(B388,1)&gt;EOMONTH(ELEGIBILIDADE!$J$17,0),"",EOMONTH(B388,1)))</f>
        <v/>
      </c>
      <c r="C389" s="22" t="str">
        <f ca="1">IF(B389="","",IF(MONTH(B389)=1,C388*(1+PREMISSAS!$C$57),C388))</f>
        <v/>
      </c>
      <c r="D389" s="22">
        <f ca="1">IF(RESULTADOS!$C$17="Normal",IFERROR(MAX(C389-PREMISSAS!$C$13,0),0),IF(Painel!$I$23=0,0,MAX(10*PREMISSAS!$C$38,RESULTADOS!$F$17)))</f>
        <v>0</v>
      </c>
      <c r="E389" s="4">
        <f ca="1">D389*IF(RESULTADOS!$C$17="Normal",RESULTADOS!$C$16,0)</f>
        <v>0</v>
      </c>
      <c r="F389" s="4">
        <f ca="1">IFERROR(IF(RESULTADOS!$C$17="Normal",D389,C389)*RESULTADOS!$C$18,0)</f>
        <v>0</v>
      </c>
      <c r="G389" s="4">
        <f ca="1">IFERROR(IF(RESULTADOS!$C$17="Normal",0,D389)*IF(RESULTADOS!$C$17="Normal",RESULTADOS!$C$18,RESULTADOS!$C$16),0)</f>
        <v>0</v>
      </c>
      <c r="H389" s="4">
        <f ca="1">IF(RESULTADOS!$C$17="Normal",E389,0)</f>
        <v>0</v>
      </c>
      <c r="I389" s="4">
        <f ca="1">(E389+H389+G389)*PREMISSAS!$C$60</f>
        <v>0</v>
      </c>
      <c r="J389" s="4">
        <f ca="1">D389*IF(RESULTADOS!$C$17="Normal",PREMISSAS!$C$62,0)</f>
        <v>0</v>
      </c>
      <c r="K389" s="116">
        <f ca="1">IFERROR(K388*(1+PREMISSAS!$C$18)+(E389+H389-IF(RESULTADOS!$C$17="Normal",I389,0)-J389)*IF(MONTH(B389)=12,2,1),0)</f>
        <v>0</v>
      </c>
      <c r="L389" s="116">
        <f ca="1">IFERROR((L388+G389-IF(RESULTADOS!$C$17="Normal",0,I389))*(1+PREMISSAS!$C$18)+F389,0)</f>
        <v>0</v>
      </c>
      <c r="N389" s="73">
        <f t="shared" ca="1" si="41"/>
        <v>0</v>
      </c>
      <c r="P389" s="164" t="str">
        <f t="shared" ca="1" si="42"/>
        <v/>
      </c>
      <c r="Q389" s="140" t="str">
        <f ca="1">IF(C389="","",Q388+(E389+H389-IF(RESULTADOS!$C$17="Normal",I389,0)-J389)/2+(F389+G389-IF(RESULTADOS!$C$17="Normal",0,I389)))</f>
        <v/>
      </c>
      <c r="R389" s="140" t="str">
        <f ca="1">IF(C389="","",R388+(E389+H389-IF(RESULTADOS!$C$17="Normal",I389,0)-J389)/2)</f>
        <v/>
      </c>
      <c r="S389" s="140">
        <f t="shared" ca="1" si="44"/>
        <v>0</v>
      </c>
      <c r="U389" s="164" t="str">
        <f t="shared" ca="1" si="45"/>
        <v/>
      </c>
      <c r="V389" s="164" t="str">
        <f t="shared" ca="1" si="43"/>
        <v/>
      </c>
      <c r="W389" s="140">
        <f ca="1">IF(OR((W388-13/12*Z388)*(1+PREMISSAS!$C$16)&lt;0,W388=""),0,(W388-13/12*Z388)*(1+PREMISSAS!$C$16))</f>
        <v>0</v>
      </c>
      <c r="X389" s="140">
        <f ca="1">IF(OR((X388-13/12*AA388)*(1+PREMISSAS!$C$16)&lt;0,X388=""),0,(X388-13/12*AA388)*(1+PREMISSAS!$C$16))</f>
        <v>0</v>
      </c>
      <c r="Y389" s="140">
        <f t="shared" ca="1" si="48"/>
        <v>0</v>
      </c>
      <c r="Z389" s="167">
        <f t="shared" ca="1" si="46"/>
        <v>0</v>
      </c>
      <c r="AA389" s="167">
        <f t="shared" ca="1" si="47"/>
        <v>0</v>
      </c>
    </row>
    <row r="390" spans="2:27" x14ac:dyDescent="0.25">
      <c r="B390" s="21" t="str">
        <f ca="1">IF(B389="","",IF(EOMONTH(B389,1)&gt;EOMONTH(ELEGIBILIDADE!$J$17,0),"",EOMONTH(B389,1)))</f>
        <v/>
      </c>
      <c r="C390" s="22" t="str">
        <f ca="1">IF(B390="","",IF(MONTH(B390)=1,C389*(1+PREMISSAS!$C$57),C389))</f>
        <v/>
      </c>
      <c r="D390" s="22">
        <f ca="1">IF(RESULTADOS!$C$17="Normal",IFERROR(MAX(C390-PREMISSAS!$C$13,0),0),IF(Painel!$I$23=0,0,MAX(10*PREMISSAS!$C$38,RESULTADOS!$F$17)))</f>
        <v>0</v>
      </c>
      <c r="E390" s="4">
        <f ca="1">D390*IF(RESULTADOS!$C$17="Normal",RESULTADOS!$C$16,0)</f>
        <v>0</v>
      </c>
      <c r="F390" s="4">
        <f ca="1">IFERROR(IF(RESULTADOS!$C$17="Normal",D390,C390)*RESULTADOS!$C$18,0)</f>
        <v>0</v>
      </c>
      <c r="G390" s="4">
        <f ca="1">IFERROR(IF(RESULTADOS!$C$17="Normal",0,D390)*IF(RESULTADOS!$C$17="Normal",RESULTADOS!$C$18,RESULTADOS!$C$16),0)</f>
        <v>0</v>
      </c>
      <c r="H390" s="4">
        <f ca="1">IF(RESULTADOS!$C$17="Normal",E390,0)</f>
        <v>0</v>
      </c>
      <c r="I390" s="4">
        <f ca="1">(E390+H390+G390)*PREMISSAS!$C$60</f>
        <v>0</v>
      </c>
      <c r="J390" s="4">
        <f ca="1">D390*IF(RESULTADOS!$C$17="Normal",PREMISSAS!$C$62,0)</f>
        <v>0</v>
      </c>
      <c r="K390" s="116">
        <f ca="1">IFERROR(K389*(1+PREMISSAS!$C$18)+(E390+H390-IF(RESULTADOS!$C$17="Normal",I390,0)-J390)*IF(MONTH(B390)=12,2,1),0)</f>
        <v>0</v>
      </c>
      <c r="L390" s="116">
        <f ca="1">IFERROR((L389+G390-IF(RESULTADOS!$C$17="Normal",0,I390))*(1+PREMISSAS!$C$18)+F390,0)</f>
        <v>0</v>
      </c>
      <c r="N390" s="73">
        <f t="shared" ref="N390:N453" ca="1" si="49">IFERROR((E390+F390+G390)/C390,0)</f>
        <v>0</v>
      </c>
      <c r="P390" s="164" t="str">
        <f t="shared" ref="P390:P453" ca="1" si="50">IF(C390="","",B390)</f>
        <v/>
      </c>
      <c r="Q390" s="140" t="str">
        <f ca="1">IF(C390="","",Q389+(E390+H390-IF(RESULTADOS!$C$17="Normal",I390,0)-J390)/2+(F390+G390-IF(RESULTADOS!$C$17="Normal",0,I390)))</f>
        <v/>
      </c>
      <c r="R390" s="140" t="str">
        <f ca="1">IF(C390="","",R389+(E390+H390-IF(RESULTADOS!$C$17="Normal",I390,0)-J390)/2)</f>
        <v/>
      </c>
      <c r="S390" s="140">
        <f t="shared" ca="1" si="44"/>
        <v>0</v>
      </c>
      <c r="U390" s="164" t="str">
        <f t="shared" ca="1" si="45"/>
        <v/>
      </c>
      <c r="V390" s="164" t="str">
        <f t="shared" ref="V390:V453" ca="1" si="51">IF(AA390&lt;&gt;"",U390,"")</f>
        <v/>
      </c>
      <c r="W390" s="140">
        <f ca="1">IF(OR((W389-13/12*Z389)*(1+PREMISSAS!$C$16)&lt;0,W389=""),0,(W389-13/12*Z389)*(1+PREMISSAS!$C$16))</f>
        <v>0</v>
      </c>
      <c r="X390" s="140">
        <f ca="1">IF(OR((X389-13/12*AA389)*(1+PREMISSAS!$C$16)&lt;0,X389=""),0,(X389-13/12*AA389)*(1+PREMISSAS!$C$16))</f>
        <v>0</v>
      </c>
      <c r="Y390" s="140">
        <f t="shared" ca="1" si="48"/>
        <v>0</v>
      </c>
      <c r="Z390" s="167">
        <f t="shared" ca="1" si="46"/>
        <v>0</v>
      </c>
      <c r="AA390" s="167">
        <f t="shared" ca="1" si="47"/>
        <v>0</v>
      </c>
    </row>
    <row r="391" spans="2:27" x14ac:dyDescent="0.25">
      <c r="B391" s="21" t="str">
        <f ca="1">IF(B390="","",IF(EOMONTH(B390,1)&gt;EOMONTH(ELEGIBILIDADE!$J$17,0),"",EOMONTH(B390,1)))</f>
        <v/>
      </c>
      <c r="C391" s="22" t="str">
        <f ca="1">IF(B391="","",IF(MONTH(B391)=1,C390*(1+PREMISSAS!$C$57),C390))</f>
        <v/>
      </c>
      <c r="D391" s="22">
        <f ca="1">IF(RESULTADOS!$C$17="Normal",IFERROR(MAX(C391-PREMISSAS!$C$13,0),0),IF(Painel!$I$23=0,0,MAX(10*PREMISSAS!$C$38,RESULTADOS!$F$17)))</f>
        <v>0</v>
      </c>
      <c r="E391" s="4">
        <f ca="1">D391*IF(RESULTADOS!$C$17="Normal",RESULTADOS!$C$16,0)</f>
        <v>0</v>
      </c>
      <c r="F391" s="4">
        <f ca="1">IFERROR(IF(RESULTADOS!$C$17="Normal",D391,C391)*RESULTADOS!$C$18,0)</f>
        <v>0</v>
      </c>
      <c r="G391" s="4">
        <f ca="1">IFERROR(IF(RESULTADOS!$C$17="Normal",0,D391)*IF(RESULTADOS!$C$17="Normal",RESULTADOS!$C$18,RESULTADOS!$C$16),0)</f>
        <v>0</v>
      </c>
      <c r="H391" s="4">
        <f ca="1">IF(RESULTADOS!$C$17="Normal",E391,0)</f>
        <v>0</v>
      </c>
      <c r="I391" s="4">
        <f ca="1">(E391+H391+G391)*PREMISSAS!$C$60</f>
        <v>0</v>
      </c>
      <c r="J391" s="4">
        <f ca="1">D391*IF(RESULTADOS!$C$17="Normal",PREMISSAS!$C$62,0)</f>
        <v>0</v>
      </c>
      <c r="K391" s="116">
        <f ca="1">IFERROR(K390*(1+PREMISSAS!$C$18)+(E391+H391-IF(RESULTADOS!$C$17="Normal",I391,0)-J391)*IF(MONTH(B391)=12,2,1),0)</f>
        <v>0</v>
      </c>
      <c r="L391" s="116">
        <f ca="1">IFERROR((L390+G391-IF(RESULTADOS!$C$17="Normal",0,I391))*(1+PREMISSAS!$C$18)+F391,0)</f>
        <v>0</v>
      </c>
      <c r="N391" s="73">
        <f t="shared" ca="1" si="49"/>
        <v>0</v>
      </c>
      <c r="P391" s="164" t="str">
        <f t="shared" ca="1" si="50"/>
        <v/>
      </c>
      <c r="Q391" s="140" t="str">
        <f ca="1">IF(C391="","",Q390+(E391+H391-IF(RESULTADOS!$C$17="Normal",I391,0)-J391)/2+(F391+G391-IF(RESULTADOS!$C$17="Normal",0,I391)))</f>
        <v/>
      </c>
      <c r="R391" s="140" t="str">
        <f ca="1">IF(C391="","",R390+(E391+H391-IF(RESULTADOS!$C$17="Normal",I391,0)-J391)/2)</f>
        <v/>
      </c>
      <c r="S391" s="140">
        <f t="shared" ref="S391:S454" ca="1" si="52">SUM(K391:L391)-SUM(Q391:R391)</f>
        <v>0</v>
      </c>
      <c r="U391" s="164" t="str">
        <f t="shared" ref="U391:U454" ca="1" si="53">IF(Y391=0,"",EOMONTH(U390,1))</f>
        <v/>
      </c>
      <c r="V391" s="164" t="str">
        <f t="shared" ca="1" si="51"/>
        <v/>
      </c>
      <c r="W391" s="140">
        <f ca="1">IF(OR((W390-13/12*Z390)*(1+PREMISSAS!$C$16)&lt;0,W390=""),0,(W390-13/12*Z390)*(1+PREMISSAS!$C$16))</f>
        <v>0</v>
      </c>
      <c r="X391" s="140">
        <f ca="1">IF(OR((X390-13/12*AA390)*(1+PREMISSAS!$C$16)&lt;0,X390=""),0,(X390-13/12*AA390)*(1+PREMISSAS!$C$16))</f>
        <v>0</v>
      </c>
      <c r="Y391" s="140">
        <f t="shared" ca="1" si="48"/>
        <v>0</v>
      </c>
      <c r="Z391" s="167">
        <f t="shared" ref="Z391:Z454" ca="1" si="54">IF(W391&lt;&gt;0,Z390,0)</f>
        <v>0</v>
      </c>
      <c r="AA391" s="167">
        <f t="shared" ref="AA391:AA454" ca="1" si="55">IF(X391&lt;&gt;0,AA390,0)</f>
        <v>0</v>
      </c>
    </row>
    <row r="392" spans="2:27" x14ac:dyDescent="0.25">
      <c r="B392" s="21" t="str">
        <f ca="1">IF(B391="","",IF(EOMONTH(B391,1)&gt;EOMONTH(ELEGIBILIDADE!$J$17,0),"",EOMONTH(B391,1)))</f>
        <v/>
      </c>
      <c r="C392" s="22" t="str">
        <f ca="1">IF(B392="","",IF(MONTH(B392)=1,C391*(1+PREMISSAS!$C$57),C391))</f>
        <v/>
      </c>
      <c r="D392" s="22">
        <f ca="1">IF(RESULTADOS!$C$17="Normal",IFERROR(MAX(C392-PREMISSAS!$C$13,0),0),IF(Painel!$I$23=0,0,MAX(10*PREMISSAS!$C$38,RESULTADOS!$F$17)))</f>
        <v>0</v>
      </c>
      <c r="E392" s="4">
        <f ca="1">D392*IF(RESULTADOS!$C$17="Normal",RESULTADOS!$C$16,0)</f>
        <v>0</v>
      </c>
      <c r="F392" s="4">
        <f ca="1">IFERROR(IF(RESULTADOS!$C$17="Normal",D392,C392)*RESULTADOS!$C$18,0)</f>
        <v>0</v>
      </c>
      <c r="G392" s="4">
        <f ca="1">IFERROR(IF(RESULTADOS!$C$17="Normal",0,D392)*IF(RESULTADOS!$C$17="Normal",RESULTADOS!$C$18,RESULTADOS!$C$16),0)</f>
        <v>0</v>
      </c>
      <c r="H392" s="4">
        <f ca="1">IF(RESULTADOS!$C$17="Normal",E392,0)</f>
        <v>0</v>
      </c>
      <c r="I392" s="4">
        <f ca="1">(E392+H392+G392)*PREMISSAS!$C$60</f>
        <v>0</v>
      </c>
      <c r="J392" s="4">
        <f ca="1">D392*IF(RESULTADOS!$C$17="Normal",PREMISSAS!$C$62,0)</f>
        <v>0</v>
      </c>
      <c r="K392" s="116">
        <f ca="1">IFERROR(K391*(1+PREMISSAS!$C$18)+(E392+H392-IF(RESULTADOS!$C$17="Normal",I392,0)-J392)*IF(MONTH(B392)=12,2,1),0)</f>
        <v>0</v>
      </c>
      <c r="L392" s="116">
        <f ca="1">IFERROR((L391+G392-IF(RESULTADOS!$C$17="Normal",0,I392))*(1+PREMISSAS!$C$18)+F392,0)</f>
        <v>0</v>
      </c>
      <c r="N392" s="73">
        <f t="shared" ca="1" si="49"/>
        <v>0</v>
      </c>
      <c r="P392" s="164" t="str">
        <f t="shared" ca="1" si="50"/>
        <v/>
      </c>
      <c r="Q392" s="140" t="str">
        <f ca="1">IF(C392="","",Q391+(E392+H392-IF(RESULTADOS!$C$17="Normal",I392,0)-J392)/2+(F392+G392-IF(RESULTADOS!$C$17="Normal",0,I392)))</f>
        <v/>
      </c>
      <c r="R392" s="140" t="str">
        <f ca="1">IF(C392="","",R391+(E392+H392-IF(RESULTADOS!$C$17="Normal",I392,0)-J392)/2)</f>
        <v/>
      </c>
      <c r="S392" s="140">
        <f t="shared" ca="1" si="52"/>
        <v>0</v>
      </c>
      <c r="U392" s="164" t="str">
        <f t="shared" ca="1" si="53"/>
        <v/>
      </c>
      <c r="V392" s="164" t="str">
        <f t="shared" ca="1" si="51"/>
        <v/>
      </c>
      <c r="W392" s="140">
        <f ca="1">IF(OR((W391-13/12*Z391)*(1+PREMISSAS!$C$16)&lt;0,W391=""),0,(W391-13/12*Z391)*(1+PREMISSAS!$C$16))</f>
        <v>0</v>
      </c>
      <c r="X392" s="140">
        <f ca="1">IF(OR((X391-13/12*AA391)*(1+PREMISSAS!$C$16)&lt;0,X391=""),0,(X391-13/12*AA391)*(1+PREMISSAS!$C$16))</f>
        <v>0</v>
      </c>
      <c r="Y392" s="140">
        <f t="shared" ca="1" si="48"/>
        <v>0</v>
      </c>
      <c r="Z392" s="167">
        <f t="shared" ca="1" si="54"/>
        <v>0</v>
      </c>
      <c r="AA392" s="167">
        <f t="shared" ca="1" si="55"/>
        <v>0</v>
      </c>
    </row>
    <row r="393" spans="2:27" x14ac:dyDescent="0.25">
      <c r="B393" s="21" t="str">
        <f ca="1">IF(B392="","",IF(EOMONTH(B392,1)&gt;EOMONTH(ELEGIBILIDADE!$J$17,0),"",EOMONTH(B392,1)))</f>
        <v/>
      </c>
      <c r="C393" s="22" t="str">
        <f ca="1">IF(B393="","",IF(MONTH(B393)=1,C392*(1+PREMISSAS!$C$57),C392))</f>
        <v/>
      </c>
      <c r="D393" s="22">
        <f ca="1">IF(RESULTADOS!$C$17="Normal",IFERROR(MAX(C393-PREMISSAS!$C$13,0),0),IF(Painel!$I$23=0,0,MAX(10*PREMISSAS!$C$38,RESULTADOS!$F$17)))</f>
        <v>0</v>
      </c>
      <c r="E393" s="4">
        <f ca="1">D393*IF(RESULTADOS!$C$17="Normal",RESULTADOS!$C$16,0)</f>
        <v>0</v>
      </c>
      <c r="F393" s="4">
        <f ca="1">IFERROR(IF(RESULTADOS!$C$17="Normal",D393,C393)*RESULTADOS!$C$18,0)</f>
        <v>0</v>
      </c>
      <c r="G393" s="4">
        <f ca="1">IFERROR(IF(RESULTADOS!$C$17="Normal",0,D393)*IF(RESULTADOS!$C$17="Normal",RESULTADOS!$C$18,RESULTADOS!$C$16),0)</f>
        <v>0</v>
      </c>
      <c r="H393" s="4">
        <f ca="1">IF(RESULTADOS!$C$17="Normal",E393,0)</f>
        <v>0</v>
      </c>
      <c r="I393" s="4">
        <f ca="1">(E393+H393+G393)*PREMISSAS!$C$60</f>
        <v>0</v>
      </c>
      <c r="J393" s="4">
        <f ca="1">D393*IF(RESULTADOS!$C$17="Normal",PREMISSAS!$C$62,0)</f>
        <v>0</v>
      </c>
      <c r="K393" s="116">
        <f ca="1">IFERROR(K392*(1+PREMISSAS!$C$18)+(E393+H393-IF(RESULTADOS!$C$17="Normal",I393,0)-J393)*IF(MONTH(B393)=12,2,1),0)</f>
        <v>0</v>
      </c>
      <c r="L393" s="116">
        <f ca="1">IFERROR((L392+G393-IF(RESULTADOS!$C$17="Normal",0,I393))*(1+PREMISSAS!$C$18)+F393,0)</f>
        <v>0</v>
      </c>
      <c r="N393" s="73">
        <f t="shared" ca="1" si="49"/>
        <v>0</v>
      </c>
      <c r="P393" s="164" t="str">
        <f t="shared" ca="1" si="50"/>
        <v/>
      </c>
      <c r="Q393" s="140" t="str">
        <f ca="1">IF(C393="","",Q392+(E393+H393-IF(RESULTADOS!$C$17="Normal",I393,0)-J393)/2+(F393+G393-IF(RESULTADOS!$C$17="Normal",0,I393)))</f>
        <v/>
      </c>
      <c r="R393" s="140" t="str">
        <f ca="1">IF(C393="","",R392+(E393+H393-IF(RESULTADOS!$C$17="Normal",I393,0)-J393)/2)</f>
        <v/>
      </c>
      <c r="S393" s="140">
        <f t="shared" ca="1" si="52"/>
        <v>0</v>
      </c>
      <c r="U393" s="164" t="str">
        <f t="shared" ca="1" si="53"/>
        <v/>
      </c>
      <c r="V393" s="164" t="str">
        <f t="shared" ca="1" si="51"/>
        <v/>
      </c>
      <c r="W393" s="140">
        <f ca="1">IF(OR((W392-13/12*Z392)*(1+PREMISSAS!$C$16)&lt;0,W392=""),0,(W392-13/12*Z392)*(1+PREMISSAS!$C$16))</f>
        <v>0</v>
      </c>
      <c r="X393" s="140">
        <f ca="1">IF(OR((X392-13/12*AA392)*(1+PREMISSAS!$C$16)&lt;0,X392=""),0,(X392-13/12*AA392)*(1+PREMISSAS!$C$16))</f>
        <v>0</v>
      </c>
      <c r="Y393" s="140">
        <f t="shared" ca="1" si="48"/>
        <v>0</v>
      </c>
      <c r="Z393" s="167">
        <f t="shared" ca="1" si="54"/>
        <v>0</v>
      </c>
      <c r="AA393" s="167">
        <f t="shared" ca="1" si="55"/>
        <v>0</v>
      </c>
    </row>
    <row r="394" spans="2:27" x14ac:dyDescent="0.25">
      <c r="B394" s="21" t="str">
        <f ca="1">IF(B393="","",IF(EOMONTH(B393,1)&gt;EOMONTH(ELEGIBILIDADE!$J$17,0),"",EOMONTH(B393,1)))</f>
        <v/>
      </c>
      <c r="C394" s="22" t="str">
        <f ca="1">IF(B394="","",IF(MONTH(B394)=1,C393*(1+PREMISSAS!$C$57),C393))</f>
        <v/>
      </c>
      <c r="D394" s="22">
        <f ca="1">IF(RESULTADOS!$C$17="Normal",IFERROR(MAX(C394-PREMISSAS!$C$13,0),0),IF(Painel!$I$23=0,0,MAX(10*PREMISSAS!$C$38,RESULTADOS!$F$17)))</f>
        <v>0</v>
      </c>
      <c r="E394" s="4">
        <f ca="1">D394*IF(RESULTADOS!$C$17="Normal",RESULTADOS!$C$16,0)</f>
        <v>0</v>
      </c>
      <c r="F394" s="4">
        <f ca="1">IFERROR(IF(RESULTADOS!$C$17="Normal",D394,C394)*RESULTADOS!$C$18,0)</f>
        <v>0</v>
      </c>
      <c r="G394" s="4">
        <f ca="1">IFERROR(IF(RESULTADOS!$C$17="Normal",0,D394)*IF(RESULTADOS!$C$17="Normal",RESULTADOS!$C$18,RESULTADOS!$C$16),0)</f>
        <v>0</v>
      </c>
      <c r="H394" s="4">
        <f ca="1">IF(RESULTADOS!$C$17="Normal",E394,0)</f>
        <v>0</v>
      </c>
      <c r="I394" s="4">
        <f ca="1">(E394+H394+G394)*PREMISSAS!$C$60</f>
        <v>0</v>
      </c>
      <c r="J394" s="4">
        <f ca="1">D394*IF(RESULTADOS!$C$17="Normal",PREMISSAS!$C$62,0)</f>
        <v>0</v>
      </c>
      <c r="K394" s="116">
        <f ca="1">IFERROR(K393*(1+PREMISSAS!$C$18)+(E394+H394-IF(RESULTADOS!$C$17="Normal",I394,0)-J394)*IF(MONTH(B394)=12,2,1),0)</f>
        <v>0</v>
      </c>
      <c r="L394" s="116">
        <f ca="1">IFERROR((L393+G394-IF(RESULTADOS!$C$17="Normal",0,I394))*(1+PREMISSAS!$C$18)+F394,0)</f>
        <v>0</v>
      </c>
      <c r="N394" s="73">
        <f t="shared" ca="1" si="49"/>
        <v>0</v>
      </c>
      <c r="P394" s="164" t="str">
        <f t="shared" ca="1" si="50"/>
        <v/>
      </c>
      <c r="Q394" s="140" t="str">
        <f ca="1">IF(C394="","",Q393+(E394+H394-IF(RESULTADOS!$C$17="Normal",I394,0)-J394)/2+(F394+G394-IF(RESULTADOS!$C$17="Normal",0,I394)))</f>
        <v/>
      </c>
      <c r="R394" s="140" t="str">
        <f ca="1">IF(C394="","",R393+(E394+H394-IF(RESULTADOS!$C$17="Normal",I394,0)-J394)/2)</f>
        <v/>
      </c>
      <c r="S394" s="140">
        <f t="shared" ca="1" si="52"/>
        <v>0</v>
      </c>
      <c r="U394" s="164" t="str">
        <f t="shared" ca="1" si="53"/>
        <v/>
      </c>
      <c r="V394" s="164" t="str">
        <f t="shared" ca="1" si="51"/>
        <v/>
      </c>
      <c r="W394" s="140">
        <f ca="1">IF(OR((W393-13/12*Z393)*(1+PREMISSAS!$C$16)&lt;0,W393=""),0,(W393-13/12*Z393)*(1+PREMISSAS!$C$16))</f>
        <v>0</v>
      </c>
      <c r="X394" s="140">
        <f ca="1">IF(OR((X393-13/12*AA393)*(1+PREMISSAS!$C$16)&lt;0,X393=""),0,(X393-13/12*AA393)*(1+PREMISSAS!$C$16))</f>
        <v>0</v>
      </c>
      <c r="Y394" s="140">
        <f t="shared" ca="1" si="48"/>
        <v>0</v>
      </c>
      <c r="Z394" s="167">
        <f t="shared" ca="1" si="54"/>
        <v>0</v>
      </c>
      <c r="AA394" s="167">
        <f t="shared" ca="1" si="55"/>
        <v>0</v>
      </c>
    </row>
    <row r="395" spans="2:27" x14ac:dyDescent="0.25">
      <c r="B395" s="21" t="str">
        <f ca="1">IF(B394="","",IF(EOMONTH(B394,1)&gt;EOMONTH(ELEGIBILIDADE!$J$17,0),"",EOMONTH(B394,1)))</f>
        <v/>
      </c>
      <c r="C395" s="22" t="str">
        <f ca="1">IF(B395="","",IF(MONTH(B395)=1,C394*(1+PREMISSAS!$C$57),C394))</f>
        <v/>
      </c>
      <c r="D395" s="22">
        <f ca="1">IF(RESULTADOS!$C$17="Normal",IFERROR(MAX(C395-PREMISSAS!$C$13,0),0),IF(Painel!$I$23=0,0,MAX(10*PREMISSAS!$C$38,RESULTADOS!$F$17)))</f>
        <v>0</v>
      </c>
      <c r="E395" s="4">
        <f ca="1">D395*IF(RESULTADOS!$C$17="Normal",RESULTADOS!$C$16,0)</f>
        <v>0</v>
      </c>
      <c r="F395" s="4">
        <f ca="1">IFERROR(IF(RESULTADOS!$C$17="Normal",D395,C395)*RESULTADOS!$C$18,0)</f>
        <v>0</v>
      </c>
      <c r="G395" s="4">
        <f ca="1">IFERROR(IF(RESULTADOS!$C$17="Normal",0,D395)*IF(RESULTADOS!$C$17="Normal",RESULTADOS!$C$18,RESULTADOS!$C$16),0)</f>
        <v>0</v>
      </c>
      <c r="H395" s="4">
        <f ca="1">IF(RESULTADOS!$C$17="Normal",E395,0)</f>
        <v>0</v>
      </c>
      <c r="I395" s="4">
        <f ca="1">(E395+H395+G395)*PREMISSAS!$C$60</f>
        <v>0</v>
      </c>
      <c r="J395" s="4">
        <f ca="1">D395*IF(RESULTADOS!$C$17="Normal",PREMISSAS!$C$62,0)</f>
        <v>0</v>
      </c>
      <c r="K395" s="116">
        <f ca="1">IFERROR(K394*(1+PREMISSAS!$C$18)+(E395+H395-IF(RESULTADOS!$C$17="Normal",I395,0)-J395)*IF(MONTH(B395)=12,2,1),0)</f>
        <v>0</v>
      </c>
      <c r="L395" s="116">
        <f ca="1">IFERROR((L394+G395-IF(RESULTADOS!$C$17="Normal",0,I395))*(1+PREMISSAS!$C$18)+F395,0)</f>
        <v>0</v>
      </c>
      <c r="N395" s="73">
        <f t="shared" ca="1" si="49"/>
        <v>0</v>
      </c>
      <c r="P395" s="164" t="str">
        <f t="shared" ca="1" si="50"/>
        <v/>
      </c>
      <c r="Q395" s="140" t="str">
        <f ca="1">IF(C395="","",Q394+(E395+H395-IF(RESULTADOS!$C$17="Normal",I395,0)-J395)/2+(F395+G395-IF(RESULTADOS!$C$17="Normal",0,I395)))</f>
        <v/>
      </c>
      <c r="R395" s="140" t="str">
        <f ca="1">IF(C395="","",R394+(E395+H395-IF(RESULTADOS!$C$17="Normal",I395,0)-J395)/2)</f>
        <v/>
      </c>
      <c r="S395" s="140">
        <f t="shared" ca="1" si="52"/>
        <v>0</v>
      </c>
      <c r="U395" s="164" t="str">
        <f t="shared" ca="1" si="53"/>
        <v/>
      </c>
      <c r="V395" s="164" t="str">
        <f t="shared" ca="1" si="51"/>
        <v/>
      </c>
      <c r="W395" s="140">
        <f ca="1">IF(OR((W394-13/12*Z394)*(1+PREMISSAS!$C$16)&lt;0,W394=""),0,(W394-13/12*Z394)*(1+PREMISSAS!$C$16))</f>
        <v>0</v>
      </c>
      <c r="X395" s="140">
        <f ca="1">IF(OR((X394-13/12*AA394)*(1+PREMISSAS!$C$16)&lt;0,X394=""),0,(X394-13/12*AA394)*(1+PREMISSAS!$C$16))</f>
        <v>0</v>
      </c>
      <c r="Y395" s="140">
        <f t="shared" ca="1" si="48"/>
        <v>0</v>
      </c>
      <c r="Z395" s="167">
        <f t="shared" ca="1" si="54"/>
        <v>0</v>
      </c>
      <c r="AA395" s="167">
        <f t="shared" ca="1" si="55"/>
        <v>0</v>
      </c>
    </row>
    <row r="396" spans="2:27" x14ac:dyDescent="0.25">
      <c r="B396" s="21" t="str">
        <f ca="1">IF(B395="","",IF(EOMONTH(B395,1)&gt;EOMONTH(ELEGIBILIDADE!$J$17,0),"",EOMONTH(B395,1)))</f>
        <v/>
      </c>
      <c r="C396" s="22" t="str">
        <f ca="1">IF(B396="","",IF(MONTH(B396)=1,C395*(1+PREMISSAS!$C$57),C395))</f>
        <v/>
      </c>
      <c r="D396" s="22">
        <f ca="1">IF(RESULTADOS!$C$17="Normal",IFERROR(MAX(C396-PREMISSAS!$C$13,0),0),IF(Painel!$I$23=0,0,MAX(10*PREMISSAS!$C$38,RESULTADOS!$F$17)))</f>
        <v>0</v>
      </c>
      <c r="E396" s="4">
        <f ca="1">D396*IF(RESULTADOS!$C$17="Normal",RESULTADOS!$C$16,0)</f>
        <v>0</v>
      </c>
      <c r="F396" s="4">
        <f ca="1">IFERROR(IF(RESULTADOS!$C$17="Normal",D396,C396)*RESULTADOS!$C$18,0)</f>
        <v>0</v>
      </c>
      <c r="G396" s="4">
        <f ca="1">IFERROR(IF(RESULTADOS!$C$17="Normal",0,D396)*IF(RESULTADOS!$C$17="Normal",RESULTADOS!$C$18,RESULTADOS!$C$16),0)</f>
        <v>0</v>
      </c>
      <c r="H396" s="4">
        <f ca="1">IF(RESULTADOS!$C$17="Normal",E396,0)</f>
        <v>0</v>
      </c>
      <c r="I396" s="4">
        <f ca="1">(E396+H396+G396)*PREMISSAS!$C$60</f>
        <v>0</v>
      </c>
      <c r="J396" s="4">
        <f ca="1">D396*IF(RESULTADOS!$C$17="Normal",PREMISSAS!$C$62,0)</f>
        <v>0</v>
      </c>
      <c r="K396" s="116">
        <f ca="1">IFERROR(K395*(1+PREMISSAS!$C$18)+(E396+H396-IF(RESULTADOS!$C$17="Normal",I396,0)-J396)*IF(MONTH(B396)=12,2,1),0)</f>
        <v>0</v>
      </c>
      <c r="L396" s="116">
        <f ca="1">IFERROR((L395+G396-IF(RESULTADOS!$C$17="Normal",0,I396))*(1+PREMISSAS!$C$18)+F396,0)</f>
        <v>0</v>
      </c>
      <c r="N396" s="73">
        <f t="shared" ca="1" si="49"/>
        <v>0</v>
      </c>
      <c r="P396" s="164" t="str">
        <f t="shared" ca="1" si="50"/>
        <v/>
      </c>
      <c r="Q396" s="140" t="str">
        <f ca="1">IF(C396="","",Q395+(E396+H396-IF(RESULTADOS!$C$17="Normal",I396,0)-J396)/2+(F396+G396-IF(RESULTADOS!$C$17="Normal",0,I396)))</f>
        <v/>
      </c>
      <c r="R396" s="140" t="str">
        <f ca="1">IF(C396="","",R395+(E396+H396-IF(RESULTADOS!$C$17="Normal",I396,0)-J396)/2)</f>
        <v/>
      </c>
      <c r="S396" s="140">
        <f t="shared" ca="1" si="52"/>
        <v>0</v>
      </c>
      <c r="U396" s="164" t="str">
        <f t="shared" ca="1" si="53"/>
        <v/>
      </c>
      <c r="V396" s="164" t="str">
        <f t="shared" ca="1" si="51"/>
        <v/>
      </c>
      <c r="W396" s="140">
        <f ca="1">IF(OR((W395-13/12*Z395)*(1+PREMISSAS!$C$16)&lt;0,W395=""),0,(W395-13/12*Z395)*(1+PREMISSAS!$C$16))</f>
        <v>0</v>
      </c>
      <c r="X396" s="140">
        <f ca="1">IF(OR((X395-13/12*AA395)*(1+PREMISSAS!$C$16)&lt;0,X395=""),0,(X395-13/12*AA395)*(1+PREMISSAS!$C$16))</f>
        <v>0</v>
      </c>
      <c r="Y396" s="140">
        <f t="shared" ca="1" si="48"/>
        <v>0</v>
      </c>
      <c r="Z396" s="167">
        <f t="shared" ca="1" si="54"/>
        <v>0</v>
      </c>
      <c r="AA396" s="167">
        <f t="shared" ca="1" si="55"/>
        <v>0</v>
      </c>
    </row>
    <row r="397" spans="2:27" x14ac:dyDescent="0.25">
      <c r="B397" s="21" t="str">
        <f ca="1">IF(B396="","",IF(EOMONTH(B396,1)&gt;EOMONTH(ELEGIBILIDADE!$J$17,0),"",EOMONTH(B396,1)))</f>
        <v/>
      </c>
      <c r="C397" s="22" t="str">
        <f ca="1">IF(B397="","",IF(MONTH(B397)=1,C396*(1+PREMISSAS!$C$57),C396))</f>
        <v/>
      </c>
      <c r="D397" s="22">
        <f ca="1">IF(RESULTADOS!$C$17="Normal",IFERROR(MAX(C397-PREMISSAS!$C$13,0),0),IF(Painel!$I$23=0,0,MAX(10*PREMISSAS!$C$38,RESULTADOS!$F$17)))</f>
        <v>0</v>
      </c>
      <c r="E397" s="4">
        <f ca="1">D397*IF(RESULTADOS!$C$17="Normal",RESULTADOS!$C$16,0)</f>
        <v>0</v>
      </c>
      <c r="F397" s="4">
        <f ca="1">IFERROR(IF(RESULTADOS!$C$17="Normal",D397,C397)*RESULTADOS!$C$18,0)</f>
        <v>0</v>
      </c>
      <c r="G397" s="4">
        <f ca="1">IFERROR(IF(RESULTADOS!$C$17="Normal",0,D397)*IF(RESULTADOS!$C$17="Normal",RESULTADOS!$C$18,RESULTADOS!$C$16),0)</f>
        <v>0</v>
      </c>
      <c r="H397" s="4">
        <f ca="1">IF(RESULTADOS!$C$17="Normal",E397,0)</f>
        <v>0</v>
      </c>
      <c r="I397" s="4">
        <f ca="1">(E397+H397+G397)*PREMISSAS!$C$60</f>
        <v>0</v>
      </c>
      <c r="J397" s="4">
        <f ca="1">D397*IF(RESULTADOS!$C$17="Normal",PREMISSAS!$C$62,0)</f>
        <v>0</v>
      </c>
      <c r="K397" s="116">
        <f ca="1">IFERROR(K396*(1+PREMISSAS!$C$18)+(E397+H397-IF(RESULTADOS!$C$17="Normal",I397,0)-J397)*IF(MONTH(B397)=12,2,1),0)</f>
        <v>0</v>
      </c>
      <c r="L397" s="116">
        <f ca="1">IFERROR((L396+G397-IF(RESULTADOS!$C$17="Normal",0,I397))*(1+PREMISSAS!$C$18)+F397,0)</f>
        <v>0</v>
      </c>
      <c r="N397" s="73">
        <f t="shared" ca="1" si="49"/>
        <v>0</v>
      </c>
      <c r="P397" s="164" t="str">
        <f t="shared" ca="1" si="50"/>
        <v/>
      </c>
      <c r="Q397" s="140" t="str">
        <f ca="1">IF(C397="","",Q396+(E397+H397-IF(RESULTADOS!$C$17="Normal",I397,0)-J397)/2+(F397+G397-IF(RESULTADOS!$C$17="Normal",0,I397)))</f>
        <v/>
      </c>
      <c r="R397" s="140" t="str">
        <f ca="1">IF(C397="","",R396+(E397+H397-IF(RESULTADOS!$C$17="Normal",I397,0)-J397)/2)</f>
        <v/>
      </c>
      <c r="S397" s="140">
        <f t="shared" ca="1" si="52"/>
        <v>0</v>
      </c>
      <c r="U397" s="164" t="str">
        <f t="shared" ca="1" si="53"/>
        <v/>
      </c>
      <c r="V397" s="164" t="str">
        <f t="shared" ca="1" si="51"/>
        <v/>
      </c>
      <c r="W397" s="140">
        <f ca="1">IF(OR((W396-13/12*Z396)*(1+PREMISSAS!$C$16)&lt;0,W396=""),0,(W396-13/12*Z396)*(1+PREMISSAS!$C$16))</f>
        <v>0</v>
      </c>
      <c r="X397" s="140">
        <f ca="1">IF(OR((X396-13/12*AA396)*(1+PREMISSAS!$C$16)&lt;0,X396=""),0,(X396-13/12*AA396)*(1+PREMISSAS!$C$16))</f>
        <v>0</v>
      </c>
      <c r="Y397" s="140">
        <f t="shared" ca="1" si="48"/>
        <v>0</v>
      </c>
      <c r="Z397" s="167">
        <f t="shared" ca="1" si="54"/>
        <v>0</v>
      </c>
      <c r="AA397" s="167">
        <f t="shared" ca="1" si="55"/>
        <v>0</v>
      </c>
    </row>
    <row r="398" spans="2:27" x14ac:dyDescent="0.25">
      <c r="B398" s="21" t="str">
        <f ca="1">IF(B397="","",IF(EOMONTH(B397,1)&gt;EOMONTH(ELEGIBILIDADE!$J$17,0),"",EOMONTH(B397,1)))</f>
        <v/>
      </c>
      <c r="C398" s="22" t="str">
        <f ca="1">IF(B398="","",IF(MONTH(B398)=1,C397*(1+PREMISSAS!$C$57),C397))</f>
        <v/>
      </c>
      <c r="D398" s="22">
        <f ca="1">IF(RESULTADOS!$C$17="Normal",IFERROR(MAX(C398-PREMISSAS!$C$13,0),0),IF(Painel!$I$23=0,0,MAX(10*PREMISSAS!$C$38,RESULTADOS!$F$17)))</f>
        <v>0</v>
      </c>
      <c r="E398" s="4">
        <f ca="1">D398*IF(RESULTADOS!$C$17="Normal",RESULTADOS!$C$16,0)</f>
        <v>0</v>
      </c>
      <c r="F398" s="4">
        <f ca="1">IFERROR(IF(RESULTADOS!$C$17="Normal",D398,C398)*RESULTADOS!$C$18,0)</f>
        <v>0</v>
      </c>
      <c r="G398" s="4">
        <f ca="1">IFERROR(IF(RESULTADOS!$C$17="Normal",0,D398)*IF(RESULTADOS!$C$17="Normal",RESULTADOS!$C$18,RESULTADOS!$C$16),0)</f>
        <v>0</v>
      </c>
      <c r="H398" s="4">
        <f ca="1">IF(RESULTADOS!$C$17="Normal",E398,0)</f>
        <v>0</v>
      </c>
      <c r="I398" s="4">
        <f ca="1">(E398+H398+G398)*PREMISSAS!$C$60</f>
        <v>0</v>
      </c>
      <c r="J398" s="4">
        <f ca="1">D398*IF(RESULTADOS!$C$17="Normal",PREMISSAS!$C$62,0)</f>
        <v>0</v>
      </c>
      <c r="K398" s="116">
        <f ca="1">IFERROR(K397*(1+PREMISSAS!$C$18)+(E398+H398-IF(RESULTADOS!$C$17="Normal",I398,0)-J398)*IF(MONTH(B398)=12,2,1),0)</f>
        <v>0</v>
      </c>
      <c r="L398" s="116">
        <f ca="1">IFERROR((L397+G398-IF(RESULTADOS!$C$17="Normal",0,I398))*(1+PREMISSAS!$C$18)+F398,0)</f>
        <v>0</v>
      </c>
      <c r="N398" s="73">
        <f t="shared" ca="1" si="49"/>
        <v>0</v>
      </c>
      <c r="P398" s="164" t="str">
        <f t="shared" ca="1" si="50"/>
        <v/>
      </c>
      <c r="Q398" s="140" t="str">
        <f ca="1">IF(C398="","",Q397+(E398+H398-IF(RESULTADOS!$C$17="Normal",I398,0)-J398)/2+(F398+G398-IF(RESULTADOS!$C$17="Normal",0,I398)))</f>
        <v/>
      </c>
      <c r="R398" s="140" t="str">
        <f ca="1">IF(C398="","",R397+(E398+H398-IF(RESULTADOS!$C$17="Normal",I398,0)-J398)/2)</f>
        <v/>
      </c>
      <c r="S398" s="140">
        <f t="shared" ca="1" si="52"/>
        <v>0</v>
      </c>
      <c r="U398" s="164" t="str">
        <f t="shared" ca="1" si="53"/>
        <v/>
      </c>
      <c r="V398" s="164" t="str">
        <f t="shared" ca="1" si="51"/>
        <v/>
      </c>
      <c r="W398" s="140">
        <f ca="1">IF(OR((W397-13/12*Z397)*(1+PREMISSAS!$C$16)&lt;0,W397=""),0,(W397-13/12*Z397)*(1+PREMISSAS!$C$16))</f>
        <v>0</v>
      </c>
      <c r="X398" s="140">
        <f ca="1">IF(OR((X397-13/12*AA397)*(1+PREMISSAS!$C$16)&lt;0,X397=""),0,(X397-13/12*AA397)*(1+PREMISSAS!$C$16))</f>
        <v>0</v>
      </c>
      <c r="Y398" s="140">
        <f t="shared" ca="1" si="48"/>
        <v>0</v>
      </c>
      <c r="Z398" s="167">
        <f t="shared" ca="1" si="54"/>
        <v>0</v>
      </c>
      <c r="AA398" s="167">
        <f t="shared" ca="1" si="55"/>
        <v>0</v>
      </c>
    </row>
    <row r="399" spans="2:27" x14ac:dyDescent="0.25">
      <c r="B399" s="21" t="str">
        <f ca="1">IF(B398="","",IF(EOMONTH(B398,1)&gt;EOMONTH(ELEGIBILIDADE!$J$17,0),"",EOMONTH(B398,1)))</f>
        <v/>
      </c>
      <c r="C399" s="22" t="str">
        <f ca="1">IF(B399="","",IF(MONTH(B399)=1,C398*(1+PREMISSAS!$C$57),C398))</f>
        <v/>
      </c>
      <c r="D399" s="22">
        <f ca="1">IF(RESULTADOS!$C$17="Normal",IFERROR(MAX(C399-PREMISSAS!$C$13,0),0),IF(Painel!$I$23=0,0,MAX(10*PREMISSAS!$C$38,RESULTADOS!$F$17)))</f>
        <v>0</v>
      </c>
      <c r="E399" s="4">
        <f ca="1">D399*IF(RESULTADOS!$C$17="Normal",RESULTADOS!$C$16,0)</f>
        <v>0</v>
      </c>
      <c r="F399" s="4">
        <f ca="1">IFERROR(IF(RESULTADOS!$C$17="Normal",D399,C399)*RESULTADOS!$C$18,0)</f>
        <v>0</v>
      </c>
      <c r="G399" s="4">
        <f ca="1">IFERROR(IF(RESULTADOS!$C$17="Normal",0,D399)*IF(RESULTADOS!$C$17="Normal",RESULTADOS!$C$18,RESULTADOS!$C$16),0)</f>
        <v>0</v>
      </c>
      <c r="H399" s="4">
        <f ca="1">IF(RESULTADOS!$C$17="Normal",E399,0)</f>
        <v>0</v>
      </c>
      <c r="I399" s="4">
        <f ca="1">(E399+H399+G399)*PREMISSAS!$C$60</f>
        <v>0</v>
      </c>
      <c r="J399" s="4">
        <f ca="1">D399*IF(RESULTADOS!$C$17="Normal",PREMISSAS!$C$62,0)</f>
        <v>0</v>
      </c>
      <c r="K399" s="116">
        <f ca="1">IFERROR(K398*(1+PREMISSAS!$C$18)+(E399+H399-IF(RESULTADOS!$C$17="Normal",I399,0)-J399)*IF(MONTH(B399)=12,2,1),0)</f>
        <v>0</v>
      </c>
      <c r="L399" s="116">
        <f ca="1">IFERROR((L398+G399-IF(RESULTADOS!$C$17="Normal",0,I399))*(1+PREMISSAS!$C$18)+F399,0)</f>
        <v>0</v>
      </c>
      <c r="N399" s="73">
        <f t="shared" ca="1" si="49"/>
        <v>0</v>
      </c>
      <c r="P399" s="164" t="str">
        <f t="shared" ca="1" si="50"/>
        <v/>
      </c>
      <c r="Q399" s="140" t="str">
        <f ca="1">IF(C399="","",Q398+(E399+H399-IF(RESULTADOS!$C$17="Normal",I399,0)-J399)/2+(F399+G399-IF(RESULTADOS!$C$17="Normal",0,I399)))</f>
        <v/>
      </c>
      <c r="R399" s="140" t="str">
        <f ca="1">IF(C399="","",R398+(E399+H399-IF(RESULTADOS!$C$17="Normal",I399,0)-J399)/2)</f>
        <v/>
      </c>
      <c r="S399" s="140">
        <f t="shared" ca="1" si="52"/>
        <v>0</v>
      </c>
      <c r="U399" s="164" t="str">
        <f t="shared" ca="1" si="53"/>
        <v/>
      </c>
      <c r="V399" s="164" t="str">
        <f t="shared" ca="1" si="51"/>
        <v/>
      </c>
      <c r="W399" s="140">
        <f ca="1">IF(OR((W398-13/12*Z398)*(1+PREMISSAS!$C$16)&lt;0,W398=""),0,(W398-13/12*Z398)*(1+PREMISSAS!$C$16))</f>
        <v>0</v>
      </c>
      <c r="X399" s="140">
        <f ca="1">IF(OR((X398-13/12*AA398)*(1+PREMISSAS!$C$16)&lt;0,X398=""),0,(X398-13/12*AA398)*(1+PREMISSAS!$C$16))</f>
        <v>0</v>
      </c>
      <c r="Y399" s="140">
        <f t="shared" ca="1" si="48"/>
        <v>0</v>
      </c>
      <c r="Z399" s="167">
        <f t="shared" ca="1" si="54"/>
        <v>0</v>
      </c>
      <c r="AA399" s="167">
        <f t="shared" ca="1" si="55"/>
        <v>0</v>
      </c>
    </row>
    <row r="400" spans="2:27" x14ac:dyDescent="0.25">
      <c r="B400" s="21" t="str">
        <f ca="1">IF(B399="","",IF(EOMONTH(B399,1)&gt;EOMONTH(ELEGIBILIDADE!$J$17,0),"",EOMONTH(B399,1)))</f>
        <v/>
      </c>
      <c r="C400" s="22" t="str">
        <f ca="1">IF(B400="","",IF(MONTH(B400)=1,C399*(1+PREMISSAS!$C$57),C399))</f>
        <v/>
      </c>
      <c r="D400" s="22">
        <f ca="1">IF(RESULTADOS!$C$17="Normal",IFERROR(MAX(C400-PREMISSAS!$C$13,0),0),IF(Painel!$I$23=0,0,MAX(10*PREMISSAS!$C$38,RESULTADOS!$F$17)))</f>
        <v>0</v>
      </c>
      <c r="E400" s="4">
        <f ca="1">D400*IF(RESULTADOS!$C$17="Normal",RESULTADOS!$C$16,0)</f>
        <v>0</v>
      </c>
      <c r="F400" s="4">
        <f ca="1">IFERROR(IF(RESULTADOS!$C$17="Normal",D400,C400)*RESULTADOS!$C$18,0)</f>
        <v>0</v>
      </c>
      <c r="G400" s="4">
        <f ca="1">IFERROR(IF(RESULTADOS!$C$17="Normal",0,D400)*IF(RESULTADOS!$C$17="Normal",RESULTADOS!$C$18,RESULTADOS!$C$16),0)</f>
        <v>0</v>
      </c>
      <c r="H400" s="4">
        <f ca="1">IF(RESULTADOS!$C$17="Normal",E400,0)</f>
        <v>0</v>
      </c>
      <c r="I400" s="4">
        <f ca="1">(E400+H400+G400)*PREMISSAS!$C$60</f>
        <v>0</v>
      </c>
      <c r="J400" s="4">
        <f ca="1">D400*IF(RESULTADOS!$C$17="Normal",PREMISSAS!$C$62,0)</f>
        <v>0</v>
      </c>
      <c r="K400" s="116">
        <f ca="1">IFERROR(K399*(1+PREMISSAS!$C$18)+(E400+H400-IF(RESULTADOS!$C$17="Normal",I400,0)-J400)*IF(MONTH(B400)=12,2,1),0)</f>
        <v>0</v>
      </c>
      <c r="L400" s="116">
        <f ca="1">IFERROR((L399+G400-IF(RESULTADOS!$C$17="Normal",0,I400))*(1+PREMISSAS!$C$18)+F400,0)</f>
        <v>0</v>
      </c>
      <c r="N400" s="73">
        <f t="shared" ca="1" si="49"/>
        <v>0</v>
      </c>
      <c r="P400" s="164" t="str">
        <f t="shared" ca="1" si="50"/>
        <v/>
      </c>
      <c r="Q400" s="140" t="str">
        <f ca="1">IF(C400="","",Q399+(E400+H400-IF(RESULTADOS!$C$17="Normal",I400,0)-J400)/2+(F400+G400-IF(RESULTADOS!$C$17="Normal",0,I400)))</f>
        <v/>
      </c>
      <c r="R400" s="140" t="str">
        <f ca="1">IF(C400="","",R399+(E400+H400-IF(RESULTADOS!$C$17="Normal",I400,0)-J400)/2)</f>
        <v/>
      </c>
      <c r="S400" s="140">
        <f t="shared" ca="1" si="52"/>
        <v>0</v>
      </c>
      <c r="U400" s="164" t="str">
        <f t="shared" ca="1" si="53"/>
        <v/>
      </c>
      <c r="V400" s="164" t="str">
        <f t="shared" ca="1" si="51"/>
        <v/>
      </c>
      <c r="W400" s="140">
        <f ca="1">IF(OR((W399-13/12*Z399)*(1+PREMISSAS!$C$16)&lt;0,W399=""),0,(W399-13/12*Z399)*(1+PREMISSAS!$C$16))</f>
        <v>0</v>
      </c>
      <c r="X400" s="140">
        <f ca="1">IF(OR((X399-13/12*AA399)*(1+PREMISSAS!$C$16)&lt;0,X399=""),0,(X399-13/12*AA399)*(1+PREMISSAS!$C$16))</f>
        <v>0</v>
      </c>
      <c r="Y400" s="140">
        <f t="shared" ca="1" si="48"/>
        <v>0</v>
      </c>
      <c r="Z400" s="167">
        <f t="shared" ca="1" si="54"/>
        <v>0</v>
      </c>
      <c r="AA400" s="167">
        <f t="shared" ca="1" si="55"/>
        <v>0</v>
      </c>
    </row>
    <row r="401" spans="2:27" x14ac:dyDescent="0.25">
      <c r="B401" s="21" t="str">
        <f ca="1">IF(B400="","",IF(EOMONTH(B400,1)&gt;EOMONTH(ELEGIBILIDADE!$J$17,0),"",EOMONTH(B400,1)))</f>
        <v/>
      </c>
      <c r="C401" s="22" t="str">
        <f ca="1">IF(B401="","",IF(MONTH(B401)=1,C400*(1+PREMISSAS!$C$57),C400))</f>
        <v/>
      </c>
      <c r="D401" s="22">
        <f ca="1">IF(RESULTADOS!$C$17="Normal",IFERROR(MAX(C401-PREMISSAS!$C$13,0),0),IF(Painel!$I$23=0,0,MAX(10*PREMISSAS!$C$38,RESULTADOS!$F$17)))</f>
        <v>0</v>
      </c>
      <c r="E401" s="4">
        <f ca="1">D401*IF(RESULTADOS!$C$17="Normal",RESULTADOS!$C$16,0)</f>
        <v>0</v>
      </c>
      <c r="F401" s="4">
        <f ca="1">IFERROR(IF(RESULTADOS!$C$17="Normal",D401,C401)*RESULTADOS!$C$18,0)</f>
        <v>0</v>
      </c>
      <c r="G401" s="4">
        <f ca="1">IFERROR(IF(RESULTADOS!$C$17="Normal",0,D401)*IF(RESULTADOS!$C$17="Normal",RESULTADOS!$C$18,RESULTADOS!$C$16),0)</f>
        <v>0</v>
      </c>
      <c r="H401" s="4">
        <f ca="1">IF(RESULTADOS!$C$17="Normal",E401,0)</f>
        <v>0</v>
      </c>
      <c r="I401" s="4">
        <f ca="1">(E401+H401+G401)*PREMISSAS!$C$60</f>
        <v>0</v>
      </c>
      <c r="J401" s="4">
        <f ca="1">D401*IF(RESULTADOS!$C$17="Normal",PREMISSAS!$C$62,0)</f>
        <v>0</v>
      </c>
      <c r="K401" s="116">
        <f ca="1">IFERROR(K400*(1+PREMISSAS!$C$18)+(E401+H401-IF(RESULTADOS!$C$17="Normal",I401,0)-J401)*IF(MONTH(B401)=12,2,1),0)</f>
        <v>0</v>
      </c>
      <c r="L401" s="116">
        <f ca="1">IFERROR((L400+G401-IF(RESULTADOS!$C$17="Normal",0,I401))*(1+PREMISSAS!$C$18)+F401,0)</f>
        <v>0</v>
      </c>
      <c r="N401" s="73">
        <f t="shared" ca="1" si="49"/>
        <v>0</v>
      </c>
      <c r="P401" s="164" t="str">
        <f t="shared" ca="1" si="50"/>
        <v/>
      </c>
      <c r="Q401" s="140" t="str">
        <f ca="1">IF(C401="","",Q400+(E401+H401-IF(RESULTADOS!$C$17="Normal",I401,0)-J401)/2+(F401+G401-IF(RESULTADOS!$C$17="Normal",0,I401)))</f>
        <v/>
      </c>
      <c r="R401" s="140" t="str">
        <f ca="1">IF(C401="","",R400+(E401+H401-IF(RESULTADOS!$C$17="Normal",I401,0)-J401)/2)</f>
        <v/>
      </c>
      <c r="S401" s="140">
        <f t="shared" ca="1" si="52"/>
        <v>0</v>
      </c>
      <c r="U401" s="164" t="str">
        <f t="shared" ca="1" si="53"/>
        <v/>
      </c>
      <c r="V401" s="164" t="str">
        <f t="shared" ca="1" si="51"/>
        <v/>
      </c>
      <c r="W401" s="140">
        <f ca="1">IF(OR((W400-13/12*Z400)*(1+PREMISSAS!$C$16)&lt;0,W400=""),0,(W400-13/12*Z400)*(1+PREMISSAS!$C$16))</f>
        <v>0</v>
      </c>
      <c r="X401" s="140">
        <f ca="1">IF(OR((X400-13/12*AA400)*(1+PREMISSAS!$C$16)&lt;0,X400=""),0,(X400-13/12*AA400)*(1+PREMISSAS!$C$16))</f>
        <v>0</v>
      </c>
      <c r="Y401" s="140">
        <f t="shared" ca="1" si="48"/>
        <v>0</v>
      </c>
      <c r="Z401" s="167">
        <f t="shared" ca="1" si="54"/>
        <v>0</v>
      </c>
      <c r="AA401" s="167">
        <f t="shared" ca="1" si="55"/>
        <v>0</v>
      </c>
    </row>
    <row r="402" spans="2:27" x14ac:dyDescent="0.25">
      <c r="B402" s="21" t="str">
        <f ca="1">IF(B401="","",IF(EOMONTH(B401,1)&gt;EOMONTH(ELEGIBILIDADE!$J$17,0),"",EOMONTH(B401,1)))</f>
        <v/>
      </c>
      <c r="C402" s="22" t="str">
        <f ca="1">IF(B402="","",IF(MONTH(B402)=1,C401*(1+PREMISSAS!$C$57),C401))</f>
        <v/>
      </c>
      <c r="D402" s="22">
        <f ca="1">IF(RESULTADOS!$C$17="Normal",IFERROR(MAX(C402-PREMISSAS!$C$13,0),0),IF(Painel!$I$23=0,0,MAX(10*PREMISSAS!$C$38,RESULTADOS!$F$17)))</f>
        <v>0</v>
      </c>
      <c r="E402" s="4">
        <f ca="1">D402*IF(RESULTADOS!$C$17="Normal",RESULTADOS!$C$16,0)</f>
        <v>0</v>
      </c>
      <c r="F402" s="4">
        <f ca="1">IFERROR(IF(RESULTADOS!$C$17="Normal",D402,C402)*RESULTADOS!$C$18,0)</f>
        <v>0</v>
      </c>
      <c r="G402" s="4">
        <f ca="1">IFERROR(IF(RESULTADOS!$C$17="Normal",0,D402)*IF(RESULTADOS!$C$17="Normal",RESULTADOS!$C$18,RESULTADOS!$C$16),0)</f>
        <v>0</v>
      </c>
      <c r="H402" s="4">
        <f ca="1">IF(RESULTADOS!$C$17="Normal",E402,0)</f>
        <v>0</v>
      </c>
      <c r="I402" s="4">
        <f ca="1">(E402+H402+G402)*PREMISSAS!$C$60</f>
        <v>0</v>
      </c>
      <c r="J402" s="4">
        <f ca="1">D402*IF(RESULTADOS!$C$17="Normal",PREMISSAS!$C$62,0)</f>
        <v>0</v>
      </c>
      <c r="K402" s="116">
        <f ca="1">IFERROR(K401*(1+PREMISSAS!$C$18)+(E402+H402-IF(RESULTADOS!$C$17="Normal",I402,0)-J402)*IF(MONTH(B402)=12,2,1),0)</f>
        <v>0</v>
      </c>
      <c r="L402" s="116">
        <f ca="1">IFERROR((L401+G402-IF(RESULTADOS!$C$17="Normal",0,I402))*(1+PREMISSAS!$C$18)+F402,0)</f>
        <v>0</v>
      </c>
      <c r="N402" s="73">
        <f t="shared" ca="1" si="49"/>
        <v>0</v>
      </c>
      <c r="P402" s="164" t="str">
        <f t="shared" ca="1" si="50"/>
        <v/>
      </c>
      <c r="Q402" s="140" t="str">
        <f ca="1">IF(C402="","",Q401+(E402+H402-IF(RESULTADOS!$C$17="Normal",I402,0)-J402)/2+(F402+G402-IF(RESULTADOS!$C$17="Normal",0,I402)))</f>
        <v/>
      </c>
      <c r="R402" s="140" t="str">
        <f ca="1">IF(C402="","",R401+(E402+H402-IF(RESULTADOS!$C$17="Normal",I402,0)-J402)/2)</f>
        <v/>
      </c>
      <c r="S402" s="140">
        <f t="shared" ca="1" si="52"/>
        <v>0</v>
      </c>
      <c r="U402" s="164" t="str">
        <f t="shared" ca="1" si="53"/>
        <v/>
      </c>
      <c r="V402" s="164" t="str">
        <f t="shared" ca="1" si="51"/>
        <v/>
      </c>
      <c r="W402" s="140">
        <f ca="1">IF(OR((W401-13/12*Z401)*(1+PREMISSAS!$C$16)&lt;0,W401=""),0,(W401-13/12*Z401)*(1+PREMISSAS!$C$16))</f>
        <v>0</v>
      </c>
      <c r="X402" s="140">
        <f ca="1">IF(OR((X401-13/12*AA401)*(1+PREMISSAS!$C$16)&lt;0,X401=""),0,(X401-13/12*AA401)*(1+PREMISSAS!$C$16))</f>
        <v>0</v>
      </c>
      <c r="Y402" s="140">
        <f t="shared" ca="1" si="48"/>
        <v>0</v>
      </c>
      <c r="Z402" s="167">
        <f t="shared" ca="1" si="54"/>
        <v>0</v>
      </c>
      <c r="AA402" s="167">
        <f t="shared" ca="1" si="55"/>
        <v>0</v>
      </c>
    </row>
    <row r="403" spans="2:27" x14ac:dyDescent="0.25">
      <c r="B403" s="21" t="str">
        <f ca="1">IF(B402="","",IF(EOMONTH(B402,1)&gt;EOMONTH(ELEGIBILIDADE!$J$17,0),"",EOMONTH(B402,1)))</f>
        <v/>
      </c>
      <c r="C403" s="22" t="str">
        <f ca="1">IF(B403="","",IF(MONTH(B403)=1,C402*(1+PREMISSAS!$C$57),C402))</f>
        <v/>
      </c>
      <c r="D403" s="22">
        <f ca="1">IF(RESULTADOS!$C$17="Normal",IFERROR(MAX(C403-PREMISSAS!$C$13,0),0),IF(Painel!$I$23=0,0,MAX(10*PREMISSAS!$C$38,RESULTADOS!$F$17)))</f>
        <v>0</v>
      </c>
      <c r="E403" s="4">
        <f ca="1">D403*IF(RESULTADOS!$C$17="Normal",RESULTADOS!$C$16,0)</f>
        <v>0</v>
      </c>
      <c r="F403" s="4">
        <f ca="1">IFERROR(IF(RESULTADOS!$C$17="Normal",D403,C403)*RESULTADOS!$C$18,0)</f>
        <v>0</v>
      </c>
      <c r="G403" s="4">
        <f ca="1">IFERROR(IF(RESULTADOS!$C$17="Normal",0,D403)*IF(RESULTADOS!$C$17="Normal",RESULTADOS!$C$18,RESULTADOS!$C$16),0)</f>
        <v>0</v>
      </c>
      <c r="H403" s="4">
        <f ca="1">IF(RESULTADOS!$C$17="Normal",E403,0)</f>
        <v>0</v>
      </c>
      <c r="I403" s="4">
        <f ca="1">(E403+H403+G403)*PREMISSAS!$C$60</f>
        <v>0</v>
      </c>
      <c r="J403" s="4">
        <f ca="1">D403*IF(RESULTADOS!$C$17="Normal",PREMISSAS!$C$62,0)</f>
        <v>0</v>
      </c>
      <c r="K403" s="116">
        <f ca="1">IFERROR(K402*(1+PREMISSAS!$C$18)+(E403+H403-IF(RESULTADOS!$C$17="Normal",I403,0)-J403)*IF(MONTH(B403)=12,2,1),0)</f>
        <v>0</v>
      </c>
      <c r="L403" s="116">
        <f ca="1">IFERROR((L402+G403-IF(RESULTADOS!$C$17="Normal",0,I403))*(1+PREMISSAS!$C$18)+F403,0)</f>
        <v>0</v>
      </c>
      <c r="N403" s="73">
        <f t="shared" ca="1" si="49"/>
        <v>0</v>
      </c>
      <c r="P403" s="164" t="str">
        <f t="shared" ca="1" si="50"/>
        <v/>
      </c>
      <c r="Q403" s="140" t="str">
        <f ca="1">IF(C403="","",Q402+(E403+H403-IF(RESULTADOS!$C$17="Normal",I403,0)-J403)/2+(F403+G403-IF(RESULTADOS!$C$17="Normal",0,I403)))</f>
        <v/>
      </c>
      <c r="R403" s="140" t="str">
        <f ca="1">IF(C403="","",R402+(E403+H403-IF(RESULTADOS!$C$17="Normal",I403,0)-J403)/2)</f>
        <v/>
      </c>
      <c r="S403" s="140">
        <f t="shared" ca="1" si="52"/>
        <v>0</v>
      </c>
      <c r="U403" s="164" t="str">
        <f t="shared" ca="1" si="53"/>
        <v/>
      </c>
      <c r="V403" s="164" t="str">
        <f t="shared" ca="1" si="51"/>
        <v/>
      </c>
      <c r="W403" s="140">
        <f ca="1">IF(OR((W402-13/12*Z402)*(1+PREMISSAS!$C$16)&lt;0,W402=""),0,(W402-13/12*Z402)*(1+PREMISSAS!$C$16))</f>
        <v>0</v>
      </c>
      <c r="X403" s="140">
        <f ca="1">IF(OR((X402-13/12*AA402)*(1+PREMISSAS!$C$16)&lt;0,X402=""),0,(X402-13/12*AA402)*(1+PREMISSAS!$C$16))</f>
        <v>0</v>
      </c>
      <c r="Y403" s="140">
        <f t="shared" ca="1" si="48"/>
        <v>0</v>
      </c>
      <c r="Z403" s="167">
        <f t="shared" ca="1" si="54"/>
        <v>0</v>
      </c>
      <c r="AA403" s="167">
        <f t="shared" ca="1" si="55"/>
        <v>0</v>
      </c>
    </row>
    <row r="404" spans="2:27" x14ac:dyDescent="0.25">
      <c r="B404" s="21" t="str">
        <f ca="1">IF(B403="","",IF(EOMONTH(B403,1)&gt;EOMONTH(ELEGIBILIDADE!$J$17,0),"",EOMONTH(B403,1)))</f>
        <v/>
      </c>
      <c r="C404" s="22" t="str">
        <f ca="1">IF(B404="","",IF(MONTH(B404)=1,C403*(1+PREMISSAS!$C$57),C403))</f>
        <v/>
      </c>
      <c r="D404" s="22">
        <f ca="1">IF(RESULTADOS!$C$17="Normal",IFERROR(MAX(C404-PREMISSAS!$C$13,0),0),IF(Painel!$I$23=0,0,MAX(10*PREMISSAS!$C$38,RESULTADOS!$F$17)))</f>
        <v>0</v>
      </c>
      <c r="E404" s="4">
        <f ca="1">D404*IF(RESULTADOS!$C$17="Normal",RESULTADOS!$C$16,0)</f>
        <v>0</v>
      </c>
      <c r="F404" s="4">
        <f ca="1">IFERROR(IF(RESULTADOS!$C$17="Normal",D404,C404)*RESULTADOS!$C$18,0)</f>
        <v>0</v>
      </c>
      <c r="G404" s="4">
        <f ca="1">IFERROR(IF(RESULTADOS!$C$17="Normal",0,D404)*IF(RESULTADOS!$C$17="Normal",RESULTADOS!$C$18,RESULTADOS!$C$16),0)</f>
        <v>0</v>
      </c>
      <c r="H404" s="4">
        <f ca="1">IF(RESULTADOS!$C$17="Normal",E404,0)</f>
        <v>0</v>
      </c>
      <c r="I404" s="4">
        <f ca="1">(E404+H404+G404)*PREMISSAS!$C$60</f>
        <v>0</v>
      </c>
      <c r="J404" s="4">
        <f ca="1">D404*IF(RESULTADOS!$C$17="Normal",PREMISSAS!$C$62,0)</f>
        <v>0</v>
      </c>
      <c r="K404" s="116">
        <f ca="1">IFERROR(K403*(1+PREMISSAS!$C$18)+(E404+H404-IF(RESULTADOS!$C$17="Normal",I404,0)-J404)*IF(MONTH(B404)=12,2,1),0)</f>
        <v>0</v>
      </c>
      <c r="L404" s="116">
        <f ca="1">IFERROR((L403+G404-IF(RESULTADOS!$C$17="Normal",0,I404))*(1+PREMISSAS!$C$18)+F404,0)</f>
        <v>0</v>
      </c>
      <c r="N404" s="73">
        <f t="shared" ca="1" si="49"/>
        <v>0</v>
      </c>
      <c r="P404" s="164" t="str">
        <f t="shared" ca="1" si="50"/>
        <v/>
      </c>
      <c r="Q404" s="140" t="str">
        <f ca="1">IF(C404="","",Q403+(E404+H404-IF(RESULTADOS!$C$17="Normal",I404,0)-J404)/2+(F404+G404-IF(RESULTADOS!$C$17="Normal",0,I404)))</f>
        <v/>
      </c>
      <c r="R404" s="140" t="str">
        <f ca="1">IF(C404="","",R403+(E404+H404-IF(RESULTADOS!$C$17="Normal",I404,0)-J404)/2)</f>
        <v/>
      </c>
      <c r="S404" s="140">
        <f t="shared" ca="1" si="52"/>
        <v>0</v>
      </c>
      <c r="U404" s="164" t="str">
        <f t="shared" ca="1" si="53"/>
        <v/>
      </c>
      <c r="V404" s="164" t="str">
        <f t="shared" ca="1" si="51"/>
        <v/>
      </c>
      <c r="W404" s="140">
        <f ca="1">IF(OR((W403-13/12*Z403)*(1+PREMISSAS!$C$16)&lt;0,W403=""),0,(W403-13/12*Z403)*(1+PREMISSAS!$C$16))</f>
        <v>0</v>
      </c>
      <c r="X404" s="140">
        <f ca="1">IF(OR((X403-13/12*AA403)*(1+PREMISSAS!$C$16)&lt;0,X403=""),0,(X403-13/12*AA403)*(1+PREMISSAS!$C$16))</f>
        <v>0</v>
      </c>
      <c r="Y404" s="140">
        <f t="shared" ca="1" si="48"/>
        <v>0</v>
      </c>
      <c r="Z404" s="167">
        <f t="shared" ca="1" si="54"/>
        <v>0</v>
      </c>
      <c r="AA404" s="167">
        <f t="shared" ca="1" si="55"/>
        <v>0</v>
      </c>
    </row>
    <row r="405" spans="2:27" x14ac:dyDescent="0.25">
      <c r="B405" s="21" t="str">
        <f ca="1">IF(B404="","",IF(EOMONTH(B404,1)&gt;EOMONTH(ELEGIBILIDADE!$J$17,0),"",EOMONTH(B404,1)))</f>
        <v/>
      </c>
      <c r="C405" s="22" t="str">
        <f ca="1">IF(B405="","",IF(MONTH(B405)=1,C404*(1+PREMISSAS!$C$57),C404))</f>
        <v/>
      </c>
      <c r="D405" s="22">
        <f ca="1">IF(RESULTADOS!$C$17="Normal",IFERROR(MAX(C405-PREMISSAS!$C$13,0),0),IF(Painel!$I$23=0,0,MAX(10*PREMISSAS!$C$38,RESULTADOS!$F$17)))</f>
        <v>0</v>
      </c>
      <c r="E405" s="4">
        <f ca="1">D405*IF(RESULTADOS!$C$17="Normal",RESULTADOS!$C$16,0)</f>
        <v>0</v>
      </c>
      <c r="F405" s="4">
        <f ca="1">IFERROR(IF(RESULTADOS!$C$17="Normal",D405,C405)*RESULTADOS!$C$18,0)</f>
        <v>0</v>
      </c>
      <c r="G405" s="4">
        <f ca="1">IFERROR(IF(RESULTADOS!$C$17="Normal",0,D405)*IF(RESULTADOS!$C$17="Normal",RESULTADOS!$C$18,RESULTADOS!$C$16),0)</f>
        <v>0</v>
      </c>
      <c r="H405" s="4">
        <f ca="1">IF(RESULTADOS!$C$17="Normal",E405,0)</f>
        <v>0</v>
      </c>
      <c r="I405" s="4">
        <f ca="1">(E405+H405+G405)*PREMISSAS!$C$60</f>
        <v>0</v>
      </c>
      <c r="J405" s="4">
        <f ca="1">D405*IF(RESULTADOS!$C$17="Normal",PREMISSAS!$C$62,0)</f>
        <v>0</v>
      </c>
      <c r="K405" s="116">
        <f ca="1">IFERROR(K404*(1+PREMISSAS!$C$18)+(E405+H405-IF(RESULTADOS!$C$17="Normal",I405,0)-J405)*IF(MONTH(B405)=12,2,1),0)</f>
        <v>0</v>
      </c>
      <c r="L405" s="116">
        <f ca="1">IFERROR((L404+G405-IF(RESULTADOS!$C$17="Normal",0,I405))*(1+PREMISSAS!$C$18)+F405,0)</f>
        <v>0</v>
      </c>
      <c r="N405" s="73">
        <f t="shared" ca="1" si="49"/>
        <v>0</v>
      </c>
      <c r="P405" s="164" t="str">
        <f t="shared" ca="1" si="50"/>
        <v/>
      </c>
      <c r="Q405" s="140" t="str">
        <f ca="1">IF(C405="","",Q404+(E405+H405-IF(RESULTADOS!$C$17="Normal",I405,0)-J405)/2+(F405+G405-IF(RESULTADOS!$C$17="Normal",0,I405)))</f>
        <v/>
      </c>
      <c r="R405" s="140" t="str">
        <f ca="1">IF(C405="","",R404+(E405+H405-IF(RESULTADOS!$C$17="Normal",I405,0)-J405)/2)</f>
        <v/>
      </c>
      <c r="S405" s="140">
        <f t="shared" ca="1" si="52"/>
        <v>0</v>
      </c>
      <c r="U405" s="164" t="str">
        <f t="shared" ca="1" si="53"/>
        <v/>
      </c>
      <c r="V405" s="164" t="str">
        <f t="shared" ca="1" si="51"/>
        <v/>
      </c>
      <c r="W405" s="140">
        <f ca="1">IF(OR((W404-13/12*Z404)*(1+PREMISSAS!$C$16)&lt;0,W404=""),0,(W404-13/12*Z404)*(1+PREMISSAS!$C$16))</f>
        <v>0</v>
      </c>
      <c r="X405" s="140">
        <f ca="1">IF(OR((X404-13/12*AA404)*(1+PREMISSAS!$C$16)&lt;0,X404=""),0,(X404-13/12*AA404)*(1+PREMISSAS!$C$16))</f>
        <v>0</v>
      </c>
      <c r="Y405" s="140">
        <f t="shared" ca="1" si="48"/>
        <v>0</v>
      </c>
      <c r="Z405" s="167">
        <f t="shared" ca="1" si="54"/>
        <v>0</v>
      </c>
      <c r="AA405" s="167">
        <f t="shared" ca="1" si="55"/>
        <v>0</v>
      </c>
    </row>
    <row r="406" spans="2:27" x14ac:dyDescent="0.25">
      <c r="B406" s="21" t="str">
        <f ca="1">IF(B405="","",IF(EOMONTH(B405,1)&gt;EOMONTH(ELEGIBILIDADE!$J$17,0),"",EOMONTH(B405,1)))</f>
        <v/>
      </c>
      <c r="C406" s="22" t="str">
        <f ca="1">IF(B406="","",IF(MONTH(B406)=1,C405*(1+PREMISSAS!$C$57),C405))</f>
        <v/>
      </c>
      <c r="D406" s="22">
        <f ca="1">IF(RESULTADOS!$C$17="Normal",IFERROR(MAX(C406-PREMISSAS!$C$13,0),0),IF(Painel!$I$23=0,0,MAX(10*PREMISSAS!$C$38,RESULTADOS!$F$17)))</f>
        <v>0</v>
      </c>
      <c r="E406" s="4">
        <f ca="1">D406*IF(RESULTADOS!$C$17="Normal",RESULTADOS!$C$16,0)</f>
        <v>0</v>
      </c>
      <c r="F406" s="4">
        <f ca="1">IFERROR(IF(RESULTADOS!$C$17="Normal",D406,C406)*RESULTADOS!$C$18,0)</f>
        <v>0</v>
      </c>
      <c r="G406" s="4">
        <f ca="1">IFERROR(IF(RESULTADOS!$C$17="Normal",0,D406)*IF(RESULTADOS!$C$17="Normal",RESULTADOS!$C$18,RESULTADOS!$C$16),0)</f>
        <v>0</v>
      </c>
      <c r="H406" s="4">
        <f ca="1">IF(RESULTADOS!$C$17="Normal",E406,0)</f>
        <v>0</v>
      </c>
      <c r="I406" s="4">
        <f ca="1">(E406+H406+G406)*PREMISSAS!$C$60</f>
        <v>0</v>
      </c>
      <c r="J406" s="4">
        <f ca="1">D406*IF(RESULTADOS!$C$17="Normal",PREMISSAS!$C$62,0)</f>
        <v>0</v>
      </c>
      <c r="K406" s="116">
        <f ca="1">IFERROR(K405*(1+PREMISSAS!$C$18)+(E406+H406-IF(RESULTADOS!$C$17="Normal",I406,0)-J406)*IF(MONTH(B406)=12,2,1),0)</f>
        <v>0</v>
      </c>
      <c r="L406" s="116">
        <f ca="1">IFERROR((L405+G406-IF(RESULTADOS!$C$17="Normal",0,I406))*(1+PREMISSAS!$C$18)+F406,0)</f>
        <v>0</v>
      </c>
      <c r="N406" s="73">
        <f t="shared" ca="1" si="49"/>
        <v>0</v>
      </c>
      <c r="P406" s="164" t="str">
        <f t="shared" ca="1" si="50"/>
        <v/>
      </c>
      <c r="Q406" s="140" t="str">
        <f ca="1">IF(C406="","",Q405+(E406+H406-IF(RESULTADOS!$C$17="Normal",I406,0)-J406)/2+(F406+G406-IF(RESULTADOS!$C$17="Normal",0,I406)))</f>
        <v/>
      </c>
      <c r="R406" s="140" t="str">
        <f ca="1">IF(C406="","",R405+(E406+H406-IF(RESULTADOS!$C$17="Normal",I406,0)-J406)/2)</f>
        <v/>
      </c>
      <c r="S406" s="140">
        <f t="shared" ca="1" si="52"/>
        <v>0</v>
      </c>
      <c r="U406" s="164" t="str">
        <f t="shared" ca="1" si="53"/>
        <v/>
      </c>
      <c r="V406" s="164" t="str">
        <f t="shared" ca="1" si="51"/>
        <v/>
      </c>
      <c r="W406" s="140">
        <f ca="1">IF(OR((W405-13/12*Z405)*(1+PREMISSAS!$C$16)&lt;0,W405=""),0,(W405-13/12*Z405)*(1+PREMISSAS!$C$16))</f>
        <v>0</v>
      </c>
      <c r="X406" s="140">
        <f ca="1">IF(OR((X405-13/12*AA405)*(1+PREMISSAS!$C$16)&lt;0,X405=""),0,(X405-13/12*AA405)*(1+PREMISSAS!$C$16))</f>
        <v>0</v>
      </c>
      <c r="Y406" s="140">
        <f t="shared" ca="1" si="48"/>
        <v>0</v>
      </c>
      <c r="Z406" s="167">
        <f t="shared" ca="1" si="54"/>
        <v>0</v>
      </c>
      <c r="AA406" s="167">
        <f t="shared" ca="1" si="55"/>
        <v>0</v>
      </c>
    </row>
    <row r="407" spans="2:27" x14ac:dyDescent="0.25">
      <c r="B407" s="21" t="str">
        <f ca="1">IF(B406="","",IF(EOMONTH(B406,1)&gt;EOMONTH(ELEGIBILIDADE!$J$17,0),"",EOMONTH(B406,1)))</f>
        <v/>
      </c>
      <c r="C407" s="22" t="str">
        <f ca="1">IF(B407="","",IF(MONTH(B407)=1,C406*(1+PREMISSAS!$C$57),C406))</f>
        <v/>
      </c>
      <c r="D407" s="22">
        <f ca="1">IF(RESULTADOS!$C$17="Normal",IFERROR(MAX(C407-PREMISSAS!$C$13,0),0),IF(Painel!$I$23=0,0,MAX(10*PREMISSAS!$C$38,RESULTADOS!$F$17)))</f>
        <v>0</v>
      </c>
      <c r="E407" s="4">
        <f ca="1">D407*IF(RESULTADOS!$C$17="Normal",RESULTADOS!$C$16,0)</f>
        <v>0</v>
      </c>
      <c r="F407" s="4">
        <f ca="1">IFERROR(IF(RESULTADOS!$C$17="Normal",D407,C407)*RESULTADOS!$C$18,0)</f>
        <v>0</v>
      </c>
      <c r="G407" s="4">
        <f ca="1">IFERROR(IF(RESULTADOS!$C$17="Normal",0,D407)*IF(RESULTADOS!$C$17="Normal",RESULTADOS!$C$18,RESULTADOS!$C$16),0)</f>
        <v>0</v>
      </c>
      <c r="H407" s="4">
        <f ca="1">IF(RESULTADOS!$C$17="Normal",E407,0)</f>
        <v>0</v>
      </c>
      <c r="I407" s="4">
        <f ca="1">(E407+H407+G407)*PREMISSAS!$C$60</f>
        <v>0</v>
      </c>
      <c r="J407" s="4">
        <f ca="1">D407*IF(RESULTADOS!$C$17="Normal",PREMISSAS!$C$62,0)</f>
        <v>0</v>
      </c>
      <c r="K407" s="116">
        <f ca="1">IFERROR(K406*(1+PREMISSAS!$C$18)+(E407+H407-IF(RESULTADOS!$C$17="Normal",I407,0)-J407)*IF(MONTH(B407)=12,2,1),0)</f>
        <v>0</v>
      </c>
      <c r="L407" s="116">
        <f ca="1">IFERROR((L406+G407-IF(RESULTADOS!$C$17="Normal",0,I407))*(1+PREMISSAS!$C$18)+F407,0)</f>
        <v>0</v>
      </c>
      <c r="N407" s="73">
        <f t="shared" ca="1" si="49"/>
        <v>0</v>
      </c>
      <c r="P407" s="164" t="str">
        <f t="shared" ca="1" si="50"/>
        <v/>
      </c>
      <c r="Q407" s="140" t="str">
        <f ca="1">IF(C407="","",Q406+(E407+H407-IF(RESULTADOS!$C$17="Normal",I407,0)-J407)/2+(F407+G407-IF(RESULTADOS!$C$17="Normal",0,I407)))</f>
        <v/>
      </c>
      <c r="R407" s="140" t="str">
        <f ca="1">IF(C407="","",R406+(E407+H407-IF(RESULTADOS!$C$17="Normal",I407,0)-J407)/2)</f>
        <v/>
      </c>
      <c r="S407" s="140">
        <f t="shared" ca="1" si="52"/>
        <v>0</v>
      </c>
      <c r="U407" s="164" t="str">
        <f t="shared" ca="1" si="53"/>
        <v/>
      </c>
      <c r="V407" s="164" t="str">
        <f t="shared" ca="1" si="51"/>
        <v/>
      </c>
      <c r="W407" s="140">
        <f ca="1">IF(OR((W406-13/12*Z406)*(1+PREMISSAS!$C$16)&lt;0,W406=""),0,(W406-13/12*Z406)*(1+PREMISSAS!$C$16))</f>
        <v>0</v>
      </c>
      <c r="X407" s="140">
        <f ca="1">IF(OR((X406-13/12*AA406)*(1+PREMISSAS!$C$16)&lt;0,X406=""),0,(X406-13/12*AA406)*(1+PREMISSAS!$C$16))</f>
        <v>0</v>
      </c>
      <c r="Y407" s="140">
        <f t="shared" ca="1" si="48"/>
        <v>0</v>
      </c>
      <c r="Z407" s="167">
        <f t="shared" ca="1" si="54"/>
        <v>0</v>
      </c>
      <c r="AA407" s="167">
        <f t="shared" ca="1" si="55"/>
        <v>0</v>
      </c>
    </row>
    <row r="408" spans="2:27" x14ac:dyDescent="0.25">
      <c r="B408" s="21" t="str">
        <f ca="1">IF(B407="","",IF(EOMONTH(B407,1)&gt;EOMONTH(ELEGIBILIDADE!$J$17,0),"",EOMONTH(B407,1)))</f>
        <v/>
      </c>
      <c r="C408" s="22" t="str">
        <f ca="1">IF(B408="","",IF(MONTH(B408)=1,C407*(1+PREMISSAS!$C$57),C407))</f>
        <v/>
      </c>
      <c r="D408" s="22">
        <f ca="1">IF(RESULTADOS!$C$17="Normal",IFERROR(MAX(C408-PREMISSAS!$C$13,0),0),IF(Painel!$I$23=0,0,MAX(10*PREMISSAS!$C$38,RESULTADOS!$F$17)))</f>
        <v>0</v>
      </c>
      <c r="E408" s="4">
        <f ca="1">D408*IF(RESULTADOS!$C$17="Normal",RESULTADOS!$C$16,0)</f>
        <v>0</v>
      </c>
      <c r="F408" s="4">
        <f ca="1">IFERROR(IF(RESULTADOS!$C$17="Normal",D408,C408)*RESULTADOS!$C$18,0)</f>
        <v>0</v>
      </c>
      <c r="G408" s="4">
        <f ca="1">IFERROR(IF(RESULTADOS!$C$17="Normal",0,D408)*IF(RESULTADOS!$C$17="Normal",RESULTADOS!$C$18,RESULTADOS!$C$16),0)</f>
        <v>0</v>
      </c>
      <c r="H408" s="4">
        <f ca="1">IF(RESULTADOS!$C$17="Normal",E408,0)</f>
        <v>0</v>
      </c>
      <c r="I408" s="4">
        <f ca="1">(E408+H408+G408)*PREMISSAS!$C$60</f>
        <v>0</v>
      </c>
      <c r="J408" s="4">
        <f ca="1">D408*IF(RESULTADOS!$C$17="Normal",PREMISSAS!$C$62,0)</f>
        <v>0</v>
      </c>
      <c r="K408" s="116">
        <f ca="1">IFERROR(K407*(1+PREMISSAS!$C$18)+(E408+H408-IF(RESULTADOS!$C$17="Normal",I408,0)-J408)*IF(MONTH(B408)=12,2,1),0)</f>
        <v>0</v>
      </c>
      <c r="L408" s="116">
        <f ca="1">IFERROR((L407+G408-IF(RESULTADOS!$C$17="Normal",0,I408))*(1+PREMISSAS!$C$18)+F408,0)</f>
        <v>0</v>
      </c>
      <c r="N408" s="73">
        <f t="shared" ca="1" si="49"/>
        <v>0</v>
      </c>
      <c r="P408" s="164" t="str">
        <f t="shared" ca="1" si="50"/>
        <v/>
      </c>
      <c r="Q408" s="140" t="str">
        <f ca="1">IF(C408="","",Q407+(E408+H408-IF(RESULTADOS!$C$17="Normal",I408,0)-J408)/2+(F408+G408-IF(RESULTADOS!$C$17="Normal",0,I408)))</f>
        <v/>
      </c>
      <c r="R408" s="140" t="str">
        <f ca="1">IF(C408="","",R407+(E408+H408-IF(RESULTADOS!$C$17="Normal",I408,0)-J408)/2)</f>
        <v/>
      </c>
      <c r="S408" s="140">
        <f t="shared" ca="1" si="52"/>
        <v>0</v>
      </c>
      <c r="U408" s="164" t="str">
        <f t="shared" ca="1" si="53"/>
        <v/>
      </c>
      <c r="V408" s="164" t="str">
        <f t="shared" ca="1" si="51"/>
        <v/>
      </c>
      <c r="W408" s="140">
        <f ca="1">IF(OR((W407-13/12*Z407)*(1+PREMISSAS!$C$16)&lt;0,W407=""),0,(W407-13/12*Z407)*(1+PREMISSAS!$C$16))</f>
        <v>0</v>
      </c>
      <c r="X408" s="140">
        <f ca="1">IF(OR((X407-13/12*AA407)*(1+PREMISSAS!$C$16)&lt;0,X407=""),0,(X407-13/12*AA407)*(1+PREMISSAS!$C$16))</f>
        <v>0</v>
      </c>
      <c r="Y408" s="140">
        <f t="shared" ca="1" si="48"/>
        <v>0</v>
      </c>
      <c r="Z408" s="167">
        <f t="shared" ca="1" si="54"/>
        <v>0</v>
      </c>
      <c r="AA408" s="167">
        <f t="shared" ca="1" si="55"/>
        <v>0</v>
      </c>
    </row>
    <row r="409" spans="2:27" x14ac:dyDescent="0.25">
      <c r="B409" s="21" t="str">
        <f ca="1">IF(B408="","",IF(EOMONTH(B408,1)&gt;EOMONTH(ELEGIBILIDADE!$J$17,0),"",EOMONTH(B408,1)))</f>
        <v/>
      </c>
      <c r="C409" s="22" t="str">
        <f ca="1">IF(B409="","",IF(MONTH(B409)=1,C408*(1+PREMISSAS!$C$57),C408))</f>
        <v/>
      </c>
      <c r="D409" s="22">
        <f ca="1">IF(RESULTADOS!$C$17="Normal",IFERROR(MAX(C409-PREMISSAS!$C$13,0),0),IF(Painel!$I$23=0,0,MAX(10*PREMISSAS!$C$38,RESULTADOS!$F$17)))</f>
        <v>0</v>
      </c>
      <c r="E409" s="4">
        <f ca="1">D409*IF(RESULTADOS!$C$17="Normal",RESULTADOS!$C$16,0)</f>
        <v>0</v>
      </c>
      <c r="F409" s="4">
        <f ca="1">IFERROR(IF(RESULTADOS!$C$17="Normal",D409,C409)*RESULTADOS!$C$18,0)</f>
        <v>0</v>
      </c>
      <c r="G409" s="4">
        <f ca="1">IFERROR(IF(RESULTADOS!$C$17="Normal",0,D409)*IF(RESULTADOS!$C$17="Normal",RESULTADOS!$C$18,RESULTADOS!$C$16),0)</f>
        <v>0</v>
      </c>
      <c r="H409" s="4">
        <f ca="1">IF(RESULTADOS!$C$17="Normal",E409,0)</f>
        <v>0</v>
      </c>
      <c r="I409" s="4">
        <f ca="1">(E409+H409+G409)*PREMISSAS!$C$60</f>
        <v>0</v>
      </c>
      <c r="J409" s="4">
        <f ca="1">D409*IF(RESULTADOS!$C$17="Normal",PREMISSAS!$C$62,0)</f>
        <v>0</v>
      </c>
      <c r="K409" s="116">
        <f ca="1">IFERROR(K408*(1+PREMISSAS!$C$18)+(E409+H409-IF(RESULTADOS!$C$17="Normal",I409,0)-J409)*IF(MONTH(B409)=12,2,1),0)</f>
        <v>0</v>
      </c>
      <c r="L409" s="116">
        <f ca="1">IFERROR((L408+G409-IF(RESULTADOS!$C$17="Normal",0,I409))*(1+PREMISSAS!$C$18)+F409,0)</f>
        <v>0</v>
      </c>
      <c r="N409" s="73">
        <f t="shared" ca="1" si="49"/>
        <v>0</v>
      </c>
      <c r="P409" s="164" t="str">
        <f t="shared" ca="1" si="50"/>
        <v/>
      </c>
      <c r="Q409" s="140" t="str">
        <f ca="1">IF(C409="","",Q408+(E409+H409-IF(RESULTADOS!$C$17="Normal",I409,0)-J409)/2+(F409+G409-IF(RESULTADOS!$C$17="Normal",0,I409)))</f>
        <v/>
      </c>
      <c r="R409" s="140" t="str">
        <f ca="1">IF(C409="","",R408+(E409+H409-IF(RESULTADOS!$C$17="Normal",I409,0)-J409)/2)</f>
        <v/>
      </c>
      <c r="S409" s="140">
        <f t="shared" ca="1" si="52"/>
        <v>0</v>
      </c>
      <c r="U409" s="164" t="str">
        <f t="shared" ca="1" si="53"/>
        <v/>
      </c>
      <c r="V409" s="164" t="str">
        <f t="shared" ca="1" si="51"/>
        <v/>
      </c>
      <c r="W409" s="140">
        <f ca="1">IF(OR((W408-13/12*Z408)*(1+PREMISSAS!$C$16)&lt;0,W408=""),0,(W408-13/12*Z408)*(1+PREMISSAS!$C$16))</f>
        <v>0</v>
      </c>
      <c r="X409" s="140">
        <f ca="1">IF(OR((X408-13/12*AA408)*(1+PREMISSAS!$C$16)&lt;0,X408=""),0,(X408-13/12*AA408)*(1+PREMISSAS!$C$16))</f>
        <v>0</v>
      </c>
      <c r="Y409" s="140">
        <f t="shared" ca="1" si="48"/>
        <v>0</v>
      </c>
      <c r="Z409" s="167">
        <f t="shared" ca="1" si="54"/>
        <v>0</v>
      </c>
      <c r="AA409" s="167">
        <f t="shared" ca="1" si="55"/>
        <v>0</v>
      </c>
    </row>
    <row r="410" spans="2:27" x14ac:dyDescent="0.25">
      <c r="B410" s="21" t="str">
        <f ca="1">IF(B409="","",IF(EOMONTH(B409,1)&gt;EOMONTH(ELEGIBILIDADE!$J$17,0),"",EOMONTH(B409,1)))</f>
        <v/>
      </c>
      <c r="C410" s="22" t="str">
        <f ca="1">IF(B410="","",IF(MONTH(B410)=1,C409*(1+PREMISSAS!$C$57),C409))</f>
        <v/>
      </c>
      <c r="D410" s="22">
        <f ca="1">IF(RESULTADOS!$C$17="Normal",IFERROR(MAX(C410-PREMISSAS!$C$13,0),0),IF(Painel!$I$23=0,0,MAX(10*PREMISSAS!$C$38,RESULTADOS!$F$17)))</f>
        <v>0</v>
      </c>
      <c r="E410" s="4">
        <f ca="1">D410*IF(RESULTADOS!$C$17="Normal",RESULTADOS!$C$16,0)</f>
        <v>0</v>
      </c>
      <c r="F410" s="4">
        <f ca="1">IFERROR(IF(RESULTADOS!$C$17="Normal",D410,C410)*RESULTADOS!$C$18,0)</f>
        <v>0</v>
      </c>
      <c r="G410" s="4">
        <f ca="1">IFERROR(IF(RESULTADOS!$C$17="Normal",0,D410)*IF(RESULTADOS!$C$17="Normal",RESULTADOS!$C$18,RESULTADOS!$C$16),0)</f>
        <v>0</v>
      </c>
      <c r="H410" s="4">
        <f ca="1">IF(RESULTADOS!$C$17="Normal",E410,0)</f>
        <v>0</v>
      </c>
      <c r="I410" s="4">
        <f ca="1">(E410+H410+G410)*PREMISSAS!$C$60</f>
        <v>0</v>
      </c>
      <c r="J410" s="4">
        <f ca="1">D410*IF(RESULTADOS!$C$17="Normal",PREMISSAS!$C$62,0)</f>
        <v>0</v>
      </c>
      <c r="K410" s="116">
        <f ca="1">IFERROR(K409*(1+PREMISSAS!$C$18)+(E410+H410-IF(RESULTADOS!$C$17="Normal",I410,0)-J410)*IF(MONTH(B410)=12,2,1),0)</f>
        <v>0</v>
      </c>
      <c r="L410" s="116">
        <f ca="1">IFERROR((L409+G410-IF(RESULTADOS!$C$17="Normal",0,I410))*(1+PREMISSAS!$C$18)+F410,0)</f>
        <v>0</v>
      </c>
      <c r="N410" s="73">
        <f t="shared" ca="1" si="49"/>
        <v>0</v>
      </c>
      <c r="P410" s="164" t="str">
        <f t="shared" ca="1" si="50"/>
        <v/>
      </c>
      <c r="Q410" s="140" t="str">
        <f ca="1">IF(C410="","",Q409+(E410+H410-IF(RESULTADOS!$C$17="Normal",I410,0)-J410)/2+(F410+G410-IF(RESULTADOS!$C$17="Normal",0,I410)))</f>
        <v/>
      </c>
      <c r="R410" s="140" t="str">
        <f ca="1">IF(C410="","",R409+(E410+H410-IF(RESULTADOS!$C$17="Normal",I410,0)-J410)/2)</f>
        <v/>
      </c>
      <c r="S410" s="140">
        <f t="shared" ca="1" si="52"/>
        <v>0</v>
      </c>
      <c r="U410" s="164" t="str">
        <f t="shared" ca="1" si="53"/>
        <v/>
      </c>
      <c r="V410" s="164" t="str">
        <f t="shared" ca="1" si="51"/>
        <v/>
      </c>
      <c r="W410" s="140">
        <f ca="1">IF(OR((W409-13/12*Z409)*(1+PREMISSAS!$C$16)&lt;0,W409=""),0,(W409-13/12*Z409)*(1+PREMISSAS!$C$16))</f>
        <v>0</v>
      </c>
      <c r="X410" s="140">
        <f ca="1">IF(OR((X409-13/12*AA409)*(1+PREMISSAS!$C$16)&lt;0,X409=""),0,(X409-13/12*AA409)*(1+PREMISSAS!$C$16))</f>
        <v>0</v>
      </c>
      <c r="Y410" s="140">
        <f t="shared" ca="1" si="48"/>
        <v>0</v>
      </c>
      <c r="Z410" s="167">
        <f t="shared" ca="1" si="54"/>
        <v>0</v>
      </c>
      <c r="AA410" s="167">
        <f t="shared" ca="1" si="55"/>
        <v>0</v>
      </c>
    </row>
    <row r="411" spans="2:27" x14ac:dyDescent="0.25">
      <c r="B411" s="21" t="str">
        <f ca="1">IF(B410="","",IF(EOMONTH(B410,1)&gt;EOMONTH(ELEGIBILIDADE!$J$17,0),"",EOMONTH(B410,1)))</f>
        <v/>
      </c>
      <c r="C411" s="22" t="str">
        <f ca="1">IF(B411="","",IF(MONTH(B411)=1,C410*(1+PREMISSAS!$C$57),C410))</f>
        <v/>
      </c>
      <c r="D411" s="22">
        <f ca="1">IF(RESULTADOS!$C$17="Normal",IFERROR(MAX(C411-PREMISSAS!$C$13,0),0),IF(Painel!$I$23=0,0,MAX(10*PREMISSAS!$C$38,RESULTADOS!$F$17)))</f>
        <v>0</v>
      </c>
      <c r="E411" s="4">
        <f ca="1">D411*IF(RESULTADOS!$C$17="Normal",RESULTADOS!$C$16,0)</f>
        <v>0</v>
      </c>
      <c r="F411" s="4">
        <f ca="1">IFERROR(IF(RESULTADOS!$C$17="Normal",D411,C411)*RESULTADOS!$C$18,0)</f>
        <v>0</v>
      </c>
      <c r="G411" s="4">
        <f ca="1">IFERROR(IF(RESULTADOS!$C$17="Normal",0,D411)*IF(RESULTADOS!$C$17="Normal",RESULTADOS!$C$18,RESULTADOS!$C$16),0)</f>
        <v>0</v>
      </c>
      <c r="H411" s="4">
        <f ca="1">IF(RESULTADOS!$C$17="Normal",E411,0)</f>
        <v>0</v>
      </c>
      <c r="I411" s="4">
        <f ca="1">(E411+H411+G411)*PREMISSAS!$C$60</f>
        <v>0</v>
      </c>
      <c r="J411" s="4">
        <f ca="1">D411*IF(RESULTADOS!$C$17="Normal",PREMISSAS!$C$62,0)</f>
        <v>0</v>
      </c>
      <c r="K411" s="116">
        <f ca="1">IFERROR(K410*(1+PREMISSAS!$C$18)+(E411+H411-IF(RESULTADOS!$C$17="Normal",I411,0)-J411)*IF(MONTH(B411)=12,2,1),0)</f>
        <v>0</v>
      </c>
      <c r="L411" s="116">
        <f ca="1">IFERROR((L410+G411-IF(RESULTADOS!$C$17="Normal",0,I411))*(1+PREMISSAS!$C$18)+F411,0)</f>
        <v>0</v>
      </c>
      <c r="N411" s="73">
        <f t="shared" ca="1" si="49"/>
        <v>0</v>
      </c>
      <c r="P411" s="164" t="str">
        <f t="shared" ca="1" si="50"/>
        <v/>
      </c>
      <c r="Q411" s="140" t="str">
        <f ca="1">IF(C411="","",Q410+(E411+H411-IF(RESULTADOS!$C$17="Normal",I411,0)-J411)/2+(F411+G411-IF(RESULTADOS!$C$17="Normal",0,I411)))</f>
        <v/>
      </c>
      <c r="R411" s="140" t="str">
        <f ca="1">IF(C411="","",R410+(E411+H411-IF(RESULTADOS!$C$17="Normal",I411,0)-J411)/2)</f>
        <v/>
      </c>
      <c r="S411" s="140">
        <f t="shared" ca="1" si="52"/>
        <v>0</v>
      </c>
      <c r="U411" s="164" t="str">
        <f t="shared" ca="1" si="53"/>
        <v/>
      </c>
      <c r="V411" s="164" t="str">
        <f t="shared" ca="1" si="51"/>
        <v/>
      </c>
      <c r="W411" s="140">
        <f ca="1">IF(OR((W410-13/12*Z410)*(1+PREMISSAS!$C$16)&lt;0,W410=""),0,(W410-13/12*Z410)*(1+PREMISSAS!$C$16))</f>
        <v>0</v>
      </c>
      <c r="X411" s="140">
        <f ca="1">IF(OR((X410-13/12*AA410)*(1+PREMISSAS!$C$16)&lt;0,X410=""),0,(X410-13/12*AA410)*(1+PREMISSAS!$C$16))</f>
        <v>0</v>
      </c>
      <c r="Y411" s="140">
        <f t="shared" ca="1" si="48"/>
        <v>0</v>
      </c>
      <c r="Z411" s="167">
        <f t="shared" ca="1" si="54"/>
        <v>0</v>
      </c>
      <c r="AA411" s="167">
        <f t="shared" ca="1" si="55"/>
        <v>0</v>
      </c>
    </row>
    <row r="412" spans="2:27" x14ac:dyDescent="0.25">
      <c r="B412" s="21" t="str">
        <f ca="1">IF(B411="","",IF(EOMONTH(B411,1)&gt;EOMONTH(ELEGIBILIDADE!$J$17,0),"",EOMONTH(B411,1)))</f>
        <v/>
      </c>
      <c r="C412" s="22" t="str">
        <f ca="1">IF(B412="","",IF(MONTH(B412)=1,C411*(1+PREMISSAS!$C$57),C411))</f>
        <v/>
      </c>
      <c r="D412" s="22">
        <f ca="1">IF(RESULTADOS!$C$17="Normal",IFERROR(MAX(C412-PREMISSAS!$C$13,0),0),IF(Painel!$I$23=0,0,MAX(10*PREMISSAS!$C$38,RESULTADOS!$F$17)))</f>
        <v>0</v>
      </c>
      <c r="E412" s="4">
        <f ca="1">D412*IF(RESULTADOS!$C$17="Normal",RESULTADOS!$C$16,0)</f>
        <v>0</v>
      </c>
      <c r="F412" s="4">
        <f ca="1">IFERROR(IF(RESULTADOS!$C$17="Normal",D412,C412)*RESULTADOS!$C$18,0)</f>
        <v>0</v>
      </c>
      <c r="G412" s="4">
        <f ca="1">IFERROR(IF(RESULTADOS!$C$17="Normal",0,D412)*IF(RESULTADOS!$C$17="Normal",RESULTADOS!$C$18,RESULTADOS!$C$16),0)</f>
        <v>0</v>
      </c>
      <c r="H412" s="4">
        <f ca="1">IF(RESULTADOS!$C$17="Normal",E412,0)</f>
        <v>0</v>
      </c>
      <c r="I412" s="4">
        <f ca="1">(E412+H412+G412)*PREMISSAS!$C$60</f>
        <v>0</v>
      </c>
      <c r="J412" s="4">
        <f ca="1">D412*IF(RESULTADOS!$C$17="Normal",PREMISSAS!$C$62,0)</f>
        <v>0</v>
      </c>
      <c r="K412" s="116">
        <f ca="1">IFERROR(K411*(1+PREMISSAS!$C$18)+(E412+H412-IF(RESULTADOS!$C$17="Normal",I412,0)-J412)*IF(MONTH(B412)=12,2,1),0)</f>
        <v>0</v>
      </c>
      <c r="L412" s="116">
        <f ca="1">IFERROR((L411+G412-IF(RESULTADOS!$C$17="Normal",0,I412))*(1+PREMISSAS!$C$18)+F412,0)</f>
        <v>0</v>
      </c>
      <c r="N412" s="73">
        <f t="shared" ca="1" si="49"/>
        <v>0</v>
      </c>
      <c r="P412" s="164" t="str">
        <f t="shared" ca="1" si="50"/>
        <v/>
      </c>
      <c r="Q412" s="140" t="str">
        <f ca="1">IF(C412="","",Q411+(E412+H412-IF(RESULTADOS!$C$17="Normal",I412,0)-J412)/2+(F412+G412-IF(RESULTADOS!$C$17="Normal",0,I412)))</f>
        <v/>
      </c>
      <c r="R412" s="140" t="str">
        <f ca="1">IF(C412="","",R411+(E412+H412-IF(RESULTADOS!$C$17="Normal",I412,0)-J412)/2)</f>
        <v/>
      </c>
      <c r="S412" s="140">
        <f t="shared" ca="1" si="52"/>
        <v>0</v>
      </c>
      <c r="U412" s="164" t="str">
        <f t="shared" ca="1" si="53"/>
        <v/>
      </c>
      <c r="V412" s="164" t="str">
        <f t="shared" ca="1" si="51"/>
        <v/>
      </c>
      <c r="W412" s="140">
        <f ca="1">IF(OR((W411-13/12*Z411)*(1+PREMISSAS!$C$16)&lt;0,W411=""),0,(W411-13/12*Z411)*(1+PREMISSAS!$C$16))</f>
        <v>0</v>
      </c>
      <c r="X412" s="140">
        <f ca="1">IF(OR((X411-13/12*AA411)*(1+PREMISSAS!$C$16)&lt;0,X411=""),0,(X411-13/12*AA411)*(1+PREMISSAS!$C$16))</f>
        <v>0</v>
      </c>
      <c r="Y412" s="140">
        <f t="shared" ca="1" si="48"/>
        <v>0</v>
      </c>
      <c r="Z412" s="167">
        <f t="shared" ca="1" si="54"/>
        <v>0</v>
      </c>
      <c r="AA412" s="167">
        <f t="shared" ca="1" si="55"/>
        <v>0</v>
      </c>
    </row>
    <row r="413" spans="2:27" x14ac:dyDescent="0.25">
      <c r="B413" s="21" t="str">
        <f ca="1">IF(B412="","",IF(EOMONTH(B412,1)&gt;EOMONTH(ELEGIBILIDADE!$J$17,0),"",EOMONTH(B412,1)))</f>
        <v/>
      </c>
      <c r="C413" s="22" t="str">
        <f ca="1">IF(B413="","",IF(MONTH(B413)=1,C412*(1+PREMISSAS!$C$57),C412))</f>
        <v/>
      </c>
      <c r="D413" s="22">
        <f ca="1">IF(RESULTADOS!$C$17="Normal",IFERROR(MAX(C413-PREMISSAS!$C$13,0),0),IF(Painel!$I$23=0,0,MAX(10*PREMISSAS!$C$38,RESULTADOS!$F$17)))</f>
        <v>0</v>
      </c>
      <c r="E413" s="4">
        <f ca="1">D413*IF(RESULTADOS!$C$17="Normal",RESULTADOS!$C$16,0)</f>
        <v>0</v>
      </c>
      <c r="F413" s="4">
        <f ca="1">IFERROR(IF(RESULTADOS!$C$17="Normal",D413,C413)*RESULTADOS!$C$18,0)</f>
        <v>0</v>
      </c>
      <c r="G413" s="4">
        <f ca="1">IFERROR(IF(RESULTADOS!$C$17="Normal",0,D413)*IF(RESULTADOS!$C$17="Normal",RESULTADOS!$C$18,RESULTADOS!$C$16),0)</f>
        <v>0</v>
      </c>
      <c r="H413" s="4">
        <f ca="1">IF(RESULTADOS!$C$17="Normal",E413,0)</f>
        <v>0</v>
      </c>
      <c r="I413" s="4">
        <f ca="1">(E413+H413+G413)*PREMISSAS!$C$60</f>
        <v>0</v>
      </c>
      <c r="J413" s="4">
        <f ca="1">D413*IF(RESULTADOS!$C$17="Normal",PREMISSAS!$C$62,0)</f>
        <v>0</v>
      </c>
      <c r="K413" s="116">
        <f ca="1">IFERROR(K412*(1+PREMISSAS!$C$18)+(E413+H413-IF(RESULTADOS!$C$17="Normal",I413,0)-J413)*IF(MONTH(B413)=12,2,1),0)</f>
        <v>0</v>
      </c>
      <c r="L413" s="116">
        <f ca="1">IFERROR((L412+G413-IF(RESULTADOS!$C$17="Normal",0,I413))*(1+PREMISSAS!$C$18)+F413,0)</f>
        <v>0</v>
      </c>
      <c r="N413" s="73">
        <f t="shared" ca="1" si="49"/>
        <v>0</v>
      </c>
      <c r="P413" s="164" t="str">
        <f t="shared" ca="1" si="50"/>
        <v/>
      </c>
      <c r="Q413" s="140" t="str">
        <f ca="1">IF(C413="","",Q412+(E413+H413-IF(RESULTADOS!$C$17="Normal",I413,0)-J413)/2+(F413+G413-IF(RESULTADOS!$C$17="Normal",0,I413)))</f>
        <v/>
      </c>
      <c r="R413" s="140" t="str">
        <f ca="1">IF(C413="","",R412+(E413+H413-IF(RESULTADOS!$C$17="Normal",I413,0)-J413)/2)</f>
        <v/>
      </c>
      <c r="S413" s="140">
        <f t="shared" ca="1" si="52"/>
        <v>0</v>
      </c>
      <c r="U413" s="164" t="str">
        <f t="shared" ca="1" si="53"/>
        <v/>
      </c>
      <c r="V413" s="164" t="str">
        <f t="shared" ca="1" si="51"/>
        <v/>
      </c>
      <c r="W413" s="140">
        <f ca="1">IF(OR((W412-13/12*Z412)*(1+PREMISSAS!$C$16)&lt;0,W412=""),0,(W412-13/12*Z412)*(1+PREMISSAS!$C$16))</f>
        <v>0</v>
      </c>
      <c r="X413" s="140">
        <f ca="1">IF(OR((X412-13/12*AA412)*(1+PREMISSAS!$C$16)&lt;0,X412=""),0,(X412-13/12*AA412)*(1+PREMISSAS!$C$16))</f>
        <v>0</v>
      </c>
      <c r="Y413" s="140">
        <f t="shared" ca="1" si="48"/>
        <v>0</v>
      </c>
      <c r="Z413" s="167">
        <f t="shared" ca="1" si="54"/>
        <v>0</v>
      </c>
      <c r="AA413" s="167">
        <f t="shared" ca="1" si="55"/>
        <v>0</v>
      </c>
    </row>
    <row r="414" spans="2:27" x14ac:dyDescent="0.25">
      <c r="B414" s="21" t="str">
        <f ca="1">IF(B413="","",IF(EOMONTH(B413,1)&gt;EOMONTH(ELEGIBILIDADE!$J$17,0),"",EOMONTH(B413,1)))</f>
        <v/>
      </c>
      <c r="C414" s="22" t="str">
        <f ca="1">IF(B414="","",IF(MONTH(B414)=1,C413*(1+PREMISSAS!$C$57),C413))</f>
        <v/>
      </c>
      <c r="D414" s="22">
        <f ca="1">IF(RESULTADOS!$C$17="Normal",IFERROR(MAX(C414-PREMISSAS!$C$13,0),0),IF(Painel!$I$23=0,0,MAX(10*PREMISSAS!$C$38,RESULTADOS!$F$17)))</f>
        <v>0</v>
      </c>
      <c r="E414" s="4">
        <f ca="1">D414*IF(RESULTADOS!$C$17="Normal",RESULTADOS!$C$16,0)</f>
        <v>0</v>
      </c>
      <c r="F414" s="4">
        <f ca="1">IFERROR(IF(RESULTADOS!$C$17="Normal",D414,C414)*RESULTADOS!$C$18,0)</f>
        <v>0</v>
      </c>
      <c r="G414" s="4">
        <f ca="1">IFERROR(IF(RESULTADOS!$C$17="Normal",0,D414)*IF(RESULTADOS!$C$17="Normal",RESULTADOS!$C$18,RESULTADOS!$C$16),0)</f>
        <v>0</v>
      </c>
      <c r="H414" s="4">
        <f ca="1">IF(RESULTADOS!$C$17="Normal",E414,0)</f>
        <v>0</v>
      </c>
      <c r="I414" s="4">
        <f ca="1">(E414+H414+G414)*PREMISSAS!$C$60</f>
        <v>0</v>
      </c>
      <c r="J414" s="4">
        <f ca="1">D414*IF(RESULTADOS!$C$17="Normal",PREMISSAS!$C$62,0)</f>
        <v>0</v>
      </c>
      <c r="K414" s="116">
        <f ca="1">IFERROR(K413*(1+PREMISSAS!$C$18)+(E414+H414-IF(RESULTADOS!$C$17="Normal",I414,0)-J414)*IF(MONTH(B414)=12,2,1),0)</f>
        <v>0</v>
      </c>
      <c r="L414" s="116">
        <f ca="1">IFERROR((L413+G414-IF(RESULTADOS!$C$17="Normal",0,I414))*(1+PREMISSAS!$C$18)+F414,0)</f>
        <v>0</v>
      </c>
      <c r="N414" s="73">
        <f t="shared" ca="1" si="49"/>
        <v>0</v>
      </c>
      <c r="P414" s="164" t="str">
        <f t="shared" ca="1" si="50"/>
        <v/>
      </c>
      <c r="Q414" s="140" t="str">
        <f ca="1">IF(C414="","",Q413+(E414+H414-IF(RESULTADOS!$C$17="Normal",I414,0)-J414)/2+(F414+G414-IF(RESULTADOS!$C$17="Normal",0,I414)))</f>
        <v/>
      </c>
      <c r="R414" s="140" t="str">
        <f ca="1">IF(C414="","",R413+(E414+H414-IF(RESULTADOS!$C$17="Normal",I414,0)-J414)/2)</f>
        <v/>
      </c>
      <c r="S414" s="140">
        <f t="shared" ca="1" si="52"/>
        <v>0</v>
      </c>
      <c r="U414" s="164" t="str">
        <f t="shared" ca="1" si="53"/>
        <v/>
      </c>
      <c r="V414" s="164" t="str">
        <f t="shared" ca="1" si="51"/>
        <v/>
      </c>
      <c r="W414" s="140">
        <f ca="1">IF(OR((W413-13/12*Z413)*(1+PREMISSAS!$C$16)&lt;0,W413=""),0,(W413-13/12*Z413)*(1+PREMISSAS!$C$16))</f>
        <v>0</v>
      </c>
      <c r="X414" s="140">
        <f ca="1">IF(OR((X413-13/12*AA413)*(1+PREMISSAS!$C$16)&lt;0,X413=""),0,(X413-13/12*AA413)*(1+PREMISSAS!$C$16))</f>
        <v>0</v>
      </c>
      <c r="Y414" s="140">
        <f t="shared" ca="1" si="48"/>
        <v>0</v>
      </c>
      <c r="Z414" s="167">
        <f t="shared" ca="1" si="54"/>
        <v>0</v>
      </c>
      <c r="AA414" s="167">
        <f t="shared" ca="1" si="55"/>
        <v>0</v>
      </c>
    </row>
    <row r="415" spans="2:27" x14ac:dyDescent="0.25">
      <c r="B415" s="21" t="str">
        <f ca="1">IF(B414="","",IF(EOMONTH(B414,1)&gt;EOMONTH(ELEGIBILIDADE!$J$17,0),"",EOMONTH(B414,1)))</f>
        <v/>
      </c>
      <c r="C415" s="22" t="str">
        <f ca="1">IF(B415="","",IF(MONTH(B415)=1,C414*(1+PREMISSAS!$C$57),C414))</f>
        <v/>
      </c>
      <c r="D415" s="22">
        <f ca="1">IF(RESULTADOS!$C$17="Normal",IFERROR(MAX(C415-PREMISSAS!$C$13,0),0),IF(Painel!$I$23=0,0,MAX(10*PREMISSAS!$C$38,RESULTADOS!$F$17)))</f>
        <v>0</v>
      </c>
      <c r="E415" s="4">
        <f ca="1">D415*IF(RESULTADOS!$C$17="Normal",RESULTADOS!$C$16,0)</f>
        <v>0</v>
      </c>
      <c r="F415" s="4">
        <f ca="1">IFERROR(IF(RESULTADOS!$C$17="Normal",D415,C415)*RESULTADOS!$C$18,0)</f>
        <v>0</v>
      </c>
      <c r="G415" s="4">
        <f ca="1">IFERROR(IF(RESULTADOS!$C$17="Normal",0,D415)*IF(RESULTADOS!$C$17="Normal",RESULTADOS!$C$18,RESULTADOS!$C$16),0)</f>
        <v>0</v>
      </c>
      <c r="H415" s="4">
        <f ca="1">IF(RESULTADOS!$C$17="Normal",E415,0)</f>
        <v>0</v>
      </c>
      <c r="I415" s="4">
        <f ca="1">(E415+H415+G415)*PREMISSAS!$C$60</f>
        <v>0</v>
      </c>
      <c r="J415" s="4">
        <f ca="1">D415*IF(RESULTADOS!$C$17="Normal",PREMISSAS!$C$62,0)</f>
        <v>0</v>
      </c>
      <c r="K415" s="116">
        <f ca="1">IFERROR(K414*(1+PREMISSAS!$C$18)+(E415+H415-IF(RESULTADOS!$C$17="Normal",I415,0)-J415)*IF(MONTH(B415)=12,2,1),0)</f>
        <v>0</v>
      </c>
      <c r="L415" s="116">
        <f ca="1">IFERROR((L414+G415-IF(RESULTADOS!$C$17="Normal",0,I415))*(1+PREMISSAS!$C$18)+F415,0)</f>
        <v>0</v>
      </c>
      <c r="N415" s="73">
        <f t="shared" ca="1" si="49"/>
        <v>0</v>
      </c>
      <c r="P415" s="164" t="str">
        <f t="shared" ca="1" si="50"/>
        <v/>
      </c>
      <c r="Q415" s="140" t="str">
        <f ca="1">IF(C415="","",Q414+(E415+H415-IF(RESULTADOS!$C$17="Normal",I415,0)-J415)/2+(F415+G415-IF(RESULTADOS!$C$17="Normal",0,I415)))</f>
        <v/>
      </c>
      <c r="R415" s="140" t="str">
        <f ca="1">IF(C415="","",R414+(E415+H415-IF(RESULTADOS!$C$17="Normal",I415,0)-J415)/2)</f>
        <v/>
      </c>
      <c r="S415" s="140">
        <f t="shared" ca="1" si="52"/>
        <v>0</v>
      </c>
      <c r="U415" s="164" t="str">
        <f t="shared" ca="1" si="53"/>
        <v/>
      </c>
      <c r="V415" s="164" t="str">
        <f t="shared" ca="1" si="51"/>
        <v/>
      </c>
      <c r="W415" s="140">
        <f ca="1">IF(OR((W414-13/12*Z414)*(1+PREMISSAS!$C$16)&lt;0,W414=""),0,(W414-13/12*Z414)*(1+PREMISSAS!$C$16))</f>
        <v>0</v>
      </c>
      <c r="X415" s="140">
        <f ca="1">IF(OR((X414-13/12*AA414)*(1+PREMISSAS!$C$16)&lt;0,X414=""),0,(X414-13/12*AA414)*(1+PREMISSAS!$C$16))</f>
        <v>0</v>
      </c>
      <c r="Y415" s="140">
        <f t="shared" ca="1" si="48"/>
        <v>0</v>
      </c>
      <c r="Z415" s="167">
        <f t="shared" ca="1" si="54"/>
        <v>0</v>
      </c>
      <c r="AA415" s="167">
        <f t="shared" ca="1" si="55"/>
        <v>0</v>
      </c>
    </row>
    <row r="416" spans="2:27" x14ac:dyDescent="0.25">
      <c r="B416" s="21" t="str">
        <f ca="1">IF(B415="","",IF(EOMONTH(B415,1)&gt;EOMONTH(ELEGIBILIDADE!$J$17,0),"",EOMONTH(B415,1)))</f>
        <v/>
      </c>
      <c r="C416" s="22" t="str">
        <f ca="1">IF(B416="","",IF(MONTH(B416)=1,C415*(1+PREMISSAS!$C$57),C415))</f>
        <v/>
      </c>
      <c r="D416" s="22">
        <f ca="1">IF(RESULTADOS!$C$17="Normal",IFERROR(MAX(C416-PREMISSAS!$C$13,0),0),IF(Painel!$I$23=0,0,MAX(10*PREMISSAS!$C$38,RESULTADOS!$F$17)))</f>
        <v>0</v>
      </c>
      <c r="E416" s="4">
        <f ca="1">D416*IF(RESULTADOS!$C$17="Normal",RESULTADOS!$C$16,0)</f>
        <v>0</v>
      </c>
      <c r="F416" s="4">
        <f ca="1">IFERROR(IF(RESULTADOS!$C$17="Normal",D416,C416)*RESULTADOS!$C$18,0)</f>
        <v>0</v>
      </c>
      <c r="G416" s="4">
        <f ca="1">IFERROR(IF(RESULTADOS!$C$17="Normal",0,D416)*IF(RESULTADOS!$C$17="Normal",RESULTADOS!$C$18,RESULTADOS!$C$16),0)</f>
        <v>0</v>
      </c>
      <c r="H416" s="4">
        <f ca="1">IF(RESULTADOS!$C$17="Normal",E416,0)</f>
        <v>0</v>
      </c>
      <c r="I416" s="4">
        <f ca="1">(E416+H416+G416)*PREMISSAS!$C$60</f>
        <v>0</v>
      </c>
      <c r="J416" s="4">
        <f ca="1">D416*IF(RESULTADOS!$C$17="Normal",PREMISSAS!$C$62,0)</f>
        <v>0</v>
      </c>
      <c r="K416" s="116">
        <f ca="1">IFERROR(K415*(1+PREMISSAS!$C$18)+(E416+H416-IF(RESULTADOS!$C$17="Normal",I416,0)-J416)*IF(MONTH(B416)=12,2,1),0)</f>
        <v>0</v>
      </c>
      <c r="L416" s="116">
        <f ca="1">IFERROR((L415+G416-IF(RESULTADOS!$C$17="Normal",0,I416))*(1+PREMISSAS!$C$18)+F416,0)</f>
        <v>0</v>
      </c>
      <c r="N416" s="73">
        <f t="shared" ca="1" si="49"/>
        <v>0</v>
      </c>
      <c r="P416" s="164" t="str">
        <f t="shared" ca="1" si="50"/>
        <v/>
      </c>
      <c r="Q416" s="140" t="str">
        <f ca="1">IF(C416="","",Q415+(E416+H416-IF(RESULTADOS!$C$17="Normal",I416,0)-J416)/2+(F416+G416-IF(RESULTADOS!$C$17="Normal",0,I416)))</f>
        <v/>
      </c>
      <c r="R416" s="140" t="str">
        <f ca="1">IF(C416="","",R415+(E416+H416-IF(RESULTADOS!$C$17="Normal",I416,0)-J416)/2)</f>
        <v/>
      </c>
      <c r="S416" s="140">
        <f t="shared" ca="1" si="52"/>
        <v>0</v>
      </c>
      <c r="U416" s="164" t="str">
        <f t="shared" ca="1" si="53"/>
        <v/>
      </c>
      <c r="V416" s="164" t="str">
        <f t="shared" ca="1" si="51"/>
        <v/>
      </c>
      <c r="W416" s="140">
        <f ca="1">IF(OR((W415-13/12*Z415)*(1+PREMISSAS!$C$16)&lt;0,W415=""),0,(W415-13/12*Z415)*(1+PREMISSAS!$C$16))</f>
        <v>0</v>
      </c>
      <c r="X416" s="140">
        <f ca="1">IF(OR((X415-13/12*AA415)*(1+PREMISSAS!$C$16)&lt;0,X415=""),0,(X415-13/12*AA415)*(1+PREMISSAS!$C$16))</f>
        <v>0</v>
      </c>
      <c r="Y416" s="140">
        <f t="shared" ca="1" si="48"/>
        <v>0</v>
      </c>
      <c r="Z416" s="167">
        <f t="shared" ca="1" si="54"/>
        <v>0</v>
      </c>
      <c r="AA416" s="167">
        <f t="shared" ca="1" si="55"/>
        <v>0</v>
      </c>
    </row>
    <row r="417" spans="2:27" x14ac:dyDescent="0.25">
      <c r="B417" s="21" t="str">
        <f ca="1">IF(B416="","",IF(EOMONTH(B416,1)&gt;EOMONTH(ELEGIBILIDADE!$J$17,0),"",EOMONTH(B416,1)))</f>
        <v/>
      </c>
      <c r="C417" s="22" t="str">
        <f ca="1">IF(B417="","",IF(MONTH(B417)=1,C416*(1+PREMISSAS!$C$57),C416))</f>
        <v/>
      </c>
      <c r="D417" s="22">
        <f ca="1">IF(RESULTADOS!$C$17="Normal",IFERROR(MAX(C417-PREMISSAS!$C$13,0),0),IF(Painel!$I$23=0,0,MAX(10*PREMISSAS!$C$38,RESULTADOS!$F$17)))</f>
        <v>0</v>
      </c>
      <c r="E417" s="4">
        <f ca="1">D417*IF(RESULTADOS!$C$17="Normal",RESULTADOS!$C$16,0)</f>
        <v>0</v>
      </c>
      <c r="F417" s="4">
        <f ca="1">IFERROR(IF(RESULTADOS!$C$17="Normal",D417,C417)*RESULTADOS!$C$18,0)</f>
        <v>0</v>
      </c>
      <c r="G417" s="4">
        <f ca="1">IFERROR(IF(RESULTADOS!$C$17="Normal",0,D417)*IF(RESULTADOS!$C$17="Normal",RESULTADOS!$C$18,RESULTADOS!$C$16),0)</f>
        <v>0</v>
      </c>
      <c r="H417" s="4">
        <f ca="1">IF(RESULTADOS!$C$17="Normal",E417,0)</f>
        <v>0</v>
      </c>
      <c r="I417" s="4">
        <f ca="1">(E417+H417+G417)*PREMISSAS!$C$60</f>
        <v>0</v>
      </c>
      <c r="J417" s="4">
        <f ca="1">D417*IF(RESULTADOS!$C$17="Normal",PREMISSAS!$C$62,0)</f>
        <v>0</v>
      </c>
      <c r="K417" s="116">
        <f ca="1">IFERROR(K416*(1+PREMISSAS!$C$18)+(E417+H417-IF(RESULTADOS!$C$17="Normal",I417,0)-J417)*IF(MONTH(B417)=12,2,1),0)</f>
        <v>0</v>
      </c>
      <c r="L417" s="116">
        <f ca="1">IFERROR((L416+G417-IF(RESULTADOS!$C$17="Normal",0,I417))*(1+PREMISSAS!$C$18)+F417,0)</f>
        <v>0</v>
      </c>
      <c r="N417" s="73">
        <f t="shared" ca="1" si="49"/>
        <v>0</v>
      </c>
      <c r="P417" s="164" t="str">
        <f t="shared" ca="1" si="50"/>
        <v/>
      </c>
      <c r="Q417" s="140" t="str">
        <f ca="1">IF(C417="","",Q416+(E417+H417-IF(RESULTADOS!$C$17="Normal",I417,0)-J417)/2+(F417+G417-IF(RESULTADOS!$C$17="Normal",0,I417)))</f>
        <v/>
      </c>
      <c r="R417" s="140" t="str">
        <f ca="1">IF(C417="","",R416+(E417+H417-IF(RESULTADOS!$C$17="Normal",I417,0)-J417)/2)</f>
        <v/>
      </c>
      <c r="S417" s="140">
        <f t="shared" ca="1" si="52"/>
        <v>0</v>
      </c>
      <c r="U417" s="164" t="str">
        <f t="shared" ca="1" si="53"/>
        <v/>
      </c>
      <c r="V417" s="164" t="str">
        <f t="shared" ca="1" si="51"/>
        <v/>
      </c>
      <c r="W417" s="140">
        <f ca="1">IF(OR((W416-13/12*Z416)*(1+PREMISSAS!$C$16)&lt;0,W416=""),0,(W416-13/12*Z416)*(1+PREMISSAS!$C$16))</f>
        <v>0</v>
      </c>
      <c r="X417" s="140">
        <f ca="1">IF(OR((X416-13/12*AA416)*(1+PREMISSAS!$C$16)&lt;0,X416=""),0,(X416-13/12*AA416)*(1+PREMISSAS!$C$16))</f>
        <v>0</v>
      </c>
      <c r="Y417" s="140">
        <f t="shared" ca="1" si="48"/>
        <v>0</v>
      </c>
      <c r="Z417" s="167">
        <f t="shared" ca="1" si="54"/>
        <v>0</v>
      </c>
      <c r="AA417" s="167">
        <f t="shared" ca="1" si="55"/>
        <v>0</v>
      </c>
    </row>
    <row r="418" spans="2:27" x14ac:dyDescent="0.25">
      <c r="B418" s="21" t="str">
        <f ca="1">IF(B417="","",IF(EOMONTH(B417,1)&gt;EOMONTH(ELEGIBILIDADE!$J$17,0),"",EOMONTH(B417,1)))</f>
        <v/>
      </c>
      <c r="C418" s="22" t="str">
        <f ca="1">IF(B418="","",IF(MONTH(B418)=1,C417*(1+PREMISSAS!$C$57),C417))</f>
        <v/>
      </c>
      <c r="D418" s="22">
        <f ca="1">IF(RESULTADOS!$C$17="Normal",IFERROR(MAX(C418-PREMISSAS!$C$13,0),0),IF(Painel!$I$23=0,0,MAX(10*PREMISSAS!$C$38,RESULTADOS!$F$17)))</f>
        <v>0</v>
      </c>
      <c r="E418" s="4">
        <f ca="1">D418*IF(RESULTADOS!$C$17="Normal",RESULTADOS!$C$16,0)</f>
        <v>0</v>
      </c>
      <c r="F418" s="4">
        <f ca="1">IFERROR(IF(RESULTADOS!$C$17="Normal",D418,C418)*RESULTADOS!$C$18,0)</f>
        <v>0</v>
      </c>
      <c r="G418" s="4">
        <f ca="1">IFERROR(IF(RESULTADOS!$C$17="Normal",0,D418)*IF(RESULTADOS!$C$17="Normal",RESULTADOS!$C$18,RESULTADOS!$C$16),0)</f>
        <v>0</v>
      </c>
      <c r="H418" s="4">
        <f ca="1">IF(RESULTADOS!$C$17="Normal",E418,0)</f>
        <v>0</v>
      </c>
      <c r="I418" s="4">
        <f ca="1">(E418+H418+G418)*PREMISSAS!$C$60</f>
        <v>0</v>
      </c>
      <c r="J418" s="4">
        <f ca="1">D418*IF(RESULTADOS!$C$17="Normal",PREMISSAS!$C$62,0)</f>
        <v>0</v>
      </c>
      <c r="K418" s="116">
        <f ca="1">IFERROR(K417*(1+PREMISSAS!$C$18)+(E418+H418-IF(RESULTADOS!$C$17="Normal",I418,0)-J418)*IF(MONTH(B418)=12,2,1),0)</f>
        <v>0</v>
      </c>
      <c r="L418" s="116">
        <f ca="1">IFERROR((L417+G418-IF(RESULTADOS!$C$17="Normal",0,I418))*(1+PREMISSAS!$C$18)+F418,0)</f>
        <v>0</v>
      </c>
      <c r="N418" s="73">
        <f t="shared" ca="1" si="49"/>
        <v>0</v>
      </c>
      <c r="P418" s="164" t="str">
        <f t="shared" ca="1" si="50"/>
        <v/>
      </c>
      <c r="Q418" s="140" t="str">
        <f ca="1">IF(C418="","",Q417+(E418+H418-IF(RESULTADOS!$C$17="Normal",I418,0)-J418)/2+(F418+G418-IF(RESULTADOS!$C$17="Normal",0,I418)))</f>
        <v/>
      </c>
      <c r="R418" s="140" t="str">
        <f ca="1">IF(C418="","",R417+(E418+H418-IF(RESULTADOS!$C$17="Normal",I418,0)-J418)/2)</f>
        <v/>
      </c>
      <c r="S418" s="140">
        <f t="shared" ca="1" si="52"/>
        <v>0</v>
      </c>
      <c r="U418" s="164" t="str">
        <f t="shared" ca="1" si="53"/>
        <v/>
      </c>
      <c r="V418" s="164" t="str">
        <f t="shared" ca="1" si="51"/>
        <v/>
      </c>
      <c r="W418" s="140">
        <f ca="1">IF(OR((W417-13/12*Z417)*(1+PREMISSAS!$C$16)&lt;0,W417=""),0,(W417-13/12*Z417)*(1+PREMISSAS!$C$16))</f>
        <v>0</v>
      </c>
      <c r="X418" s="140">
        <f ca="1">IF(OR((X417-13/12*AA417)*(1+PREMISSAS!$C$16)&lt;0,X417=""),0,(X417-13/12*AA417)*(1+PREMISSAS!$C$16))</f>
        <v>0</v>
      </c>
      <c r="Y418" s="140">
        <f t="shared" ca="1" si="48"/>
        <v>0</v>
      </c>
      <c r="Z418" s="167">
        <f t="shared" ca="1" si="54"/>
        <v>0</v>
      </c>
      <c r="AA418" s="167">
        <f t="shared" ca="1" si="55"/>
        <v>0</v>
      </c>
    </row>
    <row r="419" spans="2:27" x14ac:dyDescent="0.25">
      <c r="B419" s="21" t="str">
        <f ca="1">IF(B418="","",IF(EOMONTH(B418,1)&gt;EOMONTH(ELEGIBILIDADE!$J$17,0),"",EOMONTH(B418,1)))</f>
        <v/>
      </c>
      <c r="C419" s="22" t="str">
        <f ca="1">IF(B419="","",IF(MONTH(B419)=1,C418*(1+PREMISSAS!$C$57),C418))</f>
        <v/>
      </c>
      <c r="D419" s="22">
        <f ca="1">IF(RESULTADOS!$C$17="Normal",IFERROR(MAX(C419-PREMISSAS!$C$13,0),0),IF(Painel!$I$23=0,0,MAX(10*PREMISSAS!$C$38,RESULTADOS!$F$17)))</f>
        <v>0</v>
      </c>
      <c r="E419" s="4">
        <f ca="1">D419*IF(RESULTADOS!$C$17="Normal",RESULTADOS!$C$16,0)</f>
        <v>0</v>
      </c>
      <c r="F419" s="4">
        <f ca="1">IFERROR(IF(RESULTADOS!$C$17="Normal",D419,C419)*RESULTADOS!$C$18,0)</f>
        <v>0</v>
      </c>
      <c r="G419" s="4">
        <f ca="1">IFERROR(IF(RESULTADOS!$C$17="Normal",0,D419)*IF(RESULTADOS!$C$17="Normal",RESULTADOS!$C$18,RESULTADOS!$C$16),0)</f>
        <v>0</v>
      </c>
      <c r="H419" s="4">
        <f ca="1">IF(RESULTADOS!$C$17="Normal",E419,0)</f>
        <v>0</v>
      </c>
      <c r="I419" s="4">
        <f ca="1">(E419+H419+G419)*PREMISSAS!$C$60</f>
        <v>0</v>
      </c>
      <c r="J419" s="4">
        <f ca="1">D419*IF(RESULTADOS!$C$17="Normal",PREMISSAS!$C$62,0)</f>
        <v>0</v>
      </c>
      <c r="K419" s="116">
        <f ca="1">IFERROR(K418*(1+PREMISSAS!$C$18)+(E419+H419-IF(RESULTADOS!$C$17="Normal",I419,0)-J419)*IF(MONTH(B419)=12,2,1),0)</f>
        <v>0</v>
      </c>
      <c r="L419" s="116">
        <f ca="1">IFERROR((L418+G419-IF(RESULTADOS!$C$17="Normal",0,I419))*(1+PREMISSAS!$C$18)+F419,0)</f>
        <v>0</v>
      </c>
      <c r="N419" s="73">
        <f t="shared" ca="1" si="49"/>
        <v>0</v>
      </c>
      <c r="P419" s="164" t="str">
        <f t="shared" ca="1" si="50"/>
        <v/>
      </c>
      <c r="Q419" s="140" t="str">
        <f ca="1">IF(C419="","",Q418+(E419+H419-IF(RESULTADOS!$C$17="Normal",I419,0)-J419)/2+(F419+G419-IF(RESULTADOS!$C$17="Normal",0,I419)))</f>
        <v/>
      </c>
      <c r="R419" s="140" t="str">
        <f ca="1">IF(C419="","",R418+(E419+H419-IF(RESULTADOS!$C$17="Normal",I419,0)-J419)/2)</f>
        <v/>
      </c>
      <c r="S419" s="140">
        <f t="shared" ca="1" si="52"/>
        <v>0</v>
      </c>
      <c r="U419" s="164" t="str">
        <f t="shared" ca="1" si="53"/>
        <v/>
      </c>
      <c r="V419" s="164" t="str">
        <f t="shared" ca="1" si="51"/>
        <v/>
      </c>
      <c r="W419" s="140">
        <f ca="1">IF(OR((W418-13/12*Z418)*(1+PREMISSAS!$C$16)&lt;0,W418=""),0,(W418-13/12*Z418)*(1+PREMISSAS!$C$16))</f>
        <v>0</v>
      </c>
      <c r="X419" s="140">
        <f ca="1">IF(OR((X418-13/12*AA418)*(1+PREMISSAS!$C$16)&lt;0,X418=""),0,(X418-13/12*AA418)*(1+PREMISSAS!$C$16))</f>
        <v>0</v>
      </c>
      <c r="Y419" s="140">
        <f t="shared" ca="1" si="48"/>
        <v>0</v>
      </c>
      <c r="Z419" s="167">
        <f t="shared" ca="1" si="54"/>
        <v>0</v>
      </c>
      <c r="AA419" s="167">
        <f t="shared" ca="1" si="55"/>
        <v>0</v>
      </c>
    </row>
    <row r="420" spans="2:27" x14ac:dyDescent="0.25">
      <c r="B420" s="21" t="str">
        <f ca="1">IF(B419="","",IF(EOMONTH(B419,1)&gt;EOMONTH(ELEGIBILIDADE!$J$17,0),"",EOMONTH(B419,1)))</f>
        <v/>
      </c>
      <c r="C420" s="22" t="str">
        <f ca="1">IF(B420="","",IF(MONTH(B420)=1,C419*(1+PREMISSAS!$C$57),C419))</f>
        <v/>
      </c>
      <c r="D420" s="22">
        <f ca="1">IF(RESULTADOS!$C$17="Normal",IFERROR(MAX(C420-PREMISSAS!$C$13,0),0),IF(Painel!$I$23=0,0,MAX(10*PREMISSAS!$C$38,RESULTADOS!$F$17)))</f>
        <v>0</v>
      </c>
      <c r="E420" s="4">
        <f ca="1">D420*IF(RESULTADOS!$C$17="Normal",RESULTADOS!$C$16,0)</f>
        <v>0</v>
      </c>
      <c r="F420" s="4">
        <f ca="1">IFERROR(IF(RESULTADOS!$C$17="Normal",D420,C420)*RESULTADOS!$C$18,0)</f>
        <v>0</v>
      </c>
      <c r="G420" s="4">
        <f ca="1">IFERROR(IF(RESULTADOS!$C$17="Normal",0,D420)*IF(RESULTADOS!$C$17="Normal",RESULTADOS!$C$18,RESULTADOS!$C$16),0)</f>
        <v>0</v>
      </c>
      <c r="H420" s="4">
        <f ca="1">IF(RESULTADOS!$C$17="Normal",E420,0)</f>
        <v>0</v>
      </c>
      <c r="I420" s="4">
        <f ca="1">(E420+H420+G420)*PREMISSAS!$C$60</f>
        <v>0</v>
      </c>
      <c r="J420" s="4">
        <f ca="1">D420*IF(RESULTADOS!$C$17="Normal",PREMISSAS!$C$62,0)</f>
        <v>0</v>
      </c>
      <c r="K420" s="116">
        <f ca="1">IFERROR(K419*(1+PREMISSAS!$C$18)+(E420+H420-IF(RESULTADOS!$C$17="Normal",I420,0)-J420)*IF(MONTH(B420)=12,2,1),0)</f>
        <v>0</v>
      </c>
      <c r="L420" s="116">
        <f ca="1">IFERROR((L419+G420-IF(RESULTADOS!$C$17="Normal",0,I420))*(1+PREMISSAS!$C$18)+F420,0)</f>
        <v>0</v>
      </c>
      <c r="N420" s="73">
        <f t="shared" ca="1" si="49"/>
        <v>0</v>
      </c>
      <c r="P420" s="164" t="str">
        <f t="shared" ca="1" si="50"/>
        <v/>
      </c>
      <c r="Q420" s="140" t="str">
        <f ca="1">IF(C420="","",Q419+(E420+H420-IF(RESULTADOS!$C$17="Normal",I420,0)-J420)/2+(F420+G420-IF(RESULTADOS!$C$17="Normal",0,I420)))</f>
        <v/>
      </c>
      <c r="R420" s="140" t="str">
        <f ca="1">IF(C420="","",R419+(E420+H420-IF(RESULTADOS!$C$17="Normal",I420,0)-J420)/2)</f>
        <v/>
      </c>
      <c r="S420" s="140">
        <f t="shared" ca="1" si="52"/>
        <v>0</v>
      </c>
      <c r="U420" s="164" t="str">
        <f t="shared" ca="1" si="53"/>
        <v/>
      </c>
      <c r="V420" s="164" t="str">
        <f t="shared" ca="1" si="51"/>
        <v/>
      </c>
      <c r="W420" s="140">
        <f ca="1">IF(OR((W419-13/12*Z419)*(1+PREMISSAS!$C$16)&lt;0,W419=""),0,(W419-13/12*Z419)*(1+PREMISSAS!$C$16))</f>
        <v>0</v>
      </c>
      <c r="X420" s="140">
        <f ca="1">IF(OR((X419-13/12*AA419)*(1+PREMISSAS!$C$16)&lt;0,X419=""),0,(X419-13/12*AA419)*(1+PREMISSAS!$C$16))</f>
        <v>0</v>
      </c>
      <c r="Y420" s="140">
        <f t="shared" ca="1" si="48"/>
        <v>0</v>
      </c>
      <c r="Z420" s="167">
        <f t="shared" ca="1" si="54"/>
        <v>0</v>
      </c>
      <c r="AA420" s="167">
        <f t="shared" ca="1" si="55"/>
        <v>0</v>
      </c>
    </row>
    <row r="421" spans="2:27" x14ac:dyDescent="0.25">
      <c r="B421" s="21" t="str">
        <f ca="1">IF(B420="","",IF(EOMONTH(B420,1)&gt;EOMONTH(ELEGIBILIDADE!$J$17,0),"",EOMONTH(B420,1)))</f>
        <v/>
      </c>
      <c r="C421" s="22" t="str">
        <f ca="1">IF(B421="","",IF(MONTH(B421)=1,C420*(1+PREMISSAS!$C$57),C420))</f>
        <v/>
      </c>
      <c r="D421" s="22">
        <f ca="1">IF(RESULTADOS!$C$17="Normal",IFERROR(MAX(C421-PREMISSAS!$C$13,0),0),IF(Painel!$I$23=0,0,MAX(10*PREMISSAS!$C$38,RESULTADOS!$F$17)))</f>
        <v>0</v>
      </c>
      <c r="E421" s="4">
        <f ca="1">D421*IF(RESULTADOS!$C$17="Normal",RESULTADOS!$C$16,0)</f>
        <v>0</v>
      </c>
      <c r="F421" s="4">
        <f ca="1">IFERROR(IF(RESULTADOS!$C$17="Normal",D421,C421)*RESULTADOS!$C$18,0)</f>
        <v>0</v>
      </c>
      <c r="G421" s="4">
        <f ca="1">IFERROR(IF(RESULTADOS!$C$17="Normal",0,D421)*IF(RESULTADOS!$C$17="Normal",RESULTADOS!$C$18,RESULTADOS!$C$16),0)</f>
        <v>0</v>
      </c>
      <c r="H421" s="4">
        <f ca="1">IF(RESULTADOS!$C$17="Normal",E421,0)</f>
        <v>0</v>
      </c>
      <c r="I421" s="4">
        <f ca="1">(E421+H421+G421)*PREMISSAS!$C$60</f>
        <v>0</v>
      </c>
      <c r="J421" s="4">
        <f ca="1">D421*IF(RESULTADOS!$C$17="Normal",PREMISSAS!$C$62,0)</f>
        <v>0</v>
      </c>
      <c r="K421" s="116">
        <f ca="1">IFERROR(K420*(1+PREMISSAS!$C$18)+(E421+H421-IF(RESULTADOS!$C$17="Normal",I421,0)-J421)*IF(MONTH(B421)=12,2,1),0)</f>
        <v>0</v>
      </c>
      <c r="L421" s="116">
        <f ca="1">IFERROR((L420+G421-IF(RESULTADOS!$C$17="Normal",0,I421))*(1+PREMISSAS!$C$18)+F421,0)</f>
        <v>0</v>
      </c>
      <c r="N421" s="73">
        <f t="shared" ca="1" si="49"/>
        <v>0</v>
      </c>
      <c r="P421" s="164" t="str">
        <f t="shared" ca="1" si="50"/>
        <v/>
      </c>
      <c r="Q421" s="140" t="str">
        <f ca="1">IF(C421="","",Q420+(E421+H421-IF(RESULTADOS!$C$17="Normal",I421,0)-J421)/2+(F421+G421-IF(RESULTADOS!$C$17="Normal",0,I421)))</f>
        <v/>
      </c>
      <c r="R421" s="140" t="str">
        <f ca="1">IF(C421="","",R420+(E421+H421-IF(RESULTADOS!$C$17="Normal",I421,0)-J421)/2)</f>
        <v/>
      </c>
      <c r="S421" s="140">
        <f t="shared" ca="1" si="52"/>
        <v>0</v>
      </c>
      <c r="U421" s="164" t="str">
        <f t="shared" ca="1" si="53"/>
        <v/>
      </c>
      <c r="V421" s="164" t="str">
        <f t="shared" ca="1" si="51"/>
        <v/>
      </c>
      <c r="W421" s="140">
        <f ca="1">IF(OR((W420-13/12*Z420)*(1+PREMISSAS!$C$16)&lt;0,W420=""),0,(W420-13/12*Z420)*(1+PREMISSAS!$C$16))</f>
        <v>0</v>
      </c>
      <c r="X421" s="140">
        <f ca="1">IF(OR((X420-13/12*AA420)*(1+PREMISSAS!$C$16)&lt;0,X420=""),0,(X420-13/12*AA420)*(1+PREMISSAS!$C$16))</f>
        <v>0</v>
      </c>
      <c r="Y421" s="140">
        <f t="shared" ca="1" si="48"/>
        <v>0</v>
      </c>
      <c r="Z421" s="167">
        <f t="shared" ca="1" si="54"/>
        <v>0</v>
      </c>
      <c r="AA421" s="167">
        <f t="shared" ca="1" si="55"/>
        <v>0</v>
      </c>
    </row>
    <row r="422" spans="2:27" x14ac:dyDescent="0.25">
      <c r="B422" s="21" t="str">
        <f ca="1">IF(B421="","",IF(EOMONTH(B421,1)&gt;EOMONTH(ELEGIBILIDADE!$J$17,0),"",EOMONTH(B421,1)))</f>
        <v/>
      </c>
      <c r="C422" s="22" t="str">
        <f ca="1">IF(B422="","",IF(MONTH(B422)=1,C421*(1+PREMISSAS!$C$57),C421))</f>
        <v/>
      </c>
      <c r="D422" s="22">
        <f ca="1">IF(RESULTADOS!$C$17="Normal",IFERROR(MAX(C422-PREMISSAS!$C$13,0),0),IF(Painel!$I$23=0,0,MAX(10*PREMISSAS!$C$38,RESULTADOS!$F$17)))</f>
        <v>0</v>
      </c>
      <c r="E422" s="4">
        <f ca="1">D422*IF(RESULTADOS!$C$17="Normal",RESULTADOS!$C$16,0)</f>
        <v>0</v>
      </c>
      <c r="F422" s="4">
        <f ca="1">IFERROR(IF(RESULTADOS!$C$17="Normal",D422,C422)*RESULTADOS!$C$18,0)</f>
        <v>0</v>
      </c>
      <c r="G422" s="4">
        <f ca="1">IFERROR(IF(RESULTADOS!$C$17="Normal",0,D422)*IF(RESULTADOS!$C$17="Normal",RESULTADOS!$C$18,RESULTADOS!$C$16),0)</f>
        <v>0</v>
      </c>
      <c r="H422" s="4">
        <f ca="1">IF(RESULTADOS!$C$17="Normal",E422,0)</f>
        <v>0</v>
      </c>
      <c r="I422" s="4">
        <f ca="1">(E422+H422+G422)*PREMISSAS!$C$60</f>
        <v>0</v>
      </c>
      <c r="J422" s="4">
        <f ca="1">D422*IF(RESULTADOS!$C$17="Normal",PREMISSAS!$C$62,0)</f>
        <v>0</v>
      </c>
      <c r="K422" s="116">
        <f ca="1">IFERROR(K421*(1+PREMISSAS!$C$18)+(E422+H422-IF(RESULTADOS!$C$17="Normal",I422,0)-J422)*IF(MONTH(B422)=12,2,1),0)</f>
        <v>0</v>
      </c>
      <c r="L422" s="116">
        <f ca="1">IFERROR((L421+G422-IF(RESULTADOS!$C$17="Normal",0,I422))*(1+PREMISSAS!$C$18)+F422,0)</f>
        <v>0</v>
      </c>
      <c r="N422" s="73">
        <f t="shared" ca="1" si="49"/>
        <v>0</v>
      </c>
      <c r="P422" s="164" t="str">
        <f t="shared" ca="1" si="50"/>
        <v/>
      </c>
      <c r="Q422" s="140" t="str">
        <f ca="1">IF(C422="","",Q421+(E422+H422-IF(RESULTADOS!$C$17="Normal",I422,0)-J422)/2+(F422+G422-IF(RESULTADOS!$C$17="Normal",0,I422)))</f>
        <v/>
      </c>
      <c r="R422" s="140" t="str">
        <f ca="1">IF(C422="","",R421+(E422+H422-IF(RESULTADOS!$C$17="Normal",I422,0)-J422)/2)</f>
        <v/>
      </c>
      <c r="S422" s="140">
        <f t="shared" ca="1" si="52"/>
        <v>0</v>
      </c>
      <c r="U422" s="164" t="str">
        <f t="shared" ca="1" si="53"/>
        <v/>
      </c>
      <c r="V422" s="164" t="str">
        <f t="shared" ca="1" si="51"/>
        <v/>
      </c>
      <c r="W422" s="140">
        <f ca="1">IF(OR((W421-13/12*Z421)*(1+PREMISSAS!$C$16)&lt;0,W421=""),0,(W421-13/12*Z421)*(1+PREMISSAS!$C$16))</f>
        <v>0</v>
      </c>
      <c r="X422" s="140">
        <f ca="1">IF(OR((X421-13/12*AA421)*(1+PREMISSAS!$C$16)&lt;0,X421=""),0,(X421-13/12*AA421)*(1+PREMISSAS!$C$16))</f>
        <v>0</v>
      </c>
      <c r="Y422" s="140">
        <f t="shared" ca="1" si="48"/>
        <v>0</v>
      </c>
      <c r="Z422" s="167">
        <f t="shared" ca="1" si="54"/>
        <v>0</v>
      </c>
      <c r="AA422" s="167">
        <f t="shared" ca="1" si="55"/>
        <v>0</v>
      </c>
    </row>
    <row r="423" spans="2:27" x14ac:dyDescent="0.25">
      <c r="B423" s="21" t="str">
        <f ca="1">IF(B422="","",IF(EOMONTH(B422,1)&gt;EOMONTH(ELEGIBILIDADE!$J$17,0),"",EOMONTH(B422,1)))</f>
        <v/>
      </c>
      <c r="C423" s="22" t="str">
        <f ca="1">IF(B423="","",IF(MONTH(B423)=1,C422*(1+PREMISSAS!$C$57),C422))</f>
        <v/>
      </c>
      <c r="D423" s="22">
        <f ca="1">IF(RESULTADOS!$C$17="Normal",IFERROR(MAX(C423-PREMISSAS!$C$13,0),0),IF(Painel!$I$23=0,0,MAX(10*PREMISSAS!$C$38,RESULTADOS!$F$17)))</f>
        <v>0</v>
      </c>
      <c r="E423" s="4">
        <f ca="1">D423*IF(RESULTADOS!$C$17="Normal",RESULTADOS!$C$16,0)</f>
        <v>0</v>
      </c>
      <c r="F423" s="4">
        <f ca="1">IFERROR(IF(RESULTADOS!$C$17="Normal",D423,C423)*RESULTADOS!$C$18,0)</f>
        <v>0</v>
      </c>
      <c r="G423" s="4">
        <f ca="1">IFERROR(IF(RESULTADOS!$C$17="Normal",0,D423)*IF(RESULTADOS!$C$17="Normal",RESULTADOS!$C$18,RESULTADOS!$C$16),0)</f>
        <v>0</v>
      </c>
      <c r="H423" s="4">
        <f ca="1">IF(RESULTADOS!$C$17="Normal",E423,0)</f>
        <v>0</v>
      </c>
      <c r="I423" s="4">
        <f ca="1">(E423+H423+G423)*PREMISSAS!$C$60</f>
        <v>0</v>
      </c>
      <c r="J423" s="4">
        <f ca="1">D423*IF(RESULTADOS!$C$17="Normal",PREMISSAS!$C$62,0)</f>
        <v>0</v>
      </c>
      <c r="K423" s="116">
        <f ca="1">IFERROR(K422*(1+PREMISSAS!$C$18)+(E423+H423-IF(RESULTADOS!$C$17="Normal",I423,0)-J423)*IF(MONTH(B423)=12,2,1),0)</f>
        <v>0</v>
      </c>
      <c r="L423" s="116">
        <f ca="1">IFERROR((L422+G423-IF(RESULTADOS!$C$17="Normal",0,I423))*(1+PREMISSAS!$C$18)+F423,0)</f>
        <v>0</v>
      </c>
      <c r="N423" s="73">
        <f t="shared" ca="1" si="49"/>
        <v>0</v>
      </c>
      <c r="P423" s="164" t="str">
        <f t="shared" ca="1" si="50"/>
        <v/>
      </c>
      <c r="Q423" s="140" t="str">
        <f ca="1">IF(C423="","",Q422+(E423+H423-IF(RESULTADOS!$C$17="Normal",I423,0)-J423)/2+(F423+G423-IF(RESULTADOS!$C$17="Normal",0,I423)))</f>
        <v/>
      </c>
      <c r="R423" s="140" t="str">
        <f ca="1">IF(C423="","",R422+(E423+H423-IF(RESULTADOS!$C$17="Normal",I423,0)-J423)/2)</f>
        <v/>
      </c>
      <c r="S423" s="140">
        <f t="shared" ca="1" si="52"/>
        <v>0</v>
      </c>
      <c r="U423" s="164" t="str">
        <f t="shared" ca="1" si="53"/>
        <v/>
      </c>
      <c r="V423" s="164" t="str">
        <f t="shared" ca="1" si="51"/>
        <v/>
      </c>
      <c r="W423" s="140">
        <f ca="1">IF(OR((W422-13/12*Z422)*(1+PREMISSAS!$C$16)&lt;0,W422=""),0,(W422-13/12*Z422)*(1+PREMISSAS!$C$16))</f>
        <v>0</v>
      </c>
      <c r="X423" s="140">
        <f ca="1">IF(OR((X422-13/12*AA422)*(1+PREMISSAS!$C$16)&lt;0,X422=""),0,(X422-13/12*AA422)*(1+PREMISSAS!$C$16))</f>
        <v>0</v>
      </c>
      <c r="Y423" s="140">
        <f t="shared" ca="1" si="48"/>
        <v>0</v>
      </c>
      <c r="Z423" s="167">
        <f t="shared" ca="1" si="54"/>
        <v>0</v>
      </c>
      <c r="AA423" s="167">
        <f t="shared" ca="1" si="55"/>
        <v>0</v>
      </c>
    </row>
    <row r="424" spans="2:27" x14ac:dyDescent="0.25">
      <c r="B424" s="21" t="str">
        <f ca="1">IF(B423="","",IF(EOMONTH(B423,1)&gt;EOMONTH(ELEGIBILIDADE!$J$17,0),"",EOMONTH(B423,1)))</f>
        <v/>
      </c>
      <c r="C424" s="22" t="str">
        <f ca="1">IF(B424="","",IF(MONTH(B424)=1,C423*(1+PREMISSAS!$C$57),C423))</f>
        <v/>
      </c>
      <c r="D424" s="22">
        <f ca="1">IF(RESULTADOS!$C$17="Normal",IFERROR(MAX(C424-PREMISSAS!$C$13,0),0),IF(Painel!$I$23=0,0,MAX(10*PREMISSAS!$C$38,RESULTADOS!$F$17)))</f>
        <v>0</v>
      </c>
      <c r="E424" s="4">
        <f ca="1">D424*IF(RESULTADOS!$C$17="Normal",RESULTADOS!$C$16,0)</f>
        <v>0</v>
      </c>
      <c r="F424" s="4">
        <f ca="1">IFERROR(IF(RESULTADOS!$C$17="Normal",D424,C424)*RESULTADOS!$C$18,0)</f>
        <v>0</v>
      </c>
      <c r="G424" s="4">
        <f ca="1">IFERROR(IF(RESULTADOS!$C$17="Normal",0,D424)*IF(RESULTADOS!$C$17="Normal",RESULTADOS!$C$18,RESULTADOS!$C$16),0)</f>
        <v>0</v>
      </c>
      <c r="H424" s="4">
        <f ca="1">IF(RESULTADOS!$C$17="Normal",E424,0)</f>
        <v>0</v>
      </c>
      <c r="I424" s="4">
        <f ca="1">(E424+H424+G424)*PREMISSAS!$C$60</f>
        <v>0</v>
      </c>
      <c r="J424" s="4">
        <f ca="1">D424*IF(RESULTADOS!$C$17="Normal",PREMISSAS!$C$62,0)</f>
        <v>0</v>
      </c>
      <c r="K424" s="116">
        <f ca="1">IFERROR(K423*(1+PREMISSAS!$C$18)+(E424+H424-IF(RESULTADOS!$C$17="Normal",I424,0)-J424)*IF(MONTH(B424)=12,2,1),0)</f>
        <v>0</v>
      </c>
      <c r="L424" s="116">
        <f ca="1">IFERROR((L423+G424-IF(RESULTADOS!$C$17="Normal",0,I424))*(1+PREMISSAS!$C$18)+F424,0)</f>
        <v>0</v>
      </c>
      <c r="N424" s="73">
        <f t="shared" ca="1" si="49"/>
        <v>0</v>
      </c>
      <c r="P424" s="164" t="str">
        <f t="shared" ca="1" si="50"/>
        <v/>
      </c>
      <c r="Q424" s="140" t="str">
        <f ca="1">IF(C424="","",Q423+(E424+H424-IF(RESULTADOS!$C$17="Normal",I424,0)-J424)/2+(F424+G424-IF(RESULTADOS!$C$17="Normal",0,I424)))</f>
        <v/>
      </c>
      <c r="R424" s="140" t="str">
        <f ca="1">IF(C424="","",R423+(E424+H424-IF(RESULTADOS!$C$17="Normal",I424,0)-J424)/2)</f>
        <v/>
      </c>
      <c r="S424" s="140">
        <f t="shared" ca="1" si="52"/>
        <v>0</v>
      </c>
      <c r="U424" s="164" t="str">
        <f t="shared" ca="1" si="53"/>
        <v/>
      </c>
      <c r="V424" s="164" t="str">
        <f t="shared" ca="1" si="51"/>
        <v/>
      </c>
      <c r="W424" s="140">
        <f ca="1">IF(OR((W423-13/12*Z423)*(1+PREMISSAS!$C$16)&lt;0,W423=""),0,(W423-13/12*Z423)*(1+PREMISSAS!$C$16))</f>
        <v>0</v>
      </c>
      <c r="X424" s="140">
        <f ca="1">IF(OR((X423-13/12*AA423)*(1+PREMISSAS!$C$16)&lt;0,X423=""),0,(X423-13/12*AA423)*(1+PREMISSAS!$C$16))</f>
        <v>0</v>
      </c>
      <c r="Y424" s="140">
        <f t="shared" ca="1" si="48"/>
        <v>0</v>
      </c>
      <c r="Z424" s="167">
        <f t="shared" ca="1" si="54"/>
        <v>0</v>
      </c>
      <c r="AA424" s="167">
        <f t="shared" ca="1" si="55"/>
        <v>0</v>
      </c>
    </row>
    <row r="425" spans="2:27" x14ac:dyDescent="0.25">
      <c r="B425" s="21" t="str">
        <f ca="1">IF(B424="","",IF(EOMONTH(B424,1)&gt;EOMONTH(ELEGIBILIDADE!$J$17,0),"",EOMONTH(B424,1)))</f>
        <v/>
      </c>
      <c r="C425" s="22" t="str">
        <f ca="1">IF(B425="","",IF(MONTH(B425)=1,C424*(1+PREMISSAS!$C$57),C424))</f>
        <v/>
      </c>
      <c r="D425" s="22">
        <f ca="1">IF(RESULTADOS!$C$17="Normal",IFERROR(MAX(C425-PREMISSAS!$C$13,0),0),IF(Painel!$I$23=0,0,MAX(10*PREMISSAS!$C$38,RESULTADOS!$F$17)))</f>
        <v>0</v>
      </c>
      <c r="E425" s="4">
        <f ca="1">D425*IF(RESULTADOS!$C$17="Normal",RESULTADOS!$C$16,0)</f>
        <v>0</v>
      </c>
      <c r="F425" s="4">
        <f ca="1">IFERROR(IF(RESULTADOS!$C$17="Normal",D425,C425)*RESULTADOS!$C$18,0)</f>
        <v>0</v>
      </c>
      <c r="G425" s="4">
        <f ca="1">IFERROR(IF(RESULTADOS!$C$17="Normal",0,D425)*IF(RESULTADOS!$C$17="Normal",RESULTADOS!$C$18,RESULTADOS!$C$16),0)</f>
        <v>0</v>
      </c>
      <c r="H425" s="4">
        <f ca="1">IF(RESULTADOS!$C$17="Normal",E425,0)</f>
        <v>0</v>
      </c>
      <c r="I425" s="4">
        <f ca="1">(E425+H425+G425)*PREMISSAS!$C$60</f>
        <v>0</v>
      </c>
      <c r="J425" s="4">
        <f ca="1">D425*IF(RESULTADOS!$C$17="Normal",PREMISSAS!$C$62,0)</f>
        <v>0</v>
      </c>
      <c r="K425" s="116">
        <f ca="1">IFERROR(K424*(1+PREMISSAS!$C$18)+(E425+H425-IF(RESULTADOS!$C$17="Normal",I425,0)-J425)*IF(MONTH(B425)=12,2,1),0)</f>
        <v>0</v>
      </c>
      <c r="L425" s="116">
        <f ca="1">IFERROR((L424+G425-IF(RESULTADOS!$C$17="Normal",0,I425))*(1+PREMISSAS!$C$18)+F425,0)</f>
        <v>0</v>
      </c>
      <c r="N425" s="73">
        <f t="shared" ca="1" si="49"/>
        <v>0</v>
      </c>
      <c r="P425" s="164" t="str">
        <f t="shared" ca="1" si="50"/>
        <v/>
      </c>
      <c r="Q425" s="140" t="str">
        <f ca="1">IF(C425="","",Q424+(E425+H425-IF(RESULTADOS!$C$17="Normal",I425,0)-J425)/2+(F425+G425-IF(RESULTADOS!$C$17="Normal",0,I425)))</f>
        <v/>
      </c>
      <c r="R425" s="140" t="str">
        <f ca="1">IF(C425="","",R424+(E425+H425-IF(RESULTADOS!$C$17="Normal",I425,0)-J425)/2)</f>
        <v/>
      </c>
      <c r="S425" s="140">
        <f t="shared" ca="1" si="52"/>
        <v>0</v>
      </c>
      <c r="U425" s="164" t="str">
        <f t="shared" ca="1" si="53"/>
        <v/>
      </c>
      <c r="V425" s="164" t="str">
        <f t="shared" ca="1" si="51"/>
        <v/>
      </c>
      <c r="W425" s="140">
        <f ca="1">IF(OR((W424-13/12*Z424)*(1+PREMISSAS!$C$16)&lt;0,W424=""),0,(W424-13/12*Z424)*(1+PREMISSAS!$C$16))</f>
        <v>0</v>
      </c>
      <c r="X425" s="140">
        <f ca="1">IF(OR((X424-13/12*AA424)*(1+PREMISSAS!$C$16)&lt;0,X424=""),0,(X424-13/12*AA424)*(1+PREMISSAS!$C$16))</f>
        <v>0</v>
      </c>
      <c r="Y425" s="140">
        <f t="shared" ca="1" si="48"/>
        <v>0</v>
      </c>
      <c r="Z425" s="167">
        <f t="shared" ca="1" si="54"/>
        <v>0</v>
      </c>
      <c r="AA425" s="167">
        <f t="shared" ca="1" si="55"/>
        <v>0</v>
      </c>
    </row>
    <row r="426" spans="2:27" x14ac:dyDescent="0.25">
      <c r="B426" s="21" t="str">
        <f ca="1">IF(B425="","",IF(EOMONTH(B425,1)&gt;EOMONTH(ELEGIBILIDADE!$J$17,0),"",EOMONTH(B425,1)))</f>
        <v/>
      </c>
      <c r="C426" s="22" t="str">
        <f ca="1">IF(B426="","",IF(MONTH(B426)=1,C425*(1+PREMISSAS!$C$57),C425))</f>
        <v/>
      </c>
      <c r="D426" s="22">
        <f ca="1">IF(RESULTADOS!$C$17="Normal",IFERROR(MAX(C426-PREMISSAS!$C$13,0),0),IF(Painel!$I$23=0,0,MAX(10*PREMISSAS!$C$38,RESULTADOS!$F$17)))</f>
        <v>0</v>
      </c>
      <c r="E426" s="4">
        <f ca="1">D426*IF(RESULTADOS!$C$17="Normal",RESULTADOS!$C$16,0)</f>
        <v>0</v>
      </c>
      <c r="F426" s="4">
        <f ca="1">IFERROR(IF(RESULTADOS!$C$17="Normal",D426,C426)*RESULTADOS!$C$18,0)</f>
        <v>0</v>
      </c>
      <c r="G426" s="4">
        <f ca="1">IFERROR(IF(RESULTADOS!$C$17="Normal",0,D426)*IF(RESULTADOS!$C$17="Normal",RESULTADOS!$C$18,RESULTADOS!$C$16),0)</f>
        <v>0</v>
      </c>
      <c r="H426" s="4">
        <f ca="1">IF(RESULTADOS!$C$17="Normal",E426,0)</f>
        <v>0</v>
      </c>
      <c r="I426" s="4">
        <f ca="1">(E426+H426+G426)*PREMISSAS!$C$60</f>
        <v>0</v>
      </c>
      <c r="J426" s="4">
        <f ca="1">D426*IF(RESULTADOS!$C$17="Normal",PREMISSAS!$C$62,0)</f>
        <v>0</v>
      </c>
      <c r="K426" s="116">
        <f ca="1">IFERROR(K425*(1+PREMISSAS!$C$18)+(E426+H426-IF(RESULTADOS!$C$17="Normal",I426,0)-J426)*IF(MONTH(B426)=12,2,1),0)</f>
        <v>0</v>
      </c>
      <c r="L426" s="116">
        <f ca="1">IFERROR((L425+G426-IF(RESULTADOS!$C$17="Normal",0,I426))*(1+PREMISSAS!$C$18)+F426,0)</f>
        <v>0</v>
      </c>
      <c r="N426" s="73">
        <f t="shared" ca="1" si="49"/>
        <v>0</v>
      </c>
      <c r="P426" s="164" t="str">
        <f t="shared" ca="1" si="50"/>
        <v/>
      </c>
      <c r="Q426" s="140" t="str">
        <f ca="1">IF(C426="","",Q425+(E426+H426-IF(RESULTADOS!$C$17="Normal",I426,0)-J426)/2+(F426+G426-IF(RESULTADOS!$C$17="Normal",0,I426)))</f>
        <v/>
      </c>
      <c r="R426" s="140" t="str">
        <f ca="1">IF(C426="","",R425+(E426+H426-IF(RESULTADOS!$C$17="Normal",I426,0)-J426)/2)</f>
        <v/>
      </c>
      <c r="S426" s="140">
        <f t="shared" ca="1" si="52"/>
        <v>0</v>
      </c>
      <c r="U426" s="164" t="str">
        <f t="shared" ca="1" si="53"/>
        <v/>
      </c>
      <c r="V426" s="164" t="str">
        <f t="shared" ca="1" si="51"/>
        <v/>
      </c>
      <c r="W426" s="140">
        <f ca="1">IF(OR((W425-13/12*Z425)*(1+PREMISSAS!$C$16)&lt;0,W425=""),0,(W425-13/12*Z425)*(1+PREMISSAS!$C$16))</f>
        <v>0</v>
      </c>
      <c r="X426" s="140">
        <f ca="1">IF(OR((X425-13/12*AA425)*(1+PREMISSAS!$C$16)&lt;0,X425=""),0,(X425-13/12*AA425)*(1+PREMISSAS!$C$16))</f>
        <v>0</v>
      </c>
      <c r="Y426" s="140">
        <f t="shared" ca="1" si="48"/>
        <v>0</v>
      </c>
      <c r="Z426" s="167">
        <f t="shared" ca="1" si="54"/>
        <v>0</v>
      </c>
      <c r="AA426" s="167">
        <f t="shared" ca="1" si="55"/>
        <v>0</v>
      </c>
    </row>
    <row r="427" spans="2:27" x14ac:dyDescent="0.25">
      <c r="B427" s="21" t="str">
        <f ca="1">IF(B426="","",IF(EOMONTH(B426,1)&gt;EOMONTH(ELEGIBILIDADE!$J$17,0),"",EOMONTH(B426,1)))</f>
        <v/>
      </c>
      <c r="C427" s="22" t="str">
        <f ca="1">IF(B427="","",IF(MONTH(B427)=1,C426*(1+PREMISSAS!$C$57),C426))</f>
        <v/>
      </c>
      <c r="D427" s="22">
        <f ca="1">IF(RESULTADOS!$C$17="Normal",IFERROR(MAX(C427-PREMISSAS!$C$13,0),0),IF(Painel!$I$23=0,0,MAX(10*PREMISSAS!$C$38,RESULTADOS!$F$17)))</f>
        <v>0</v>
      </c>
      <c r="E427" s="4">
        <f ca="1">D427*IF(RESULTADOS!$C$17="Normal",RESULTADOS!$C$16,0)</f>
        <v>0</v>
      </c>
      <c r="F427" s="4">
        <f ca="1">IFERROR(IF(RESULTADOS!$C$17="Normal",D427,C427)*RESULTADOS!$C$18,0)</f>
        <v>0</v>
      </c>
      <c r="G427" s="4">
        <f ca="1">IFERROR(IF(RESULTADOS!$C$17="Normal",0,D427)*IF(RESULTADOS!$C$17="Normal",RESULTADOS!$C$18,RESULTADOS!$C$16),0)</f>
        <v>0</v>
      </c>
      <c r="H427" s="4">
        <f ca="1">IF(RESULTADOS!$C$17="Normal",E427,0)</f>
        <v>0</v>
      </c>
      <c r="I427" s="4">
        <f ca="1">(E427+H427+G427)*PREMISSAS!$C$60</f>
        <v>0</v>
      </c>
      <c r="J427" s="4">
        <f ca="1">D427*IF(RESULTADOS!$C$17="Normal",PREMISSAS!$C$62,0)</f>
        <v>0</v>
      </c>
      <c r="K427" s="116">
        <f ca="1">IFERROR(K426*(1+PREMISSAS!$C$18)+(E427+H427-IF(RESULTADOS!$C$17="Normal",I427,0)-J427)*IF(MONTH(B427)=12,2,1),0)</f>
        <v>0</v>
      </c>
      <c r="L427" s="116">
        <f ca="1">IFERROR((L426+G427-IF(RESULTADOS!$C$17="Normal",0,I427))*(1+PREMISSAS!$C$18)+F427,0)</f>
        <v>0</v>
      </c>
      <c r="N427" s="73">
        <f t="shared" ca="1" si="49"/>
        <v>0</v>
      </c>
      <c r="P427" s="164" t="str">
        <f t="shared" ca="1" si="50"/>
        <v/>
      </c>
      <c r="Q427" s="140" t="str">
        <f ca="1">IF(C427="","",Q426+(E427+H427-IF(RESULTADOS!$C$17="Normal",I427,0)-J427)/2+(F427+G427-IF(RESULTADOS!$C$17="Normal",0,I427)))</f>
        <v/>
      </c>
      <c r="R427" s="140" t="str">
        <f ca="1">IF(C427="","",R426+(E427+H427-IF(RESULTADOS!$C$17="Normal",I427,0)-J427)/2)</f>
        <v/>
      </c>
      <c r="S427" s="140">
        <f t="shared" ca="1" si="52"/>
        <v>0</v>
      </c>
      <c r="U427" s="164" t="str">
        <f t="shared" ca="1" si="53"/>
        <v/>
      </c>
      <c r="V427" s="164" t="str">
        <f t="shared" ca="1" si="51"/>
        <v/>
      </c>
      <c r="W427" s="140">
        <f ca="1">IF(OR((W426-13/12*Z426)*(1+PREMISSAS!$C$16)&lt;0,W426=""),0,(W426-13/12*Z426)*(1+PREMISSAS!$C$16))</f>
        <v>0</v>
      </c>
      <c r="X427" s="140">
        <f ca="1">IF(OR((X426-13/12*AA426)*(1+PREMISSAS!$C$16)&lt;0,X426=""),0,(X426-13/12*AA426)*(1+PREMISSAS!$C$16))</f>
        <v>0</v>
      </c>
      <c r="Y427" s="140">
        <f t="shared" ca="1" si="48"/>
        <v>0</v>
      </c>
      <c r="Z427" s="167">
        <f t="shared" ca="1" si="54"/>
        <v>0</v>
      </c>
      <c r="AA427" s="167">
        <f t="shared" ca="1" si="55"/>
        <v>0</v>
      </c>
    </row>
    <row r="428" spans="2:27" x14ac:dyDescent="0.25">
      <c r="B428" s="21" t="str">
        <f ca="1">IF(B427="","",IF(EOMONTH(B427,1)&gt;EOMONTH(ELEGIBILIDADE!$J$17,0),"",EOMONTH(B427,1)))</f>
        <v/>
      </c>
      <c r="C428" s="22" t="str">
        <f ca="1">IF(B428="","",IF(MONTH(B428)=1,C427*(1+PREMISSAS!$C$57),C427))</f>
        <v/>
      </c>
      <c r="D428" s="22">
        <f ca="1">IF(RESULTADOS!$C$17="Normal",IFERROR(MAX(C428-PREMISSAS!$C$13,0),0),IF(Painel!$I$23=0,0,MAX(10*PREMISSAS!$C$38,RESULTADOS!$F$17)))</f>
        <v>0</v>
      </c>
      <c r="E428" s="4">
        <f ca="1">D428*IF(RESULTADOS!$C$17="Normal",RESULTADOS!$C$16,0)</f>
        <v>0</v>
      </c>
      <c r="F428" s="4">
        <f ca="1">IFERROR(IF(RESULTADOS!$C$17="Normal",D428,C428)*RESULTADOS!$C$18,0)</f>
        <v>0</v>
      </c>
      <c r="G428" s="4">
        <f ca="1">IFERROR(IF(RESULTADOS!$C$17="Normal",0,D428)*IF(RESULTADOS!$C$17="Normal",RESULTADOS!$C$18,RESULTADOS!$C$16),0)</f>
        <v>0</v>
      </c>
      <c r="H428" s="4">
        <f ca="1">IF(RESULTADOS!$C$17="Normal",E428,0)</f>
        <v>0</v>
      </c>
      <c r="I428" s="4">
        <f ca="1">(E428+H428+G428)*PREMISSAS!$C$60</f>
        <v>0</v>
      </c>
      <c r="J428" s="4">
        <f ca="1">D428*IF(RESULTADOS!$C$17="Normal",PREMISSAS!$C$62,0)</f>
        <v>0</v>
      </c>
      <c r="K428" s="116">
        <f ca="1">IFERROR(K427*(1+PREMISSAS!$C$18)+(E428+H428-IF(RESULTADOS!$C$17="Normal",I428,0)-J428)*IF(MONTH(B428)=12,2,1),0)</f>
        <v>0</v>
      </c>
      <c r="L428" s="116">
        <f ca="1">IFERROR((L427+G428-IF(RESULTADOS!$C$17="Normal",0,I428))*(1+PREMISSAS!$C$18)+F428,0)</f>
        <v>0</v>
      </c>
      <c r="N428" s="73">
        <f t="shared" ca="1" si="49"/>
        <v>0</v>
      </c>
      <c r="P428" s="164" t="str">
        <f t="shared" ca="1" si="50"/>
        <v/>
      </c>
      <c r="Q428" s="140" t="str">
        <f ca="1">IF(C428="","",Q427+(E428+H428-IF(RESULTADOS!$C$17="Normal",I428,0)-J428)/2+(F428+G428-IF(RESULTADOS!$C$17="Normal",0,I428)))</f>
        <v/>
      </c>
      <c r="R428" s="140" t="str">
        <f ca="1">IF(C428="","",R427+(E428+H428-IF(RESULTADOS!$C$17="Normal",I428,0)-J428)/2)</f>
        <v/>
      </c>
      <c r="S428" s="140">
        <f t="shared" ca="1" si="52"/>
        <v>0</v>
      </c>
      <c r="U428" s="164" t="str">
        <f t="shared" ca="1" si="53"/>
        <v/>
      </c>
      <c r="V428" s="164" t="str">
        <f t="shared" ca="1" si="51"/>
        <v/>
      </c>
      <c r="W428" s="140">
        <f ca="1">IF(OR((W427-13/12*Z427)*(1+PREMISSAS!$C$16)&lt;0,W427=""),0,(W427-13/12*Z427)*(1+PREMISSAS!$C$16))</f>
        <v>0</v>
      </c>
      <c r="X428" s="140">
        <f ca="1">IF(OR((X427-13/12*AA427)*(1+PREMISSAS!$C$16)&lt;0,X427=""),0,(X427-13/12*AA427)*(1+PREMISSAS!$C$16))</f>
        <v>0</v>
      </c>
      <c r="Y428" s="140">
        <f t="shared" ca="1" si="48"/>
        <v>0</v>
      </c>
      <c r="Z428" s="167">
        <f t="shared" ca="1" si="54"/>
        <v>0</v>
      </c>
      <c r="AA428" s="167">
        <f t="shared" ca="1" si="55"/>
        <v>0</v>
      </c>
    </row>
    <row r="429" spans="2:27" x14ac:dyDescent="0.25">
      <c r="B429" s="21" t="str">
        <f ca="1">IF(B428="","",IF(EOMONTH(B428,1)&gt;EOMONTH(ELEGIBILIDADE!$J$17,0),"",EOMONTH(B428,1)))</f>
        <v/>
      </c>
      <c r="C429" s="22" t="str">
        <f ca="1">IF(B429="","",IF(MONTH(B429)=1,C428*(1+PREMISSAS!$C$57),C428))</f>
        <v/>
      </c>
      <c r="D429" s="22">
        <f ca="1">IF(RESULTADOS!$C$17="Normal",IFERROR(MAX(C429-PREMISSAS!$C$13,0),0),IF(Painel!$I$23=0,0,MAX(10*PREMISSAS!$C$38,RESULTADOS!$F$17)))</f>
        <v>0</v>
      </c>
      <c r="E429" s="4">
        <f ca="1">D429*IF(RESULTADOS!$C$17="Normal",RESULTADOS!$C$16,0)</f>
        <v>0</v>
      </c>
      <c r="F429" s="4">
        <f ca="1">IFERROR(IF(RESULTADOS!$C$17="Normal",D429,C429)*RESULTADOS!$C$18,0)</f>
        <v>0</v>
      </c>
      <c r="G429" s="4">
        <f ca="1">IFERROR(IF(RESULTADOS!$C$17="Normal",0,D429)*IF(RESULTADOS!$C$17="Normal",RESULTADOS!$C$18,RESULTADOS!$C$16),0)</f>
        <v>0</v>
      </c>
      <c r="H429" s="4">
        <f ca="1">IF(RESULTADOS!$C$17="Normal",E429,0)</f>
        <v>0</v>
      </c>
      <c r="I429" s="4">
        <f ca="1">(E429+H429+G429)*PREMISSAS!$C$60</f>
        <v>0</v>
      </c>
      <c r="J429" s="4">
        <f ca="1">D429*IF(RESULTADOS!$C$17="Normal",PREMISSAS!$C$62,0)</f>
        <v>0</v>
      </c>
      <c r="K429" s="116">
        <f ca="1">IFERROR(K428*(1+PREMISSAS!$C$18)+(E429+H429-IF(RESULTADOS!$C$17="Normal",I429,0)-J429)*IF(MONTH(B429)=12,2,1),0)</f>
        <v>0</v>
      </c>
      <c r="L429" s="116">
        <f ca="1">IFERROR((L428+G429-IF(RESULTADOS!$C$17="Normal",0,I429))*(1+PREMISSAS!$C$18)+F429,0)</f>
        <v>0</v>
      </c>
      <c r="N429" s="73">
        <f t="shared" ca="1" si="49"/>
        <v>0</v>
      </c>
      <c r="P429" s="164" t="str">
        <f t="shared" ca="1" si="50"/>
        <v/>
      </c>
      <c r="Q429" s="140" t="str">
        <f ca="1">IF(C429="","",Q428+(E429+H429-IF(RESULTADOS!$C$17="Normal",I429,0)-J429)/2+(F429+G429-IF(RESULTADOS!$C$17="Normal",0,I429)))</f>
        <v/>
      </c>
      <c r="R429" s="140" t="str">
        <f ca="1">IF(C429="","",R428+(E429+H429-IF(RESULTADOS!$C$17="Normal",I429,0)-J429)/2)</f>
        <v/>
      </c>
      <c r="S429" s="140">
        <f t="shared" ca="1" si="52"/>
        <v>0</v>
      </c>
      <c r="U429" s="164" t="str">
        <f t="shared" ca="1" si="53"/>
        <v/>
      </c>
      <c r="V429" s="164" t="str">
        <f t="shared" ca="1" si="51"/>
        <v/>
      </c>
      <c r="W429" s="140">
        <f ca="1">IF(OR((W428-13/12*Z428)*(1+PREMISSAS!$C$16)&lt;0,W428=""),0,(W428-13/12*Z428)*(1+PREMISSAS!$C$16))</f>
        <v>0</v>
      </c>
      <c r="X429" s="140">
        <f ca="1">IF(OR((X428-13/12*AA428)*(1+PREMISSAS!$C$16)&lt;0,X428=""),0,(X428-13/12*AA428)*(1+PREMISSAS!$C$16))</f>
        <v>0</v>
      </c>
      <c r="Y429" s="140">
        <f t="shared" ca="1" si="48"/>
        <v>0</v>
      </c>
      <c r="Z429" s="167">
        <f t="shared" ca="1" si="54"/>
        <v>0</v>
      </c>
      <c r="AA429" s="167">
        <f t="shared" ca="1" si="55"/>
        <v>0</v>
      </c>
    </row>
    <row r="430" spans="2:27" x14ac:dyDescent="0.25">
      <c r="B430" s="21" t="str">
        <f ca="1">IF(B429="","",IF(EOMONTH(B429,1)&gt;EOMONTH(ELEGIBILIDADE!$J$17,0),"",EOMONTH(B429,1)))</f>
        <v/>
      </c>
      <c r="C430" s="22" t="str">
        <f ca="1">IF(B430="","",IF(MONTH(B430)=1,C429*(1+PREMISSAS!$C$57),C429))</f>
        <v/>
      </c>
      <c r="D430" s="22">
        <f ca="1">IF(RESULTADOS!$C$17="Normal",IFERROR(MAX(C430-PREMISSAS!$C$13,0),0),IF(Painel!$I$23=0,0,MAX(10*PREMISSAS!$C$38,RESULTADOS!$F$17)))</f>
        <v>0</v>
      </c>
      <c r="E430" s="4">
        <f ca="1">D430*IF(RESULTADOS!$C$17="Normal",RESULTADOS!$C$16,0)</f>
        <v>0</v>
      </c>
      <c r="F430" s="4">
        <f ca="1">IFERROR(IF(RESULTADOS!$C$17="Normal",D430,C430)*RESULTADOS!$C$18,0)</f>
        <v>0</v>
      </c>
      <c r="G430" s="4">
        <f ca="1">IFERROR(IF(RESULTADOS!$C$17="Normal",0,D430)*IF(RESULTADOS!$C$17="Normal",RESULTADOS!$C$18,RESULTADOS!$C$16),0)</f>
        <v>0</v>
      </c>
      <c r="H430" s="4">
        <f ca="1">IF(RESULTADOS!$C$17="Normal",E430,0)</f>
        <v>0</v>
      </c>
      <c r="I430" s="4">
        <f ca="1">(E430+H430+G430)*PREMISSAS!$C$60</f>
        <v>0</v>
      </c>
      <c r="J430" s="4">
        <f ca="1">D430*IF(RESULTADOS!$C$17="Normal",PREMISSAS!$C$62,0)</f>
        <v>0</v>
      </c>
      <c r="K430" s="116">
        <f ca="1">IFERROR(K429*(1+PREMISSAS!$C$18)+(E430+H430-IF(RESULTADOS!$C$17="Normal",I430,0)-J430)*IF(MONTH(B430)=12,2,1),0)</f>
        <v>0</v>
      </c>
      <c r="L430" s="116">
        <f ca="1">IFERROR((L429+G430-IF(RESULTADOS!$C$17="Normal",0,I430))*(1+PREMISSAS!$C$18)+F430,0)</f>
        <v>0</v>
      </c>
      <c r="N430" s="73">
        <f t="shared" ca="1" si="49"/>
        <v>0</v>
      </c>
      <c r="P430" s="164" t="str">
        <f t="shared" ca="1" si="50"/>
        <v/>
      </c>
      <c r="Q430" s="140" t="str">
        <f ca="1">IF(C430="","",Q429+(E430+H430-IF(RESULTADOS!$C$17="Normal",I430,0)-J430)/2+(F430+G430-IF(RESULTADOS!$C$17="Normal",0,I430)))</f>
        <v/>
      </c>
      <c r="R430" s="140" t="str">
        <f ca="1">IF(C430="","",R429+(E430+H430-IF(RESULTADOS!$C$17="Normal",I430,0)-J430)/2)</f>
        <v/>
      </c>
      <c r="S430" s="140">
        <f t="shared" ca="1" si="52"/>
        <v>0</v>
      </c>
      <c r="U430" s="164" t="str">
        <f t="shared" ca="1" si="53"/>
        <v/>
      </c>
      <c r="V430" s="164" t="str">
        <f t="shared" ca="1" si="51"/>
        <v/>
      </c>
      <c r="W430" s="140">
        <f ca="1">IF(OR((W429-13/12*Z429)*(1+PREMISSAS!$C$16)&lt;0,W429=""),0,(W429-13/12*Z429)*(1+PREMISSAS!$C$16))</f>
        <v>0</v>
      </c>
      <c r="X430" s="140">
        <f ca="1">IF(OR((X429-13/12*AA429)*(1+PREMISSAS!$C$16)&lt;0,X429=""),0,(X429-13/12*AA429)*(1+PREMISSAS!$C$16))</f>
        <v>0</v>
      </c>
      <c r="Y430" s="140">
        <f t="shared" ca="1" si="48"/>
        <v>0</v>
      </c>
      <c r="Z430" s="167">
        <f t="shared" ca="1" si="54"/>
        <v>0</v>
      </c>
      <c r="AA430" s="167">
        <f t="shared" ca="1" si="55"/>
        <v>0</v>
      </c>
    </row>
    <row r="431" spans="2:27" x14ac:dyDescent="0.25">
      <c r="B431" s="21" t="str">
        <f ca="1">IF(B430="","",IF(EOMONTH(B430,1)&gt;EOMONTH(ELEGIBILIDADE!$J$17,0),"",EOMONTH(B430,1)))</f>
        <v/>
      </c>
      <c r="C431" s="22" t="str">
        <f ca="1">IF(B431="","",IF(MONTH(B431)=1,C430*(1+PREMISSAS!$C$57),C430))</f>
        <v/>
      </c>
      <c r="D431" s="22">
        <f ca="1">IF(RESULTADOS!$C$17="Normal",IFERROR(MAX(C431-PREMISSAS!$C$13,0),0),IF(Painel!$I$23=0,0,MAX(10*PREMISSAS!$C$38,RESULTADOS!$F$17)))</f>
        <v>0</v>
      </c>
      <c r="E431" s="4">
        <f ca="1">D431*IF(RESULTADOS!$C$17="Normal",RESULTADOS!$C$16,0)</f>
        <v>0</v>
      </c>
      <c r="F431" s="4">
        <f ca="1">IFERROR(IF(RESULTADOS!$C$17="Normal",D431,C431)*RESULTADOS!$C$18,0)</f>
        <v>0</v>
      </c>
      <c r="G431" s="4">
        <f ca="1">IFERROR(IF(RESULTADOS!$C$17="Normal",0,D431)*IF(RESULTADOS!$C$17="Normal",RESULTADOS!$C$18,RESULTADOS!$C$16),0)</f>
        <v>0</v>
      </c>
      <c r="H431" s="4">
        <f ca="1">IF(RESULTADOS!$C$17="Normal",E431,0)</f>
        <v>0</v>
      </c>
      <c r="I431" s="4">
        <f ca="1">(E431+H431+G431)*PREMISSAS!$C$60</f>
        <v>0</v>
      </c>
      <c r="J431" s="4">
        <f ca="1">D431*IF(RESULTADOS!$C$17="Normal",PREMISSAS!$C$62,0)</f>
        <v>0</v>
      </c>
      <c r="K431" s="116">
        <f ca="1">IFERROR(K430*(1+PREMISSAS!$C$18)+(E431+H431-IF(RESULTADOS!$C$17="Normal",I431,0)-J431)*IF(MONTH(B431)=12,2,1),0)</f>
        <v>0</v>
      </c>
      <c r="L431" s="116">
        <f ca="1">IFERROR((L430+G431-IF(RESULTADOS!$C$17="Normal",0,I431))*(1+PREMISSAS!$C$18)+F431,0)</f>
        <v>0</v>
      </c>
      <c r="N431" s="73">
        <f t="shared" ca="1" si="49"/>
        <v>0</v>
      </c>
      <c r="P431" s="164" t="str">
        <f t="shared" ca="1" si="50"/>
        <v/>
      </c>
      <c r="Q431" s="140" t="str">
        <f ca="1">IF(C431="","",Q430+(E431+H431-IF(RESULTADOS!$C$17="Normal",I431,0)-J431)/2+(F431+G431-IF(RESULTADOS!$C$17="Normal",0,I431)))</f>
        <v/>
      </c>
      <c r="R431" s="140" t="str">
        <f ca="1">IF(C431="","",R430+(E431+H431-IF(RESULTADOS!$C$17="Normal",I431,0)-J431)/2)</f>
        <v/>
      </c>
      <c r="S431" s="140">
        <f t="shared" ca="1" si="52"/>
        <v>0</v>
      </c>
      <c r="U431" s="164" t="str">
        <f t="shared" ca="1" si="53"/>
        <v/>
      </c>
      <c r="V431" s="164" t="str">
        <f t="shared" ca="1" si="51"/>
        <v/>
      </c>
      <c r="W431" s="140">
        <f ca="1">IF(OR((W430-13/12*Z430)*(1+PREMISSAS!$C$16)&lt;0,W430=""),0,(W430-13/12*Z430)*(1+PREMISSAS!$C$16))</f>
        <v>0</v>
      </c>
      <c r="X431" s="140">
        <f ca="1">IF(OR((X430-13/12*AA430)*(1+PREMISSAS!$C$16)&lt;0,X430=""),0,(X430-13/12*AA430)*(1+PREMISSAS!$C$16))</f>
        <v>0</v>
      </c>
      <c r="Y431" s="140">
        <f t="shared" ca="1" si="48"/>
        <v>0</v>
      </c>
      <c r="Z431" s="167">
        <f t="shared" ca="1" si="54"/>
        <v>0</v>
      </c>
      <c r="AA431" s="167">
        <f t="shared" ca="1" si="55"/>
        <v>0</v>
      </c>
    </row>
    <row r="432" spans="2:27" x14ac:dyDescent="0.25">
      <c r="B432" s="21" t="str">
        <f ca="1">IF(B431="","",IF(EOMONTH(B431,1)&gt;EOMONTH(ELEGIBILIDADE!$J$17,0),"",EOMONTH(B431,1)))</f>
        <v/>
      </c>
      <c r="C432" s="22" t="str">
        <f ca="1">IF(B432="","",IF(MONTH(B432)=1,C431*(1+PREMISSAS!$C$57),C431))</f>
        <v/>
      </c>
      <c r="D432" s="22">
        <f ca="1">IF(RESULTADOS!$C$17="Normal",IFERROR(MAX(C432-PREMISSAS!$C$13,0),0),IF(Painel!$I$23=0,0,MAX(10*PREMISSAS!$C$38,RESULTADOS!$F$17)))</f>
        <v>0</v>
      </c>
      <c r="E432" s="4">
        <f ca="1">D432*IF(RESULTADOS!$C$17="Normal",RESULTADOS!$C$16,0)</f>
        <v>0</v>
      </c>
      <c r="F432" s="4">
        <f ca="1">IFERROR(IF(RESULTADOS!$C$17="Normal",D432,C432)*RESULTADOS!$C$18,0)</f>
        <v>0</v>
      </c>
      <c r="G432" s="4">
        <f ca="1">IFERROR(IF(RESULTADOS!$C$17="Normal",0,D432)*IF(RESULTADOS!$C$17="Normal",RESULTADOS!$C$18,RESULTADOS!$C$16),0)</f>
        <v>0</v>
      </c>
      <c r="H432" s="4">
        <f ca="1">IF(RESULTADOS!$C$17="Normal",E432,0)</f>
        <v>0</v>
      </c>
      <c r="I432" s="4">
        <f ca="1">(E432+H432+G432)*PREMISSAS!$C$60</f>
        <v>0</v>
      </c>
      <c r="J432" s="4">
        <f ca="1">D432*IF(RESULTADOS!$C$17="Normal",PREMISSAS!$C$62,0)</f>
        <v>0</v>
      </c>
      <c r="K432" s="116">
        <f ca="1">IFERROR(K431*(1+PREMISSAS!$C$18)+(E432+H432-IF(RESULTADOS!$C$17="Normal",I432,0)-J432)*IF(MONTH(B432)=12,2,1),0)</f>
        <v>0</v>
      </c>
      <c r="L432" s="116">
        <f ca="1">IFERROR((L431+G432-IF(RESULTADOS!$C$17="Normal",0,I432))*(1+PREMISSAS!$C$18)+F432,0)</f>
        <v>0</v>
      </c>
      <c r="N432" s="73">
        <f t="shared" ca="1" si="49"/>
        <v>0</v>
      </c>
      <c r="P432" s="164" t="str">
        <f t="shared" ca="1" si="50"/>
        <v/>
      </c>
      <c r="Q432" s="140" t="str">
        <f ca="1">IF(C432="","",Q431+(E432+H432-IF(RESULTADOS!$C$17="Normal",I432,0)-J432)/2+(F432+G432-IF(RESULTADOS!$C$17="Normal",0,I432)))</f>
        <v/>
      </c>
      <c r="R432" s="140" t="str">
        <f ca="1">IF(C432="","",R431+(E432+H432-IF(RESULTADOS!$C$17="Normal",I432,0)-J432)/2)</f>
        <v/>
      </c>
      <c r="S432" s="140">
        <f t="shared" ca="1" si="52"/>
        <v>0</v>
      </c>
      <c r="U432" s="164" t="str">
        <f t="shared" ca="1" si="53"/>
        <v/>
      </c>
      <c r="V432" s="164" t="str">
        <f t="shared" ca="1" si="51"/>
        <v/>
      </c>
      <c r="W432" s="140">
        <f ca="1">IF(OR((W431-13/12*Z431)*(1+PREMISSAS!$C$16)&lt;0,W431=""),0,(W431-13/12*Z431)*(1+PREMISSAS!$C$16))</f>
        <v>0</v>
      </c>
      <c r="X432" s="140">
        <f ca="1">IF(OR((X431-13/12*AA431)*(1+PREMISSAS!$C$16)&lt;0,X431=""),0,(X431-13/12*AA431)*(1+PREMISSAS!$C$16))</f>
        <v>0</v>
      </c>
      <c r="Y432" s="140">
        <f t="shared" ca="1" si="48"/>
        <v>0</v>
      </c>
      <c r="Z432" s="167">
        <f t="shared" ca="1" si="54"/>
        <v>0</v>
      </c>
      <c r="AA432" s="167">
        <f t="shared" ca="1" si="55"/>
        <v>0</v>
      </c>
    </row>
    <row r="433" spans="2:27" x14ac:dyDescent="0.25">
      <c r="B433" s="21" t="str">
        <f ca="1">IF(B432="","",IF(EOMONTH(B432,1)&gt;EOMONTH(ELEGIBILIDADE!$J$17,0),"",EOMONTH(B432,1)))</f>
        <v/>
      </c>
      <c r="C433" s="22" t="str">
        <f ca="1">IF(B433="","",IF(MONTH(B433)=1,C432*(1+PREMISSAS!$C$57),C432))</f>
        <v/>
      </c>
      <c r="D433" s="22">
        <f ca="1">IF(RESULTADOS!$C$17="Normal",IFERROR(MAX(C433-PREMISSAS!$C$13,0),0),IF(Painel!$I$23=0,0,MAX(10*PREMISSAS!$C$38,RESULTADOS!$F$17)))</f>
        <v>0</v>
      </c>
      <c r="E433" s="4">
        <f ca="1">D433*IF(RESULTADOS!$C$17="Normal",RESULTADOS!$C$16,0)</f>
        <v>0</v>
      </c>
      <c r="F433" s="4">
        <f ca="1">IFERROR(IF(RESULTADOS!$C$17="Normal",D433,C433)*RESULTADOS!$C$18,0)</f>
        <v>0</v>
      </c>
      <c r="G433" s="4">
        <f ca="1">IFERROR(IF(RESULTADOS!$C$17="Normal",0,D433)*IF(RESULTADOS!$C$17="Normal",RESULTADOS!$C$18,RESULTADOS!$C$16),0)</f>
        <v>0</v>
      </c>
      <c r="H433" s="4">
        <f ca="1">IF(RESULTADOS!$C$17="Normal",E433,0)</f>
        <v>0</v>
      </c>
      <c r="I433" s="4">
        <f ca="1">(E433+H433+G433)*PREMISSAS!$C$60</f>
        <v>0</v>
      </c>
      <c r="J433" s="4">
        <f ca="1">D433*IF(RESULTADOS!$C$17="Normal",PREMISSAS!$C$62,0)</f>
        <v>0</v>
      </c>
      <c r="K433" s="116">
        <f ca="1">IFERROR(K432*(1+PREMISSAS!$C$18)+(E433+H433-IF(RESULTADOS!$C$17="Normal",I433,0)-J433)*IF(MONTH(B433)=12,2,1),0)</f>
        <v>0</v>
      </c>
      <c r="L433" s="116">
        <f ca="1">IFERROR((L432+G433-IF(RESULTADOS!$C$17="Normal",0,I433))*(1+PREMISSAS!$C$18)+F433,0)</f>
        <v>0</v>
      </c>
      <c r="N433" s="73">
        <f t="shared" ca="1" si="49"/>
        <v>0</v>
      </c>
      <c r="P433" s="164" t="str">
        <f t="shared" ca="1" si="50"/>
        <v/>
      </c>
      <c r="Q433" s="140" t="str">
        <f ca="1">IF(C433="","",Q432+(E433+H433-IF(RESULTADOS!$C$17="Normal",I433,0)-J433)/2+(F433+G433-IF(RESULTADOS!$C$17="Normal",0,I433)))</f>
        <v/>
      </c>
      <c r="R433" s="140" t="str">
        <f ca="1">IF(C433="","",R432+(E433+H433-IF(RESULTADOS!$C$17="Normal",I433,0)-J433)/2)</f>
        <v/>
      </c>
      <c r="S433" s="140">
        <f t="shared" ca="1" si="52"/>
        <v>0</v>
      </c>
      <c r="U433" s="164" t="str">
        <f t="shared" ca="1" si="53"/>
        <v/>
      </c>
      <c r="V433" s="164" t="str">
        <f t="shared" ca="1" si="51"/>
        <v/>
      </c>
      <c r="W433" s="140">
        <f ca="1">IF(OR((W432-13/12*Z432)*(1+PREMISSAS!$C$16)&lt;0,W432=""),0,(W432-13/12*Z432)*(1+PREMISSAS!$C$16))</f>
        <v>0</v>
      </c>
      <c r="X433" s="140">
        <f ca="1">IF(OR((X432-13/12*AA432)*(1+PREMISSAS!$C$16)&lt;0,X432=""),0,(X432-13/12*AA432)*(1+PREMISSAS!$C$16))</f>
        <v>0</v>
      </c>
      <c r="Y433" s="140">
        <f t="shared" ca="1" si="48"/>
        <v>0</v>
      </c>
      <c r="Z433" s="167">
        <f t="shared" ca="1" si="54"/>
        <v>0</v>
      </c>
      <c r="AA433" s="167">
        <f t="shared" ca="1" si="55"/>
        <v>0</v>
      </c>
    </row>
    <row r="434" spans="2:27" x14ac:dyDescent="0.25">
      <c r="B434" s="21" t="str">
        <f ca="1">IF(B433="","",IF(EOMONTH(B433,1)&gt;EOMONTH(ELEGIBILIDADE!$J$17,0),"",EOMONTH(B433,1)))</f>
        <v/>
      </c>
      <c r="C434" s="22" t="str">
        <f ca="1">IF(B434="","",IF(MONTH(B434)=1,C433*(1+PREMISSAS!$C$57),C433))</f>
        <v/>
      </c>
      <c r="D434" s="22">
        <f ca="1">IF(RESULTADOS!$C$17="Normal",IFERROR(MAX(C434-PREMISSAS!$C$13,0),0),IF(Painel!$I$23=0,0,MAX(10*PREMISSAS!$C$38,RESULTADOS!$F$17)))</f>
        <v>0</v>
      </c>
      <c r="E434" s="4">
        <f ca="1">D434*IF(RESULTADOS!$C$17="Normal",RESULTADOS!$C$16,0)</f>
        <v>0</v>
      </c>
      <c r="F434" s="4">
        <f ca="1">IFERROR(IF(RESULTADOS!$C$17="Normal",D434,C434)*RESULTADOS!$C$18,0)</f>
        <v>0</v>
      </c>
      <c r="G434" s="4">
        <f ca="1">IFERROR(IF(RESULTADOS!$C$17="Normal",0,D434)*IF(RESULTADOS!$C$17="Normal",RESULTADOS!$C$18,RESULTADOS!$C$16),0)</f>
        <v>0</v>
      </c>
      <c r="H434" s="4">
        <f ca="1">IF(RESULTADOS!$C$17="Normal",E434,0)</f>
        <v>0</v>
      </c>
      <c r="I434" s="4">
        <f ca="1">(E434+H434+G434)*PREMISSAS!$C$60</f>
        <v>0</v>
      </c>
      <c r="J434" s="4">
        <f ca="1">D434*IF(RESULTADOS!$C$17="Normal",PREMISSAS!$C$62,0)</f>
        <v>0</v>
      </c>
      <c r="K434" s="116">
        <f ca="1">IFERROR(K433*(1+PREMISSAS!$C$18)+(E434+H434-IF(RESULTADOS!$C$17="Normal",I434,0)-J434)*IF(MONTH(B434)=12,2,1),0)</f>
        <v>0</v>
      </c>
      <c r="L434" s="116">
        <f ca="1">IFERROR((L433+G434-IF(RESULTADOS!$C$17="Normal",0,I434))*(1+PREMISSAS!$C$18)+F434,0)</f>
        <v>0</v>
      </c>
      <c r="N434" s="73">
        <f t="shared" ca="1" si="49"/>
        <v>0</v>
      </c>
      <c r="P434" s="164" t="str">
        <f t="shared" ca="1" si="50"/>
        <v/>
      </c>
      <c r="Q434" s="140" t="str">
        <f ca="1">IF(C434="","",Q433+(E434+H434-IF(RESULTADOS!$C$17="Normal",I434,0)-J434)/2+(F434+G434-IF(RESULTADOS!$C$17="Normal",0,I434)))</f>
        <v/>
      </c>
      <c r="R434" s="140" t="str">
        <f ca="1">IF(C434="","",R433+(E434+H434-IF(RESULTADOS!$C$17="Normal",I434,0)-J434)/2)</f>
        <v/>
      </c>
      <c r="S434" s="140">
        <f t="shared" ca="1" si="52"/>
        <v>0</v>
      </c>
      <c r="U434" s="164" t="str">
        <f t="shared" ca="1" si="53"/>
        <v/>
      </c>
      <c r="V434" s="164" t="str">
        <f t="shared" ca="1" si="51"/>
        <v/>
      </c>
      <c r="W434" s="140">
        <f ca="1">IF(OR((W433-13/12*Z433)*(1+PREMISSAS!$C$16)&lt;0,W433=""),0,(W433-13/12*Z433)*(1+PREMISSAS!$C$16))</f>
        <v>0</v>
      </c>
      <c r="X434" s="140">
        <f ca="1">IF(OR((X433-13/12*AA433)*(1+PREMISSAS!$C$16)&lt;0,X433=""),0,(X433-13/12*AA433)*(1+PREMISSAS!$C$16))</f>
        <v>0</v>
      </c>
      <c r="Y434" s="140">
        <f t="shared" ca="1" si="48"/>
        <v>0</v>
      </c>
      <c r="Z434" s="167">
        <f t="shared" ca="1" si="54"/>
        <v>0</v>
      </c>
      <c r="AA434" s="167">
        <f t="shared" ca="1" si="55"/>
        <v>0</v>
      </c>
    </row>
    <row r="435" spans="2:27" x14ac:dyDescent="0.25">
      <c r="B435" s="21" t="str">
        <f ca="1">IF(B434="","",IF(EOMONTH(B434,1)&gt;EOMONTH(ELEGIBILIDADE!$J$17,0),"",EOMONTH(B434,1)))</f>
        <v/>
      </c>
      <c r="C435" s="22" t="str">
        <f ca="1">IF(B435="","",IF(MONTH(B435)=1,C434*(1+PREMISSAS!$C$57),C434))</f>
        <v/>
      </c>
      <c r="D435" s="22">
        <f ca="1">IF(RESULTADOS!$C$17="Normal",IFERROR(MAX(C435-PREMISSAS!$C$13,0),0),IF(Painel!$I$23=0,0,MAX(10*PREMISSAS!$C$38,RESULTADOS!$F$17)))</f>
        <v>0</v>
      </c>
      <c r="E435" s="4">
        <f ca="1">D435*IF(RESULTADOS!$C$17="Normal",RESULTADOS!$C$16,0)</f>
        <v>0</v>
      </c>
      <c r="F435" s="4">
        <f ca="1">IFERROR(IF(RESULTADOS!$C$17="Normal",D435,C435)*RESULTADOS!$C$18,0)</f>
        <v>0</v>
      </c>
      <c r="G435" s="4">
        <f ca="1">IFERROR(IF(RESULTADOS!$C$17="Normal",0,D435)*IF(RESULTADOS!$C$17="Normal",RESULTADOS!$C$18,RESULTADOS!$C$16),0)</f>
        <v>0</v>
      </c>
      <c r="H435" s="4">
        <f ca="1">IF(RESULTADOS!$C$17="Normal",E435,0)</f>
        <v>0</v>
      </c>
      <c r="I435" s="4">
        <f ca="1">(E435+H435+G435)*PREMISSAS!$C$60</f>
        <v>0</v>
      </c>
      <c r="J435" s="4">
        <f ca="1">D435*IF(RESULTADOS!$C$17="Normal",PREMISSAS!$C$62,0)</f>
        <v>0</v>
      </c>
      <c r="K435" s="116">
        <f ca="1">IFERROR(K434*(1+PREMISSAS!$C$18)+(E435+H435-IF(RESULTADOS!$C$17="Normal",I435,0)-J435)*IF(MONTH(B435)=12,2,1),0)</f>
        <v>0</v>
      </c>
      <c r="L435" s="116">
        <f ca="1">IFERROR((L434+G435-IF(RESULTADOS!$C$17="Normal",0,I435))*(1+PREMISSAS!$C$18)+F435,0)</f>
        <v>0</v>
      </c>
      <c r="N435" s="73">
        <f t="shared" ca="1" si="49"/>
        <v>0</v>
      </c>
      <c r="P435" s="164" t="str">
        <f t="shared" ca="1" si="50"/>
        <v/>
      </c>
      <c r="Q435" s="140" t="str">
        <f ca="1">IF(C435="","",Q434+(E435+H435-IF(RESULTADOS!$C$17="Normal",I435,0)-J435)/2+(F435+G435-IF(RESULTADOS!$C$17="Normal",0,I435)))</f>
        <v/>
      </c>
      <c r="R435" s="140" t="str">
        <f ca="1">IF(C435="","",R434+(E435+H435-IF(RESULTADOS!$C$17="Normal",I435,0)-J435)/2)</f>
        <v/>
      </c>
      <c r="S435" s="140">
        <f t="shared" ca="1" si="52"/>
        <v>0</v>
      </c>
      <c r="U435" s="164" t="str">
        <f t="shared" ca="1" si="53"/>
        <v/>
      </c>
      <c r="V435" s="164" t="str">
        <f t="shared" ca="1" si="51"/>
        <v/>
      </c>
      <c r="W435" s="140">
        <f ca="1">IF(OR((W434-13/12*Z434)*(1+PREMISSAS!$C$16)&lt;0,W434=""),0,(W434-13/12*Z434)*(1+PREMISSAS!$C$16))</f>
        <v>0</v>
      </c>
      <c r="X435" s="140">
        <f ca="1">IF(OR((X434-13/12*AA434)*(1+PREMISSAS!$C$16)&lt;0,X434=""),0,(X434-13/12*AA434)*(1+PREMISSAS!$C$16))</f>
        <v>0</v>
      </c>
      <c r="Y435" s="140">
        <f t="shared" ca="1" si="48"/>
        <v>0</v>
      </c>
      <c r="Z435" s="167">
        <f t="shared" ca="1" si="54"/>
        <v>0</v>
      </c>
      <c r="AA435" s="167">
        <f t="shared" ca="1" si="55"/>
        <v>0</v>
      </c>
    </row>
    <row r="436" spans="2:27" x14ac:dyDescent="0.25">
      <c r="B436" s="21" t="str">
        <f ca="1">IF(B435="","",IF(EOMONTH(B435,1)&gt;EOMONTH(ELEGIBILIDADE!$J$17,0),"",EOMONTH(B435,1)))</f>
        <v/>
      </c>
      <c r="C436" s="22" t="str">
        <f ca="1">IF(B436="","",IF(MONTH(B436)=1,C435*(1+PREMISSAS!$C$57),C435))</f>
        <v/>
      </c>
      <c r="D436" s="22">
        <f ca="1">IF(RESULTADOS!$C$17="Normal",IFERROR(MAX(C436-PREMISSAS!$C$13,0),0),IF(Painel!$I$23=0,0,MAX(10*PREMISSAS!$C$38,RESULTADOS!$F$17)))</f>
        <v>0</v>
      </c>
      <c r="E436" s="4">
        <f ca="1">D436*IF(RESULTADOS!$C$17="Normal",RESULTADOS!$C$16,0)</f>
        <v>0</v>
      </c>
      <c r="F436" s="4">
        <f ca="1">IFERROR(IF(RESULTADOS!$C$17="Normal",D436,C436)*RESULTADOS!$C$18,0)</f>
        <v>0</v>
      </c>
      <c r="G436" s="4">
        <f ca="1">IFERROR(IF(RESULTADOS!$C$17="Normal",0,D436)*IF(RESULTADOS!$C$17="Normal",RESULTADOS!$C$18,RESULTADOS!$C$16),0)</f>
        <v>0</v>
      </c>
      <c r="H436" s="4">
        <f ca="1">IF(RESULTADOS!$C$17="Normal",E436,0)</f>
        <v>0</v>
      </c>
      <c r="I436" s="4">
        <f ca="1">(E436+H436+G436)*PREMISSAS!$C$60</f>
        <v>0</v>
      </c>
      <c r="J436" s="4">
        <f ca="1">D436*IF(RESULTADOS!$C$17="Normal",PREMISSAS!$C$62,0)</f>
        <v>0</v>
      </c>
      <c r="K436" s="116">
        <f ca="1">IFERROR(K435*(1+PREMISSAS!$C$18)+(E436+H436-IF(RESULTADOS!$C$17="Normal",I436,0)-J436)*IF(MONTH(B436)=12,2,1),0)</f>
        <v>0</v>
      </c>
      <c r="L436" s="116">
        <f ca="1">IFERROR((L435+G436-IF(RESULTADOS!$C$17="Normal",0,I436))*(1+PREMISSAS!$C$18)+F436,0)</f>
        <v>0</v>
      </c>
      <c r="N436" s="73">
        <f t="shared" ca="1" si="49"/>
        <v>0</v>
      </c>
      <c r="P436" s="164" t="str">
        <f t="shared" ca="1" si="50"/>
        <v/>
      </c>
      <c r="Q436" s="140" t="str">
        <f ca="1">IF(C436="","",Q435+(E436+H436-IF(RESULTADOS!$C$17="Normal",I436,0)-J436)/2+(F436+G436-IF(RESULTADOS!$C$17="Normal",0,I436)))</f>
        <v/>
      </c>
      <c r="R436" s="140" t="str">
        <f ca="1">IF(C436="","",R435+(E436+H436-IF(RESULTADOS!$C$17="Normal",I436,0)-J436)/2)</f>
        <v/>
      </c>
      <c r="S436" s="140">
        <f t="shared" ca="1" si="52"/>
        <v>0</v>
      </c>
      <c r="U436" s="164" t="str">
        <f t="shared" ca="1" si="53"/>
        <v/>
      </c>
      <c r="V436" s="164" t="str">
        <f t="shared" ca="1" si="51"/>
        <v/>
      </c>
      <c r="W436" s="140">
        <f ca="1">IF(OR((W435-13/12*Z435)*(1+PREMISSAS!$C$16)&lt;0,W435=""),0,(W435-13/12*Z435)*(1+PREMISSAS!$C$16))</f>
        <v>0</v>
      </c>
      <c r="X436" s="140">
        <f ca="1">IF(OR((X435-13/12*AA435)*(1+PREMISSAS!$C$16)&lt;0,X435=""),0,(X435-13/12*AA435)*(1+PREMISSAS!$C$16))</f>
        <v>0</v>
      </c>
      <c r="Y436" s="140">
        <f t="shared" ca="1" si="48"/>
        <v>0</v>
      </c>
      <c r="Z436" s="167">
        <f t="shared" ca="1" si="54"/>
        <v>0</v>
      </c>
      <c r="AA436" s="167">
        <f t="shared" ca="1" si="55"/>
        <v>0</v>
      </c>
    </row>
    <row r="437" spans="2:27" x14ac:dyDescent="0.25">
      <c r="B437" s="21" t="str">
        <f ca="1">IF(B436="","",IF(EOMONTH(B436,1)&gt;EOMONTH(ELEGIBILIDADE!$J$17,0),"",EOMONTH(B436,1)))</f>
        <v/>
      </c>
      <c r="C437" s="22" t="str">
        <f ca="1">IF(B437="","",IF(MONTH(B437)=1,C436*(1+PREMISSAS!$C$57),C436))</f>
        <v/>
      </c>
      <c r="D437" s="22">
        <f ca="1">IF(RESULTADOS!$C$17="Normal",IFERROR(MAX(C437-PREMISSAS!$C$13,0),0),IF(Painel!$I$23=0,0,MAX(10*PREMISSAS!$C$38,RESULTADOS!$F$17)))</f>
        <v>0</v>
      </c>
      <c r="E437" s="4">
        <f ca="1">D437*IF(RESULTADOS!$C$17="Normal",RESULTADOS!$C$16,0)</f>
        <v>0</v>
      </c>
      <c r="F437" s="4">
        <f ca="1">IFERROR(IF(RESULTADOS!$C$17="Normal",D437,C437)*RESULTADOS!$C$18,0)</f>
        <v>0</v>
      </c>
      <c r="G437" s="4">
        <f ca="1">IFERROR(IF(RESULTADOS!$C$17="Normal",0,D437)*IF(RESULTADOS!$C$17="Normal",RESULTADOS!$C$18,RESULTADOS!$C$16),0)</f>
        <v>0</v>
      </c>
      <c r="H437" s="4">
        <f ca="1">IF(RESULTADOS!$C$17="Normal",E437,0)</f>
        <v>0</v>
      </c>
      <c r="I437" s="4">
        <f ca="1">(E437+H437+G437)*PREMISSAS!$C$60</f>
        <v>0</v>
      </c>
      <c r="J437" s="4">
        <f ca="1">D437*IF(RESULTADOS!$C$17="Normal",PREMISSAS!$C$62,0)</f>
        <v>0</v>
      </c>
      <c r="K437" s="116">
        <f ca="1">IFERROR(K436*(1+PREMISSAS!$C$18)+(E437+H437-IF(RESULTADOS!$C$17="Normal",I437,0)-J437)*IF(MONTH(B437)=12,2,1),0)</f>
        <v>0</v>
      </c>
      <c r="L437" s="116">
        <f ca="1">IFERROR((L436+G437-IF(RESULTADOS!$C$17="Normal",0,I437))*(1+PREMISSAS!$C$18)+F437,0)</f>
        <v>0</v>
      </c>
      <c r="N437" s="73">
        <f t="shared" ca="1" si="49"/>
        <v>0</v>
      </c>
      <c r="P437" s="164" t="str">
        <f t="shared" ca="1" si="50"/>
        <v/>
      </c>
      <c r="Q437" s="140" t="str">
        <f ca="1">IF(C437="","",Q436+(E437+H437-IF(RESULTADOS!$C$17="Normal",I437,0)-J437)/2+(F437+G437-IF(RESULTADOS!$C$17="Normal",0,I437)))</f>
        <v/>
      </c>
      <c r="R437" s="140" t="str">
        <f ca="1">IF(C437="","",R436+(E437+H437-IF(RESULTADOS!$C$17="Normal",I437,0)-J437)/2)</f>
        <v/>
      </c>
      <c r="S437" s="140">
        <f t="shared" ca="1" si="52"/>
        <v>0</v>
      </c>
      <c r="U437" s="164" t="str">
        <f t="shared" ca="1" si="53"/>
        <v/>
      </c>
      <c r="V437" s="164" t="str">
        <f t="shared" ca="1" si="51"/>
        <v/>
      </c>
      <c r="W437" s="140">
        <f ca="1">IF(OR((W436-13/12*Z436)*(1+PREMISSAS!$C$16)&lt;0,W436=""),0,(W436-13/12*Z436)*(1+PREMISSAS!$C$16))</f>
        <v>0</v>
      </c>
      <c r="X437" s="140">
        <f ca="1">IF(OR((X436-13/12*AA436)*(1+PREMISSAS!$C$16)&lt;0,X436=""),0,(X436-13/12*AA436)*(1+PREMISSAS!$C$16))</f>
        <v>0</v>
      </c>
      <c r="Y437" s="140">
        <f t="shared" ca="1" si="48"/>
        <v>0</v>
      </c>
      <c r="Z437" s="167">
        <f t="shared" ca="1" si="54"/>
        <v>0</v>
      </c>
      <c r="AA437" s="167">
        <f t="shared" ca="1" si="55"/>
        <v>0</v>
      </c>
    </row>
    <row r="438" spans="2:27" x14ac:dyDescent="0.25">
      <c r="B438" s="21" t="str">
        <f ca="1">IF(B437="","",IF(EOMONTH(B437,1)&gt;EOMONTH(ELEGIBILIDADE!$J$17,0),"",EOMONTH(B437,1)))</f>
        <v/>
      </c>
      <c r="C438" s="22" t="str">
        <f ca="1">IF(B438="","",IF(MONTH(B438)=1,C437*(1+PREMISSAS!$C$57),C437))</f>
        <v/>
      </c>
      <c r="D438" s="22">
        <f ca="1">IF(RESULTADOS!$C$17="Normal",IFERROR(MAX(C438-PREMISSAS!$C$13,0),0),IF(Painel!$I$23=0,0,MAX(10*PREMISSAS!$C$38,RESULTADOS!$F$17)))</f>
        <v>0</v>
      </c>
      <c r="E438" s="4">
        <f ca="1">D438*IF(RESULTADOS!$C$17="Normal",RESULTADOS!$C$16,0)</f>
        <v>0</v>
      </c>
      <c r="F438" s="4">
        <f ca="1">IFERROR(IF(RESULTADOS!$C$17="Normal",D438,C438)*RESULTADOS!$C$18,0)</f>
        <v>0</v>
      </c>
      <c r="G438" s="4">
        <f ca="1">IFERROR(IF(RESULTADOS!$C$17="Normal",0,D438)*IF(RESULTADOS!$C$17="Normal",RESULTADOS!$C$18,RESULTADOS!$C$16),0)</f>
        <v>0</v>
      </c>
      <c r="H438" s="4">
        <f ca="1">IF(RESULTADOS!$C$17="Normal",E438,0)</f>
        <v>0</v>
      </c>
      <c r="I438" s="4">
        <f ca="1">(E438+H438+G438)*PREMISSAS!$C$60</f>
        <v>0</v>
      </c>
      <c r="J438" s="4">
        <f ca="1">D438*IF(RESULTADOS!$C$17="Normal",PREMISSAS!$C$62,0)</f>
        <v>0</v>
      </c>
      <c r="K438" s="116">
        <f ca="1">IFERROR(K437*(1+PREMISSAS!$C$18)+(E438+H438-IF(RESULTADOS!$C$17="Normal",I438,0)-J438)*IF(MONTH(B438)=12,2,1),0)</f>
        <v>0</v>
      </c>
      <c r="L438" s="116">
        <f ca="1">IFERROR((L437+G438-IF(RESULTADOS!$C$17="Normal",0,I438))*(1+PREMISSAS!$C$18)+F438,0)</f>
        <v>0</v>
      </c>
      <c r="N438" s="73">
        <f t="shared" ca="1" si="49"/>
        <v>0</v>
      </c>
      <c r="P438" s="164" t="str">
        <f t="shared" ca="1" si="50"/>
        <v/>
      </c>
      <c r="Q438" s="140" t="str">
        <f ca="1">IF(C438="","",Q437+(E438+H438-IF(RESULTADOS!$C$17="Normal",I438,0)-J438)/2+(F438+G438-IF(RESULTADOS!$C$17="Normal",0,I438)))</f>
        <v/>
      </c>
      <c r="R438" s="140" t="str">
        <f ca="1">IF(C438="","",R437+(E438+H438-IF(RESULTADOS!$C$17="Normal",I438,0)-J438)/2)</f>
        <v/>
      </c>
      <c r="S438" s="140">
        <f t="shared" ca="1" si="52"/>
        <v>0</v>
      </c>
      <c r="U438" s="164" t="str">
        <f t="shared" ca="1" si="53"/>
        <v/>
      </c>
      <c r="V438" s="164" t="str">
        <f t="shared" ca="1" si="51"/>
        <v/>
      </c>
      <c r="W438" s="140">
        <f ca="1">IF(OR((W437-13/12*Z437)*(1+PREMISSAS!$C$16)&lt;0,W437=""),0,(W437-13/12*Z437)*(1+PREMISSAS!$C$16))</f>
        <v>0</v>
      </c>
      <c r="X438" s="140">
        <f ca="1">IF(OR((X437-13/12*AA437)*(1+PREMISSAS!$C$16)&lt;0,X437=""),0,(X437-13/12*AA437)*(1+PREMISSAS!$C$16))</f>
        <v>0</v>
      </c>
      <c r="Y438" s="140">
        <f t="shared" ca="1" si="48"/>
        <v>0</v>
      </c>
      <c r="Z438" s="167">
        <f t="shared" ca="1" si="54"/>
        <v>0</v>
      </c>
      <c r="AA438" s="167">
        <f t="shared" ca="1" si="55"/>
        <v>0</v>
      </c>
    </row>
    <row r="439" spans="2:27" x14ac:dyDescent="0.25">
      <c r="B439" s="21" t="str">
        <f ca="1">IF(B438="","",IF(EOMONTH(B438,1)&gt;EOMONTH(ELEGIBILIDADE!$J$17,0),"",EOMONTH(B438,1)))</f>
        <v/>
      </c>
      <c r="C439" s="22" t="str">
        <f ca="1">IF(B439="","",IF(MONTH(B439)=1,C438*(1+PREMISSAS!$C$57),C438))</f>
        <v/>
      </c>
      <c r="D439" s="22">
        <f ca="1">IF(RESULTADOS!$C$17="Normal",IFERROR(MAX(C439-PREMISSAS!$C$13,0),0),IF(Painel!$I$23=0,0,MAX(10*PREMISSAS!$C$38,RESULTADOS!$F$17)))</f>
        <v>0</v>
      </c>
      <c r="E439" s="4">
        <f ca="1">D439*IF(RESULTADOS!$C$17="Normal",RESULTADOS!$C$16,0)</f>
        <v>0</v>
      </c>
      <c r="F439" s="4">
        <f ca="1">IFERROR(IF(RESULTADOS!$C$17="Normal",D439,C439)*RESULTADOS!$C$18,0)</f>
        <v>0</v>
      </c>
      <c r="G439" s="4">
        <f ca="1">IFERROR(IF(RESULTADOS!$C$17="Normal",0,D439)*IF(RESULTADOS!$C$17="Normal",RESULTADOS!$C$18,RESULTADOS!$C$16),0)</f>
        <v>0</v>
      </c>
      <c r="H439" s="4">
        <f ca="1">IF(RESULTADOS!$C$17="Normal",E439,0)</f>
        <v>0</v>
      </c>
      <c r="I439" s="4">
        <f ca="1">(E439+H439+G439)*PREMISSAS!$C$60</f>
        <v>0</v>
      </c>
      <c r="J439" s="4">
        <f ca="1">D439*IF(RESULTADOS!$C$17="Normal",PREMISSAS!$C$62,0)</f>
        <v>0</v>
      </c>
      <c r="K439" s="116">
        <f ca="1">IFERROR(K438*(1+PREMISSAS!$C$18)+(E439+H439-IF(RESULTADOS!$C$17="Normal",I439,0)-J439)*IF(MONTH(B439)=12,2,1),0)</f>
        <v>0</v>
      </c>
      <c r="L439" s="116">
        <f ca="1">IFERROR((L438+G439-IF(RESULTADOS!$C$17="Normal",0,I439))*(1+PREMISSAS!$C$18)+F439,0)</f>
        <v>0</v>
      </c>
      <c r="N439" s="73">
        <f t="shared" ca="1" si="49"/>
        <v>0</v>
      </c>
      <c r="P439" s="164" t="str">
        <f t="shared" ca="1" si="50"/>
        <v/>
      </c>
      <c r="Q439" s="140" t="str">
        <f ca="1">IF(C439="","",Q438+(E439+H439-IF(RESULTADOS!$C$17="Normal",I439,0)-J439)/2+(F439+G439-IF(RESULTADOS!$C$17="Normal",0,I439)))</f>
        <v/>
      </c>
      <c r="R439" s="140" t="str">
        <f ca="1">IF(C439="","",R438+(E439+H439-IF(RESULTADOS!$C$17="Normal",I439,0)-J439)/2)</f>
        <v/>
      </c>
      <c r="S439" s="140">
        <f t="shared" ca="1" si="52"/>
        <v>0</v>
      </c>
      <c r="U439" s="164" t="str">
        <f t="shared" ca="1" si="53"/>
        <v/>
      </c>
      <c r="V439" s="164" t="str">
        <f t="shared" ca="1" si="51"/>
        <v/>
      </c>
      <c r="W439" s="140">
        <f ca="1">IF(OR((W438-13/12*Z438)*(1+PREMISSAS!$C$16)&lt;0,W438=""),0,(W438-13/12*Z438)*(1+PREMISSAS!$C$16))</f>
        <v>0</v>
      </c>
      <c r="X439" s="140">
        <f ca="1">IF(OR((X438-13/12*AA438)*(1+PREMISSAS!$C$16)&lt;0,X438=""),0,(X438-13/12*AA438)*(1+PREMISSAS!$C$16))</f>
        <v>0</v>
      </c>
      <c r="Y439" s="140">
        <f t="shared" ca="1" si="48"/>
        <v>0</v>
      </c>
      <c r="Z439" s="167">
        <f t="shared" ca="1" si="54"/>
        <v>0</v>
      </c>
      <c r="AA439" s="167">
        <f t="shared" ca="1" si="55"/>
        <v>0</v>
      </c>
    </row>
    <row r="440" spans="2:27" x14ac:dyDescent="0.25">
      <c r="B440" s="21" t="str">
        <f ca="1">IF(B439="","",IF(EOMONTH(B439,1)&gt;EOMONTH(ELEGIBILIDADE!$J$17,0),"",EOMONTH(B439,1)))</f>
        <v/>
      </c>
      <c r="C440" s="22" t="str">
        <f ca="1">IF(B440="","",IF(MONTH(B440)=1,C439*(1+PREMISSAS!$C$57),C439))</f>
        <v/>
      </c>
      <c r="D440" s="22">
        <f ca="1">IF(RESULTADOS!$C$17="Normal",IFERROR(MAX(C440-PREMISSAS!$C$13,0),0),IF(Painel!$I$23=0,0,MAX(10*PREMISSAS!$C$38,RESULTADOS!$F$17)))</f>
        <v>0</v>
      </c>
      <c r="E440" s="4">
        <f ca="1">D440*IF(RESULTADOS!$C$17="Normal",RESULTADOS!$C$16,0)</f>
        <v>0</v>
      </c>
      <c r="F440" s="4">
        <f ca="1">IFERROR(IF(RESULTADOS!$C$17="Normal",D440,C440)*RESULTADOS!$C$18,0)</f>
        <v>0</v>
      </c>
      <c r="G440" s="4">
        <f ca="1">IFERROR(IF(RESULTADOS!$C$17="Normal",0,D440)*IF(RESULTADOS!$C$17="Normal",RESULTADOS!$C$18,RESULTADOS!$C$16),0)</f>
        <v>0</v>
      </c>
      <c r="H440" s="4">
        <f ca="1">IF(RESULTADOS!$C$17="Normal",E440,0)</f>
        <v>0</v>
      </c>
      <c r="I440" s="4">
        <f ca="1">(E440+H440+G440)*PREMISSAS!$C$60</f>
        <v>0</v>
      </c>
      <c r="J440" s="4">
        <f ca="1">D440*IF(RESULTADOS!$C$17="Normal",PREMISSAS!$C$62,0)</f>
        <v>0</v>
      </c>
      <c r="K440" s="116">
        <f ca="1">IFERROR(K439*(1+PREMISSAS!$C$18)+(E440+H440-IF(RESULTADOS!$C$17="Normal",I440,0)-J440)*IF(MONTH(B440)=12,2,1),0)</f>
        <v>0</v>
      </c>
      <c r="L440" s="116">
        <f ca="1">IFERROR((L439+G440-IF(RESULTADOS!$C$17="Normal",0,I440))*(1+PREMISSAS!$C$18)+F440,0)</f>
        <v>0</v>
      </c>
      <c r="N440" s="73">
        <f t="shared" ca="1" si="49"/>
        <v>0</v>
      </c>
      <c r="P440" s="164" t="str">
        <f t="shared" ca="1" si="50"/>
        <v/>
      </c>
      <c r="Q440" s="140" t="str">
        <f ca="1">IF(C440="","",Q439+(E440+H440-IF(RESULTADOS!$C$17="Normal",I440,0)-J440)/2+(F440+G440-IF(RESULTADOS!$C$17="Normal",0,I440)))</f>
        <v/>
      </c>
      <c r="R440" s="140" t="str">
        <f ca="1">IF(C440="","",R439+(E440+H440-IF(RESULTADOS!$C$17="Normal",I440,0)-J440)/2)</f>
        <v/>
      </c>
      <c r="S440" s="140">
        <f t="shared" ca="1" si="52"/>
        <v>0</v>
      </c>
      <c r="U440" s="164" t="str">
        <f t="shared" ca="1" si="53"/>
        <v/>
      </c>
      <c r="V440" s="164" t="str">
        <f t="shared" ca="1" si="51"/>
        <v/>
      </c>
      <c r="W440" s="140">
        <f ca="1">IF(OR((W439-13/12*Z439)*(1+PREMISSAS!$C$16)&lt;0,W439=""),0,(W439-13/12*Z439)*(1+PREMISSAS!$C$16))</f>
        <v>0</v>
      </c>
      <c r="X440" s="140">
        <f ca="1">IF(OR((X439-13/12*AA439)*(1+PREMISSAS!$C$16)&lt;0,X439=""),0,(X439-13/12*AA439)*(1+PREMISSAS!$C$16))</f>
        <v>0</v>
      </c>
      <c r="Y440" s="140">
        <f t="shared" ca="1" si="48"/>
        <v>0</v>
      </c>
      <c r="Z440" s="167">
        <f t="shared" ca="1" si="54"/>
        <v>0</v>
      </c>
      <c r="AA440" s="167">
        <f t="shared" ca="1" si="55"/>
        <v>0</v>
      </c>
    </row>
    <row r="441" spans="2:27" x14ac:dyDescent="0.25">
      <c r="B441" s="21" t="str">
        <f ca="1">IF(B440="","",IF(EOMONTH(B440,1)&gt;EOMONTH(ELEGIBILIDADE!$J$17,0),"",EOMONTH(B440,1)))</f>
        <v/>
      </c>
      <c r="C441" s="22" t="str">
        <f ca="1">IF(B441="","",IF(MONTH(B441)=1,C440*(1+PREMISSAS!$C$57),C440))</f>
        <v/>
      </c>
      <c r="D441" s="22">
        <f ca="1">IF(RESULTADOS!$C$17="Normal",IFERROR(MAX(C441-PREMISSAS!$C$13,0),0),IF(Painel!$I$23=0,0,MAX(10*PREMISSAS!$C$38,RESULTADOS!$F$17)))</f>
        <v>0</v>
      </c>
      <c r="E441" s="4">
        <f ca="1">D441*IF(RESULTADOS!$C$17="Normal",RESULTADOS!$C$16,0)</f>
        <v>0</v>
      </c>
      <c r="F441" s="4">
        <f ca="1">IFERROR(IF(RESULTADOS!$C$17="Normal",D441,C441)*RESULTADOS!$C$18,0)</f>
        <v>0</v>
      </c>
      <c r="G441" s="4">
        <f ca="1">IFERROR(IF(RESULTADOS!$C$17="Normal",0,D441)*IF(RESULTADOS!$C$17="Normal",RESULTADOS!$C$18,RESULTADOS!$C$16),0)</f>
        <v>0</v>
      </c>
      <c r="H441" s="4">
        <f ca="1">IF(RESULTADOS!$C$17="Normal",E441,0)</f>
        <v>0</v>
      </c>
      <c r="I441" s="4">
        <f ca="1">(E441+H441+G441)*PREMISSAS!$C$60</f>
        <v>0</v>
      </c>
      <c r="J441" s="4">
        <f ca="1">D441*IF(RESULTADOS!$C$17="Normal",PREMISSAS!$C$62,0)</f>
        <v>0</v>
      </c>
      <c r="K441" s="116">
        <f ca="1">IFERROR(K440*(1+PREMISSAS!$C$18)+(E441+H441-IF(RESULTADOS!$C$17="Normal",I441,0)-J441)*IF(MONTH(B441)=12,2,1),0)</f>
        <v>0</v>
      </c>
      <c r="L441" s="116">
        <f ca="1">IFERROR((L440+G441-IF(RESULTADOS!$C$17="Normal",0,I441))*(1+PREMISSAS!$C$18)+F441,0)</f>
        <v>0</v>
      </c>
      <c r="N441" s="73">
        <f t="shared" ca="1" si="49"/>
        <v>0</v>
      </c>
      <c r="P441" s="164" t="str">
        <f t="shared" ca="1" si="50"/>
        <v/>
      </c>
      <c r="Q441" s="140" t="str">
        <f ca="1">IF(C441="","",Q440+(E441+H441-IF(RESULTADOS!$C$17="Normal",I441,0)-J441)/2+(F441+G441-IF(RESULTADOS!$C$17="Normal",0,I441)))</f>
        <v/>
      </c>
      <c r="R441" s="140" t="str">
        <f ca="1">IF(C441="","",R440+(E441+H441-IF(RESULTADOS!$C$17="Normal",I441,0)-J441)/2)</f>
        <v/>
      </c>
      <c r="S441" s="140">
        <f t="shared" ca="1" si="52"/>
        <v>0</v>
      </c>
      <c r="U441" s="164" t="str">
        <f t="shared" ca="1" si="53"/>
        <v/>
      </c>
      <c r="V441" s="164" t="str">
        <f t="shared" ca="1" si="51"/>
        <v/>
      </c>
      <c r="W441" s="140">
        <f ca="1">IF(OR((W440-13/12*Z440)*(1+PREMISSAS!$C$16)&lt;0,W440=""),0,(W440-13/12*Z440)*(1+PREMISSAS!$C$16))</f>
        <v>0</v>
      </c>
      <c r="X441" s="140">
        <f ca="1">IF(OR((X440-13/12*AA440)*(1+PREMISSAS!$C$16)&lt;0,X440=""),0,(X440-13/12*AA440)*(1+PREMISSAS!$C$16))</f>
        <v>0</v>
      </c>
      <c r="Y441" s="140">
        <f t="shared" ca="1" si="48"/>
        <v>0</v>
      </c>
      <c r="Z441" s="167">
        <f t="shared" ca="1" si="54"/>
        <v>0</v>
      </c>
      <c r="AA441" s="167">
        <f t="shared" ca="1" si="55"/>
        <v>0</v>
      </c>
    </row>
    <row r="442" spans="2:27" x14ac:dyDescent="0.25">
      <c r="B442" s="21" t="str">
        <f ca="1">IF(B441="","",IF(EOMONTH(B441,1)&gt;EOMONTH(ELEGIBILIDADE!$J$17,0),"",EOMONTH(B441,1)))</f>
        <v/>
      </c>
      <c r="C442" s="22" t="str">
        <f ca="1">IF(B442="","",IF(MONTH(B442)=1,C441*(1+PREMISSAS!$C$57),C441))</f>
        <v/>
      </c>
      <c r="D442" s="22">
        <f ca="1">IF(RESULTADOS!$C$17="Normal",IFERROR(MAX(C442-PREMISSAS!$C$13,0),0),IF(Painel!$I$23=0,0,MAX(10*PREMISSAS!$C$38,RESULTADOS!$F$17)))</f>
        <v>0</v>
      </c>
      <c r="E442" s="4">
        <f ca="1">D442*IF(RESULTADOS!$C$17="Normal",RESULTADOS!$C$16,0)</f>
        <v>0</v>
      </c>
      <c r="F442" s="4">
        <f ca="1">IFERROR(IF(RESULTADOS!$C$17="Normal",D442,C442)*RESULTADOS!$C$18,0)</f>
        <v>0</v>
      </c>
      <c r="G442" s="4">
        <f ca="1">IFERROR(IF(RESULTADOS!$C$17="Normal",0,D442)*IF(RESULTADOS!$C$17="Normal",RESULTADOS!$C$18,RESULTADOS!$C$16),0)</f>
        <v>0</v>
      </c>
      <c r="H442" s="4">
        <f ca="1">IF(RESULTADOS!$C$17="Normal",E442,0)</f>
        <v>0</v>
      </c>
      <c r="I442" s="4">
        <f ca="1">(E442+H442+G442)*PREMISSAS!$C$60</f>
        <v>0</v>
      </c>
      <c r="J442" s="4">
        <f ca="1">D442*IF(RESULTADOS!$C$17="Normal",PREMISSAS!$C$62,0)</f>
        <v>0</v>
      </c>
      <c r="K442" s="116">
        <f ca="1">IFERROR(K441*(1+PREMISSAS!$C$18)+(E442+H442-IF(RESULTADOS!$C$17="Normal",I442,0)-J442)*IF(MONTH(B442)=12,2,1),0)</f>
        <v>0</v>
      </c>
      <c r="L442" s="116">
        <f ca="1">IFERROR((L441+G442-IF(RESULTADOS!$C$17="Normal",0,I442))*(1+PREMISSAS!$C$18)+F442,0)</f>
        <v>0</v>
      </c>
      <c r="N442" s="73">
        <f t="shared" ca="1" si="49"/>
        <v>0</v>
      </c>
      <c r="P442" s="164" t="str">
        <f t="shared" ca="1" si="50"/>
        <v/>
      </c>
      <c r="Q442" s="140" t="str">
        <f ca="1">IF(C442="","",Q441+(E442+H442-IF(RESULTADOS!$C$17="Normal",I442,0)-J442)/2+(F442+G442-IF(RESULTADOS!$C$17="Normal",0,I442)))</f>
        <v/>
      </c>
      <c r="R442" s="140" t="str">
        <f ca="1">IF(C442="","",R441+(E442+H442-IF(RESULTADOS!$C$17="Normal",I442,0)-J442)/2)</f>
        <v/>
      </c>
      <c r="S442" s="140">
        <f t="shared" ca="1" si="52"/>
        <v>0</v>
      </c>
      <c r="U442" s="164" t="str">
        <f t="shared" ca="1" si="53"/>
        <v/>
      </c>
      <c r="V442" s="164" t="str">
        <f t="shared" ca="1" si="51"/>
        <v/>
      </c>
      <c r="W442" s="140">
        <f ca="1">IF(OR((W441-13/12*Z441)*(1+PREMISSAS!$C$16)&lt;0,W441=""),0,(W441-13/12*Z441)*(1+PREMISSAS!$C$16))</f>
        <v>0</v>
      </c>
      <c r="X442" s="140">
        <f ca="1">IF(OR((X441-13/12*AA441)*(1+PREMISSAS!$C$16)&lt;0,X441=""),0,(X441-13/12*AA441)*(1+PREMISSAS!$C$16))</f>
        <v>0</v>
      </c>
      <c r="Y442" s="140">
        <f t="shared" ca="1" si="48"/>
        <v>0</v>
      </c>
      <c r="Z442" s="167">
        <f t="shared" ca="1" si="54"/>
        <v>0</v>
      </c>
      <c r="AA442" s="167">
        <f t="shared" ca="1" si="55"/>
        <v>0</v>
      </c>
    </row>
    <row r="443" spans="2:27" x14ac:dyDescent="0.25">
      <c r="B443" s="21" t="str">
        <f ca="1">IF(B442="","",IF(EOMONTH(B442,1)&gt;EOMONTH(ELEGIBILIDADE!$J$17,0),"",EOMONTH(B442,1)))</f>
        <v/>
      </c>
      <c r="C443" s="22" t="str">
        <f ca="1">IF(B443="","",IF(MONTH(B443)=1,C442*(1+PREMISSAS!$C$57),C442))</f>
        <v/>
      </c>
      <c r="D443" s="22">
        <f ca="1">IF(RESULTADOS!$C$17="Normal",IFERROR(MAX(C443-PREMISSAS!$C$13,0),0),IF(Painel!$I$23=0,0,MAX(10*PREMISSAS!$C$38,RESULTADOS!$F$17)))</f>
        <v>0</v>
      </c>
      <c r="E443" s="4">
        <f ca="1">D443*IF(RESULTADOS!$C$17="Normal",RESULTADOS!$C$16,0)</f>
        <v>0</v>
      </c>
      <c r="F443" s="4">
        <f ca="1">IFERROR(IF(RESULTADOS!$C$17="Normal",D443,C443)*RESULTADOS!$C$18,0)</f>
        <v>0</v>
      </c>
      <c r="G443" s="4">
        <f ca="1">IFERROR(IF(RESULTADOS!$C$17="Normal",0,D443)*IF(RESULTADOS!$C$17="Normal",RESULTADOS!$C$18,RESULTADOS!$C$16),0)</f>
        <v>0</v>
      </c>
      <c r="H443" s="4">
        <f ca="1">IF(RESULTADOS!$C$17="Normal",E443,0)</f>
        <v>0</v>
      </c>
      <c r="I443" s="4">
        <f ca="1">(E443+H443+G443)*PREMISSAS!$C$60</f>
        <v>0</v>
      </c>
      <c r="J443" s="4">
        <f ca="1">D443*IF(RESULTADOS!$C$17="Normal",PREMISSAS!$C$62,0)</f>
        <v>0</v>
      </c>
      <c r="K443" s="116">
        <f ca="1">IFERROR(K442*(1+PREMISSAS!$C$18)+(E443+H443-IF(RESULTADOS!$C$17="Normal",I443,0)-J443)*IF(MONTH(B443)=12,2,1),0)</f>
        <v>0</v>
      </c>
      <c r="L443" s="116">
        <f ca="1">IFERROR((L442+G443-IF(RESULTADOS!$C$17="Normal",0,I443))*(1+PREMISSAS!$C$18)+F443,0)</f>
        <v>0</v>
      </c>
      <c r="N443" s="73">
        <f t="shared" ca="1" si="49"/>
        <v>0</v>
      </c>
      <c r="P443" s="164" t="str">
        <f t="shared" ca="1" si="50"/>
        <v/>
      </c>
      <c r="Q443" s="140" t="str">
        <f ca="1">IF(C443="","",Q442+(E443+H443-IF(RESULTADOS!$C$17="Normal",I443,0)-J443)/2+(F443+G443-IF(RESULTADOS!$C$17="Normal",0,I443)))</f>
        <v/>
      </c>
      <c r="R443" s="140" t="str">
        <f ca="1">IF(C443="","",R442+(E443+H443-IF(RESULTADOS!$C$17="Normal",I443,0)-J443)/2)</f>
        <v/>
      </c>
      <c r="S443" s="140">
        <f t="shared" ca="1" si="52"/>
        <v>0</v>
      </c>
      <c r="U443" s="164" t="str">
        <f t="shared" ca="1" si="53"/>
        <v/>
      </c>
      <c r="V443" s="164" t="str">
        <f t="shared" ca="1" si="51"/>
        <v/>
      </c>
      <c r="W443" s="140">
        <f ca="1">IF(OR((W442-13/12*Z442)*(1+PREMISSAS!$C$16)&lt;0,W442=""),0,(W442-13/12*Z442)*(1+PREMISSAS!$C$16))</f>
        <v>0</v>
      </c>
      <c r="X443" s="140">
        <f ca="1">IF(OR((X442-13/12*AA442)*(1+PREMISSAS!$C$16)&lt;0,X442=""),0,(X442-13/12*AA442)*(1+PREMISSAS!$C$16))</f>
        <v>0</v>
      </c>
      <c r="Y443" s="140">
        <f t="shared" ref="Y443:Y506" ca="1" si="56">SUM(W443:X443)</f>
        <v>0</v>
      </c>
      <c r="Z443" s="167">
        <f t="shared" ca="1" si="54"/>
        <v>0</v>
      </c>
      <c r="AA443" s="167">
        <f t="shared" ca="1" si="55"/>
        <v>0</v>
      </c>
    </row>
    <row r="444" spans="2:27" x14ac:dyDescent="0.25">
      <c r="B444" s="21" t="str">
        <f ca="1">IF(B443="","",IF(EOMONTH(B443,1)&gt;EOMONTH(ELEGIBILIDADE!$J$17,0),"",EOMONTH(B443,1)))</f>
        <v/>
      </c>
      <c r="C444" s="22" t="str">
        <f ca="1">IF(B444="","",IF(MONTH(B444)=1,C443*(1+PREMISSAS!$C$57),C443))</f>
        <v/>
      </c>
      <c r="D444" s="22">
        <f ca="1">IF(RESULTADOS!$C$17="Normal",IFERROR(MAX(C444-PREMISSAS!$C$13,0),0),IF(Painel!$I$23=0,0,MAX(10*PREMISSAS!$C$38,RESULTADOS!$F$17)))</f>
        <v>0</v>
      </c>
      <c r="E444" s="4">
        <f ca="1">D444*IF(RESULTADOS!$C$17="Normal",RESULTADOS!$C$16,0)</f>
        <v>0</v>
      </c>
      <c r="F444" s="4">
        <f ca="1">IFERROR(IF(RESULTADOS!$C$17="Normal",D444,C444)*RESULTADOS!$C$18,0)</f>
        <v>0</v>
      </c>
      <c r="G444" s="4">
        <f ca="1">IFERROR(IF(RESULTADOS!$C$17="Normal",0,D444)*IF(RESULTADOS!$C$17="Normal",RESULTADOS!$C$18,RESULTADOS!$C$16),0)</f>
        <v>0</v>
      </c>
      <c r="H444" s="4">
        <f ca="1">IF(RESULTADOS!$C$17="Normal",E444,0)</f>
        <v>0</v>
      </c>
      <c r="I444" s="4">
        <f ca="1">(E444+H444+G444)*PREMISSAS!$C$60</f>
        <v>0</v>
      </c>
      <c r="J444" s="4">
        <f ca="1">D444*IF(RESULTADOS!$C$17="Normal",PREMISSAS!$C$62,0)</f>
        <v>0</v>
      </c>
      <c r="K444" s="116">
        <f ca="1">IFERROR(K443*(1+PREMISSAS!$C$18)+(E444+H444-IF(RESULTADOS!$C$17="Normal",I444,0)-J444)*IF(MONTH(B444)=12,2,1),0)</f>
        <v>0</v>
      </c>
      <c r="L444" s="116">
        <f ca="1">IFERROR((L443+G444-IF(RESULTADOS!$C$17="Normal",0,I444))*(1+PREMISSAS!$C$18)+F444,0)</f>
        <v>0</v>
      </c>
      <c r="N444" s="73">
        <f t="shared" ca="1" si="49"/>
        <v>0</v>
      </c>
      <c r="P444" s="164" t="str">
        <f t="shared" ca="1" si="50"/>
        <v/>
      </c>
      <c r="Q444" s="140" t="str">
        <f ca="1">IF(C444="","",Q443+(E444+H444-IF(RESULTADOS!$C$17="Normal",I444,0)-J444)/2+(F444+G444-IF(RESULTADOS!$C$17="Normal",0,I444)))</f>
        <v/>
      </c>
      <c r="R444" s="140" t="str">
        <f ca="1">IF(C444="","",R443+(E444+H444-IF(RESULTADOS!$C$17="Normal",I444,0)-J444)/2)</f>
        <v/>
      </c>
      <c r="S444" s="140">
        <f t="shared" ca="1" si="52"/>
        <v>0</v>
      </c>
      <c r="U444" s="164" t="str">
        <f t="shared" ca="1" si="53"/>
        <v/>
      </c>
      <c r="V444" s="164" t="str">
        <f t="shared" ca="1" si="51"/>
        <v/>
      </c>
      <c r="W444" s="140">
        <f ca="1">IF(OR((W443-13/12*Z443)*(1+PREMISSAS!$C$16)&lt;0,W443=""),0,(W443-13/12*Z443)*(1+PREMISSAS!$C$16))</f>
        <v>0</v>
      </c>
      <c r="X444" s="140">
        <f ca="1">IF(OR((X443-13/12*AA443)*(1+PREMISSAS!$C$16)&lt;0,X443=""),0,(X443-13/12*AA443)*(1+PREMISSAS!$C$16))</f>
        <v>0</v>
      </c>
      <c r="Y444" s="140">
        <f t="shared" ca="1" si="56"/>
        <v>0</v>
      </c>
      <c r="Z444" s="167">
        <f t="shared" ca="1" si="54"/>
        <v>0</v>
      </c>
      <c r="AA444" s="167">
        <f t="shared" ca="1" si="55"/>
        <v>0</v>
      </c>
    </row>
    <row r="445" spans="2:27" x14ac:dyDescent="0.25">
      <c r="B445" s="21" t="str">
        <f ca="1">IF(B444="","",IF(EOMONTH(B444,1)&gt;EOMONTH(ELEGIBILIDADE!$J$17,0),"",EOMONTH(B444,1)))</f>
        <v/>
      </c>
      <c r="C445" s="22" t="str">
        <f ca="1">IF(B445="","",IF(MONTH(B445)=1,C444*(1+PREMISSAS!$C$57),C444))</f>
        <v/>
      </c>
      <c r="D445" s="22">
        <f ca="1">IF(RESULTADOS!$C$17="Normal",IFERROR(MAX(C445-PREMISSAS!$C$13,0),0),IF(Painel!$I$23=0,0,MAX(10*PREMISSAS!$C$38,RESULTADOS!$F$17)))</f>
        <v>0</v>
      </c>
      <c r="E445" s="4">
        <f ca="1">D445*IF(RESULTADOS!$C$17="Normal",RESULTADOS!$C$16,0)</f>
        <v>0</v>
      </c>
      <c r="F445" s="4">
        <f ca="1">IFERROR(IF(RESULTADOS!$C$17="Normal",D445,C445)*RESULTADOS!$C$18,0)</f>
        <v>0</v>
      </c>
      <c r="G445" s="4">
        <f ca="1">IFERROR(IF(RESULTADOS!$C$17="Normal",0,D445)*IF(RESULTADOS!$C$17="Normal",RESULTADOS!$C$18,RESULTADOS!$C$16),0)</f>
        <v>0</v>
      </c>
      <c r="H445" s="4">
        <f ca="1">IF(RESULTADOS!$C$17="Normal",E445,0)</f>
        <v>0</v>
      </c>
      <c r="I445" s="4">
        <f ca="1">(E445+H445+G445)*PREMISSAS!$C$60</f>
        <v>0</v>
      </c>
      <c r="J445" s="4">
        <f ca="1">D445*IF(RESULTADOS!$C$17="Normal",PREMISSAS!$C$62,0)</f>
        <v>0</v>
      </c>
      <c r="K445" s="116">
        <f ca="1">IFERROR(K444*(1+PREMISSAS!$C$18)+(E445+H445-IF(RESULTADOS!$C$17="Normal",I445,0)-J445)*IF(MONTH(B445)=12,2,1),0)</f>
        <v>0</v>
      </c>
      <c r="L445" s="116">
        <f ca="1">IFERROR((L444+G445-IF(RESULTADOS!$C$17="Normal",0,I445))*(1+PREMISSAS!$C$18)+F445,0)</f>
        <v>0</v>
      </c>
      <c r="N445" s="73">
        <f t="shared" ca="1" si="49"/>
        <v>0</v>
      </c>
      <c r="P445" s="164" t="str">
        <f t="shared" ca="1" si="50"/>
        <v/>
      </c>
      <c r="Q445" s="140" t="str">
        <f ca="1">IF(C445="","",Q444+(E445+H445-IF(RESULTADOS!$C$17="Normal",I445,0)-J445)/2+(F445+G445-IF(RESULTADOS!$C$17="Normal",0,I445)))</f>
        <v/>
      </c>
      <c r="R445" s="140" t="str">
        <f ca="1">IF(C445="","",R444+(E445+H445-IF(RESULTADOS!$C$17="Normal",I445,0)-J445)/2)</f>
        <v/>
      </c>
      <c r="S445" s="140">
        <f t="shared" ca="1" si="52"/>
        <v>0</v>
      </c>
      <c r="U445" s="164" t="str">
        <f t="shared" ca="1" si="53"/>
        <v/>
      </c>
      <c r="V445" s="164" t="str">
        <f t="shared" ca="1" si="51"/>
        <v/>
      </c>
      <c r="W445" s="140">
        <f ca="1">IF(OR((W444-13/12*Z444)*(1+PREMISSAS!$C$16)&lt;0,W444=""),0,(W444-13/12*Z444)*(1+PREMISSAS!$C$16))</f>
        <v>0</v>
      </c>
      <c r="X445" s="140">
        <f ca="1">IF(OR((X444-13/12*AA444)*(1+PREMISSAS!$C$16)&lt;0,X444=""),0,(X444-13/12*AA444)*(1+PREMISSAS!$C$16))</f>
        <v>0</v>
      </c>
      <c r="Y445" s="140">
        <f t="shared" ca="1" si="56"/>
        <v>0</v>
      </c>
      <c r="Z445" s="167">
        <f t="shared" ca="1" si="54"/>
        <v>0</v>
      </c>
      <c r="AA445" s="167">
        <f t="shared" ca="1" si="55"/>
        <v>0</v>
      </c>
    </row>
    <row r="446" spans="2:27" x14ac:dyDescent="0.25">
      <c r="B446" s="21" t="str">
        <f ca="1">IF(B445="","",IF(EOMONTH(B445,1)&gt;EOMONTH(ELEGIBILIDADE!$J$17,0),"",EOMONTH(B445,1)))</f>
        <v/>
      </c>
      <c r="C446" s="22" t="str">
        <f ca="1">IF(B446="","",IF(MONTH(B446)=1,C445*(1+PREMISSAS!$C$57),C445))</f>
        <v/>
      </c>
      <c r="D446" s="22">
        <f ca="1">IF(RESULTADOS!$C$17="Normal",IFERROR(MAX(C446-PREMISSAS!$C$13,0),0),IF(Painel!$I$23=0,0,MAX(10*PREMISSAS!$C$38,RESULTADOS!$F$17)))</f>
        <v>0</v>
      </c>
      <c r="E446" s="4">
        <f ca="1">D446*IF(RESULTADOS!$C$17="Normal",RESULTADOS!$C$16,0)</f>
        <v>0</v>
      </c>
      <c r="F446" s="4">
        <f ca="1">IFERROR(IF(RESULTADOS!$C$17="Normal",D446,C446)*RESULTADOS!$C$18,0)</f>
        <v>0</v>
      </c>
      <c r="G446" s="4">
        <f ca="1">IFERROR(IF(RESULTADOS!$C$17="Normal",0,D446)*IF(RESULTADOS!$C$17="Normal",RESULTADOS!$C$18,RESULTADOS!$C$16),0)</f>
        <v>0</v>
      </c>
      <c r="H446" s="4">
        <f ca="1">IF(RESULTADOS!$C$17="Normal",E446,0)</f>
        <v>0</v>
      </c>
      <c r="I446" s="4">
        <f ca="1">(E446+H446+G446)*PREMISSAS!$C$60</f>
        <v>0</v>
      </c>
      <c r="J446" s="4">
        <f ca="1">D446*IF(RESULTADOS!$C$17="Normal",PREMISSAS!$C$62,0)</f>
        <v>0</v>
      </c>
      <c r="K446" s="116">
        <f ca="1">IFERROR(K445*(1+PREMISSAS!$C$18)+(E446+H446-IF(RESULTADOS!$C$17="Normal",I446,0)-J446)*IF(MONTH(B446)=12,2,1),0)</f>
        <v>0</v>
      </c>
      <c r="L446" s="116">
        <f ca="1">IFERROR((L445+G446-IF(RESULTADOS!$C$17="Normal",0,I446))*(1+PREMISSAS!$C$18)+F446,0)</f>
        <v>0</v>
      </c>
      <c r="N446" s="73">
        <f t="shared" ca="1" si="49"/>
        <v>0</v>
      </c>
      <c r="P446" s="164" t="str">
        <f t="shared" ca="1" si="50"/>
        <v/>
      </c>
      <c r="Q446" s="140" t="str">
        <f ca="1">IF(C446="","",Q445+(E446+H446-IF(RESULTADOS!$C$17="Normal",I446,0)-J446)/2+(F446+G446-IF(RESULTADOS!$C$17="Normal",0,I446)))</f>
        <v/>
      </c>
      <c r="R446" s="140" t="str">
        <f ca="1">IF(C446="","",R445+(E446+H446-IF(RESULTADOS!$C$17="Normal",I446,0)-J446)/2)</f>
        <v/>
      </c>
      <c r="S446" s="140">
        <f t="shared" ca="1" si="52"/>
        <v>0</v>
      </c>
      <c r="U446" s="164" t="str">
        <f t="shared" ca="1" si="53"/>
        <v/>
      </c>
      <c r="V446" s="164" t="str">
        <f t="shared" ca="1" si="51"/>
        <v/>
      </c>
      <c r="W446" s="140">
        <f ca="1">IF(OR((W445-13/12*Z445)*(1+PREMISSAS!$C$16)&lt;0,W445=""),0,(W445-13/12*Z445)*(1+PREMISSAS!$C$16))</f>
        <v>0</v>
      </c>
      <c r="X446" s="140">
        <f ca="1">IF(OR((X445-13/12*AA445)*(1+PREMISSAS!$C$16)&lt;0,X445=""),0,(X445-13/12*AA445)*(1+PREMISSAS!$C$16))</f>
        <v>0</v>
      </c>
      <c r="Y446" s="140">
        <f t="shared" ca="1" si="56"/>
        <v>0</v>
      </c>
      <c r="Z446" s="167">
        <f t="shared" ca="1" si="54"/>
        <v>0</v>
      </c>
      <c r="AA446" s="167">
        <f t="shared" ca="1" si="55"/>
        <v>0</v>
      </c>
    </row>
    <row r="447" spans="2:27" x14ac:dyDescent="0.25">
      <c r="B447" s="21" t="str">
        <f ca="1">IF(B446="","",IF(EOMONTH(B446,1)&gt;EOMONTH(ELEGIBILIDADE!$J$17,0),"",EOMONTH(B446,1)))</f>
        <v/>
      </c>
      <c r="C447" s="22" t="str">
        <f ca="1">IF(B447="","",IF(MONTH(B447)=1,C446*(1+PREMISSAS!$C$57),C446))</f>
        <v/>
      </c>
      <c r="D447" s="22">
        <f ca="1">IF(RESULTADOS!$C$17="Normal",IFERROR(MAX(C447-PREMISSAS!$C$13,0),0),IF(Painel!$I$23=0,0,MAX(10*PREMISSAS!$C$38,RESULTADOS!$F$17)))</f>
        <v>0</v>
      </c>
      <c r="E447" s="4">
        <f ca="1">D447*IF(RESULTADOS!$C$17="Normal",RESULTADOS!$C$16,0)</f>
        <v>0</v>
      </c>
      <c r="F447" s="4">
        <f ca="1">IFERROR(IF(RESULTADOS!$C$17="Normal",D447,C447)*RESULTADOS!$C$18,0)</f>
        <v>0</v>
      </c>
      <c r="G447" s="4">
        <f ca="1">IFERROR(IF(RESULTADOS!$C$17="Normal",0,D447)*IF(RESULTADOS!$C$17="Normal",RESULTADOS!$C$18,RESULTADOS!$C$16),0)</f>
        <v>0</v>
      </c>
      <c r="H447" s="4">
        <f ca="1">IF(RESULTADOS!$C$17="Normal",E447,0)</f>
        <v>0</v>
      </c>
      <c r="I447" s="4">
        <f ca="1">(E447+H447+G447)*PREMISSAS!$C$60</f>
        <v>0</v>
      </c>
      <c r="J447" s="4">
        <f ca="1">D447*IF(RESULTADOS!$C$17="Normal",PREMISSAS!$C$62,0)</f>
        <v>0</v>
      </c>
      <c r="K447" s="116">
        <f ca="1">IFERROR(K446*(1+PREMISSAS!$C$18)+(E447+H447-IF(RESULTADOS!$C$17="Normal",I447,0)-J447)*IF(MONTH(B447)=12,2,1),0)</f>
        <v>0</v>
      </c>
      <c r="L447" s="116">
        <f ca="1">IFERROR((L446+G447-IF(RESULTADOS!$C$17="Normal",0,I447))*(1+PREMISSAS!$C$18)+F447,0)</f>
        <v>0</v>
      </c>
      <c r="N447" s="73">
        <f t="shared" ca="1" si="49"/>
        <v>0</v>
      </c>
      <c r="P447" s="164" t="str">
        <f t="shared" ca="1" si="50"/>
        <v/>
      </c>
      <c r="Q447" s="140" t="str">
        <f ca="1">IF(C447="","",Q446+(E447+H447-IF(RESULTADOS!$C$17="Normal",I447,0)-J447)/2+(F447+G447-IF(RESULTADOS!$C$17="Normal",0,I447)))</f>
        <v/>
      </c>
      <c r="R447" s="140" t="str">
        <f ca="1">IF(C447="","",R446+(E447+H447-IF(RESULTADOS!$C$17="Normal",I447,0)-J447)/2)</f>
        <v/>
      </c>
      <c r="S447" s="140">
        <f t="shared" ca="1" si="52"/>
        <v>0</v>
      </c>
      <c r="U447" s="164" t="str">
        <f t="shared" ca="1" si="53"/>
        <v/>
      </c>
      <c r="V447" s="164" t="str">
        <f t="shared" ca="1" si="51"/>
        <v/>
      </c>
      <c r="W447" s="140">
        <f ca="1">IF(OR((W446-13/12*Z446)*(1+PREMISSAS!$C$16)&lt;0,W446=""),0,(W446-13/12*Z446)*(1+PREMISSAS!$C$16))</f>
        <v>0</v>
      </c>
      <c r="X447" s="140">
        <f ca="1">IF(OR((X446-13/12*AA446)*(1+PREMISSAS!$C$16)&lt;0,X446=""),0,(X446-13/12*AA446)*(1+PREMISSAS!$C$16))</f>
        <v>0</v>
      </c>
      <c r="Y447" s="140">
        <f t="shared" ca="1" si="56"/>
        <v>0</v>
      </c>
      <c r="Z447" s="167">
        <f t="shared" ca="1" si="54"/>
        <v>0</v>
      </c>
      <c r="AA447" s="167">
        <f t="shared" ca="1" si="55"/>
        <v>0</v>
      </c>
    </row>
    <row r="448" spans="2:27" x14ac:dyDescent="0.25">
      <c r="B448" s="21" t="str">
        <f ca="1">IF(B447="","",IF(EOMONTH(B447,1)&gt;EOMONTH(ELEGIBILIDADE!$J$17,0),"",EOMONTH(B447,1)))</f>
        <v/>
      </c>
      <c r="C448" s="22" t="str">
        <f ca="1">IF(B448="","",IF(MONTH(B448)=1,C447*(1+PREMISSAS!$C$57),C447))</f>
        <v/>
      </c>
      <c r="D448" s="22">
        <f ca="1">IF(RESULTADOS!$C$17="Normal",IFERROR(MAX(C448-PREMISSAS!$C$13,0),0),IF(Painel!$I$23=0,0,MAX(10*PREMISSAS!$C$38,RESULTADOS!$F$17)))</f>
        <v>0</v>
      </c>
      <c r="E448" s="4">
        <f ca="1">D448*IF(RESULTADOS!$C$17="Normal",RESULTADOS!$C$16,0)</f>
        <v>0</v>
      </c>
      <c r="F448" s="4">
        <f ca="1">IFERROR(IF(RESULTADOS!$C$17="Normal",D448,C448)*RESULTADOS!$C$18,0)</f>
        <v>0</v>
      </c>
      <c r="G448" s="4">
        <f ca="1">IFERROR(IF(RESULTADOS!$C$17="Normal",0,D448)*IF(RESULTADOS!$C$17="Normal",RESULTADOS!$C$18,RESULTADOS!$C$16),0)</f>
        <v>0</v>
      </c>
      <c r="H448" s="4">
        <f ca="1">IF(RESULTADOS!$C$17="Normal",E448,0)</f>
        <v>0</v>
      </c>
      <c r="I448" s="4">
        <f ca="1">(E448+H448+G448)*PREMISSAS!$C$60</f>
        <v>0</v>
      </c>
      <c r="J448" s="4">
        <f ca="1">D448*IF(RESULTADOS!$C$17="Normal",PREMISSAS!$C$62,0)</f>
        <v>0</v>
      </c>
      <c r="K448" s="116">
        <f ca="1">IFERROR(K447*(1+PREMISSAS!$C$18)+(E448+H448-IF(RESULTADOS!$C$17="Normal",I448,0)-J448)*IF(MONTH(B448)=12,2,1),0)</f>
        <v>0</v>
      </c>
      <c r="L448" s="116">
        <f ca="1">IFERROR((L447+G448-IF(RESULTADOS!$C$17="Normal",0,I448))*(1+PREMISSAS!$C$18)+F448,0)</f>
        <v>0</v>
      </c>
      <c r="N448" s="73">
        <f t="shared" ca="1" si="49"/>
        <v>0</v>
      </c>
      <c r="P448" s="164" t="str">
        <f t="shared" ca="1" si="50"/>
        <v/>
      </c>
      <c r="Q448" s="140" t="str">
        <f ca="1">IF(C448="","",Q447+(E448+H448-IF(RESULTADOS!$C$17="Normal",I448,0)-J448)/2+(F448+G448-IF(RESULTADOS!$C$17="Normal",0,I448)))</f>
        <v/>
      </c>
      <c r="R448" s="140" t="str">
        <f ca="1">IF(C448="","",R447+(E448+H448-IF(RESULTADOS!$C$17="Normal",I448,0)-J448)/2)</f>
        <v/>
      </c>
      <c r="S448" s="140">
        <f t="shared" ca="1" si="52"/>
        <v>0</v>
      </c>
      <c r="U448" s="164" t="str">
        <f t="shared" ca="1" si="53"/>
        <v/>
      </c>
      <c r="V448" s="164" t="str">
        <f t="shared" ca="1" si="51"/>
        <v/>
      </c>
      <c r="W448" s="140">
        <f ca="1">IF(OR((W447-13/12*Z447)*(1+PREMISSAS!$C$16)&lt;0,W447=""),0,(W447-13/12*Z447)*(1+PREMISSAS!$C$16))</f>
        <v>0</v>
      </c>
      <c r="X448" s="140">
        <f ca="1">IF(OR((X447-13/12*AA447)*(1+PREMISSAS!$C$16)&lt;0,X447=""),0,(X447-13/12*AA447)*(1+PREMISSAS!$C$16))</f>
        <v>0</v>
      </c>
      <c r="Y448" s="140">
        <f t="shared" ca="1" si="56"/>
        <v>0</v>
      </c>
      <c r="Z448" s="167">
        <f t="shared" ca="1" si="54"/>
        <v>0</v>
      </c>
      <c r="AA448" s="167">
        <f t="shared" ca="1" si="55"/>
        <v>0</v>
      </c>
    </row>
    <row r="449" spans="2:27" x14ac:dyDescent="0.25">
      <c r="B449" s="21" t="str">
        <f ca="1">IF(B448="","",IF(EOMONTH(B448,1)&gt;EOMONTH(ELEGIBILIDADE!$J$17,0),"",EOMONTH(B448,1)))</f>
        <v/>
      </c>
      <c r="C449" s="22" t="str">
        <f ca="1">IF(B449="","",IF(MONTH(B449)=1,C448*(1+PREMISSAS!$C$57),C448))</f>
        <v/>
      </c>
      <c r="D449" s="22">
        <f ca="1">IF(RESULTADOS!$C$17="Normal",IFERROR(MAX(C449-PREMISSAS!$C$13,0),0),IF(Painel!$I$23=0,0,MAX(10*PREMISSAS!$C$38,RESULTADOS!$F$17)))</f>
        <v>0</v>
      </c>
      <c r="E449" s="4">
        <f ca="1">D449*IF(RESULTADOS!$C$17="Normal",RESULTADOS!$C$16,0)</f>
        <v>0</v>
      </c>
      <c r="F449" s="4">
        <f ca="1">IFERROR(IF(RESULTADOS!$C$17="Normal",D449,C449)*RESULTADOS!$C$18,0)</f>
        <v>0</v>
      </c>
      <c r="G449" s="4">
        <f ca="1">IFERROR(IF(RESULTADOS!$C$17="Normal",0,D449)*IF(RESULTADOS!$C$17="Normal",RESULTADOS!$C$18,RESULTADOS!$C$16),0)</f>
        <v>0</v>
      </c>
      <c r="H449" s="4">
        <f ca="1">IF(RESULTADOS!$C$17="Normal",E449,0)</f>
        <v>0</v>
      </c>
      <c r="I449" s="4">
        <f ca="1">(E449+H449+G449)*PREMISSAS!$C$60</f>
        <v>0</v>
      </c>
      <c r="J449" s="4">
        <f ca="1">D449*IF(RESULTADOS!$C$17="Normal",PREMISSAS!$C$62,0)</f>
        <v>0</v>
      </c>
      <c r="K449" s="116">
        <f ca="1">IFERROR(K448*(1+PREMISSAS!$C$18)+(E449+H449-IF(RESULTADOS!$C$17="Normal",I449,0)-J449)*IF(MONTH(B449)=12,2,1),0)</f>
        <v>0</v>
      </c>
      <c r="L449" s="116">
        <f ca="1">IFERROR((L448+G449-IF(RESULTADOS!$C$17="Normal",0,I449))*(1+PREMISSAS!$C$18)+F449,0)</f>
        <v>0</v>
      </c>
      <c r="N449" s="73">
        <f t="shared" ca="1" si="49"/>
        <v>0</v>
      </c>
      <c r="P449" s="164" t="str">
        <f t="shared" ca="1" si="50"/>
        <v/>
      </c>
      <c r="Q449" s="140" t="str">
        <f ca="1">IF(C449="","",Q448+(E449+H449-IF(RESULTADOS!$C$17="Normal",I449,0)-J449)/2+(F449+G449-IF(RESULTADOS!$C$17="Normal",0,I449)))</f>
        <v/>
      </c>
      <c r="R449" s="140" t="str">
        <f ca="1">IF(C449="","",R448+(E449+H449-IF(RESULTADOS!$C$17="Normal",I449,0)-J449)/2)</f>
        <v/>
      </c>
      <c r="S449" s="140">
        <f t="shared" ca="1" si="52"/>
        <v>0</v>
      </c>
      <c r="U449" s="164" t="str">
        <f t="shared" ca="1" si="53"/>
        <v/>
      </c>
      <c r="V449" s="164" t="str">
        <f t="shared" ca="1" si="51"/>
        <v/>
      </c>
      <c r="W449" s="140">
        <f ca="1">IF(OR((W448-13/12*Z448)*(1+PREMISSAS!$C$16)&lt;0,W448=""),0,(W448-13/12*Z448)*(1+PREMISSAS!$C$16))</f>
        <v>0</v>
      </c>
      <c r="X449" s="140">
        <f ca="1">IF(OR((X448-13/12*AA448)*(1+PREMISSAS!$C$16)&lt;0,X448=""),0,(X448-13/12*AA448)*(1+PREMISSAS!$C$16))</f>
        <v>0</v>
      </c>
      <c r="Y449" s="140">
        <f t="shared" ca="1" si="56"/>
        <v>0</v>
      </c>
      <c r="Z449" s="167">
        <f t="shared" ca="1" si="54"/>
        <v>0</v>
      </c>
      <c r="AA449" s="167">
        <f t="shared" ca="1" si="55"/>
        <v>0</v>
      </c>
    </row>
    <row r="450" spans="2:27" x14ac:dyDescent="0.25">
      <c r="B450" s="21" t="str">
        <f ca="1">IF(B449="","",IF(EOMONTH(B449,1)&gt;EOMONTH(ELEGIBILIDADE!$J$17,0),"",EOMONTH(B449,1)))</f>
        <v/>
      </c>
      <c r="C450" s="22" t="str">
        <f ca="1">IF(B450="","",IF(MONTH(B450)=1,C449*(1+PREMISSAS!$C$57),C449))</f>
        <v/>
      </c>
      <c r="D450" s="22">
        <f ca="1">IF(RESULTADOS!$C$17="Normal",IFERROR(MAX(C450-PREMISSAS!$C$13,0),0),IF(Painel!$I$23=0,0,MAX(10*PREMISSAS!$C$38,RESULTADOS!$F$17)))</f>
        <v>0</v>
      </c>
      <c r="E450" s="4">
        <f ca="1">D450*IF(RESULTADOS!$C$17="Normal",RESULTADOS!$C$16,0)</f>
        <v>0</v>
      </c>
      <c r="F450" s="4">
        <f ca="1">IFERROR(IF(RESULTADOS!$C$17="Normal",D450,C450)*RESULTADOS!$C$18,0)</f>
        <v>0</v>
      </c>
      <c r="G450" s="4">
        <f ca="1">IFERROR(IF(RESULTADOS!$C$17="Normal",0,D450)*IF(RESULTADOS!$C$17="Normal",RESULTADOS!$C$18,RESULTADOS!$C$16),0)</f>
        <v>0</v>
      </c>
      <c r="H450" s="4">
        <f ca="1">IF(RESULTADOS!$C$17="Normal",E450,0)</f>
        <v>0</v>
      </c>
      <c r="I450" s="4">
        <f ca="1">(E450+H450+G450)*PREMISSAS!$C$60</f>
        <v>0</v>
      </c>
      <c r="J450" s="4">
        <f ca="1">D450*IF(RESULTADOS!$C$17="Normal",PREMISSAS!$C$62,0)</f>
        <v>0</v>
      </c>
      <c r="K450" s="116">
        <f ca="1">IFERROR(K449*(1+PREMISSAS!$C$18)+(E450+H450-IF(RESULTADOS!$C$17="Normal",I450,0)-J450)*IF(MONTH(B450)=12,2,1),0)</f>
        <v>0</v>
      </c>
      <c r="L450" s="116">
        <f ca="1">IFERROR((L449+G450-IF(RESULTADOS!$C$17="Normal",0,I450))*(1+PREMISSAS!$C$18)+F450,0)</f>
        <v>0</v>
      </c>
      <c r="N450" s="73">
        <f t="shared" ca="1" si="49"/>
        <v>0</v>
      </c>
      <c r="P450" s="164" t="str">
        <f t="shared" ca="1" si="50"/>
        <v/>
      </c>
      <c r="Q450" s="140" t="str">
        <f ca="1">IF(C450="","",Q449+(E450+H450-IF(RESULTADOS!$C$17="Normal",I450,0)-J450)/2+(F450+G450-IF(RESULTADOS!$C$17="Normal",0,I450)))</f>
        <v/>
      </c>
      <c r="R450" s="140" t="str">
        <f ca="1">IF(C450="","",R449+(E450+H450-IF(RESULTADOS!$C$17="Normal",I450,0)-J450)/2)</f>
        <v/>
      </c>
      <c r="S450" s="140">
        <f t="shared" ca="1" si="52"/>
        <v>0</v>
      </c>
      <c r="U450" s="164" t="str">
        <f t="shared" ca="1" si="53"/>
        <v/>
      </c>
      <c r="V450" s="164" t="str">
        <f t="shared" ca="1" si="51"/>
        <v/>
      </c>
      <c r="W450" s="140">
        <f ca="1">IF(OR((W449-13/12*Z449)*(1+PREMISSAS!$C$16)&lt;0,W449=""),0,(W449-13/12*Z449)*(1+PREMISSAS!$C$16))</f>
        <v>0</v>
      </c>
      <c r="X450" s="140">
        <f ca="1">IF(OR((X449-13/12*AA449)*(1+PREMISSAS!$C$16)&lt;0,X449=""),0,(X449-13/12*AA449)*(1+PREMISSAS!$C$16))</f>
        <v>0</v>
      </c>
      <c r="Y450" s="140">
        <f t="shared" ca="1" si="56"/>
        <v>0</v>
      </c>
      <c r="Z450" s="167">
        <f t="shared" ca="1" si="54"/>
        <v>0</v>
      </c>
      <c r="AA450" s="167">
        <f t="shared" ca="1" si="55"/>
        <v>0</v>
      </c>
    </row>
    <row r="451" spans="2:27" x14ac:dyDescent="0.25">
      <c r="B451" s="21" t="str">
        <f ca="1">IF(B450="","",IF(EOMONTH(B450,1)&gt;EOMONTH(ELEGIBILIDADE!$J$17,0),"",EOMONTH(B450,1)))</f>
        <v/>
      </c>
      <c r="C451" s="22" t="str">
        <f ca="1">IF(B451="","",IF(MONTH(B451)=1,C450*(1+PREMISSAS!$C$57),C450))</f>
        <v/>
      </c>
      <c r="D451" s="22">
        <f ca="1">IF(RESULTADOS!$C$17="Normal",IFERROR(MAX(C451-PREMISSAS!$C$13,0),0),IF(Painel!$I$23=0,0,MAX(10*PREMISSAS!$C$38,RESULTADOS!$F$17)))</f>
        <v>0</v>
      </c>
      <c r="E451" s="4">
        <f ca="1">D451*IF(RESULTADOS!$C$17="Normal",RESULTADOS!$C$16,0)</f>
        <v>0</v>
      </c>
      <c r="F451" s="4">
        <f ca="1">IFERROR(IF(RESULTADOS!$C$17="Normal",D451,C451)*RESULTADOS!$C$18,0)</f>
        <v>0</v>
      </c>
      <c r="G451" s="4">
        <f ca="1">IFERROR(IF(RESULTADOS!$C$17="Normal",0,D451)*IF(RESULTADOS!$C$17="Normal",RESULTADOS!$C$18,RESULTADOS!$C$16),0)</f>
        <v>0</v>
      </c>
      <c r="H451" s="4">
        <f ca="1">IF(RESULTADOS!$C$17="Normal",E451,0)</f>
        <v>0</v>
      </c>
      <c r="I451" s="4">
        <f ca="1">(E451+H451+G451)*PREMISSAS!$C$60</f>
        <v>0</v>
      </c>
      <c r="J451" s="4">
        <f ca="1">D451*IF(RESULTADOS!$C$17="Normal",PREMISSAS!$C$62,0)</f>
        <v>0</v>
      </c>
      <c r="K451" s="116">
        <f ca="1">IFERROR(K450*(1+PREMISSAS!$C$18)+(E451+H451-IF(RESULTADOS!$C$17="Normal",I451,0)-J451)*IF(MONTH(B451)=12,2,1),0)</f>
        <v>0</v>
      </c>
      <c r="L451" s="116">
        <f ca="1">IFERROR((L450+G451-IF(RESULTADOS!$C$17="Normal",0,I451))*(1+PREMISSAS!$C$18)+F451,0)</f>
        <v>0</v>
      </c>
      <c r="N451" s="73">
        <f t="shared" ca="1" si="49"/>
        <v>0</v>
      </c>
      <c r="P451" s="164" t="str">
        <f t="shared" ca="1" si="50"/>
        <v/>
      </c>
      <c r="Q451" s="140" t="str">
        <f ca="1">IF(C451="","",Q450+(E451+H451-IF(RESULTADOS!$C$17="Normal",I451,0)-J451)/2+(F451+G451-IF(RESULTADOS!$C$17="Normal",0,I451)))</f>
        <v/>
      </c>
      <c r="R451" s="140" t="str">
        <f ca="1">IF(C451="","",R450+(E451+H451-IF(RESULTADOS!$C$17="Normal",I451,0)-J451)/2)</f>
        <v/>
      </c>
      <c r="S451" s="140">
        <f t="shared" ca="1" si="52"/>
        <v>0</v>
      </c>
      <c r="U451" s="164" t="str">
        <f t="shared" ca="1" si="53"/>
        <v/>
      </c>
      <c r="V451" s="164" t="str">
        <f t="shared" ca="1" si="51"/>
        <v/>
      </c>
      <c r="W451" s="140">
        <f ca="1">IF(OR((W450-13/12*Z450)*(1+PREMISSAS!$C$16)&lt;0,W450=""),0,(W450-13/12*Z450)*(1+PREMISSAS!$C$16))</f>
        <v>0</v>
      </c>
      <c r="X451" s="140">
        <f ca="1">IF(OR((X450-13/12*AA450)*(1+PREMISSAS!$C$16)&lt;0,X450=""),0,(X450-13/12*AA450)*(1+PREMISSAS!$C$16))</f>
        <v>0</v>
      </c>
      <c r="Y451" s="140">
        <f t="shared" ca="1" si="56"/>
        <v>0</v>
      </c>
      <c r="Z451" s="167">
        <f t="shared" ca="1" si="54"/>
        <v>0</v>
      </c>
      <c r="AA451" s="167">
        <f t="shared" ca="1" si="55"/>
        <v>0</v>
      </c>
    </row>
    <row r="452" spans="2:27" x14ac:dyDescent="0.25">
      <c r="B452" s="21" t="str">
        <f ca="1">IF(B451="","",IF(EOMONTH(B451,1)&gt;EOMONTH(ELEGIBILIDADE!$J$17,0),"",EOMONTH(B451,1)))</f>
        <v/>
      </c>
      <c r="C452" s="22" t="str">
        <f ca="1">IF(B452="","",IF(MONTH(B452)=1,C451*(1+PREMISSAS!$C$57),C451))</f>
        <v/>
      </c>
      <c r="D452" s="22">
        <f ca="1">IF(RESULTADOS!$C$17="Normal",IFERROR(MAX(C452-PREMISSAS!$C$13,0),0),IF(Painel!$I$23=0,0,MAX(10*PREMISSAS!$C$38,RESULTADOS!$F$17)))</f>
        <v>0</v>
      </c>
      <c r="E452" s="4">
        <f ca="1">D452*IF(RESULTADOS!$C$17="Normal",RESULTADOS!$C$16,0)</f>
        <v>0</v>
      </c>
      <c r="F452" s="4">
        <f ca="1">IFERROR(IF(RESULTADOS!$C$17="Normal",D452,C452)*RESULTADOS!$C$18,0)</f>
        <v>0</v>
      </c>
      <c r="G452" s="4">
        <f ca="1">IFERROR(IF(RESULTADOS!$C$17="Normal",0,D452)*IF(RESULTADOS!$C$17="Normal",RESULTADOS!$C$18,RESULTADOS!$C$16),0)</f>
        <v>0</v>
      </c>
      <c r="H452" s="4">
        <f ca="1">IF(RESULTADOS!$C$17="Normal",E452,0)</f>
        <v>0</v>
      </c>
      <c r="I452" s="4">
        <f ca="1">(E452+H452+G452)*PREMISSAS!$C$60</f>
        <v>0</v>
      </c>
      <c r="J452" s="4">
        <f ca="1">D452*IF(RESULTADOS!$C$17="Normal",PREMISSAS!$C$62,0)</f>
        <v>0</v>
      </c>
      <c r="K452" s="116">
        <f ca="1">IFERROR(K451*(1+PREMISSAS!$C$18)+(E452+H452-IF(RESULTADOS!$C$17="Normal",I452,0)-J452)*IF(MONTH(B452)=12,2,1),0)</f>
        <v>0</v>
      </c>
      <c r="L452" s="116">
        <f ca="1">IFERROR((L451+G452-IF(RESULTADOS!$C$17="Normal",0,I452))*(1+PREMISSAS!$C$18)+F452,0)</f>
        <v>0</v>
      </c>
      <c r="N452" s="73">
        <f t="shared" ca="1" si="49"/>
        <v>0</v>
      </c>
      <c r="P452" s="164" t="str">
        <f t="shared" ca="1" si="50"/>
        <v/>
      </c>
      <c r="Q452" s="140" t="str">
        <f ca="1">IF(C452="","",Q451+(E452+H452-IF(RESULTADOS!$C$17="Normal",I452,0)-J452)/2+(F452+G452-IF(RESULTADOS!$C$17="Normal",0,I452)))</f>
        <v/>
      </c>
      <c r="R452" s="140" t="str">
        <f ca="1">IF(C452="","",R451+(E452+H452-IF(RESULTADOS!$C$17="Normal",I452,0)-J452)/2)</f>
        <v/>
      </c>
      <c r="S452" s="140">
        <f t="shared" ca="1" si="52"/>
        <v>0</v>
      </c>
      <c r="U452" s="164" t="str">
        <f t="shared" ca="1" si="53"/>
        <v/>
      </c>
      <c r="V452" s="164" t="str">
        <f t="shared" ca="1" si="51"/>
        <v/>
      </c>
      <c r="W452" s="140">
        <f ca="1">IF(OR((W451-13/12*Z451)*(1+PREMISSAS!$C$16)&lt;0,W451=""),0,(W451-13/12*Z451)*(1+PREMISSAS!$C$16))</f>
        <v>0</v>
      </c>
      <c r="X452" s="140">
        <f ca="1">IF(OR((X451-13/12*AA451)*(1+PREMISSAS!$C$16)&lt;0,X451=""),0,(X451-13/12*AA451)*(1+PREMISSAS!$C$16))</f>
        <v>0</v>
      </c>
      <c r="Y452" s="140">
        <f t="shared" ca="1" si="56"/>
        <v>0</v>
      </c>
      <c r="Z452" s="167">
        <f t="shared" ca="1" si="54"/>
        <v>0</v>
      </c>
      <c r="AA452" s="167">
        <f t="shared" ca="1" si="55"/>
        <v>0</v>
      </c>
    </row>
    <row r="453" spans="2:27" x14ac:dyDescent="0.25">
      <c r="B453" s="21" t="str">
        <f ca="1">IF(B452="","",IF(EOMONTH(B452,1)&gt;EOMONTH(ELEGIBILIDADE!$J$17,0),"",EOMONTH(B452,1)))</f>
        <v/>
      </c>
      <c r="C453" s="22" t="str">
        <f ca="1">IF(B453="","",IF(MONTH(B453)=1,C452*(1+PREMISSAS!$C$57),C452))</f>
        <v/>
      </c>
      <c r="D453" s="22">
        <f ca="1">IF(RESULTADOS!$C$17="Normal",IFERROR(MAX(C453-PREMISSAS!$C$13,0),0),IF(Painel!$I$23=0,0,MAX(10*PREMISSAS!$C$38,RESULTADOS!$F$17)))</f>
        <v>0</v>
      </c>
      <c r="E453" s="4">
        <f ca="1">D453*IF(RESULTADOS!$C$17="Normal",RESULTADOS!$C$16,0)</f>
        <v>0</v>
      </c>
      <c r="F453" s="4">
        <f ca="1">IFERROR(IF(RESULTADOS!$C$17="Normal",D453,C453)*RESULTADOS!$C$18,0)</f>
        <v>0</v>
      </c>
      <c r="G453" s="4">
        <f ca="1">IFERROR(IF(RESULTADOS!$C$17="Normal",0,D453)*IF(RESULTADOS!$C$17="Normal",RESULTADOS!$C$18,RESULTADOS!$C$16),0)</f>
        <v>0</v>
      </c>
      <c r="H453" s="4">
        <f ca="1">IF(RESULTADOS!$C$17="Normal",E453,0)</f>
        <v>0</v>
      </c>
      <c r="I453" s="4">
        <f ca="1">(E453+H453+G453)*PREMISSAS!$C$60</f>
        <v>0</v>
      </c>
      <c r="J453" s="4">
        <f ca="1">D453*IF(RESULTADOS!$C$17="Normal",PREMISSAS!$C$62,0)</f>
        <v>0</v>
      </c>
      <c r="K453" s="116">
        <f ca="1">IFERROR(K452*(1+PREMISSAS!$C$18)+(E453+H453-IF(RESULTADOS!$C$17="Normal",I453,0)-J453)*IF(MONTH(B453)=12,2,1),0)</f>
        <v>0</v>
      </c>
      <c r="L453" s="116">
        <f ca="1">IFERROR((L452+G453-IF(RESULTADOS!$C$17="Normal",0,I453))*(1+PREMISSAS!$C$18)+F453,0)</f>
        <v>0</v>
      </c>
      <c r="N453" s="73">
        <f t="shared" ca="1" si="49"/>
        <v>0</v>
      </c>
      <c r="P453" s="164" t="str">
        <f t="shared" ca="1" si="50"/>
        <v/>
      </c>
      <c r="Q453" s="140" t="str">
        <f ca="1">IF(C453="","",Q452+(E453+H453-IF(RESULTADOS!$C$17="Normal",I453,0)-J453)/2+(F453+G453-IF(RESULTADOS!$C$17="Normal",0,I453)))</f>
        <v/>
      </c>
      <c r="R453" s="140" t="str">
        <f ca="1">IF(C453="","",R452+(E453+H453-IF(RESULTADOS!$C$17="Normal",I453,0)-J453)/2)</f>
        <v/>
      </c>
      <c r="S453" s="140">
        <f t="shared" ca="1" si="52"/>
        <v>0</v>
      </c>
      <c r="U453" s="164" t="str">
        <f t="shared" ca="1" si="53"/>
        <v/>
      </c>
      <c r="V453" s="164" t="str">
        <f t="shared" ca="1" si="51"/>
        <v/>
      </c>
      <c r="W453" s="140">
        <f ca="1">IF(OR((W452-13/12*Z452)*(1+PREMISSAS!$C$16)&lt;0,W452=""),0,(W452-13/12*Z452)*(1+PREMISSAS!$C$16))</f>
        <v>0</v>
      </c>
      <c r="X453" s="140">
        <f ca="1">IF(OR((X452-13/12*AA452)*(1+PREMISSAS!$C$16)&lt;0,X452=""),0,(X452-13/12*AA452)*(1+PREMISSAS!$C$16))</f>
        <v>0</v>
      </c>
      <c r="Y453" s="140">
        <f t="shared" ca="1" si="56"/>
        <v>0</v>
      </c>
      <c r="Z453" s="167">
        <f t="shared" ca="1" si="54"/>
        <v>0</v>
      </c>
      <c r="AA453" s="167">
        <f t="shared" ca="1" si="55"/>
        <v>0</v>
      </c>
    </row>
    <row r="454" spans="2:27" x14ac:dyDescent="0.25">
      <c r="B454" s="21" t="str">
        <f ca="1">IF(B453="","",IF(EOMONTH(B453,1)&gt;EOMONTH(ELEGIBILIDADE!$J$17,0),"",EOMONTH(B453,1)))</f>
        <v/>
      </c>
      <c r="C454" s="22" t="str">
        <f ca="1">IF(B454="","",IF(MONTH(B454)=1,C453*(1+PREMISSAS!$C$57),C453))</f>
        <v/>
      </c>
      <c r="D454" s="22">
        <f ca="1">IF(RESULTADOS!$C$17="Normal",IFERROR(MAX(C454-PREMISSAS!$C$13,0),0),IF(Painel!$I$23=0,0,MAX(10*PREMISSAS!$C$38,RESULTADOS!$F$17)))</f>
        <v>0</v>
      </c>
      <c r="E454" s="4">
        <f ca="1">D454*IF(RESULTADOS!$C$17="Normal",RESULTADOS!$C$16,0)</f>
        <v>0</v>
      </c>
      <c r="F454" s="4">
        <f ca="1">IFERROR(IF(RESULTADOS!$C$17="Normal",D454,C454)*RESULTADOS!$C$18,0)</f>
        <v>0</v>
      </c>
      <c r="G454" s="4">
        <f ca="1">IFERROR(IF(RESULTADOS!$C$17="Normal",0,D454)*IF(RESULTADOS!$C$17="Normal",RESULTADOS!$C$18,RESULTADOS!$C$16),0)</f>
        <v>0</v>
      </c>
      <c r="H454" s="4">
        <f ca="1">IF(RESULTADOS!$C$17="Normal",E454,0)</f>
        <v>0</v>
      </c>
      <c r="I454" s="4">
        <f ca="1">(E454+H454+G454)*PREMISSAS!$C$60</f>
        <v>0</v>
      </c>
      <c r="J454" s="4">
        <f ca="1">D454*IF(RESULTADOS!$C$17="Normal",PREMISSAS!$C$62,0)</f>
        <v>0</v>
      </c>
      <c r="K454" s="116">
        <f ca="1">IFERROR(K453*(1+PREMISSAS!$C$18)+(E454+H454-IF(RESULTADOS!$C$17="Normal",I454,0)-J454)*IF(MONTH(B454)=12,2,1),0)</f>
        <v>0</v>
      </c>
      <c r="L454" s="116">
        <f ca="1">IFERROR((L453+G454-IF(RESULTADOS!$C$17="Normal",0,I454))*(1+PREMISSAS!$C$18)+F454,0)</f>
        <v>0</v>
      </c>
      <c r="N454" s="73">
        <f t="shared" ref="N454:N482" ca="1" si="57">IFERROR((E454+F454+G454)/C454,0)</f>
        <v>0</v>
      </c>
      <c r="P454" s="164" t="str">
        <f t="shared" ref="P454:P517" ca="1" si="58">IF(C454="","",B454)</f>
        <v/>
      </c>
      <c r="Q454" s="140" t="str">
        <f ca="1">IF(C454="","",Q453+(E454+H454-IF(RESULTADOS!$C$17="Normal",I454,0)-J454)/2+(F454+G454-IF(RESULTADOS!$C$17="Normal",0,I454)))</f>
        <v/>
      </c>
      <c r="R454" s="140" t="str">
        <f ca="1">IF(C454="","",R453+(E454+H454-IF(RESULTADOS!$C$17="Normal",I454,0)-J454)/2)</f>
        <v/>
      </c>
      <c r="S454" s="140">
        <f t="shared" ca="1" si="52"/>
        <v>0</v>
      </c>
      <c r="U454" s="164" t="str">
        <f t="shared" ca="1" si="53"/>
        <v/>
      </c>
      <c r="V454" s="164" t="str">
        <f t="shared" ref="V454:V517" ca="1" si="59">IF(AA454&lt;&gt;"",U454,"")</f>
        <v/>
      </c>
      <c r="W454" s="140">
        <f ca="1">IF(OR((W453-13/12*Z453)*(1+PREMISSAS!$C$16)&lt;0,W453=""),0,(W453-13/12*Z453)*(1+PREMISSAS!$C$16))</f>
        <v>0</v>
      </c>
      <c r="X454" s="140">
        <f ca="1">IF(OR((X453-13/12*AA453)*(1+PREMISSAS!$C$16)&lt;0,X453=""),0,(X453-13/12*AA453)*(1+PREMISSAS!$C$16))</f>
        <v>0</v>
      </c>
      <c r="Y454" s="140">
        <f t="shared" ca="1" si="56"/>
        <v>0</v>
      </c>
      <c r="Z454" s="167">
        <f t="shared" ca="1" si="54"/>
        <v>0</v>
      </c>
      <c r="AA454" s="167">
        <f t="shared" ca="1" si="55"/>
        <v>0</v>
      </c>
    </row>
    <row r="455" spans="2:27" x14ac:dyDescent="0.25">
      <c r="B455" s="21" t="str">
        <f ca="1">IF(B454="","",IF(EOMONTH(B454,1)&gt;EOMONTH(ELEGIBILIDADE!$J$17,0),"",EOMONTH(B454,1)))</f>
        <v/>
      </c>
      <c r="C455" s="22" t="str">
        <f ca="1">IF(B455="","",IF(MONTH(B455)=1,C454*(1+PREMISSAS!$C$57),C454))</f>
        <v/>
      </c>
      <c r="D455" s="22">
        <f ca="1">IF(RESULTADOS!$C$17="Normal",IFERROR(MAX(C455-PREMISSAS!$C$13,0),0),IF(Painel!$I$23=0,0,MAX(10*PREMISSAS!$C$38,RESULTADOS!$F$17)))</f>
        <v>0</v>
      </c>
      <c r="E455" s="4">
        <f ca="1">D455*IF(RESULTADOS!$C$17="Normal",RESULTADOS!$C$16,0)</f>
        <v>0</v>
      </c>
      <c r="F455" s="4">
        <f ca="1">IFERROR(IF(RESULTADOS!$C$17="Normal",D455,C455)*RESULTADOS!$C$18,0)</f>
        <v>0</v>
      </c>
      <c r="G455" s="4">
        <f ca="1">IFERROR(IF(RESULTADOS!$C$17="Normal",0,D455)*IF(RESULTADOS!$C$17="Normal",RESULTADOS!$C$18,RESULTADOS!$C$16),0)</f>
        <v>0</v>
      </c>
      <c r="H455" s="4">
        <f ca="1">IF(RESULTADOS!$C$17="Normal",E455,0)</f>
        <v>0</v>
      </c>
      <c r="I455" s="4">
        <f ca="1">(E455+H455+G455)*PREMISSAS!$C$60</f>
        <v>0</v>
      </c>
      <c r="J455" s="4">
        <f ca="1">D455*IF(RESULTADOS!$C$17="Normal",PREMISSAS!$C$62,0)</f>
        <v>0</v>
      </c>
      <c r="K455" s="116">
        <f ca="1">IFERROR(K454*(1+PREMISSAS!$C$18)+(E455+H455-IF(RESULTADOS!$C$17="Normal",I455,0)-J455)*IF(MONTH(B455)=12,2,1),0)</f>
        <v>0</v>
      </c>
      <c r="L455" s="116">
        <f ca="1">IFERROR((L454+G455-IF(RESULTADOS!$C$17="Normal",0,I455))*(1+PREMISSAS!$C$18)+F455,0)</f>
        <v>0</v>
      </c>
      <c r="N455" s="73">
        <f t="shared" ca="1" si="57"/>
        <v>0</v>
      </c>
      <c r="P455" s="164" t="str">
        <f t="shared" ca="1" si="58"/>
        <v/>
      </c>
      <c r="Q455" s="140" t="str">
        <f ca="1">IF(C455="","",Q454+(E455+H455-IF(RESULTADOS!$C$17="Normal",I455,0)-J455)/2+(F455+G455-IF(RESULTADOS!$C$17="Normal",0,I455)))</f>
        <v/>
      </c>
      <c r="R455" s="140" t="str">
        <f ca="1">IF(C455="","",R454+(E455+H455-IF(RESULTADOS!$C$17="Normal",I455,0)-J455)/2)</f>
        <v/>
      </c>
      <c r="S455" s="140">
        <f t="shared" ref="S455:S518" ca="1" si="60">SUM(K455:L455)-SUM(Q455:R455)</f>
        <v>0</v>
      </c>
      <c r="U455" s="164" t="str">
        <f t="shared" ref="U455:U518" ca="1" si="61">IF(Y455=0,"",EOMONTH(U454,1))</f>
        <v/>
      </c>
      <c r="V455" s="164" t="str">
        <f t="shared" ca="1" si="59"/>
        <v/>
      </c>
      <c r="W455" s="140">
        <f ca="1">IF(OR((W454-13/12*Z454)*(1+PREMISSAS!$C$16)&lt;0,W454=""),0,(W454-13/12*Z454)*(1+PREMISSAS!$C$16))</f>
        <v>0</v>
      </c>
      <c r="X455" s="140">
        <f ca="1">IF(OR((X454-13/12*AA454)*(1+PREMISSAS!$C$16)&lt;0,X454=""),0,(X454-13/12*AA454)*(1+PREMISSAS!$C$16))</f>
        <v>0</v>
      </c>
      <c r="Y455" s="140">
        <f t="shared" ca="1" si="56"/>
        <v>0</v>
      </c>
      <c r="Z455" s="167">
        <f t="shared" ref="Z455:Z518" ca="1" si="62">IF(W455&lt;&gt;0,Z454,0)</f>
        <v>0</v>
      </c>
      <c r="AA455" s="167">
        <f t="shared" ref="AA455:AA518" ca="1" si="63">IF(X455&lt;&gt;0,AA454,0)</f>
        <v>0</v>
      </c>
    </row>
    <row r="456" spans="2:27" x14ac:dyDescent="0.25">
      <c r="B456" s="21" t="str">
        <f ca="1">IF(B455="","",IF(EOMONTH(B455,1)&gt;EOMONTH(ELEGIBILIDADE!$J$17,0),"",EOMONTH(B455,1)))</f>
        <v/>
      </c>
      <c r="C456" s="22" t="str">
        <f ca="1">IF(B456="","",IF(MONTH(B456)=1,C455*(1+PREMISSAS!$C$57),C455))</f>
        <v/>
      </c>
      <c r="D456" s="22">
        <f ca="1">IF(RESULTADOS!$C$17="Normal",IFERROR(MAX(C456-PREMISSAS!$C$13,0),0),IF(Painel!$I$23=0,0,MAX(10*PREMISSAS!$C$38,RESULTADOS!$F$17)))</f>
        <v>0</v>
      </c>
      <c r="E456" s="4">
        <f ca="1">D456*IF(RESULTADOS!$C$17="Normal",RESULTADOS!$C$16,0)</f>
        <v>0</v>
      </c>
      <c r="F456" s="4">
        <f ca="1">IFERROR(IF(RESULTADOS!$C$17="Normal",D456,C456)*RESULTADOS!$C$18,0)</f>
        <v>0</v>
      </c>
      <c r="G456" s="4">
        <f ca="1">IFERROR(IF(RESULTADOS!$C$17="Normal",0,D456)*IF(RESULTADOS!$C$17="Normal",RESULTADOS!$C$18,RESULTADOS!$C$16),0)</f>
        <v>0</v>
      </c>
      <c r="H456" s="4">
        <f ca="1">IF(RESULTADOS!$C$17="Normal",E456,0)</f>
        <v>0</v>
      </c>
      <c r="I456" s="4">
        <f ca="1">(E456+H456+G456)*PREMISSAS!$C$60</f>
        <v>0</v>
      </c>
      <c r="J456" s="4">
        <f ca="1">D456*IF(RESULTADOS!$C$17="Normal",PREMISSAS!$C$62,0)</f>
        <v>0</v>
      </c>
      <c r="K456" s="116">
        <f ca="1">IFERROR(K455*(1+PREMISSAS!$C$18)+(E456+H456-IF(RESULTADOS!$C$17="Normal",I456,0)-J456)*IF(MONTH(B456)=12,2,1),0)</f>
        <v>0</v>
      </c>
      <c r="L456" s="116">
        <f ca="1">IFERROR((L455+G456-IF(RESULTADOS!$C$17="Normal",0,I456))*(1+PREMISSAS!$C$18)+F456,0)</f>
        <v>0</v>
      </c>
      <c r="N456" s="73">
        <f t="shared" ca="1" si="57"/>
        <v>0</v>
      </c>
      <c r="P456" s="164" t="str">
        <f t="shared" ca="1" si="58"/>
        <v/>
      </c>
      <c r="Q456" s="140" t="str">
        <f ca="1">IF(C456="","",Q455+(E456+H456-IF(RESULTADOS!$C$17="Normal",I456,0)-J456)/2+(F456+G456-IF(RESULTADOS!$C$17="Normal",0,I456)))</f>
        <v/>
      </c>
      <c r="R456" s="140" t="str">
        <f ca="1">IF(C456="","",R455+(E456+H456-IF(RESULTADOS!$C$17="Normal",I456,0)-J456)/2)</f>
        <v/>
      </c>
      <c r="S456" s="140">
        <f t="shared" ca="1" si="60"/>
        <v>0</v>
      </c>
      <c r="U456" s="164" t="str">
        <f t="shared" ca="1" si="61"/>
        <v/>
      </c>
      <c r="V456" s="164" t="str">
        <f t="shared" ca="1" si="59"/>
        <v/>
      </c>
      <c r="W456" s="140">
        <f ca="1">IF(OR((W455-13/12*Z455)*(1+PREMISSAS!$C$16)&lt;0,W455=""),0,(W455-13/12*Z455)*(1+PREMISSAS!$C$16))</f>
        <v>0</v>
      </c>
      <c r="X456" s="140">
        <f ca="1">IF(OR((X455-13/12*AA455)*(1+PREMISSAS!$C$16)&lt;0,X455=""),0,(X455-13/12*AA455)*(1+PREMISSAS!$C$16))</f>
        <v>0</v>
      </c>
      <c r="Y456" s="140">
        <f t="shared" ca="1" si="56"/>
        <v>0</v>
      </c>
      <c r="Z456" s="167">
        <f t="shared" ca="1" si="62"/>
        <v>0</v>
      </c>
      <c r="AA456" s="167">
        <f t="shared" ca="1" si="63"/>
        <v>0</v>
      </c>
    </row>
    <row r="457" spans="2:27" x14ac:dyDescent="0.25">
      <c r="B457" s="21" t="str">
        <f ca="1">IF(B456="","",IF(EOMONTH(B456,1)&gt;EOMONTH(ELEGIBILIDADE!$J$17,0),"",EOMONTH(B456,1)))</f>
        <v/>
      </c>
      <c r="C457" s="22" t="str">
        <f ca="1">IF(B457="","",IF(MONTH(B457)=1,C456*(1+PREMISSAS!$C$57),C456))</f>
        <v/>
      </c>
      <c r="D457" s="22">
        <f ca="1">IF(RESULTADOS!$C$17="Normal",IFERROR(MAX(C457-PREMISSAS!$C$13,0),0),IF(Painel!$I$23=0,0,MAX(10*PREMISSAS!$C$38,RESULTADOS!$F$17)))</f>
        <v>0</v>
      </c>
      <c r="E457" s="4">
        <f ca="1">D457*IF(RESULTADOS!$C$17="Normal",RESULTADOS!$C$16,0)</f>
        <v>0</v>
      </c>
      <c r="F457" s="4">
        <f ca="1">IFERROR(IF(RESULTADOS!$C$17="Normal",D457,C457)*RESULTADOS!$C$18,0)</f>
        <v>0</v>
      </c>
      <c r="G457" s="4">
        <f ca="1">IFERROR(IF(RESULTADOS!$C$17="Normal",0,D457)*IF(RESULTADOS!$C$17="Normal",RESULTADOS!$C$18,RESULTADOS!$C$16),0)</f>
        <v>0</v>
      </c>
      <c r="H457" s="4">
        <f ca="1">IF(RESULTADOS!$C$17="Normal",E457,0)</f>
        <v>0</v>
      </c>
      <c r="I457" s="4">
        <f ca="1">(E457+H457+G457)*PREMISSAS!$C$60</f>
        <v>0</v>
      </c>
      <c r="J457" s="4">
        <f ca="1">D457*IF(RESULTADOS!$C$17="Normal",PREMISSAS!$C$62,0)</f>
        <v>0</v>
      </c>
      <c r="K457" s="116">
        <f ca="1">IFERROR(K456*(1+PREMISSAS!$C$18)+(E457+H457-IF(RESULTADOS!$C$17="Normal",I457,0)-J457)*IF(MONTH(B457)=12,2,1),0)</f>
        <v>0</v>
      </c>
      <c r="L457" s="116">
        <f ca="1">IFERROR((L456+G457-IF(RESULTADOS!$C$17="Normal",0,I457))*(1+PREMISSAS!$C$18)+F457,0)</f>
        <v>0</v>
      </c>
      <c r="N457" s="73">
        <f t="shared" ca="1" si="57"/>
        <v>0</v>
      </c>
      <c r="P457" s="164" t="str">
        <f t="shared" ca="1" si="58"/>
        <v/>
      </c>
      <c r="Q457" s="140" t="str">
        <f ca="1">IF(C457="","",Q456+(E457+H457-IF(RESULTADOS!$C$17="Normal",I457,0)-J457)/2+(F457+G457-IF(RESULTADOS!$C$17="Normal",0,I457)))</f>
        <v/>
      </c>
      <c r="R457" s="140" t="str">
        <f ca="1">IF(C457="","",R456+(E457+H457-IF(RESULTADOS!$C$17="Normal",I457,0)-J457)/2)</f>
        <v/>
      </c>
      <c r="S457" s="140">
        <f t="shared" ca="1" si="60"/>
        <v>0</v>
      </c>
      <c r="U457" s="164" t="str">
        <f t="shared" ca="1" si="61"/>
        <v/>
      </c>
      <c r="V457" s="164" t="str">
        <f t="shared" ca="1" si="59"/>
        <v/>
      </c>
      <c r="W457" s="140">
        <f ca="1">IF(OR((W456-13/12*Z456)*(1+PREMISSAS!$C$16)&lt;0,W456=""),0,(W456-13/12*Z456)*(1+PREMISSAS!$C$16))</f>
        <v>0</v>
      </c>
      <c r="X457" s="140">
        <f ca="1">IF(OR((X456-13/12*AA456)*(1+PREMISSAS!$C$16)&lt;0,X456=""),0,(X456-13/12*AA456)*(1+PREMISSAS!$C$16))</f>
        <v>0</v>
      </c>
      <c r="Y457" s="140">
        <f t="shared" ca="1" si="56"/>
        <v>0</v>
      </c>
      <c r="Z457" s="167">
        <f t="shared" ca="1" si="62"/>
        <v>0</v>
      </c>
      <c r="AA457" s="167">
        <f t="shared" ca="1" si="63"/>
        <v>0</v>
      </c>
    </row>
    <row r="458" spans="2:27" x14ac:dyDescent="0.25">
      <c r="B458" s="21" t="str">
        <f ca="1">IF(B457="","",IF(EOMONTH(B457,1)&gt;EOMONTH(ELEGIBILIDADE!$J$17,0),"",EOMONTH(B457,1)))</f>
        <v/>
      </c>
      <c r="C458" s="22" t="str">
        <f ca="1">IF(B458="","",IF(MONTH(B458)=1,C457*(1+PREMISSAS!$C$57),C457))</f>
        <v/>
      </c>
      <c r="D458" s="22">
        <f ca="1">IF(RESULTADOS!$C$17="Normal",IFERROR(MAX(C458-PREMISSAS!$C$13,0),0),IF(Painel!$I$23=0,0,MAX(10*PREMISSAS!$C$38,RESULTADOS!$F$17)))</f>
        <v>0</v>
      </c>
      <c r="E458" s="4">
        <f ca="1">D458*IF(RESULTADOS!$C$17="Normal",RESULTADOS!$C$16,0)</f>
        <v>0</v>
      </c>
      <c r="F458" s="4">
        <f ca="1">IFERROR(IF(RESULTADOS!$C$17="Normal",D458,C458)*RESULTADOS!$C$18,0)</f>
        <v>0</v>
      </c>
      <c r="G458" s="4">
        <f ca="1">IFERROR(IF(RESULTADOS!$C$17="Normal",0,D458)*IF(RESULTADOS!$C$17="Normal",RESULTADOS!$C$18,RESULTADOS!$C$16),0)</f>
        <v>0</v>
      </c>
      <c r="H458" s="4">
        <f ca="1">IF(RESULTADOS!$C$17="Normal",E458,0)</f>
        <v>0</v>
      </c>
      <c r="I458" s="4">
        <f ca="1">(E458+H458+G458)*PREMISSAS!$C$60</f>
        <v>0</v>
      </c>
      <c r="J458" s="4">
        <f ca="1">D458*IF(RESULTADOS!$C$17="Normal",PREMISSAS!$C$62,0)</f>
        <v>0</v>
      </c>
      <c r="K458" s="116">
        <f ca="1">IFERROR(K457*(1+PREMISSAS!$C$18)+(E458+H458-IF(RESULTADOS!$C$17="Normal",I458,0)-J458)*IF(MONTH(B458)=12,2,1),0)</f>
        <v>0</v>
      </c>
      <c r="L458" s="116">
        <f ca="1">IFERROR((L457+G458-IF(RESULTADOS!$C$17="Normal",0,I458))*(1+PREMISSAS!$C$18)+F458,0)</f>
        <v>0</v>
      </c>
      <c r="N458" s="73">
        <f t="shared" ca="1" si="57"/>
        <v>0</v>
      </c>
      <c r="P458" s="164" t="str">
        <f t="shared" ca="1" si="58"/>
        <v/>
      </c>
      <c r="Q458" s="140" t="str">
        <f ca="1">IF(C458="","",Q457+(E458+H458-IF(RESULTADOS!$C$17="Normal",I458,0)-J458)/2+(F458+G458-IF(RESULTADOS!$C$17="Normal",0,I458)))</f>
        <v/>
      </c>
      <c r="R458" s="140" t="str">
        <f ca="1">IF(C458="","",R457+(E458+H458-IF(RESULTADOS!$C$17="Normal",I458,0)-J458)/2)</f>
        <v/>
      </c>
      <c r="S458" s="140">
        <f t="shared" ca="1" si="60"/>
        <v>0</v>
      </c>
      <c r="U458" s="164" t="str">
        <f t="shared" ca="1" si="61"/>
        <v/>
      </c>
      <c r="V458" s="164" t="str">
        <f t="shared" ca="1" si="59"/>
        <v/>
      </c>
      <c r="W458" s="140">
        <f ca="1">IF(OR((W457-13/12*Z457)*(1+PREMISSAS!$C$16)&lt;0,W457=""),0,(W457-13/12*Z457)*(1+PREMISSAS!$C$16))</f>
        <v>0</v>
      </c>
      <c r="X458" s="140">
        <f ca="1">IF(OR((X457-13/12*AA457)*(1+PREMISSAS!$C$16)&lt;0,X457=""),0,(X457-13/12*AA457)*(1+PREMISSAS!$C$16))</f>
        <v>0</v>
      </c>
      <c r="Y458" s="140">
        <f t="shared" ca="1" si="56"/>
        <v>0</v>
      </c>
      <c r="Z458" s="167">
        <f t="shared" ca="1" si="62"/>
        <v>0</v>
      </c>
      <c r="AA458" s="167">
        <f t="shared" ca="1" si="63"/>
        <v>0</v>
      </c>
    </row>
    <row r="459" spans="2:27" x14ac:dyDescent="0.25">
      <c r="B459" s="21" t="str">
        <f ca="1">IF(B458="","",IF(EOMONTH(B458,1)&gt;EOMONTH(ELEGIBILIDADE!$J$17,0),"",EOMONTH(B458,1)))</f>
        <v/>
      </c>
      <c r="C459" s="22" t="str">
        <f ca="1">IF(B459="","",IF(MONTH(B459)=1,C458*(1+PREMISSAS!$C$57),C458))</f>
        <v/>
      </c>
      <c r="D459" s="22">
        <f ca="1">IF(RESULTADOS!$C$17="Normal",IFERROR(MAX(C459-PREMISSAS!$C$13,0),0),IF(Painel!$I$23=0,0,MAX(10*PREMISSAS!$C$38,RESULTADOS!$F$17)))</f>
        <v>0</v>
      </c>
      <c r="E459" s="4">
        <f ca="1">D459*IF(RESULTADOS!$C$17="Normal",RESULTADOS!$C$16,0)</f>
        <v>0</v>
      </c>
      <c r="F459" s="4">
        <f ca="1">IFERROR(IF(RESULTADOS!$C$17="Normal",D459,C459)*RESULTADOS!$C$18,0)</f>
        <v>0</v>
      </c>
      <c r="G459" s="4">
        <f ca="1">IFERROR(IF(RESULTADOS!$C$17="Normal",0,D459)*IF(RESULTADOS!$C$17="Normal",RESULTADOS!$C$18,RESULTADOS!$C$16),0)</f>
        <v>0</v>
      </c>
      <c r="H459" s="4">
        <f ca="1">IF(RESULTADOS!$C$17="Normal",E459,0)</f>
        <v>0</v>
      </c>
      <c r="I459" s="4">
        <f ca="1">(E459+H459+G459)*PREMISSAS!$C$60</f>
        <v>0</v>
      </c>
      <c r="J459" s="4">
        <f ca="1">D459*IF(RESULTADOS!$C$17="Normal",PREMISSAS!$C$62,0)</f>
        <v>0</v>
      </c>
      <c r="K459" s="116">
        <f ca="1">IFERROR(K458*(1+PREMISSAS!$C$18)+(E459+H459-IF(RESULTADOS!$C$17="Normal",I459,0)-J459)*IF(MONTH(B459)=12,2,1),0)</f>
        <v>0</v>
      </c>
      <c r="L459" s="116">
        <f ca="1">IFERROR((L458+G459-IF(RESULTADOS!$C$17="Normal",0,I459))*(1+PREMISSAS!$C$18)+F459,0)</f>
        <v>0</v>
      </c>
      <c r="N459" s="73">
        <f t="shared" ca="1" si="57"/>
        <v>0</v>
      </c>
      <c r="P459" s="164" t="str">
        <f t="shared" ca="1" si="58"/>
        <v/>
      </c>
      <c r="Q459" s="140" t="str">
        <f ca="1">IF(C459="","",Q458+(E459+H459-IF(RESULTADOS!$C$17="Normal",I459,0)-J459)/2+(F459+G459-IF(RESULTADOS!$C$17="Normal",0,I459)))</f>
        <v/>
      </c>
      <c r="R459" s="140" t="str">
        <f ca="1">IF(C459="","",R458+(E459+H459-IF(RESULTADOS!$C$17="Normal",I459,0)-J459)/2)</f>
        <v/>
      </c>
      <c r="S459" s="140">
        <f t="shared" ca="1" si="60"/>
        <v>0</v>
      </c>
      <c r="U459" s="164" t="str">
        <f t="shared" ca="1" si="61"/>
        <v/>
      </c>
      <c r="V459" s="164" t="str">
        <f t="shared" ca="1" si="59"/>
        <v/>
      </c>
      <c r="W459" s="140">
        <f ca="1">IF(OR((W458-13/12*Z458)*(1+PREMISSAS!$C$16)&lt;0,W458=""),0,(W458-13/12*Z458)*(1+PREMISSAS!$C$16))</f>
        <v>0</v>
      </c>
      <c r="X459" s="140">
        <f ca="1">IF(OR((X458-13/12*AA458)*(1+PREMISSAS!$C$16)&lt;0,X458=""),0,(X458-13/12*AA458)*(1+PREMISSAS!$C$16))</f>
        <v>0</v>
      </c>
      <c r="Y459" s="140">
        <f t="shared" ca="1" si="56"/>
        <v>0</v>
      </c>
      <c r="Z459" s="167">
        <f t="shared" ca="1" si="62"/>
        <v>0</v>
      </c>
      <c r="AA459" s="167">
        <f t="shared" ca="1" si="63"/>
        <v>0</v>
      </c>
    </row>
    <row r="460" spans="2:27" x14ac:dyDescent="0.25">
      <c r="B460" s="21" t="str">
        <f ca="1">IF(B459="","",IF(EOMONTH(B459,1)&gt;EOMONTH(ELEGIBILIDADE!$J$17,0),"",EOMONTH(B459,1)))</f>
        <v/>
      </c>
      <c r="C460" s="22" t="str">
        <f ca="1">IF(B460="","",IF(MONTH(B460)=1,C459*(1+PREMISSAS!$C$57),C459))</f>
        <v/>
      </c>
      <c r="D460" s="22">
        <f ca="1">IF(RESULTADOS!$C$17="Normal",IFERROR(MAX(C460-PREMISSAS!$C$13,0),0),IF(Painel!$I$23=0,0,MAX(10*PREMISSAS!$C$38,RESULTADOS!$F$17)))</f>
        <v>0</v>
      </c>
      <c r="E460" s="4">
        <f ca="1">D460*IF(RESULTADOS!$C$17="Normal",RESULTADOS!$C$16,0)</f>
        <v>0</v>
      </c>
      <c r="F460" s="4">
        <f ca="1">IFERROR(IF(RESULTADOS!$C$17="Normal",D460,C460)*RESULTADOS!$C$18,0)</f>
        <v>0</v>
      </c>
      <c r="G460" s="4">
        <f ca="1">IFERROR(IF(RESULTADOS!$C$17="Normal",0,D460)*IF(RESULTADOS!$C$17="Normal",RESULTADOS!$C$18,RESULTADOS!$C$16),0)</f>
        <v>0</v>
      </c>
      <c r="H460" s="4">
        <f ca="1">IF(RESULTADOS!$C$17="Normal",E460,0)</f>
        <v>0</v>
      </c>
      <c r="I460" s="4">
        <f ca="1">(E460+H460+G460)*PREMISSAS!$C$60</f>
        <v>0</v>
      </c>
      <c r="J460" s="4">
        <f ca="1">D460*IF(RESULTADOS!$C$17="Normal",PREMISSAS!$C$62,0)</f>
        <v>0</v>
      </c>
      <c r="K460" s="116">
        <f ca="1">IFERROR(K459*(1+PREMISSAS!$C$18)+(E460+H460-IF(RESULTADOS!$C$17="Normal",I460,0)-J460)*IF(MONTH(B460)=12,2,1),0)</f>
        <v>0</v>
      </c>
      <c r="L460" s="116">
        <f ca="1">IFERROR((L459+G460-IF(RESULTADOS!$C$17="Normal",0,I460))*(1+PREMISSAS!$C$18)+F460,0)</f>
        <v>0</v>
      </c>
      <c r="N460" s="73">
        <f t="shared" ca="1" si="57"/>
        <v>0</v>
      </c>
      <c r="P460" s="164" t="str">
        <f t="shared" ca="1" si="58"/>
        <v/>
      </c>
      <c r="Q460" s="140" t="str">
        <f ca="1">IF(C460="","",Q459+(E460+H460-IF(RESULTADOS!$C$17="Normal",I460,0)-J460)/2+(F460+G460-IF(RESULTADOS!$C$17="Normal",0,I460)))</f>
        <v/>
      </c>
      <c r="R460" s="140" t="str">
        <f ca="1">IF(C460="","",R459+(E460+H460-IF(RESULTADOS!$C$17="Normal",I460,0)-J460)/2)</f>
        <v/>
      </c>
      <c r="S460" s="140">
        <f t="shared" ca="1" si="60"/>
        <v>0</v>
      </c>
      <c r="U460" s="164" t="str">
        <f t="shared" ca="1" si="61"/>
        <v/>
      </c>
      <c r="V460" s="164" t="str">
        <f t="shared" ca="1" si="59"/>
        <v/>
      </c>
      <c r="W460" s="140">
        <f ca="1">IF(OR((W459-13/12*Z459)*(1+PREMISSAS!$C$16)&lt;0,W459=""),0,(W459-13/12*Z459)*(1+PREMISSAS!$C$16))</f>
        <v>0</v>
      </c>
      <c r="X460" s="140">
        <f ca="1">IF(OR((X459-13/12*AA459)*(1+PREMISSAS!$C$16)&lt;0,X459=""),0,(X459-13/12*AA459)*(1+PREMISSAS!$C$16))</f>
        <v>0</v>
      </c>
      <c r="Y460" s="140">
        <f t="shared" ca="1" si="56"/>
        <v>0</v>
      </c>
      <c r="Z460" s="167">
        <f t="shared" ca="1" si="62"/>
        <v>0</v>
      </c>
      <c r="AA460" s="167">
        <f t="shared" ca="1" si="63"/>
        <v>0</v>
      </c>
    </row>
    <row r="461" spans="2:27" x14ac:dyDescent="0.25">
      <c r="B461" s="21" t="str">
        <f ca="1">IF(B460="","",IF(EOMONTH(B460,1)&gt;EOMONTH(ELEGIBILIDADE!$J$17,0),"",EOMONTH(B460,1)))</f>
        <v/>
      </c>
      <c r="C461" s="22" t="str">
        <f ca="1">IF(B461="","",IF(MONTH(B461)=1,C460*(1+PREMISSAS!$C$57),C460))</f>
        <v/>
      </c>
      <c r="D461" s="22">
        <f ca="1">IF(RESULTADOS!$C$17="Normal",IFERROR(MAX(C461-PREMISSAS!$C$13,0),0),IF(Painel!$I$23=0,0,MAX(10*PREMISSAS!$C$38,RESULTADOS!$F$17)))</f>
        <v>0</v>
      </c>
      <c r="E461" s="4">
        <f ca="1">D461*IF(RESULTADOS!$C$17="Normal",RESULTADOS!$C$16,0)</f>
        <v>0</v>
      </c>
      <c r="F461" s="4">
        <f ca="1">IFERROR(IF(RESULTADOS!$C$17="Normal",D461,C461)*RESULTADOS!$C$18,0)</f>
        <v>0</v>
      </c>
      <c r="G461" s="4">
        <f ca="1">IFERROR(IF(RESULTADOS!$C$17="Normal",0,D461)*IF(RESULTADOS!$C$17="Normal",RESULTADOS!$C$18,RESULTADOS!$C$16),0)</f>
        <v>0</v>
      </c>
      <c r="H461" s="4">
        <f ca="1">IF(RESULTADOS!$C$17="Normal",E461,0)</f>
        <v>0</v>
      </c>
      <c r="I461" s="4">
        <f ca="1">(E461+H461+G461)*PREMISSAS!$C$60</f>
        <v>0</v>
      </c>
      <c r="J461" s="4">
        <f ca="1">D461*IF(RESULTADOS!$C$17="Normal",PREMISSAS!$C$62,0)</f>
        <v>0</v>
      </c>
      <c r="K461" s="116">
        <f ca="1">IFERROR(K460*(1+PREMISSAS!$C$18)+(E461+H461-IF(RESULTADOS!$C$17="Normal",I461,0)-J461)*IF(MONTH(B461)=12,2,1),0)</f>
        <v>0</v>
      </c>
      <c r="L461" s="116">
        <f ca="1">IFERROR((L460+G461-IF(RESULTADOS!$C$17="Normal",0,I461))*(1+PREMISSAS!$C$18)+F461,0)</f>
        <v>0</v>
      </c>
      <c r="N461" s="73">
        <f t="shared" ca="1" si="57"/>
        <v>0</v>
      </c>
      <c r="P461" s="164" t="str">
        <f t="shared" ca="1" si="58"/>
        <v/>
      </c>
      <c r="Q461" s="140" t="str">
        <f ca="1">IF(C461="","",Q460+(E461+H461-IF(RESULTADOS!$C$17="Normal",I461,0)-J461)/2+(F461+G461-IF(RESULTADOS!$C$17="Normal",0,I461)))</f>
        <v/>
      </c>
      <c r="R461" s="140" t="str">
        <f ca="1">IF(C461="","",R460+(E461+H461-IF(RESULTADOS!$C$17="Normal",I461,0)-J461)/2)</f>
        <v/>
      </c>
      <c r="S461" s="140">
        <f t="shared" ca="1" si="60"/>
        <v>0</v>
      </c>
      <c r="U461" s="164" t="str">
        <f t="shared" ca="1" si="61"/>
        <v/>
      </c>
      <c r="V461" s="164" t="str">
        <f t="shared" ca="1" si="59"/>
        <v/>
      </c>
      <c r="W461" s="140">
        <f ca="1">IF(OR((W460-13/12*Z460)*(1+PREMISSAS!$C$16)&lt;0,W460=""),0,(W460-13/12*Z460)*(1+PREMISSAS!$C$16))</f>
        <v>0</v>
      </c>
      <c r="X461" s="140">
        <f ca="1">IF(OR((X460-13/12*AA460)*(1+PREMISSAS!$C$16)&lt;0,X460=""),0,(X460-13/12*AA460)*(1+PREMISSAS!$C$16))</f>
        <v>0</v>
      </c>
      <c r="Y461" s="140">
        <f t="shared" ca="1" si="56"/>
        <v>0</v>
      </c>
      <c r="Z461" s="167">
        <f t="shared" ca="1" si="62"/>
        <v>0</v>
      </c>
      <c r="AA461" s="167">
        <f t="shared" ca="1" si="63"/>
        <v>0</v>
      </c>
    </row>
    <row r="462" spans="2:27" x14ac:dyDescent="0.25">
      <c r="B462" s="21" t="str">
        <f ca="1">IF(B461="","",IF(EOMONTH(B461,1)&gt;EOMONTH(ELEGIBILIDADE!$J$17,0),"",EOMONTH(B461,1)))</f>
        <v/>
      </c>
      <c r="C462" s="22" t="str">
        <f ca="1">IF(B462="","",IF(MONTH(B462)=1,C461*(1+PREMISSAS!$C$57),C461))</f>
        <v/>
      </c>
      <c r="D462" s="22">
        <f ca="1">IF(RESULTADOS!$C$17="Normal",IFERROR(MAX(C462-PREMISSAS!$C$13,0),0),IF(Painel!$I$23=0,0,MAX(10*PREMISSAS!$C$38,RESULTADOS!$F$17)))</f>
        <v>0</v>
      </c>
      <c r="E462" s="4">
        <f ca="1">D462*IF(RESULTADOS!$C$17="Normal",RESULTADOS!$C$16,0)</f>
        <v>0</v>
      </c>
      <c r="F462" s="4">
        <f ca="1">IFERROR(IF(RESULTADOS!$C$17="Normal",D462,C462)*RESULTADOS!$C$18,0)</f>
        <v>0</v>
      </c>
      <c r="G462" s="4">
        <f ca="1">IFERROR(IF(RESULTADOS!$C$17="Normal",0,D462)*IF(RESULTADOS!$C$17="Normal",RESULTADOS!$C$18,RESULTADOS!$C$16),0)</f>
        <v>0</v>
      </c>
      <c r="H462" s="4">
        <f ca="1">IF(RESULTADOS!$C$17="Normal",E462,0)</f>
        <v>0</v>
      </c>
      <c r="I462" s="4">
        <f ca="1">(E462+H462+G462)*PREMISSAS!$C$60</f>
        <v>0</v>
      </c>
      <c r="J462" s="4">
        <f ca="1">D462*IF(RESULTADOS!$C$17="Normal",PREMISSAS!$C$62,0)</f>
        <v>0</v>
      </c>
      <c r="K462" s="116">
        <f ca="1">IFERROR(K461*(1+PREMISSAS!$C$18)+(E462+H462-IF(RESULTADOS!$C$17="Normal",I462,0)-J462)*IF(MONTH(B462)=12,2,1),0)</f>
        <v>0</v>
      </c>
      <c r="L462" s="116">
        <f ca="1">IFERROR((L461+G462-IF(RESULTADOS!$C$17="Normal",0,I462))*(1+PREMISSAS!$C$18)+F462,0)</f>
        <v>0</v>
      </c>
      <c r="N462" s="73">
        <f t="shared" ca="1" si="57"/>
        <v>0</v>
      </c>
      <c r="P462" s="164" t="str">
        <f t="shared" ca="1" si="58"/>
        <v/>
      </c>
      <c r="Q462" s="140" t="str">
        <f ca="1">IF(C462="","",Q461+(E462+H462-IF(RESULTADOS!$C$17="Normal",I462,0)-J462)/2+(F462+G462-IF(RESULTADOS!$C$17="Normal",0,I462)))</f>
        <v/>
      </c>
      <c r="R462" s="140" t="str">
        <f ca="1">IF(C462="","",R461+(E462+H462-IF(RESULTADOS!$C$17="Normal",I462,0)-J462)/2)</f>
        <v/>
      </c>
      <c r="S462" s="140">
        <f t="shared" ca="1" si="60"/>
        <v>0</v>
      </c>
      <c r="U462" s="164" t="str">
        <f t="shared" ca="1" si="61"/>
        <v/>
      </c>
      <c r="V462" s="164" t="str">
        <f t="shared" ca="1" si="59"/>
        <v/>
      </c>
      <c r="W462" s="140">
        <f ca="1">IF(OR((W461-13/12*Z461)*(1+PREMISSAS!$C$16)&lt;0,W461=""),0,(W461-13/12*Z461)*(1+PREMISSAS!$C$16))</f>
        <v>0</v>
      </c>
      <c r="X462" s="140">
        <f ca="1">IF(OR((X461-13/12*AA461)*(1+PREMISSAS!$C$16)&lt;0,X461=""),0,(X461-13/12*AA461)*(1+PREMISSAS!$C$16))</f>
        <v>0</v>
      </c>
      <c r="Y462" s="140">
        <f t="shared" ca="1" si="56"/>
        <v>0</v>
      </c>
      <c r="Z462" s="167">
        <f t="shared" ca="1" si="62"/>
        <v>0</v>
      </c>
      <c r="AA462" s="167">
        <f t="shared" ca="1" si="63"/>
        <v>0</v>
      </c>
    </row>
    <row r="463" spans="2:27" x14ac:dyDescent="0.25">
      <c r="B463" s="21" t="str">
        <f ca="1">IF(B462="","",IF(EOMONTH(B462,1)&gt;EOMONTH(ELEGIBILIDADE!$J$17,0),"",EOMONTH(B462,1)))</f>
        <v/>
      </c>
      <c r="C463" s="22" t="str">
        <f ca="1">IF(B463="","",IF(MONTH(B463)=1,C462*(1+PREMISSAS!$C$57),C462))</f>
        <v/>
      </c>
      <c r="D463" s="22">
        <f ca="1">IF(RESULTADOS!$C$17="Normal",IFERROR(MAX(C463-PREMISSAS!$C$13,0),0),IF(Painel!$I$23=0,0,MAX(10*PREMISSAS!$C$38,RESULTADOS!$F$17)))</f>
        <v>0</v>
      </c>
      <c r="E463" s="4">
        <f ca="1">D463*IF(RESULTADOS!$C$17="Normal",RESULTADOS!$C$16,0)</f>
        <v>0</v>
      </c>
      <c r="F463" s="4">
        <f ca="1">IFERROR(IF(RESULTADOS!$C$17="Normal",D463,C463)*RESULTADOS!$C$18,0)</f>
        <v>0</v>
      </c>
      <c r="G463" s="4">
        <f ca="1">IFERROR(IF(RESULTADOS!$C$17="Normal",0,D463)*IF(RESULTADOS!$C$17="Normal",RESULTADOS!$C$18,RESULTADOS!$C$16),0)</f>
        <v>0</v>
      </c>
      <c r="H463" s="4">
        <f ca="1">IF(RESULTADOS!$C$17="Normal",E463,0)</f>
        <v>0</v>
      </c>
      <c r="I463" s="4">
        <f ca="1">(E463+H463+G463)*PREMISSAS!$C$60</f>
        <v>0</v>
      </c>
      <c r="J463" s="4">
        <f ca="1">D463*IF(RESULTADOS!$C$17="Normal",PREMISSAS!$C$62,0)</f>
        <v>0</v>
      </c>
      <c r="K463" s="116">
        <f ca="1">IFERROR(K462*(1+PREMISSAS!$C$18)+(E463+H463-IF(RESULTADOS!$C$17="Normal",I463,0)-J463)*IF(MONTH(B463)=12,2,1),0)</f>
        <v>0</v>
      </c>
      <c r="L463" s="116">
        <f ca="1">IFERROR((L462+G463-IF(RESULTADOS!$C$17="Normal",0,I463))*(1+PREMISSAS!$C$18)+F463,0)</f>
        <v>0</v>
      </c>
      <c r="N463" s="73">
        <f t="shared" ca="1" si="57"/>
        <v>0</v>
      </c>
      <c r="P463" s="164" t="str">
        <f t="shared" ca="1" si="58"/>
        <v/>
      </c>
      <c r="Q463" s="140" t="str">
        <f ca="1">IF(C463="","",Q462+(E463+H463-IF(RESULTADOS!$C$17="Normal",I463,0)-J463)/2+(F463+G463-IF(RESULTADOS!$C$17="Normal",0,I463)))</f>
        <v/>
      </c>
      <c r="R463" s="140" t="str">
        <f ca="1">IF(C463="","",R462+(E463+H463-IF(RESULTADOS!$C$17="Normal",I463,0)-J463)/2)</f>
        <v/>
      </c>
      <c r="S463" s="140">
        <f t="shared" ca="1" si="60"/>
        <v>0</v>
      </c>
      <c r="U463" s="164" t="str">
        <f t="shared" ca="1" si="61"/>
        <v/>
      </c>
      <c r="V463" s="164" t="str">
        <f t="shared" ca="1" si="59"/>
        <v/>
      </c>
      <c r="W463" s="140">
        <f ca="1">IF(OR((W462-13/12*Z462)*(1+PREMISSAS!$C$16)&lt;0,W462=""),0,(W462-13/12*Z462)*(1+PREMISSAS!$C$16))</f>
        <v>0</v>
      </c>
      <c r="X463" s="140">
        <f ca="1">IF(OR((X462-13/12*AA462)*(1+PREMISSAS!$C$16)&lt;0,X462=""),0,(X462-13/12*AA462)*(1+PREMISSAS!$C$16))</f>
        <v>0</v>
      </c>
      <c r="Y463" s="140">
        <f t="shared" ca="1" si="56"/>
        <v>0</v>
      </c>
      <c r="Z463" s="167">
        <f t="shared" ca="1" si="62"/>
        <v>0</v>
      </c>
      <c r="AA463" s="167">
        <f t="shared" ca="1" si="63"/>
        <v>0</v>
      </c>
    </row>
    <row r="464" spans="2:27" x14ac:dyDescent="0.25">
      <c r="B464" s="21" t="str">
        <f ca="1">IF(B463="","",IF(EOMONTH(B463,1)&gt;EOMONTH(ELEGIBILIDADE!$J$17,0),"",EOMONTH(B463,1)))</f>
        <v/>
      </c>
      <c r="C464" s="22" t="str">
        <f ca="1">IF(B464="","",IF(MONTH(B464)=1,C463*(1+PREMISSAS!$C$57),C463))</f>
        <v/>
      </c>
      <c r="D464" s="22">
        <f ca="1">IF(RESULTADOS!$C$17="Normal",IFERROR(MAX(C464-PREMISSAS!$C$13,0),0),IF(Painel!$I$23=0,0,MAX(10*PREMISSAS!$C$38,RESULTADOS!$F$17)))</f>
        <v>0</v>
      </c>
      <c r="E464" s="4">
        <f ca="1">D464*IF(RESULTADOS!$C$17="Normal",RESULTADOS!$C$16,0)</f>
        <v>0</v>
      </c>
      <c r="F464" s="4">
        <f ca="1">IFERROR(IF(RESULTADOS!$C$17="Normal",D464,C464)*RESULTADOS!$C$18,0)</f>
        <v>0</v>
      </c>
      <c r="G464" s="4">
        <f ca="1">IFERROR(IF(RESULTADOS!$C$17="Normal",0,D464)*IF(RESULTADOS!$C$17="Normal",RESULTADOS!$C$18,RESULTADOS!$C$16),0)</f>
        <v>0</v>
      </c>
      <c r="H464" s="4">
        <f ca="1">IF(RESULTADOS!$C$17="Normal",E464,0)</f>
        <v>0</v>
      </c>
      <c r="I464" s="4">
        <f ca="1">(E464+H464+G464)*PREMISSAS!$C$60</f>
        <v>0</v>
      </c>
      <c r="J464" s="4">
        <f ca="1">D464*IF(RESULTADOS!$C$17="Normal",PREMISSAS!$C$62,0)</f>
        <v>0</v>
      </c>
      <c r="K464" s="116">
        <f ca="1">IFERROR(K463*(1+PREMISSAS!$C$18)+(E464+H464-IF(RESULTADOS!$C$17="Normal",I464,0)-J464)*IF(MONTH(B464)=12,2,1),0)</f>
        <v>0</v>
      </c>
      <c r="L464" s="116">
        <f ca="1">IFERROR((L463+G464-IF(RESULTADOS!$C$17="Normal",0,I464))*(1+PREMISSAS!$C$18)+F464,0)</f>
        <v>0</v>
      </c>
      <c r="N464" s="73">
        <f t="shared" ca="1" si="57"/>
        <v>0</v>
      </c>
      <c r="P464" s="164" t="str">
        <f t="shared" ca="1" si="58"/>
        <v/>
      </c>
      <c r="Q464" s="140" t="str">
        <f ca="1">IF(C464="","",Q463+(E464+H464-IF(RESULTADOS!$C$17="Normal",I464,0)-J464)/2+(F464+G464-IF(RESULTADOS!$C$17="Normal",0,I464)))</f>
        <v/>
      </c>
      <c r="R464" s="140" t="str">
        <f ca="1">IF(C464="","",R463+(E464+H464-IF(RESULTADOS!$C$17="Normal",I464,0)-J464)/2)</f>
        <v/>
      </c>
      <c r="S464" s="140">
        <f t="shared" ca="1" si="60"/>
        <v>0</v>
      </c>
      <c r="U464" s="164" t="str">
        <f t="shared" ca="1" si="61"/>
        <v/>
      </c>
      <c r="V464" s="164" t="str">
        <f t="shared" ca="1" si="59"/>
        <v/>
      </c>
      <c r="W464" s="140">
        <f ca="1">IF(OR((W463-13/12*Z463)*(1+PREMISSAS!$C$16)&lt;0,W463=""),0,(W463-13/12*Z463)*(1+PREMISSAS!$C$16))</f>
        <v>0</v>
      </c>
      <c r="X464" s="140">
        <f ca="1">IF(OR((X463-13/12*AA463)*(1+PREMISSAS!$C$16)&lt;0,X463=""),0,(X463-13/12*AA463)*(1+PREMISSAS!$C$16))</f>
        <v>0</v>
      </c>
      <c r="Y464" s="140">
        <f t="shared" ca="1" si="56"/>
        <v>0</v>
      </c>
      <c r="Z464" s="167">
        <f t="shared" ca="1" si="62"/>
        <v>0</v>
      </c>
      <c r="AA464" s="167">
        <f t="shared" ca="1" si="63"/>
        <v>0</v>
      </c>
    </row>
    <row r="465" spans="2:27" x14ac:dyDescent="0.25">
      <c r="B465" s="21" t="str">
        <f ca="1">IF(B464="","",IF(EOMONTH(B464,1)&gt;EOMONTH(ELEGIBILIDADE!$J$17,0),"",EOMONTH(B464,1)))</f>
        <v/>
      </c>
      <c r="C465" s="22" t="str">
        <f ca="1">IF(B465="","",IF(MONTH(B465)=1,C464*(1+PREMISSAS!$C$57),C464))</f>
        <v/>
      </c>
      <c r="D465" s="22">
        <f ca="1">IF(RESULTADOS!$C$17="Normal",IFERROR(MAX(C465-PREMISSAS!$C$13,0),0),IF(Painel!$I$23=0,0,MAX(10*PREMISSAS!$C$38,RESULTADOS!$F$17)))</f>
        <v>0</v>
      </c>
      <c r="E465" s="4">
        <f ca="1">D465*IF(RESULTADOS!$C$17="Normal",RESULTADOS!$C$16,0)</f>
        <v>0</v>
      </c>
      <c r="F465" s="4">
        <f ca="1">IFERROR(IF(RESULTADOS!$C$17="Normal",D465,C465)*RESULTADOS!$C$18,0)</f>
        <v>0</v>
      </c>
      <c r="G465" s="4">
        <f ca="1">IFERROR(IF(RESULTADOS!$C$17="Normal",0,D465)*IF(RESULTADOS!$C$17="Normal",RESULTADOS!$C$18,RESULTADOS!$C$16),0)</f>
        <v>0</v>
      </c>
      <c r="H465" s="4">
        <f ca="1">IF(RESULTADOS!$C$17="Normal",E465,0)</f>
        <v>0</v>
      </c>
      <c r="I465" s="4">
        <f ca="1">(E465+H465+G465)*PREMISSAS!$C$60</f>
        <v>0</v>
      </c>
      <c r="J465" s="4">
        <f ca="1">D465*IF(RESULTADOS!$C$17="Normal",PREMISSAS!$C$62,0)</f>
        <v>0</v>
      </c>
      <c r="K465" s="116">
        <f ca="1">IFERROR(K464*(1+PREMISSAS!$C$18)+(E465+H465-IF(RESULTADOS!$C$17="Normal",I465,0)-J465)*IF(MONTH(B465)=12,2,1),0)</f>
        <v>0</v>
      </c>
      <c r="L465" s="116">
        <f ca="1">IFERROR((L464+G465-IF(RESULTADOS!$C$17="Normal",0,I465))*(1+PREMISSAS!$C$18)+F465,0)</f>
        <v>0</v>
      </c>
      <c r="N465" s="73">
        <f t="shared" ca="1" si="57"/>
        <v>0</v>
      </c>
      <c r="P465" s="164" t="str">
        <f t="shared" ca="1" si="58"/>
        <v/>
      </c>
      <c r="Q465" s="140" t="str">
        <f ca="1">IF(C465="","",Q464+(E465+H465-IF(RESULTADOS!$C$17="Normal",I465,0)-J465)/2+(F465+G465-IF(RESULTADOS!$C$17="Normal",0,I465)))</f>
        <v/>
      </c>
      <c r="R465" s="140" t="str">
        <f ca="1">IF(C465="","",R464+(E465+H465-IF(RESULTADOS!$C$17="Normal",I465,0)-J465)/2)</f>
        <v/>
      </c>
      <c r="S465" s="140">
        <f t="shared" ca="1" si="60"/>
        <v>0</v>
      </c>
      <c r="U465" s="164" t="str">
        <f t="shared" ca="1" si="61"/>
        <v/>
      </c>
      <c r="V465" s="164" t="str">
        <f t="shared" ca="1" si="59"/>
        <v/>
      </c>
      <c r="W465" s="140">
        <f ca="1">IF(OR((W464-13/12*Z464)*(1+PREMISSAS!$C$16)&lt;0,W464=""),0,(W464-13/12*Z464)*(1+PREMISSAS!$C$16))</f>
        <v>0</v>
      </c>
      <c r="X465" s="140">
        <f ca="1">IF(OR((X464-13/12*AA464)*(1+PREMISSAS!$C$16)&lt;0,X464=""),0,(X464-13/12*AA464)*(1+PREMISSAS!$C$16))</f>
        <v>0</v>
      </c>
      <c r="Y465" s="140">
        <f t="shared" ca="1" si="56"/>
        <v>0</v>
      </c>
      <c r="Z465" s="167">
        <f t="shared" ca="1" si="62"/>
        <v>0</v>
      </c>
      <c r="AA465" s="167">
        <f t="shared" ca="1" si="63"/>
        <v>0</v>
      </c>
    </row>
    <row r="466" spans="2:27" x14ac:dyDescent="0.25">
      <c r="B466" s="21" t="str">
        <f ca="1">IF(B465="","",IF(EOMONTH(B465,1)&gt;EOMONTH(ELEGIBILIDADE!$J$17,0),"",EOMONTH(B465,1)))</f>
        <v/>
      </c>
      <c r="C466" s="22" t="str">
        <f ca="1">IF(B466="","",IF(MONTH(B466)=1,C465*(1+PREMISSAS!$C$57),C465))</f>
        <v/>
      </c>
      <c r="D466" s="22">
        <f ca="1">IF(RESULTADOS!$C$17="Normal",IFERROR(MAX(C466-PREMISSAS!$C$13,0),0),IF(Painel!$I$23=0,0,MAX(10*PREMISSAS!$C$38,RESULTADOS!$F$17)))</f>
        <v>0</v>
      </c>
      <c r="E466" s="4">
        <f ca="1">D466*IF(RESULTADOS!$C$17="Normal",RESULTADOS!$C$16,0)</f>
        <v>0</v>
      </c>
      <c r="F466" s="4">
        <f ca="1">IFERROR(IF(RESULTADOS!$C$17="Normal",D466,C466)*RESULTADOS!$C$18,0)</f>
        <v>0</v>
      </c>
      <c r="G466" s="4">
        <f ca="1">IFERROR(IF(RESULTADOS!$C$17="Normal",0,D466)*IF(RESULTADOS!$C$17="Normal",RESULTADOS!$C$18,RESULTADOS!$C$16),0)</f>
        <v>0</v>
      </c>
      <c r="H466" s="4">
        <f ca="1">IF(RESULTADOS!$C$17="Normal",E466,0)</f>
        <v>0</v>
      </c>
      <c r="I466" s="4">
        <f ca="1">(E466+H466+G466)*PREMISSAS!$C$60</f>
        <v>0</v>
      </c>
      <c r="J466" s="4">
        <f ca="1">D466*IF(RESULTADOS!$C$17="Normal",PREMISSAS!$C$62,0)</f>
        <v>0</v>
      </c>
      <c r="K466" s="116">
        <f ca="1">IFERROR(K465*(1+PREMISSAS!$C$18)+(E466+H466-IF(RESULTADOS!$C$17="Normal",I466,0)-J466)*IF(MONTH(B466)=12,2,1),0)</f>
        <v>0</v>
      </c>
      <c r="L466" s="116">
        <f ca="1">IFERROR((L465+G466-IF(RESULTADOS!$C$17="Normal",0,I466))*(1+PREMISSAS!$C$18)+F466,0)</f>
        <v>0</v>
      </c>
      <c r="N466" s="73">
        <f t="shared" ca="1" si="57"/>
        <v>0</v>
      </c>
      <c r="P466" s="164" t="str">
        <f t="shared" ca="1" si="58"/>
        <v/>
      </c>
      <c r="Q466" s="140" t="str">
        <f ca="1">IF(C466="","",Q465+(E466+H466-IF(RESULTADOS!$C$17="Normal",I466,0)-J466)/2+(F466+G466-IF(RESULTADOS!$C$17="Normal",0,I466)))</f>
        <v/>
      </c>
      <c r="R466" s="140" t="str">
        <f ca="1">IF(C466="","",R465+(E466+H466-IF(RESULTADOS!$C$17="Normal",I466,0)-J466)/2)</f>
        <v/>
      </c>
      <c r="S466" s="140">
        <f t="shared" ca="1" si="60"/>
        <v>0</v>
      </c>
      <c r="U466" s="164" t="str">
        <f t="shared" ca="1" si="61"/>
        <v/>
      </c>
      <c r="V466" s="164" t="str">
        <f t="shared" ca="1" si="59"/>
        <v/>
      </c>
      <c r="W466" s="140">
        <f ca="1">IF(OR((W465-13/12*Z465)*(1+PREMISSAS!$C$16)&lt;0,W465=""),0,(W465-13/12*Z465)*(1+PREMISSAS!$C$16))</f>
        <v>0</v>
      </c>
      <c r="X466" s="140">
        <f ca="1">IF(OR((X465-13/12*AA465)*(1+PREMISSAS!$C$16)&lt;0,X465=""),0,(X465-13/12*AA465)*(1+PREMISSAS!$C$16))</f>
        <v>0</v>
      </c>
      <c r="Y466" s="140">
        <f t="shared" ca="1" si="56"/>
        <v>0</v>
      </c>
      <c r="Z466" s="167">
        <f t="shared" ca="1" si="62"/>
        <v>0</v>
      </c>
      <c r="AA466" s="167">
        <f t="shared" ca="1" si="63"/>
        <v>0</v>
      </c>
    </row>
    <row r="467" spans="2:27" x14ac:dyDescent="0.25">
      <c r="B467" s="21" t="str">
        <f ca="1">IF(B466="","",IF(EOMONTH(B466,1)&gt;EOMONTH(ELEGIBILIDADE!$J$17,0),"",EOMONTH(B466,1)))</f>
        <v/>
      </c>
      <c r="C467" s="22" t="str">
        <f ca="1">IF(B467="","",IF(MONTH(B467)=1,C466*(1+PREMISSAS!$C$57),C466))</f>
        <v/>
      </c>
      <c r="D467" s="22">
        <f ca="1">IF(RESULTADOS!$C$17="Normal",IFERROR(MAX(C467-PREMISSAS!$C$13,0),0),IF(Painel!$I$23=0,0,MAX(10*PREMISSAS!$C$38,RESULTADOS!$F$17)))</f>
        <v>0</v>
      </c>
      <c r="E467" s="4">
        <f ca="1">D467*IF(RESULTADOS!$C$17="Normal",RESULTADOS!$C$16,0)</f>
        <v>0</v>
      </c>
      <c r="F467" s="4">
        <f ca="1">IFERROR(IF(RESULTADOS!$C$17="Normal",D467,C467)*RESULTADOS!$C$18,0)</f>
        <v>0</v>
      </c>
      <c r="G467" s="4">
        <f ca="1">IFERROR(IF(RESULTADOS!$C$17="Normal",0,D467)*IF(RESULTADOS!$C$17="Normal",RESULTADOS!$C$18,RESULTADOS!$C$16),0)</f>
        <v>0</v>
      </c>
      <c r="H467" s="4">
        <f ca="1">IF(RESULTADOS!$C$17="Normal",E467,0)</f>
        <v>0</v>
      </c>
      <c r="I467" s="4">
        <f ca="1">(E467+H467+G467)*PREMISSAS!$C$60</f>
        <v>0</v>
      </c>
      <c r="J467" s="4">
        <f ca="1">D467*IF(RESULTADOS!$C$17="Normal",PREMISSAS!$C$62,0)</f>
        <v>0</v>
      </c>
      <c r="K467" s="116">
        <f ca="1">IFERROR(K466*(1+PREMISSAS!$C$18)+(E467+H467-IF(RESULTADOS!$C$17="Normal",I467,0)-J467)*IF(MONTH(B467)=12,2,1),0)</f>
        <v>0</v>
      </c>
      <c r="L467" s="116">
        <f ca="1">IFERROR((L466+G467-IF(RESULTADOS!$C$17="Normal",0,I467))*(1+PREMISSAS!$C$18)+F467,0)</f>
        <v>0</v>
      </c>
      <c r="N467" s="73">
        <f t="shared" ca="1" si="57"/>
        <v>0</v>
      </c>
      <c r="P467" s="164" t="str">
        <f t="shared" ca="1" si="58"/>
        <v/>
      </c>
      <c r="Q467" s="140" t="str">
        <f ca="1">IF(C467="","",Q466+(E467+H467-IF(RESULTADOS!$C$17="Normal",I467,0)-J467)/2+(F467+G467-IF(RESULTADOS!$C$17="Normal",0,I467)))</f>
        <v/>
      </c>
      <c r="R467" s="140" t="str">
        <f ca="1">IF(C467="","",R466+(E467+H467-IF(RESULTADOS!$C$17="Normal",I467,0)-J467)/2)</f>
        <v/>
      </c>
      <c r="S467" s="140">
        <f t="shared" ca="1" si="60"/>
        <v>0</v>
      </c>
      <c r="U467" s="164" t="str">
        <f t="shared" ca="1" si="61"/>
        <v/>
      </c>
      <c r="V467" s="164" t="str">
        <f t="shared" ca="1" si="59"/>
        <v/>
      </c>
      <c r="W467" s="140">
        <f ca="1">IF(OR((W466-13/12*Z466)*(1+PREMISSAS!$C$16)&lt;0,W466=""),0,(W466-13/12*Z466)*(1+PREMISSAS!$C$16))</f>
        <v>0</v>
      </c>
      <c r="X467" s="140">
        <f ca="1">IF(OR((X466-13/12*AA466)*(1+PREMISSAS!$C$16)&lt;0,X466=""),0,(X466-13/12*AA466)*(1+PREMISSAS!$C$16))</f>
        <v>0</v>
      </c>
      <c r="Y467" s="140">
        <f t="shared" ca="1" si="56"/>
        <v>0</v>
      </c>
      <c r="Z467" s="167">
        <f t="shared" ca="1" si="62"/>
        <v>0</v>
      </c>
      <c r="AA467" s="167">
        <f t="shared" ca="1" si="63"/>
        <v>0</v>
      </c>
    </row>
    <row r="468" spans="2:27" x14ac:dyDescent="0.25">
      <c r="B468" s="21" t="str">
        <f ca="1">IF(B467="","",IF(EOMONTH(B467,1)&gt;EOMONTH(ELEGIBILIDADE!$J$17,0),"",EOMONTH(B467,1)))</f>
        <v/>
      </c>
      <c r="C468" s="22" t="str">
        <f ca="1">IF(B468="","",IF(MONTH(B468)=1,C467*(1+PREMISSAS!$C$57),C467))</f>
        <v/>
      </c>
      <c r="D468" s="22">
        <f ca="1">IF(RESULTADOS!$C$17="Normal",IFERROR(MAX(C468-PREMISSAS!$C$13,0),0),IF(Painel!$I$23=0,0,MAX(10*PREMISSAS!$C$38,RESULTADOS!$F$17)))</f>
        <v>0</v>
      </c>
      <c r="E468" s="4">
        <f ca="1">D468*IF(RESULTADOS!$C$17="Normal",RESULTADOS!$C$16,0)</f>
        <v>0</v>
      </c>
      <c r="F468" s="4">
        <f ca="1">IFERROR(IF(RESULTADOS!$C$17="Normal",D468,C468)*RESULTADOS!$C$18,0)</f>
        <v>0</v>
      </c>
      <c r="G468" s="4">
        <f ca="1">IFERROR(IF(RESULTADOS!$C$17="Normal",0,D468)*IF(RESULTADOS!$C$17="Normal",RESULTADOS!$C$18,RESULTADOS!$C$16),0)</f>
        <v>0</v>
      </c>
      <c r="H468" s="4">
        <f ca="1">IF(RESULTADOS!$C$17="Normal",E468,0)</f>
        <v>0</v>
      </c>
      <c r="I468" s="4">
        <f ca="1">(E468+H468+G468)*PREMISSAS!$C$60</f>
        <v>0</v>
      </c>
      <c r="J468" s="4">
        <f ca="1">D468*IF(RESULTADOS!$C$17="Normal",PREMISSAS!$C$62,0)</f>
        <v>0</v>
      </c>
      <c r="K468" s="116">
        <f ca="1">IFERROR(K467*(1+PREMISSAS!$C$18)+(E468+H468-IF(RESULTADOS!$C$17="Normal",I468,0)-J468)*IF(MONTH(B468)=12,2,1),0)</f>
        <v>0</v>
      </c>
      <c r="L468" s="116">
        <f ca="1">IFERROR((L467+G468-IF(RESULTADOS!$C$17="Normal",0,I468))*(1+PREMISSAS!$C$18)+F468,0)</f>
        <v>0</v>
      </c>
      <c r="N468" s="73">
        <f t="shared" ca="1" si="57"/>
        <v>0</v>
      </c>
      <c r="P468" s="164" t="str">
        <f t="shared" ca="1" si="58"/>
        <v/>
      </c>
      <c r="Q468" s="140" t="str">
        <f ca="1">IF(C468="","",Q467+(E468+H468-IF(RESULTADOS!$C$17="Normal",I468,0)-J468)/2+(F468+G468-IF(RESULTADOS!$C$17="Normal",0,I468)))</f>
        <v/>
      </c>
      <c r="R468" s="140" t="str">
        <f ca="1">IF(C468="","",R467+(E468+H468-IF(RESULTADOS!$C$17="Normal",I468,0)-J468)/2)</f>
        <v/>
      </c>
      <c r="S468" s="140">
        <f t="shared" ca="1" si="60"/>
        <v>0</v>
      </c>
      <c r="U468" s="164" t="str">
        <f t="shared" ca="1" si="61"/>
        <v/>
      </c>
      <c r="V468" s="164" t="str">
        <f t="shared" ca="1" si="59"/>
        <v/>
      </c>
      <c r="W468" s="140">
        <f ca="1">IF(OR((W467-13/12*Z467)*(1+PREMISSAS!$C$16)&lt;0,W467=""),0,(W467-13/12*Z467)*(1+PREMISSAS!$C$16))</f>
        <v>0</v>
      </c>
      <c r="X468" s="140">
        <f ca="1">IF(OR((X467-13/12*AA467)*(1+PREMISSAS!$C$16)&lt;0,X467=""),0,(X467-13/12*AA467)*(1+PREMISSAS!$C$16))</f>
        <v>0</v>
      </c>
      <c r="Y468" s="140">
        <f t="shared" ca="1" si="56"/>
        <v>0</v>
      </c>
      <c r="Z468" s="167">
        <f t="shared" ca="1" si="62"/>
        <v>0</v>
      </c>
      <c r="AA468" s="167">
        <f t="shared" ca="1" si="63"/>
        <v>0</v>
      </c>
    </row>
    <row r="469" spans="2:27" x14ac:dyDescent="0.25">
      <c r="B469" s="21" t="str">
        <f ca="1">IF(B468="","",IF(EOMONTH(B468,1)&gt;EOMONTH(ELEGIBILIDADE!$J$17,0),"",EOMONTH(B468,1)))</f>
        <v/>
      </c>
      <c r="C469" s="22" t="str">
        <f ca="1">IF(B469="","",IF(MONTH(B469)=1,C468*(1+PREMISSAS!$C$57),C468))</f>
        <v/>
      </c>
      <c r="D469" s="22">
        <f ca="1">IF(RESULTADOS!$C$17="Normal",IFERROR(MAX(C469-PREMISSAS!$C$13,0),0),IF(Painel!$I$23=0,0,MAX(10*PREMISSAS!$C$38,RESULTADOS!$F$17)))</f>
        <v>0</v>
      </c>
      <c r="E469" s="4">
        <f ca="1">D469*IF(RESULTADOS!$C$17="Normal",RESULTADOS!$C$16,0)</f>
        <v>0</v>
      </c>
      <c r="F469" s="4">
        <f ca="1">IFERROR(IF(RESULTADOS!$C$17="Normal",D469,C469)*RESULTADOS!$C$18,0)</f>
        <v>0</v>
      </c>
      <c r="G469" s="4">
        <f ca="1">IFERROR(IF(RESULTADOS!$C$17="Normal",0,D469)*IF(RESULTADOS!$C$17="Normal",RESULTADOS!$C$18,RESULTADOS!$C$16),0)</f>
        <v>0</v>
      </c>
      <c r="H469" s="4">
        <f ca="1">IF(RESULTADOS!$C$17="Normal",E469,0)</f>
        <v>0</v>
      </c>
      <c r="I469" s="4">
        <f ca="1">(E469+H469+G469)*PREMISSAS!$C$60</f>
        <v>0</v>
      </c>
      <c r="J469" s="4">
        <f ca="1">D469*IF(RESULTADOS!$C$17="Normal",PREMISSAS!$C$62,0)</f>
        <v>0</v>
      </c>
      <c r="K469" s="116">
        <f ca="1">IFERROR(K468*(1+PREMISSAS!$C$18)+(E469+H469-IF(RESULTADOS!$C$17="Normal",I469,0)-J469)*IF(MONTH(B469)=12,2,1),0)</f>
        <v>0</v>
      </c>
      <c r="L469" s="116">
        <f ca="1">IFERROR((L468+G469-IF(RESULTADOS!$C$17="Normal",0,I469))*(1+PREMISSAS!$C$18)+F469,0)</f>
        <v>0</v>
      </c>
      <c r="N469" s="73">
        <f t="shared" ca="1" si="57"/>
        <v>0</v>
      </c>
      <c r="P469" s="164" t="str">
        <f t="shared" ca="1" si="58"/>
        <v/>
      </c>
      <c r="Q469" s="140" t="str">
        <f ca="1">IF(C469="","",Q468+(E469+H469-IF(RESULTADOS!$C$17="Normal",I469,0)-J469)/2+(F469+G469-IF(RESULTADOS!$C$17="Normal",0,I469)))</f>
        <v/>
      </c>
      <c r="R469" s="140" t="str">
        <f ca="1">IF(C469="","",R468+(E469+H469-IF(RESULTADOS!$C$17="Normal",I469,0)-J469)/2)</f>
        <v/>
      </c>
      <c r="S469" s="140">
        <f t="shared" ca="1" si="60"/>
        <v>0</v>
      </c>
      <c r="U469" s="164" t="str">
        <f t="shared" ca="1" si="61"/>
        <v/>
      </c>
      <c r="V469" s="164" t="str">
        <f t="shared" ca="1" si="59"/>
        <v/>
      </c>
      <c r="W469" s="140">
        <f ca="1">IF(OR((W468-13/12*Z468)*(1+PREMISSAS!$C$16)&lt;0,W468=""),0,(W468-13/12*Z468)*(1+PREMISSAS!$C$16))</f>
        <v>0</v>
      </c>
      <c r="X469" s="140">
        <f ca="1">IF(OR((X468-13/12*AA468)*(1+PREMISSAS!$C$16)&lt;0,X468=""),0,(X468-13/12*AA468)*(1+PREMISSAS!$C$16))</f>
        <v>0</v>
      </c>
      <c r="Y469" s="140">
        <f t="shared" ca="1" si="56"/>
        <v>0</v>
      </c>
      <c r="Z469" s="167">
        <f t="shared" ca="1" si="62"/>
        <v>0</v>
      </c>
      <c r="AA469" s="167">
        <f t="shared" ca="1" si="63"/>
        <v>0</v>
      </c>
    </row>
    <row r="470" spans="2:27" x14ac:dyDescent="0.25">
      <c r="B470" s="21" t="str">
        <f ca="1">IF(B469="","",IF(EOMONTH(B469,1)&gt;EOMONTH(ELEGIBILIDADE!$J$17,0),"",EOMONTH(B469,1)))</f>
        <v/>
      </c>
      <c r="C470" s="22" t="str">
        <f ca="1">IF(B470="","",IF(MONTH(B470)=1,C469*(1+PREMISSAS!$C$57),C469))</f>
        <v/>
      </c>
      <c r="D470" s="22">
        <f ca="1">IF(RESULTADOS!$C$17="Normal",IFERROR(MAX(C470-PREMISSAS!$C$13,0),0),IF(Painel!$I$23=0,0,MAX(10*PREMISSAS!$C$38,RESULTADOS!$F$17)))</f>
        <v>0</v>
      </c>
      <c r="E470" s="4">
        <f ca="1">D470*IF(RESULTADOS!$C$17="Normal",RESULTADOS!$C$16,0)</f>
        <v>0</v>
      </c>
      <c r="F470" s="4">
        <f ca="1">IFERROR(IF(RESULTADOS!$C$17="Normal",D470,C470)*RESULTADOS!$C$18,0)</f>
        <v>0</v>
      </c>
      <c r="G470" s="4">
        <f ca="1">IFERROR(IF(RESULTADOS!$C$17="Normal",0,D470)*IF(RESULTADOS!$C$17="Normal",RESULTADOS!$C$18,RESULTADOS!$C$16),0)</f>
        <v>0</v>
      </c>
      <c r="H470" s="4">
        <f ca="1">IF(RESULTADOS!$C$17="Normal",E470,0)</f>
        <v>0</v>
      </c>
      <c r="I470" s="4">
        <f ca="1">(E470+H470+G470)*PREMISSAS!$C$60</f>
        <v>0</v>
      </c>
      <c r="J470" s="4">
        <f ca="1">D470*IF(RESULTADOS!$C$17="Normal",PREMISSAS!$C$62,0)</f>
        <v>0</v>
      </c>
      <c r="K470" s="116">
        <f ca="1">IFERROR(K469*(1+PREMISSAS!$C$18)+(E470+H470-IF(RESULTADOS!$C$17="Normal",I470,0)-J470)*IF(MONTH(B470)=12,2,1),0)</f>
        <v>0</v>
      </c>
      <c r="L470" s="116">
        <f ca="1">IFERROR((L469+G470-IF(RESULTADOS!$C$17="Normal",0,I470))*(1+PREMISSAS!$C$18)+F470,0)</f>
        <v>0</v>
      </c>
      <c r="N470" s="73">
        <f t="shared" ca="1" si="57"/>
        <v>0</v>
      </c>
      <c r="P470" s="164" t="str">
        <f t="shared" ca="1" si="58"/>
        <v/>
      </c>
      <c r="Q470" s="140" t="str">
        <f ca="1">IF(C470="","",Q469+(E470+H470-IF(RESULTADOS!$C$17="Normal",I470,0)-J470)/2+(F470+G470-IF(RESULTADOS!$C$17="Normal",0,I470)))</f>
        <v/>
      </c>
      <c r="R470" s="140" t="str">
        <f ca="1">IF(C470="","",R469+(E470+H470-IF(RESULTADOS!$C$17="Normal",I470,0)-J470)/2)</f>
        <v/>
      </c>
      <c r="S470" s="140">
        <f t="shared" ca="1" si="60"/>
        <v>0</v>
      </c>
      <c r="U470" s="164" t="str">
        <f t="shared" ca="1" si="61"/>
        <v/>
      </c>
      <c r="V470" s="164" t="str">
        <f t="shared" ca="1" si="59"/>
        <v/>
      </c>
      <c r="W470" s="140">
        <f ca="1">IF(OR((W469-13/12*Z469)*(1+PREMISSAS!$C$16)&lt;0,W469=""),0,(W469-13/12*Z469)*(1+PREMISSAS!$C$16))</f>
        <v>0</v>
      </c>
      <c r="X470" s="140">
        <f ca="1">IF(OR((X469-13/12*AA469)*(1+PREMISSAS!$C$16)&lt;0,X469=""),0,(X469-13/12*AA469)*(1+PREMISSAS!$C$16))</f>
        <v>0</v>
      </c>
      <c r="Y470" s="140">
        <f t="shared" ca="1" si="56"/>
        <v>0</v>
      </c>
      <c r="Z470" s="167">
        <f t="shared" ca="1" si="62"/>
        <v>0</v>
      </c>
      <c r="AA470" s="167">
        <f t="shared" ca="1" si="63"/>
        <v>0</v>
      </c>
    </row>
    <row r="471" spans="2:27" x14ac:dyDescent="0.25">
      <c r="B471" s="21" t="str">
        <f ca="1">IF(B470="","",IF(EOMONTH(B470,1)&gt;EOMONTH(ELEGIBILIDADE!$J$17,0),"",EOMONTH(B470,1)))</f>
        <v/>
      </c>
      <c r="C471" s="22" t="str">
        <f ca="1">IF(B471="","",IF(MONTH(B471)=1,C470*(1+PREMISSAS!$C$57),C470))</f>
        <v/>
      </c>
      <c r="D471" s="22">
        <f ca="1">IF(RESULTADOS!$C$17="Normal",IFERROR(MAX(C471-PREMISSAS!$C$13,0),0),IF(Painel!$I$23=0,0,MAX(10*PREMISSAS!$C$38,RESULTADOS!$F$17)))</f>
        <v>0</v>
      </c>
      <c r="E471" s="4">
        <f ca="1">D471*IF(RESULTADOS!$C$17="Normal",RESULTADOS!$C$16,0)</f>
        <v>0</v>
      </c>
      <c r="F471" s="4">
        <f ca="1">IFERROR(IF(RESULTADOS!$C$17="Normal",D471,C471)*RESULTADOS!$C$18,0)</f>
        <v>0</v>
      </c>
      <c r="G471" s="4">
        <f ca="1">IFERROR(IF(RESULTADOS!$C$17="Normal",0,D471)*IF(RESULTADOS!$C$17="Normal",RESULTADOS!$C$18,RESULTADOS!$C$16),0)</f>
        <v>0</v>
      </c>
      <c r="H471" s="4">
        <f ca="1">IF(RESULTADOS!$C$17="Normal",E471,0)</f>
        <v>0</v>
      </c>
      <c r="I471" s="4">
        <f ca="1">(E471+H471+G471)*PREMISSAS!$C$60</f>
        <v>0</v>
      </c>
      <c r="J471" s="4">
        <f ca="1">D471*IF(RESULTADOS!$C$17="Normal",PREMISSAS!$C$62,0)</f>
        <v>0</v>
      </c>
      <c r="K471" s="116">
        <f ca="1">IFERROR(K470*(1+PREMISSAS!$C$18)+(E471+H471-IF(RESULTADOS!$C$17="Normal",I471,0)-J471)*IF(MONTH(B471)=12,2,1),0)</f>
        <v>0</v>
      </c>
      <c r="L471" s="116">
        <f ca="1">IFERROR((L470+G471-IF(RESULTADOS!$C$17="Normal",0,I471))*(1+PREMISSAS!$C$18)+F471,0)</f>
        <v>0</v>
      </c>
      <c r="N471" s="73">
        <f t="shared" ca="1" si="57"/>
        <v>0</v>
      </c>
      <c r="P471" s="164" t="str">
        <f t="shared" ca="1" si="58"/>
        <v/>
      </c>
      <c r="Q471" s="140" t="str">
        <f ca="1">IF(C471="","",Q470+(E471+H471-IF(RESULTADOS!$C$17="Normal",I471,0)-J471)/2+(F471+G471-IF(RESULTADOS!$C$17="Normal",0,I471)))</f>
        <v/>
      </c>
      <c r="R471" s="140" t="str">
        <f ca="1">IF(C471="","",R470+(E471+H471-IF(RESULTADOS!$C$17="Normal",I471,0)-J471)/2)</f>
        <v/>
      </c>
      <c r="S471" s="140">
        <f t="shared" ca="1" si="60"/>
        <v>0</v>
      </c>
      <c r="U471" s="164" t="str">
        <f t="shared" ca="1" si="61"/>
        <v/>
      </c>
      <c r="V471" s="164" t="str">
        <f t="shared" ca="1" si="59"/>
        <v/>
      </c>
      <c r="W471" s="140">
        <f ca="1">IF(OR((W470-13/12*Z470)*(1+PREMISSAS!$C$16)&lt;0,W470=""),0,(W470-13/12*Z470)*(1+PREMISSAS!$C$16))</f>
        <v>0</v>
      </c>
      <c r="X471" s="140">
        <f ca="1">IF(OR((X470-13/12*AA470)*(1+PREMISSAS!$C$16)&lt;0,X470=""),0,(X470-13/12*AA470)*(1+PREMISSAS!$C$16))</f>
        <v>0</v>
      </c>
      <c r="Y471" s="140">
        <f t="shared" ca="1" si="56"/>
        <v>0</v>
      </c>
      <c r="Z471" s="167">
        <f t="shared" ca="1" si="62"/>
        <v>0</v>
      </c>
      <c r="AA471" s="167">
        <f t="shared" ca="1" si="63"/>
        <v>0</v>
      </c>
    </row>
    <row r="472" spans="2:27" x14ac:dyDescent="0.25">
      <c r="B472" s="21" t="str">
        <f ca="1">IF(B471="","",IF(EOMONTH(B471,1)&gt;EOMONTH(ELEGIBILIDADE!$J$17,0),"",EOMONTH(B471,1)))</f>
        <v/>
      </c>
      <c r="C472" s="22" t="str">
        <f ca="1">IF(B472="","",IF(MONTH(B472)=1,C471*(1+PREMISSAS!$C$57),C471))</f>
        <v/>
      </c>
      <c r="D472" s="22">
        <f ca="1">IF(RESULTADOS!$C$17="Normal",IFERROR(MAX(C472-PREMISSAS!$C$13,0),0),IF(Painel!$I$23=0,0,MAX(10*PREMISSAS!$C$38,RESULTADOS!$F$17)))</f>
        <v>0</v>
      </c>
      <c r="E472" s="4">
        <f ca="1">D472*IF(RESULTADOS!$C$17="Normal",RESULTADOS!$C$16,0)</f>
        <v>0</v>
      </c>
      <c r="F472" s="4">
        <f ca="1">IFERROR(IF(RESULTADOS!$C$17="Normal",D472,C472)*RESULTADOS!$C$18,0)</f>
        <v>0</v>
      </c>
      <c r="G472" s="4">
        <f ca="1">IFERROR(IF(RESULTADOS!$C$17="Normal",0,D472)*IF(RESULTADOS!$C$17="Normal",RESULTADOS!$C$18,RESULTADOS!$C$16),0)</f>
        <v>0</v>
      </c>
      <c r="H472" s="4">
        <f ca="1">IF(RESULTADOS!$C$17="Normal",E472,0)</f>
        <v>0</v>
      </c>
      <c r="I472" s="4">
        <f ca="1">(E472+H472+G472)*PREMISSAS!$C$60</f>
        <v>0</v>
      </c>
      <c r="J472" s="4">
        <f ca="1">D472*IF(RESULTADOS!$C$17="Normal",PREMISSAS!$C$62,0)</f>
        <v>0</v>
      </c>
      <c r="K472" s="116">
        <f ca="1">IFERROR(K471*(1+PREMISSAS!$C$18)+(E472+H472-IF(RESULTADOS!$C$17="Normal",I472,0)-J472)*IF(MONTH(B472)=12,2,1),0)</f>
        <v>0</v>
      </c>
      <c r="L472" s="116">
        <f ca="1">IFERROR((L471+G472-IF(RESULTADOS!$C$17="Normal",0,I472))*(1+PREMISSAS!$C$18)+F472,0)</f>
        <v>0</v>
      </c>
      <c r="N472" s="73">
        <f t="shared" ca="1" si="57"/>
        <v>0</v>
      </c>
      <c r="P472" s="164" t="str">
        <f t="shared" ca="1" si="58"/>
        <v/>
      </c>
      <c r="Q472" s="140" t="str">
        <f ca="1">IF(C472="","",Q471+(E472+H472-IF(RESULTADOS!$C$17="Normal",I472,0)-J472)/2+(F472+G472-IF(RESULTADOS!$C$17="Normal",0,I472)))</f>
        <v/>
      </c>
      <c r="R472" s="140" t="str">
        <f ca="1">IF(C472="","",R471+(E472+H472-IF(RESULTADOS!$C$17="Normal",I472,0)-J472)/2)</f>
        <v/>
      </c>
      <c r="S472" s="140">
        <f t="shared" ca="1" si="60"/>
        <v>0</v>
      </c>
      <c r="U472" s="164" t="str">
        <f t="shared" ca="1" si="61"/>
        <v/>
      </c>
      <c r="V472" s="164" t="str">
        <f t="shared" ca="1" si="59"/>
        <v/>
      </c>
      <c r="W472" s="140">
        <f ca="1">IF(OR((W471-13/12*Z471)*(1+PREMISSAS!$C$16)&lt;0,W471=""),0,(W471-13/12*Z471)*(1+PREMISSAS!$C$16))</f>
        <v>0</v>
      </c>
      <c r="X472" s="140">
        <f ca="1">IF(OR((X471-13/12*AA471)*(1+PREMISSAS!$C$16)&lt;0,X471=""),0,(X471-13/12*AA471)*(1+PREMISSAS!$C$16))</f>
        <v>0</v>
      </c>
      <c r="Y472" s="140">
        <f t="shared" ca="1" si="56"/>
        <v>0</v>
      </c>
      <c r="Z472" s="167">
        <f t="shared" ca="1" si="62"/>
        <v>0</v>
      </c>
      <c r="AA472" s="167">
        <f t="shared" ca="1" si="63"/>
        <v>0</v>
      </c>
    </row>
    <row r="473" spans="2:27" x14ac:dyDescent="0.25">
      <c r="B473" s="21" t="str">
        <f ca="1">IF(B472="","",IF(EOMONTH(B472,1)&gt;EOMONTH(ELEGIBILIDADE!$J$17,0),"",EOMONTH(B472,1)))</f>
        <v/>
      </c>
      <c r="C473" s="22" t="str">
        <f ca="1">IF(B473="","",IF(MONTH(B473)=1,C472*(1+PREMISSAS!$C$57),C472))</f>
        <v/>
      </c>
      <c r="D473" s="22">
        <f ca="1">IF(RESULTADOS!$C$17="Normal",IFERROR(MAX(C473-PREMISSAS!$C$13,0),0),IF(Painel!$I$23=0,0,MAX(10*PREMISSAS!$C$38,RESULTADOS!$F$17)))</f>
        <v>0</v>
      </c>
      <c r="E473" s="4">
        <f ca="1">D473*IF(RESULTADOS!$C$17="Normal",RESULTADOS!$C$16,0)</f>
        <v>0</v>
      </c>
      <c r="F473" s="4">
        <f ca="1">IFERROR(IF(RESULTADOS!$C$17="Normal",D473,C473)*RESULTADOS!$C$18,0)</f>
        <v>0</v>
      </c>
      <c r="G473" s="4">
        <f ca="1">IFERROR(IF(RESULTADOS!$C$17="Normal",0,D473)*IF(RESULTADOS!$C$17="Normal",RESULTADOS!$C$18,RESULTADOS!$C$16),0)</f>
        <v>0</v>
      </c>
      <c r="H473" s="4">
        <f ca="1">IF(RESULTADOS!$C$17="Normal",E473,0)</f>
        <v>0</v>
      </c>
      <c r="I473" s="4">
        <f ca="1">(E473+H473+G473)*PREMISSAS!$C$60</f>
        <v>0</v>
      </c>
      <c r="J473" s="4">
        <f ca="1">D473*IF(RESULTADOS!$C$17="Normal",PREMISSAS!$C$62,0)</f>
        <v>0</v>
      </c>
      <c r="K473" s="116">
        <f ca="1">IFERROR(K472*(1+PREMISSAS!$C$18)+(E473+H473-IF(RESULTADOS!$C$17="Normal",I473,0)-J473)*IF(MONTH(B473)=12,2,1),0)</f>
        <v>0</v>
      </c>
      <c r="L473" s="116">
        <f ca="1">IFERROR((L472+G473-IF(RESULTADOS!$C$17="Normal",0,I473))*(1+PREMISSAS!$C$18)+F473,0)</f>
        <v>0</v>
      </c>
      <c r="N473" s="73">
        <f t="shared" ca="1" si="57"/>
        <v>0</v>
      </c>
      <c r="P473" s="164" t="str">
        <f t="shared" ca="1" si="58"/>
        <v/>
      </c>
      <c r="Q473" s="140" t="str">
        <f ca="1">IF(C473="","",Q472+(E473+H473-IF(RESULTADOS!$C$17="Normal",I473,0)-J473)/2+(F473+G473-IF(RESULTADOS!$C$17="Normal",0,I473)))</f>
        <v/>
      </c>
      <c r="R473" s="140" t="str">
        <f ca="1">IF(C473="","",R472+(E473+H473-IF(RESULTADOS!$C$17="Normal",I473,0)-J473)/2)</f>
        <v/>
      </c>
      <c r="S473" s="140">
        <f t="shared" ca="1" si="60"/>
        <v>0</v>
      </c>
      <c r="U473" s="164" t="str">
        <f t="shared" ca="1" si="61"/>
        <v/>
      </c>
      <c r="V473" s="164" t="str">
        <f t="shared" ca="1" si="59"/>
        <v/>
      </c>
      <c r="W473" s="140">
        <f ca="1">IF(OR((W472-13/12*Z472)*(1+PREMISSAS!$C$16)&lt;0,W472=""),0,(W472-13/12*Z472)*(1+PREMISSAS!$C$16))</f>
        <v>0</v>
      </c>
      <c r="X473" s="140">
        <f ca="1">IF(OR((X472-13/12*AA472)*(1+PREMISSAS!$C$16)&lt;0,X472=""),0,(X472-13/12*AA472)*(1+PREMISSAS!$C$16))</f>
        <v>0</v>
      </c>
      <c r="Y473" s="140">
        <f t="shared" ca="1" si="56"/>
        <v>0</v>
      </c>
      <c r="Z473" s="167">
        <f t="shared" ca="1" si="62"/>
        <v>0</v>
      </c>
      <c r="AA473" s="167">
        <f t="shared" ca="1" si="63"/>
        <v>0</v>
      </c>
    </row>
    <row r="474" spans="2:27" x14ac:dyDescent="0.25">
      <c r="B474" s="21" t="str">
        <f ca="1">IF(B473="","",IF(EOMONTH(B473,1)&gt;EOMONTH(ELEGIBILIDADE!$J$17,0),"",EOMONTH(B473,1)))</f>
        <v/>
      </c>
      <c r="C474" s="22" t="str">
        <f ca="1">IF(B474="","",IF(MONTH(B474)=1,C473*(1+PREMISSAS!$C$57),C473))</f>
        <v/>
      </c>
      <c r="D474" s="22">
        <f ca="1">IF(RESULTADOS!$C$17="Normal",IFERROR(MAX(C474-PREMISSAS!$C$13,0),0),IF(Painel!$I$23=0,0,MAX(10*PREMISSAS!$C$38,RESULTADOS!$F$17)))</f>
        <v>0</v>
      </c>
      <c r="E474" s="4">
        <f ca="1">D474*IF(RESULTADOS!$C$17="Normal",RESULTADOS!$C$16,0)</f>
        <v>0</v>
      </c>
      <c r="F474" s="4">
        <f ca="1">IFERROR(IF(RESULTADOS!$C$17="Normal",D474,C474)*RESULTADOS!$C$18,0)</f>
        <v>0</v>
      </c>
      <c r="G474" s="4">
        <f ca="1">IFERROR(IF(RESULTADOS!$C$17="Normal",0,D474)*IF(RESULTADOS!$C$17="Normal",RESULTADOS!$C$18,RESULTADOS!$C$16),0)</f>
        <v>0</v>
      </c>
      <c r="H474" s="4">
        <f ca="1">IF(RESULTADOS!$C$17="Normal",E474,0)</f>
        <v>0</v>
      </c>
      <c r="I474" s="4">
        <f ca="1">(E474+H474+G474)*PREMISSAS!$C$60</f>
        <v>0</v>
      </c>
      <c r="J474" s="4">
        <f ca="1">D474*IF(RESULTADOS!$C$17="Normal",PREMISSAS!$C$62,0)</f>
        <v>0</v>
      </c>
      <c r="K474" s="116">
        <f ca="1">IFERROR(K473*(1+PREMISSAS!$C$18)+(E474+H474-IF(RESULTADOS!$C$17="Normal",I474,0)-J474)*IF(MONTH(B474)=12,2,1),0)</f>
        <v>0</v>
      </c>
      <c r="L474" s="116">
        <f ca="1">IFERROR((L473+G474-IF(RESULTADOS!$C$17="Normal",0,I474))*(1+PREMISSAS!$C$18)+F474,0)</f>
        <v>0</v>
      </c>
      <c r="N474" s="73">
        <f t="shared" ca="1" si="57"/>
        <v>0</v>
      </c>
      <c r="P474" s="164" t="str">
        <f t="shared" ca="1" si="58"/>
        <v/>
      </c>
      <c r="Q474" s="140" t="str">
        <f ca="1">IF(C474="","",Q473+(E474+H474-IF(RESULTADOS!$C$17="Normal",I474,0)-J474)/2+(F474+G474-IF(RESULTADOS!$C$17="Normal",0,I474)))</f>
        <v/>
      </c>
      <c r="R474" s="140" t="str">
        <f ca="1">IF(C474="","",R473+(E474+H474-IF(RESULTADOS!$C$17="Normal",I474,0)-J474)/2)</f>
        <v/>
      </c>
      <c r="S474" s="140">
        <f t="shared" ca="1" si="60"/>
        <v>0</v>
      </c>
      <c r="U474" s="164" t="str">
        <f t="shared" ca="1" si="61"/>
        <v/>
      </c>
      <c r="V474" s="164" t="str">
        <f t="shared" ca="1" si="59"/>
        <v/>
      </c>
      <c r="W474" s="140">
        <f ca="1">IF(OR((W473-13/12*Z473)*(1+PREMISSAS!$C$16)&lt;0,W473=""),0,(W473-13/12*Z473)*(1+PREMISSAS!$C$16))</f>
        <v>0</v>
      </c>
      <c r="X474" s="140">
        <f ca="1">IF(OR((X473-13/12*AA473)*(1+PREMISSAS!$C$16)&lt;0,X473=""),0,(X473-13/12*AA473)*(1+PREMISSAS!$C$16))</f>
        <v>0</v>
      </c>
      <c r="Y474" s="140">
        <f t="shared" ca="1" si="56"/>
        <v>0</v>
      </c>
      <c r="Z474" s="167">
        <f t="shared" ca="1" si="62"/>
        <v>0</v>
      </c>
      <c r="AA474" s="167">
        <f t="shared" ca="1" si="63"/>
        <v>0</v>
      </c>
    </row>
    <row r="475" spans="2:27" x14ac:dyDescent="0.25">
      <c r="B475" s="21" t="str">
        <f ca="1">IF(B474="","",IF(EOMONTH(B474,1)&gt;EOMONTH(ELEGIBILIDADE!$J$17,0),"",EOMONTH(B474,1)))</f>
        <v/>
      </c>
      <c r="C475" s="22" t="str">
        <f ca="1">IF(B475="","",IF(MONTH(B475)=1,C474*(1+PREMISSAS!$C$57),C474))</f>
        <v/>
      </c>
      <c r="D475" s="22">
        <f ca="1">IF(RESULTADOS!$C$17="Normal",IFERROR(MAX(C475-PREMISSAS!$C$13,0),0),IF(Painel!$I$23=0,0,MAX(10*PREMISSAS!$C$38,RESULTADOS!$F$17)))</f>
        <v>0</v>
      </c>
      <c r="E475" s="4">
        <f ca="1">D475*IF(RESULTADOS!$C$17="Normal",RESULTADOS!$C$16,0)</f>
        <v>0</v>
      </c>
      <c r="F475" s="4">
        <f ca="1">IFERROR(IF(RESULTADOS!$C$17="Normal",D475,C475)*RESULTADOS!$C$18,0)</f>
        <v>0</v>
      </c>
      <c r="G475" s="4">
        <f ca="1">IFERROR(IF(RESULTADOS!$C$17="Normal",0,D475)*IF(RESULTADOS!$C$17="Normal",RESULTADOS!$C$18,RESULTADOS!$C$16),0)</f>
        <v>0</v>
      </c>
      <c r="H475" s="4">
        <f ca="1">IF(RESULTADOS!$C$17="Normal",E475,0)</f>
        <v>0</v>
      </c>
      <c r="I475" s="4">
        <f ca="1">(E475+H475+G475)*PREMISSAS!$C$60</f>
        <v>0</v>
      </c>
      <c r="J475" s="4">
        <f ca="1">D475*IF(RESULTADOS!$C$17="Normal",PREMISSAS!$C$62,0)</f>
        <v>0</v>
      </c>
      <c r="K475" s="116">
        <f ca="1">IFERROR(K474*(1+PREMISSAS!$C$18)+(E475+H475-IF(RESULTADOS!$C$17="Normal",I475,0)-J475)*IF(MONTH(B475)=12,2,1),0)</f>
        <v>0</v>
      </c>
      <c r="L475" s="116">
        <f ca="1">IFERROR((L474+G475-IF(RESULTADOS!$C$17="Normal",0,I475))*(1+PREMISSAS!$C$18)+F475,0)</f>
        <v>0</v>
      </c>
      <c r="N475" s="73">
        <f t="shared" ca="1" si="57"/>
        <v>0</v>
      </c>
      <c r="P475" s="164" t="str">
        <f t="shared" ca="1" si="58"/>
        <v/>
      </c>
      <c r="Q475" s="140" t="str">
        <f ca="1">IF(C475="","",Q474+(E475+H475-IF(RESULTADOS!$C$17="Normal",I475,0)-J475)/2+(F475+G475-IF(RESULTADOS!$C$17="Normal",0,I475)))</f>
        <v/>
      </c>
      <c r="R475" s="140" t="str">
        <f ca="1">IF(C475="","",R474+(E475+H475-IF(RESULTADOS!$C$17="Normal",I475,0)-J475)/2)</f>
        <v/>
      </c>
      <c r="S475" s="140">
        <f t="shared" ca="1" si="60"/>
        <v>0</v>
      </c>
      <c r="U475" s="164" t="str">
        <f t="shared" ca="1" si="61"/>
        <v/>
      </c>
      <c r="V475" s="164" t="str">
        <f t="shared" ca="1" si="59"/>
        <v/>
      </c>
      <c r="W475" s="140">
        <f ca="1">IF(OR((W474-13/12*Z474)*(1+PREMISSAS!$C$16)&lt;0,W474=""),0,(W474-13/12*Z474)*(1+PREMISSAS!$C$16))</f>
        <v>0</v>
      </c>
      <c r="X475" s="140">
        <f ca="1">IF(OR((X474-13/12*AA474)*(1+PREMISSAS!$C$16)&lt;0,X474=""),0,(X474-13/12*AA474)*(1+PREMISSAS!$C$16))</f>
        <v>0</v>
      </c>
      <c r="Y475" s="140">
        <f t="shared" ca="1" si="56"/>
        <v>0</v>
      </c>
      <c r="Z475" s="167">
        <f t="shared" ca="1" si="62"/>
        <v>0</v>
      </c>
      <c r="AA475" s="167">
        <f t="shared" ca="1" si="63"/>
        <v>0</v>
      </c>
    </row>
    <row r="476" spans="2:27" x14ac:dyDescent="0.25">
      <c r="B476" s="21" t="str">
        <f ca="1">IF(B475="","",IF(EOMONTH(B475,1)&gt;EOMONTH(ELEGIBILIDADE!$J$17,0),"",EOMONTH(B475,1)))</f>
        <v/>
      </c>
      <c r="C476" s="22" t="str">
        <f ca="1">IF(B476="","",IF(MONTH(B476)=1,C475*(1+PREMISSAS!$C$57),C475))</f>
        <v/>
      </c>
      <c r="D476" s="22">
        <f ca="1">IF(RESULTADOS!$C$17="Normal",IFERROR(MAX(C476-PREMISSAS!$C$13,0),0),IF(Painel!$I$23=0,0,MAX(10*PREMISSAS!$C$38,RESULTADOS!$F$17)))</f>
        <v>0</v>
      </c>
      <c r="E476" s="4">
        <f ca="1">D476*IF(RESULTADOS!$C$17="Normal",RESULTADOS!$C$16,0)</f>
        <v>0</v>
      </c>
      <c r="F476" s="4">
        <f ca="1">IFERROR(IF(RESULTADOS!$C$17="Normal",D476,C476)*RESULTADOS!$C$18,0)</f>
        <v>0</v>
      </c>
      <c r="G476" s="4">
        <f ca="1">IFERROR(IF(RESULTADOS!$C$17="Normal",0,D476)*IF(RESULTADOS!$C$17="Normal",RESULTADOS!$C$18,RESULTADOS!$C$16),0)</f>
        <v>0</v>
      </c>
      <c r="H476" s="4">
        <f ca="1">IF(RESULTADOS!$C$17="Normal",E476,0)</f>
        <v>0</v>
      </c>
      <c r="I476" s="4">
        <f ca="1">(E476+H476+G476)*PREMISSAS!$C$60</f>
        <v>0</v>
      </c>
      <c r="J476" s="4">
        <f ca="1">D476*IF(RESULTADOS!$C$17="Normal",PREMISSAS!$C$62,0)</f>
        <v>0</v>
      </c>
      <c r="K476" s="116">
        <f ca="1">IFERROR(K475*(1+PREMISSAS!$C$18)+(E476+H476-IF(RESULTADOS!$C$17="Normal",I476,0)-J476)*IF(MONTH(B476)=12,2,1),0)</f>
        <v>0</v>
      </c>
      <c r="L476" s="116">
        <f ca="1">IFERROR((L475+G476-IF(RESULTADOS!$C$17="Normal",0,I476))*(1+PREMISSAS!$C$18)+F476,0)</f>
        <v>0</v>
      </c>
      <c r="N476" s="73">
        <f t="shared" ca="1" si="57"/>
        <v>0</v>
      </c>
      <c r="P476" s="164" t="str">
        <f t="shared" ca="1" si="58"/>
        <v/>
      </c>
      <c r="Q476" s="140" t="str">
        <f ca="1">IF(C476="","",Q475+(E476+H476-IF(RESULTADOS!$C$17="Normal",I476,0)-J476)/2+(F476+G476-IF(RESULTADOS!$C$17="Normal",0,I476)))</f>
        <v/>
      </c>
      <c r="R476" s="140" t="str">
        <f ca="1">IF(C476="","",R475+(E476+H476-IF(RESULTADOS!$C$17="Normal",I476,0)-J476)/2)</f>
        <v/>
      </c>
      <c r="S476" s="140">
        <f t="shared" ca="1" si="60"/>
        <v>0</v>
      </c>
      <c r="U476" s="164" t="str">
        <f t="shared" ca="1" si="61"/>
        <v/>
      </c>
      <c r="V476" s="164" t="str">
        <f t="shared" ca="1" si="59"/>
        <v/>
      </c>
      <c r="W476" s="140">
        <f ca="1">IF(OR((W475-13/12*Z475)*(1+PREMISSAS!$C$16)&lt;0,W475=""),0,(W475-13/12*Z475)*(1+PREMISSAS!$C$16))</f>
        <v>0</v>
      </c>
      <c r="X476" s="140">
        <f ca="1">IF(OR((X475-13/12*AA475)*(1+PREMISSAS!$C$16)&lt;0,X475=""),0,(X475-13/12*AA475)*(1+PREMISSAS!$C$16))</f>
        <v>0</v>
      </c>
      <c r="Y476" s="140">
        <f t="shared" ca="1" si="56"/>
        <v>0</v>
      </c>
      <c r="Z476" s="167">
        <f t="shared" ca="1" si="62"/>
        <v>0</v>
      </c>
      <c r="AA476" s="167">
        <f t="shared" ca="1" si="63"/>
        <v>0</v>
      </c>
    </row>
    <row r="477" spans="2:27" x14ac:dyDescent="0.25">
      <c r="B477" s="21" t="str">
        <f ca="1">IF(B476="","",IF(EOMONTH(B476,1)&gt;EOMONTH(ELEGIBILIDADE!$J$17,0),"",EOMONTH(B476,1)))</f>
        <v/>
      </c>
      <c r="C477" s="22" t="str">
        <f ca="1">IF(B477="","",IF(MONTH(B477)=1,C476*(1+PREMISSAS!$C$57),C476))</f>
        <v/>
      </c>
      <c r="D477" s="22">
        <f ca="1">IF(RESULTADOS!$C$17="Normal",IFERROR(MAX(C477-PREMISSAS!$C$13,0),0),IF(Painel!$I$23=0,0,MAX(10*PREMISSAS!$C$38,RESULTADOS!$F$17)))</f>
        <v>0</v>
      </c>
      <c r="E477" s="4">
        <f ca="1">D477*IF(RESULTADOS!$C$17="Normal",RESULTADOS!$C$16,0)</f>
        <v>0</v>
      </c>
      <c r="F477" s="4">
        <f ca="1">IFERROR(IF(RESULTADOS!$C$17="Normal",D477,C477)*RESULTADOS!$C$18,0)</f>
        <v>0</v>
      </c>
      <c r="G477" s="4">
        <f ca="1">IFERROR(IF(RESULTADOS!$C$17="Normal",0,D477)*IF(RESULTADOS!$C$17="Normal",RESULTADOS!$C$18,RESULTADOS!$C$16),0)</f>
        <v>0</v>
      </c>
      <c r="H477" s="4">
        <f ca="1">IF(RESULTADOS!$C$17="Normal",E477,0)</f>
        <v>0</v>
      </c>
      <c r="I477" s="4">
        <f ca="1">(E477+H477+G477)*PREMISSAS!$C$60</f>
        <v>0</v>
      </c>
      <c r="J477" s="4">
        <f ca="1">D477*IF(RESULTADOS!$C$17="Normal",PREMISSAS!$C$62,0)</f>
        <v>0</v>
      </c>
      <c r="K477" s="116">
        <f ca="1">IFERROR(K476*(1+PREMISSAS!$C$18)+(E477+H477-IF(RESULTADOS!$C$17="Normal",I477,0)-J477)*IF(MONTH(B477)=12,2,1),0)</f>
        <v>0</v>
      </c>
      <c r="L477" s="116">
        <f ca="1">IFERROR((L476+G477-IF(RESULTADOS!$C$17="Normal",0,I477))*(1+PREMISSAS!$C$18)+F477,0)</f>
        <v>0</v>
      </c>
      <c r="N477" s="73">
        <f t="shared" ca="1" si="57"/>
        <v>0</v>
      </c>
      <c r="P477" s="164" t="str">
        <f t="shared" ca="1" si="58"/>
        <v/>
      </c>
      <c r="Q477" s="140" t="str">
        <f ca="1">IF(C477="","",Q476+(E477+H477-IF(RESULTADOS!$C$17="Normal",I477,0)-J477)/2+(F477+G477-IF(RESULTADOS!$C$17="Normal",0,I477)))</f>
        <v/>
      </c>
      <c r="R477" s="140" t="str">
        <f ca="1">IF(C477="","",R476+(E477+H477-IF(RESULTADOS!$C$17="Normal",I477,0)-J477)/2)</f>
        <v/>
      </c>
      <c r="S477" s="140">
        <f t="shared" ca="1" si="60"/>
        <v>0</v>
      </c>
      <c r="U477" s="164" t="str">
        <f t="shared" ca="1" si="61"/>
        <v/>
      </c>
      <c r="V477" s="164" t="str">
        <f t="shared" ca="1" si="59"/>
        <v/>
      </c>
      <c r="W477" s="140">
        <f ca="1">IF(OR((W476-13/12*Z476)*(1+PREMISSAS!$C$16)&lt;0,W476=""),0,(W476-13/12*Z476)*(1+PREMISSAS!$C$16))</f>
        <v>0</v>
      </c>
      <c r="X477" s="140">
        <f ca="1">IF(OR((X476-13/12*AA476)*(1+PREMISSAS!$C$16)&lt;0,X476=""),0,(X476-13/12*AA476)*(1+PREMISSAS!$C$16))</f>
        <v>0</v>
      </c>
      <c r="Y477" s="140">
        <f t="shared" ca="1" si="56"/>
        <v>0</v>
      </c>
      <c r="Z477" s="167">
        <f t="shared" ca="1" si="62"/>
        <v>0</v>
      </c>
      <c r="AA477" s="167">
        <f t="shared" ca="1" si="63"/>
        <v>0</v>
      </c>
    </row>
    <row r="478" spans="2:27" x14ac:dyDescent="0.25">
      <c r="B478" s="21" t="str">
        <f ca="1">IF(B477="","",IF(EOMONTH(B477,1)&gt;EOMONTH(ELEGIBILIDADE!$J$17,0),"",EOMONTH(B477,1)))</f>
        <v/>
      </c>
      <c r="C478" s="22" t="str">
        <f ca="1">IF(B478="","",IF(MONTH(B478)=1,C477*(1+PREMISSAS!$C$57),C477))</f>
        <v/>
      </c>
      <c r="D478" s="22">
        <f ca="1">IF(RESULTADOS!$C$17="Normal",IFERROR(MAX(C478-PREMISSAS!$C$13,0),0),IF(Painel!$I$23=0,0,MAX(10*PREMISSAS!$C$38,RESULTADOS!$F$17)))</f>
        <v>0</v>
      </c>
      <c r="E478" s="4">
        <f ca="1">D478*IF(RESULTADOS!$C$17="Normal",RESULTADOS!$C$16,0)</f>
        <v>0</v>
      </c>
      <c r="F478" s="4">
        <f ca="1">IFERROR(IF(RESULTADOS!$C$17="Normal",D478,C478)*RESULTADOS!$C$18,0)</f>
        <v>0</v>
      </c>
      <c r="G478" s="4">
        <f ca="1">IFERROR(IF(RESULTADOS!$C$17="Normal",0,D478)*IF(RESULTADOS!$C$17="Normal",RESULTADOS!$C$18,RESULTADOS!$C$16),0)</f>
        <v>0</v>
      </c>
      <c r="H478" s="4">
        <f ca="1">IF(RESULTADOS!$C$17="Normal",E478,0)</f>
        <v>0</v>
      </c>
      <c r="I478" s="4">
        <f ca="1">(E478+H478+G478)*PREMISSAS!$C$60</f>
        <v>0</v>
      </c>
      <c r="J478" s="4">
        <f ca="1">D478*IF(RESULTADOS!$C$17="Normal",PREMISSAS!$C$62,0)</f>
        <v>0</v>
      </c>
      <c r="K478" s="116">
        <f ca="1">IFERROR(K477*(1+PREMISSAS!$C$18)+(E478+H478-IF(RESULTADOS!$C$17="Normal",I478,0)-J478)*IF(MONTH(B478)=12,2,1),0)</f>
        <v>0</v>
      </c>
      <c r="L478" s="116">
        <f ca="1">IFERROR((L477+G478-IF(RESULTADOS!$C$17="Normal",0,I478))*(1+PREMISSAS!$C$18)+F478,0)</f>
        <v>0</v>
      </c>
      <c r="N478" s="73">
        <f t="shared" ca="1" si="57"/>
        <v>0</v>
      </c>
      <c r="P478" s="164" t="str">
        <f t="shared" ca="1" si="58"/>
        <v/>
      </c>
      <c r="Q478" s="140" t="str">
        <f ca="1">IF(C478="","",Q477+(E478+H478-IF(RESULTADOS!$C$17="Normal",I478,0)-J478)/2+(F478+G478-IF(RESULTADOS!$C$17="Normal",0,I478)))</f>
        <v/>
      </c>
      <c r="R478" s="140" t="str">
        <f ca="1">IF(C478="","",R477+(E478+H478-IF(RESULTADOS!$C$17="Normal",I478,0)-J478)/2)</f>
        <v/>
      </c>
      <c r="S478" s="140">
        <f t="shared" ca="1" si="60"/>
        <v>0</v>
      </c>
      <c r="U478" s="164" t="str">
        <f t="shared" ca="1" si="61"/>
        <v/>
      </c>
      <c r="V478" s="164" t="str">
        <f t="shared" ca="1" si="59"/>
        <v/>
      </c>
      <c r="W478" s="140">
        <f ca="1">IF(OR((W477-13/12*Z477)*(1+PREMISSAS!$C$16)&lt;0,W477=""),0,(W477-13/12*Z477)*(1+PREMISSAS!$C$16))</f>
        <v>0</v>
      </c>
      <c r="X478" s="140">
        <f ca="1">IF(OR((X477-13/12*AA477)*(1+PREMISSAS!$C$16)&lt;0,X477=""),0,(X477-13/12*AA477)*(1+PREMISSAS!$C$16))</f>
        <v>0</v>
      </c>
      <c r="Y478" s="140">
        <f t="shared" ca="1" si="56"/>
        <v>0</v>
      </c>
      <c r="Z478" s="167">
        <f t="shared" ca="1" si="62"/>
        <v>0</v>
      </c>
      <c r="AA478" s="167">
        <f t="shared" ca="1" si="63"/>
        <v>0</v>
      </c>
    </row>
    <row r="479" spans="2:27" x14ac:dyDescent="0.25">
      <c r="B479" s="21" t="str">
        <f ca="1">IF(B478="","",IF(EOMONTH(B478,1)&gt;EOMONTH(ELEGIBILIDADE!$J$17,0),"",EOMONTH(B478,1)))</f>
        <v/>
      </c>
      <c r="C479" s="22" t="str">
        <f ca="1">IF(B479="","",IF(MONTH(B479)=1,C478*(1+PREMISSAS!$C$57),C478))</f>
        <v/>
      </c>
      <c r="D479" s="22">
        <f ca="1">IF(RESULTADOS!$C$17="Normal",IFERROR(MAX(C479-PREMISSAS!$C$13,0),0),IF(Painel!$I$23=0,0,MAX(10*PREMISSAS!$C$38,RESULTADOS!$F$17)))</f>
        <v>0</v>
      </c>
      <c r="E479" s="4">
        <f ca="1">D479*IF(RESULTADOS!$C$17="Normal",RESULTADOS!$C$16,0)</f>
        <v>0</v>
      </c>
      <c r="F479" s="4">
        <f ca="1">IFERROR(IF(RESULTADOS!$C$17="Normal",D479,C479)*RESULTADOS!$C$18,0)</f>
        <v>0</v>
      </c>
      <c r="G479" s="4">
        <f ca="1">IFERROR(IF(RESULTADOS!$C$17="Normal",0,D479)*IF(RESULTADOS!$C$17="Normal",RESULTADOS!$C$18,RESULTADOS!$C$16),0)</f>
        <v>0</v>
      </c>
      <c r="H479" s="4">
        <f ca="1">IF(RESULTADOS!$C$17="Normal",E479,0)</f>
        <v>0</v>
      </c>
      <c r="I479" s="4">
        <f ca="1">(E479+H479+G479)*PREMISSAS!$C$60</f>
        <v>0</v>
      </c>
      <c r="J479" s="4">
        <f ca="1">D479*IF(RESULTADOS!$C$17="Normal",PREMISSAS!$C$62,0)</f>
        <v>0</v>
      </c>
      <c r="K479" s="116">
        <f ca="1">IFERROR(K478*(1+PREMISSAS!$C$18)+(E479+H479-IF(RESULTADOS!$C$17="Normal",I479,0)-J479)*IF(MONTH(B479)=12,2,1),0)</f>
        <v>0</v>
      </c>
      <c r="L479" s="116">
        <f ca="1">IFERROR((L478+G479-IF(RESULTADOS!$C$17="Normal",0,I479))*(1+PREMISSAS!$C$18)+F479,0)</f>
        <v>0</v>
      </c>
      <c r="N479" s="73">
        <f t="shared" ca="1" si="57"/>
        <v>0</v>
      </c>
      <c r="P479" s="164" t="str">
        <f t="shared" ca="1" si="58"/>
        <v/>
      </c>
      <c r="Q479" s="140" t="str">
        <f ca="1">IF(C479="","",Q478+(E479+H479-IF(RESULTADOS!$C$17="Normal",I479,0)-J479)/2+(F479+G479-IF(RESULTADOS!$C$17="Normal",0,I479)))</f>
        <v/>
      </c>
      <c r="R479" s="140" t="str">
        <f ca="1">IF(C479="","",R478+(E479+H479-IF(RESULTADOS!$C$17="Normal",I479,0)-J479)/2)</f>
        <v/>
      </c>
      <c r="S479" s="140">
        <f t="shared" ca="1" si="60"/>
        <v>0</v>
      </c>
      <c r="U479" s="164" t="str">
        <f t="shared" ca="1" si="61"/>
        <v/>
      </c>
      <c r="V479" s="164" t="str">
        <f t="shared" ca="1" si="59"/>
        <v/>
      </c>
      <c r="W479" s="140">
        <f ca="1">IF(OR((W478-13/12*Z478)*(1+PREMISSAS!$C$16)&lt;0,W478=""),0,(W478-13/12*Z478)*(1+PREMISSAS!$C$16))</f>
        <v>0</v>
      </c>
      <c r="X479" s="140">
        <f ca="1">IF(OR((X478-13/12*AA478)*(1+PREMISSAS!$C$16)&lt;0,X478=""),0,(X478-13/12*AA478)*(1+PREMISSAS!$C$16))</f>
        <v>0</v>
      </c>
      <c r="Y479" s="140">
        <f t="shared" ca="1" si="56"/>
        <v>0</v>
      </c>
      <c r="Z479" s="167">
        <f t="shared" ca="1" si="62"/>
        <v>0</v>
      </c>
      <c r="AA479" s="167">
        <f t="shared" ca="1" si="63"/>
        <v>0</v>
      </c>
    </row>
    <row r="480" spans="2:27" x14ac:dyDescent="0.25">
      <c r="B480" s="21" t="str">
        <f ca="1">IF(B479="","",IF(EOMONTH(B479,1)&gt;EOMONTH(ELEGIBILIDADE!$J$17,0),"",EOMONTH(B479,1)))</f>
        <v/>
      </c>
      <c r="C480" s="22" t="str">
        <f ca="1">IF(B480="","",IF(MONTH(B480)=1,C479*(1+PREMISSAS!$C$57),C479))</f>
        <v/>
      </c>
      <c r="D480" s="22">
        <f ca="1">IF(RESULTADOS!$C$17="Normal",IFERROR(MAX(C480-PREMISSAS!$C$13,0),0),IF(Painel!$I$23=0,0,MAX(10*PREMISSAS!$C$38,RESULTADOS!$F$17)))</f>
        <v>0</v>
      </c>
      <c r="E480" s="4">
        <f ca="1">D480*IF(RESULTADOS!$C$17="Normal",RESULTADOS!$C$16,0)</f>
        <v>0</v>
      </c>
      <c r="F480" s="4">
        <f ca="1">IFERROR(IF(RESULTADOS!$C$17="Normal",D480,C480)*RESULTADOS!$C$18,0)</f>
        <v>0</v>
      </c>
      <c r="G480" s="4">
        <f ca="1">IFERROR(IF(RESULTADOS!$C$17="Normal",0,D480)*IF(RESULTADOS!$C$17="Normal",RESULTADOS!$C$18,RESULTADOS!$C$16),0)</f>
        <v>0</v>
      </c>
      <c r="H480" s="4">
        <f ca="1">IF(RESULTADOS!$C$17="Normal",E480,0)</f>
        <v>0</v>
      </c>
      <c r="I480" s="4">
        <f ca="1">(E480+H480+G480)*PREMISSAS!$C$60</f>
        <v>0</v>
      </c>
      <c r="J480" s="4">
        <f ca="1">D480*IF(RESULTADOS!$C$17="Normal",PREMISSAS!$C$62,0)</f>
        <v>0</v>
      </c>
      <c r="K480" s="116">
        <f ca="1">IFERROR(K479*(1+PREMISSAS!$C$18)+(E480+H480-IF(RESULTADOS!$C$17="Normal",I480,0)-J480)*IF(MONTH(B480)=12,2,1),0)</f>
        <v>0</v>
      </c>
      <c r="L480" s="116">
        <f ca="1">IFERROR((L479+G480-IF(RESULTADOS!$C$17="Normal",0,I480))*(1+PREMISSAS!$C$18)+F480,0)</f>
        <v>0</v>
      </c>
      <c r="N480" s="73">
        <f t="shared" ca="1" si="57"/>
        <v>0</v>
      </c>
      <c r="P480" s="164" t="str">
        <f t="shared" ca="1" si="58"/>
        <v/>
      </c>
      <c r="Q480" s="140" t="str">
        <f ca="1">IF(C480="","",Q479+(E480+H480-IF(RESULTADOS!$C$17="Normal",I480,0)-J480)/2+(F480+G480-IF(RESULTADOS!$C$17="Normal",0,I480)))</f>
        <v/>
      </c>
      <c r="R480" s="140" t="str">
        <f ca="1">IF(C480="","",R479+(E480+H480-IF(RESULTADOS!$C$17="Normal",I480,0)-J480)/2)</f>
        <v/>
      </c>
      <c r="S480" s="140">
        <f t="shared" ca="1" si="60"/>
        <v>0</v>
      </c>
      <c r="U480" s="164" t="str">
        <f t="shared" ca="1" si="61"/>
        <v/>
      </c>
      <c r="V480" s="164" t="str">
        <f t="shared" ca="1" si="59"/>
        <v/>
      </c>
      <c r="W480" s="140">
        <f ca="1">IF(OR((W479-13/12*Z479)*(1+PREMISSAS!$C$16)&lt;0,W479=""),0,(W479-13/12*Z479)*(1+PREMISSAS!$C$16))</f>
        <v>0</v>
      </c>
      <c r="X480" s="140">
        <f ca="1">IF(OR((X479-13/12*AA479)*(1+PREMISSAS!$C$16)&lt;0,X479=""),0,(X479-13/12*AA479)*(1+PREMISSAS!$C$16))</f>
        <v>0</v>
      </c>
      <c r="Y480" s="140">
        <f t="shared" ca="1" si="56"/>
        <v>0</v>
      </c>
      <c r="Z480" s="167">
        <f t="shared" ca="1" si="62"/>
        <v>0</v>
      </c>
      <c r="AA480" s="167">
        <f t="shared" ca="1" si="63"/>
        <v>0</v>
      </c>
    </row>
    <row r="481" spans="2:27" x14ac:dyDescent="0.25">
      <c r="B481" s="21" t="str">
        <f ca="1">IF(B480="","",IF(EOMONTH(B480,1)&gt;EOMONTH(ELEGIBILIDADE!$J$17,0),"",EOMONTH(B480,1)))</f>
        <v/>
      </c>
      <c r="C481" s="22" t="str">
        <f ca="1">IF(B481="","",IF(MONTH(B481)=1,C480*(1+PREMISSAS!$C$57),C480))</f>
        <v/>
      </c>
      <c r="D481" s="22">
        <f ca="1">IF(RESULTADOS!$C$17="Normal",IFERROR(MAX(C481-PREMISSAS!$C$13,0),0),IF(Painel!$I$23=0,0,MAX(10*PREMISSAS!$C$38,RESULTADOS!$F$17)))</f>
        <v>0</v>
      </c>
      <c r="E481" s="4">
        <f ca="1">D481*IF(RESULTADOS!$C$17="Normal",RESULTADOS!$C$16,0)</f>
        <v>0</v>
      </c>
      <c r="F481" s="4">
        <f ca="1">IFERROR(IF(RESULTADOS!$C$17="Normal",D481,C481)*RESULTADOS!$C$18,0)</f>
        <v>0</v>
      </c>
      <c r="G481" s="4">
        <f ca="1">IFERROR(IF(RESULTADOS!$C$17="Normal",0,D481)*IF(RESULTADOS!$C$17="Normal",RESULTADOS!$C$18,RESULTADOS!$C$16),0)</f>
        <v>0</v>
      </c>
      <c r="H481" s="4">
        <f ca="1">IF(RESULTADOS!$C$17="Normal",E481,0)</f>
        <v>0</v>
      </c>
      <c r="I481" s="4">
        <f ca="1">(E481+H481+G481)*PREMISSAS!$C$60</f>
        <v>0</v>
      </c>
      <c r="J481" s="4">
        <f ca="1">D481*IF(RESULTADOS!$C$17="Normal",PREMISSAS!$C$62,0)</f>
        <v>0</v>
      </c>
      <c r="K481" s="116">
        <f ca="1">IFERROR(K480*(1+PREMISSAS!$C$18)+(E481+H481-IF(RESULTADOS!$C$17="Normal",I481,0)-J481)*IF(MONTH(B481)=12,2,1),0)</f>
        <v>0</v>
      </c>
      <c r="L481" s="116">
        <f ca="1">IFERROR((L480+G481-IF(RESULTADOS!$C$17="Normal",0,I481))*(1+PREMISSAS!$C$18)+F481,0)</f>
        <v>0</v>
      </c>
      <c r="N481" s="73">
        <f t="shared" ca="1" si="57"/>
        <v>0</v>
      </c>
      <c r="P481" s="164" t="str">
        <f t="shared" ca="1" si="58"/>
        <v/>
      </c>
      <c r="Q481" s="140" t="str">
        <f ca="1">IF(C481="","",Q480+(E481+H481-IF(RESULTADOS!$C$17="Normal",I481,0)-J481)/2+(F481+G481-IF(RESULTADOS!$C$17="Normal",0,I481)))</f>
        <v/>
      </c>
      <c r="R481" s="140" t="str">
        <f ca="1">IF(C481="","",R480+(E481+H481-IF(RESULTADOS!$C$17="Normal",I481,0)-J481)/2)</f>
        <v/>
      </c>
      <c r="S481" s="140">
        <f t="shared" ca="1" si="60"/>
        <v>0</v>
      </c>
      <c r="U481" s="164" t="str">
        <f t="shared" ca="1" si="61"/>
        <v/>
      </c>
      <c r="V481" s="164" t="str">
        <f t="shared" ca="1" si="59"/>
        <v/>
      </c>
      <c r="W481" s="140">
        <f ca="1">IF(OR((W480-13/12*Z480)*(1+PREMISSAS!$C$16)&lt;0,W480=""),0,(W480-13/12*Z480)*(1+PREMISSAS!$C$16))</f>
        <v>0</v>
      </c>
      <c r="X481" s="140">
        <f ca="1">IF(OR((X480-13/12*AA480)*(1+PREMISSAS!$C$16)&lt;0,X480=""),0,(X480-13/12*AA480)*(1+PREMISSAS!$C$16))</f>
        <v>0</v>
      </c>
      <c r="Y481" s="140">
        <f t="shared" ca="1" si="56"/>
        <v>0</v>
      </c>
      <c r="Z481" s="167">
        <f t="shared" ca="1" si="62"/>
        <v>0</v>
      </c>
      <c r="AA481" s="167">
        <f t="shared" ca="1" si="63"/>
        <v>0</v>
      </c>
    </row>
    <row r="482" spans="2:27" x14ac:dyDescent="0.25">
      <c r="B482" s="21" t="str">
        <f ca="1">IF(B481="","",IF(EOMONTH(B481,1)&gt;EOMONTH(ELEGIBILIDADE!$J$17,0),"",EOMONTH(B481,1)))</f>
        <v/>
      </c>
      <c r="C482" s="22" t="str">
        <f ca="1">IF(B482="","",IF(MONTH(B482)=1,C481*(1+PREMISSAS!$C$57),C481))</f>
        <v/>
      </c>
      <c r="D482" s="22">
        <f ca="1">IF(RESULTADOS!$C$17="Normal",IFERROR(MAX(C482-PREMISSAS!$C$13,0),0),IF(Painel!$I$23=0,0,MAX(10*PREMISSAS!$C$38,RESULTADOS!$F$17)))</f>
        <v>0</v>
      </c>
      <c r="E482" s="4">
        <f ca="1">D482*IF(RESULTADOS!$C$17="Normal",RESULTADOS!$C$16,0)</f>
        <v>0</v>
      </c>
      <c r="F482" s="4">
        <f ca="1">IFERROR(IF(RESULTADOS!$C$17="Normal",D482,C482)*RESULTADOS!$C$18,0)</f>
        <v>0</v>
      </c>
      <c r="G482" s="4">
        <f ca="1">IFERROR(IF(RESULTADOS!$C$17="Normal",0,D482)*IF(RESULTADOS!$C$17="Normal",RESULTADOS!$C$18,RESULTADOS!$C$16),0)</f>
        <v>0</v>
      </c>
      <c r="H482" s="4">
        <f ca="1">IF(RESULTADOS!$C$17="Normal",E482,0)</f>
        <v>0</v>
      </c>
      <c r="I482" s="4">
        <f ca="1">(E482+H482+G482)*PREMISSAS!$C$60</f>
        <v>0</v>
      </c>
      <c r="J482" s="4">
        <f ca="1">D482*IF(RESULTADOS!$C$17="Normal",PREMISSAS!$C$62,0)</f>
        <v>0</v>
      </c>
      <c r="K482" s="116">
        <f ca="1">IFERROR(K481*(1+PREMISSAS!$C$18)+(E482+H482-IF(RESULTADOS!$C$17="Normal",I482,0)-J482)*IF(MONTH(B482)=12,2,1),0)</f>
        <v>0</v>
      </c>
      <c r="L482" s="116">
        <f ca="1">IFERROR((L481+G482-IF(RESULTADOS!$C$17="Normal",0,I482))*(1+PREMISSAS!$C$18)+F482,0)</f>
        <v>0</v>
      </c>
      <c r="N482" s="73">
        <f t="shared" ca="1" si="57"/>
        <v>0</v>
      </c>
      <c r="P482" s="164" t="str">
        <f t="shared" ca="1" si="58"/>
        <v/>
      </c>
      <c r="Q482" s="140" t="str">
        <f ca="1">IF(C482="","",Q481+(E482+H482-IF(RESULTADOS!$C$17="Normal",I482,0)-J482)/2+(F482+G482-IF(RESULTADOS!$C$17="Normal",0,I482)))</f>
        <v/>
      </c>
      <c r="R482" s="140" t="str">
        <f ca="1">IF(C482="","",R481+(E482+H482-IF(RESULTADOS!$C$17="Normal",I482,0)-J482)/2)</f>
        <v/>
      </c>
      <c r="S482" s="140">
        <f t="shared" ca="1" si="60"/>
        <v>0</v>
      </c>
      <c r="U482" s="164" t="str">
        <f t="shared" ca="1" si="61"/>
        <v/>
      </c>
      <c r="V482" s="164" t="str">
        <f t="shared" ca="1" si="59"/>
        <v/>
      </c>
      <c r="W482" s="140">
        <f ca="1">IF(OR((W481-13/12*Z481)*(1+PREMISSAS!$C$16)&lt;0,W481=""),0,(W481-13/12*Z481)*(1+PREMISSAS!$C$16))</f>
        <v>0</v>
      </c>
      <c r="X482" s="140">
        <f ca="1">IF(OR((X481-13/12*AA481)*(1+PREMISSAS!$C$16)&lt;0,X481=""),0,(X481-13/12*AA481)*(1+PREMISSAS!$C$16))</f>
        <v>0</v>
      </c>
      <c r="Y482" s="140">
        <f t="shared" ca="1" si="56"/>
        <v>0</v>
      </c>
      <c r="Z482" s="167">
        <f t="shared" ca="1" si="62"/>
        <v>0</v>
      </c>
      <c r="AA482" s="167">
        <f t="shared" ca="1" si="63"/>
        <v>0</v>
      </c>
    </row>
    <row r="483" spans="2:27" x14ac:dyDescent="0.25">
      <c r="B483" s="21" t="str">
        <f ca="1">IF(B482="","",IF(EOMONTH(B482,1)&gt;EOMONTH(ELEGIBILIDADE!$J$17,0),"",EOMONTH(B482,1)))</f>
        <v/>
      </c>
      <c r="C483" s="22" t="str">
        <f ca="1">IF(B483="","",IF(MONTH(B483)=1,C482*(1+PREMISSAS!$C$57),C482))</f>
        <v/>
      </c>
      <c r="D483" s="22">
        <f ca="1">IF(RESULTADOS!$C$17="Normal",IFERROR(MAX(C483-PREMISSAS!$C$13,0),0),IF(Painel!$I$23=0,0,MAX(10*PREMISSAS!$C$38,RESULTADOS!$F$17)))</f>
        <v>0</v>
      </c>
      <c r="E483" s="4">
        <f ca="1">D483*IF(RESULTADOS!$C$17="Normal",RESULTADOS!$C$16,0)</f>
        <v>0</v>
      </c>
      <c r="F483" s="4">
        <f ca="1">IFERROR(IF(RESULTADOS!$C$17="Normal",D483,C483)*RESULTADOS!$C$18,0)</f>
        <v>0</v>
      </c>
      <c r="G483" s="4">
        <f ca="1">IFERROR(IF(RESULTADOS!$C$17="Normal",0,D483)*IF(RESULTADOS!$C$17="Normal",RESULTADOS!$C$18,RESULTADOS!$C$16),0)</f>
        <v>0</v>
      </c>
      <c r="H483" s="4">
        <f ca="1">IF(RESULTADOS!$C$17="Normal",E483,0)</f>
        <v>0</v>
      </c>
      <c r="I483" s="4">
        <f ca="1">(E483+H483+G483)*PREMISSAS!$C$60</f>
        <v>0</v>
      </c>
      <c r="J483" s="4">
        <f ca="1">D483*IF(RESULTADOS!$C$17="Normal",PREMISSAS!$C$62,0)</f>
        <v>0</v>
      </c>
      <c r="K483" s="116">
        <f ca="1">IFERROR(K482*(1+PREMISSAS!$C$18)+(E483+H483-IF(RESULTADOS!$C$17="Normal",I483,0)-J483)*IF(MONTH(B483)=12,2,1),0)</f>
        <v>0</v>
      </c>
      <c r="L483" s="116">
        <f ca="1">IFERROR((L482+G483-IF(RESULTADOS!$C$17="Normal",0,I483))*(1+PREMISSAS!$C$18)+F483,0)</f>
        <v>0</v>
      </c>
      <c r="N483" s="73">
        <f t="shared" ref="N483:N497" ca="1" si="64">IFERROR((E483+F483+G483)/C483,0)</f>
        <v>0</v>
      </c>
      <c r="P483" s="164" t="str">
        <f t="shared" ca="1" si="58"/>
        <v/>
      </c>
      <c r="Q483" s="140" t="str">
        <f ca="1">IF(C483="","",Q482+(E483+H483-IF(RESULTADOS!$C$17="Normal",I483,0)-J483)/2+(F483+G483-IF(RESULTADOS!$C$17="Normal",0,I483)))</f>
        <v/>
      </c>
      <c r="R483" s="140" t="str">
        <f ca="1">IF(C483="","",R482+(E483+H483-IF(RESULTADOS!$C$17="Normal",I483,0)-J483)/2)</f>
        <v/>
      </c>
      <c r="S483" s="140">
        <f t="shared" ca="1" si="60"/>
        <v>0</v>
      </c>
      <c r="U483" s="164" t="str">
        <f t="shared" ca="1" si="61"/>
        <v/>
      </c>
      <c r="V483" s="164" t="str">
        <f t="shared" ca="1" si="59"/>
        <v/>
      </c>
      <c r="W483" s="140">
        <f ca="1">IF(OR((W482-13/12*Z482)*(1+PREMISSAS!$C$16)&lt;0,W482=""),0,(W482-13/12*Z482)*(1+PREMISSAS!$C$16))</f>
        <v>0</v>
      </c>
      <c r="X483" s="140">
        <f ca="1">IF(OR((X482-13/12*AA482)*(1+PREMISSAS!$C$16)&lt;0,X482=""),0,(X482-13/12*AA482)*(1+PREMISSAS!$C$16))</f>
        <v>0</v>
      </c>
      <c r="Y483" s="140">
        <f t="shared" ca="1" si="56"/>
        <v>0</v>
      </c>
      <c r="Z483" s="167">
        <f t="shared" ca="1" si="62"/>
        <v>0</v>
      </c>
      <c r="AA483" s="167">
        <f t="shared" ca="1" si="63"/>
        <v>0</v>
      </c>
    </row>
    <row r="484" spans="2:27" x14ac:dyDescent="0.25">
      <c r="B484" s="21" t="str">
        <f ca="1">IF(B483="","",IF(EOMONTH(B483,1)&gt;EOMONTH(ELEGIBILIDADE!$J$17,0),"",EOMONTH(B483,1)))</f>
        <v/>
      </c>
      <c r="C484" s="22" t="str">
        <f ca="1">IF(B484="","",IF(MONTH(B484)=1,C483*(1+PREMISSAS!$C$57),C483))</f>
        <v/>
      </c>
      <c r="D484" s="22">
        <f ca="1">IF(RESULTADOS!$C$17="Normal",IFERROR(MAX(C484-PREMISSAS!$C$13,0),0),IF(Painel!$I$23=0,0,MAX(10*PREMISSAS!$C$38,RESULTADOS!$F$17)))</f>
        <v>0</v>
      </c>
      <c r="E484" s="4">
        <f ca="1">D484*IF(RESULTADOS!$C$17="Normal",RESULTADOS!$C$16,0)</f>
        <v>0</v>
      </c>
      <c r="F484" s="4">
        <f ca="1">IFERROR(IF(RESULTADOS!$C$17="Normal",D484,C484)*RESULTADOS!$C$18,0)</f>
        <v>0</v>
      </c>
      <c r="G484" s="4">
        <f ca="1">IFERROR(IF(RESULTADOS!$C$17="Normal",0,D484)*IF(RESULTADOS!$C$17="Normal",RESULTADOS!$C$18,RESULTADOS!$C$16),0)</f>
        <v>0</v>
      </c>
      <c r="H484" s="4">
        <f ca="1">IF(RESULTADOS!$C$17="Normal",E484,0)</f>
        <v>0</v>
      </c>
      <c r="I484" s="4">
        <f ca="1">(E484+H484+G484)*PREMISSAS!$C$60</f>
        <v>0</v>
      </c>
      <c r="J484" s="4">
        <f ca="1">D484*IF(RESULTADOS!$C$17="Normal",PREMISSAS!$C$62,0)</f>
        <v>0</v>
      </c>
      <c r="K484" s="116">
        <f ca="1">IFERROR(K483*(1+PREMISSAS!$C$18)+(E484+H484-IF(RESULTADOS!$C$17="Normal",I484,0)-J484)*IF(MONTH(B484)=12,2,1),0)</f>
        <v>0</v>
      </c>
      <c r="L484" s="116">
        <f ca="1">IFERROR((L483+G484-IF(RESULTADOS!$C$17="Normal",0,I484))*(1+PREMISSAS!$C$18)+F484,0)</f>
        <v>0</v>
      </c>
      <c r="N484" s="73">
        <f t="shared" ca="1" si="64"/>
        <v>0</v>
      </c>
      <c r="P484" s="164" t="str">
        <f t="shared" ca="1" si="58"/>
        <v/>
      </c>
      <c r="Q484" s="140" t="str">
        <f ca="1">IF(C484="","",Q483+(E484+H484-IF(RESULTADOS!$C$17="Normal",I484,0)-J484)/2+(F484+G484-IF(RESULTADOS!$C$17="Normal",0,I484)))</f>
        <v/>
      </c>
      <c r="R484" s="140" t="str">
        <f ca="1">IF(C484="","",R483+(E484+H484-IF(RESULTADOS!$C$17="Normal",I484,0)-J484)/2)</f>
        <v/>
      </c>
      <c r="S484" s="140">
        <f t="shared" ca="1" si="60"/>
        <v>0</v>
      </c>
      <c r="U484" s="164" t="str">
        <f t="shared" ca="1" si="61"/>
        <v/>
      </c>
      <c r="V484" s="164" t="str">
        <f t="shared" ca="1" si="59"/>
        <v/>
      </c>
      <c r="W484" s="140">
        <f ca="1">IF(OR((W483-13/12*Z483)*(1+PREMISSAS!$C$16)&lt;0,W483=""),0,(W483-13/12*Z483)*(1+PREMISSAS!$C$16))</f>
        <v>0</v>
      </c>
      <c r="X484" s="140">
        <f ca="1">IF(OR((X483-13/12*AA483)*(1+PREMISSAS!$C$16)&lt;0,X483=""),0,(X483-13/12*AA483)*(1+PREMISSAS!$C$16))</f>
        <v>0</v>
      </c>
      <c r="Y484" s="140">
        <f t="shared" ca="1" si="56"/>
        <v>0</v>
      </c>
      <c r="Z484" s="167">
        <f t="shared" ca="1" si="62"/>
        <v>0</v>
      </c>
      <c r="AA484" s="167">
        <f t="shared" ca="1" si="63"/>
        <v>0</v>
      </c>
    </row>
    <row r="485" spans="2:27" x14ac:dyDescent="0.25">
      <c r="B485" s="21" t="str">
        <f ca="1">IF(B484="","",IF(EOMONTH(B484,1)&gt;EOMONTH(ELEGIBILIDADE!$J$17,0),"",EOMONTH(B484,1)))</f>
        <v/>
      </c>
      <c r="C485" s="22" t="str">
        <f ca="1">IF(B485="","",IF(MONTH(B485)=1,C484*(1+PREMISSAS!$C$57),C484))</f>
        <v/>
      </c>
      <c r="D485" s="22">
        <f ca="1">IF(RESULTADOS!$C$17="Normal",IFERROR(MAX(C485-PREMISSAS!$C$13,0),0),IF(Painel!$I$23=0,0,MAX(10*PREMISSAS!$C$38,RESULTADOS!$F$17)))</f>
        <v>0</v>
      </c>
      <c r="E485" s="4">
        <f ca="1">D485*IF(RESULTADOS!$C$17="Normal",RESULTADOS!$C$16,0)</f>
        <v>0</v>
      </c>
      <c r="F485" s="4">
        <f ca="1">IFERROR(IF(RESULTADOS!$C$17="Normal",D485,C485)*RESULTADOS!$C$18,0)</f>
        <v>0</v>
      </c>
      <c r="G485" s="4">
        <f ca="1">IFERROR(IF(RESULTADOS!$C$17="Normal",0,D485)*IF(RESULTADOS!$C$17="Normal",RESULTADOS!$C$18,RESULTADOS!$C$16),0)</f>
        <v>0</v>
      </c>
      <c r="H485" s="4">
        <f ca="1">IF(RESULTADOS!$C$17="Normal",E485,0)</f>
        <v>0</v>
      </c>
      <c r="I485" s="4">
        <f ca="1">(E485+H485+G485)*PREMISSAS!$C$60</f>
        <v>0</v>
      </c>
      <c r="J485" s="4">
        <f ca="1">D485*IF(RESULTADOS!$C$17="Normal",PREMISSAS!$C$62,0)</f>
        <v>0</v>
      </c>
      <c r="K485" s="116">
        <f ca="1">IFERROR(K484*(1+PREMISSAS!$C$18)+(E485+H485-IF(RESULTADOS!$C$17="Normal",I485,0)-J485)*IF(MONTH(B485)=12,2,1),0)</f>
        <v>0</v>
      </c>
      <c r="L485" s="116">
        <f ca="1">IFERROR((L484+G485-IF(RESULTADOS!$C$17="Normal",0,I485))*(1+PREMISSAS!$C$18)+F485,0)</f>
        <v>0</v>
      </c>
      <c r="N485" s="73">
        <f t="shared" ca="1" si="64"/>
        <v>0</v>
      </c>
      <c r="P485" s="164" t="str">
        <f t="shared" ca="1" si="58"/>
        <v/>
      </c>
      <c r="Q485" s="140" t="str">
        <f ca="1">IF(C485="","",Q484+(E485+H485-IF(RESULTADOS!$C$17="Normal",I485,0)-J485)/2+(F485+G485-IF(RESULTADOS!$C$17="Normal",0,I485)))</f>
        <v/>
      </c>
      <c r="R485" s="140" t="str">
        <f ca="1">IF(C485="","",R484+(E485+H485-IF(RESULTADOS!$C$17="Normal",I485,0)-J485)/2)</f>
        <v/>
      </c>
      <c r="S485" s="140">
        <f t="shared" ca="1" si="60"/>
        <v>0</v>
      </c>
      <c r="U485" s="164" t="str">
        <f t="shared" ca="1" si="61"/>
        <v/>
      </c>
      <c r="V485" s="164" t="str">
        <f t="shared" ca="1" si="59"/>
        <v/>
      </c>
      <c r="W485" s="140">
        <f ca="1">IF(OR((W484-13/12*Z484)*(1+PREMISSAS!$C$16)&lt;0,W484=""),0,(W484-13/12*Z484)*(1+PREMISSAS!$C$16))</f>
        <v>0</v>
      </c>
      <c r="X485" s="140">
        <f ca="1">IF(OR((X484-13/12*AA484)*(1+PREMISSAS!$C$16)&lt;0,X484=""),0,(X484-13/12*AA484)*(1+PREMISSAS!$C$16))</f>
        <v>0</v>
      </c>
      <c r="Y485" s="140">
        <f t="shared" ca="1" si="56"/>
        <v>0</v>
      </c>
      <c r="Z485" s="167">
        <f t="shared" ca="1" si="62"/>
        <v>0</v>
      </c>
      <c r="AA485" s="167">
        <f t="shared" ca="1" si="63"/>
        <v>0</v>
      </c>
    </row>
    <row r="486" spans="2:27" x14ac:dyDescent="0.25">
      <c r="B486" s="21" t="str">
        <f ca="1">IF(B485="","",IF(EOMONTH(B485,1)&gt;EOMONTH(ELEGIBILIDADE!$J$17,0),"",EOMONTH(B485,1)))</f>
        <v/>
      </c>
      <c r="C486" s="22" t="str">
        <f ca="1">IF(B486="","",IF(MONTH(B486)=1,C485*(1+PREMISSAS!$C$57),C485))</f>
        <v/>
      </c>
      <c r="D486" s="22">
        <f ca="1">IF(RESULTADOS!$C$17="Normal",IFERROR(MAX(C486-PREMISSAS!$C$13,0),0),IF(Painel!$I$23=0,0,MAX(10*PREMISSAS!$C$38,RESULTADOS!$F$17)))</f>
        <v>0</v>
      </c>
      <c r="E486" s="4">
        <f ca="1">D486*IF(RESULTADOS!$C$17="Normal",RESULTADOS!$C$16,0)</f>
        <v>0</v>
      </c>
      <c r="F486" s="4">
        <f ca="1">IFERROR(IF(RESULTADOS!$C$17="Normal",D486,C486)*RESULTADOS!$C$18,0)</f>
        <v>0</v>
      </c>
      <c r="G486" s="4">
        <f ca="1">IFERROR(IF(RESULTADOS!$C$17="Normal",0,D486)*IF(RESULTADOS!$C$17="Normal",RESULTADOS!$C$18,RESULTADOS!$C$16),0)</f>
        <v>0</v>
      </c>
      <c r="H486" s="4">
        <f ca="1">IF(RESULTADOS!$C$17="Normal",E486,0)</f>
        <v>0</v>
      </c>
      <c r="I486" s="4">
        <f ca="1">(E486+H486+G486)*PREMISSAS!$C$60</f>
        <v>0</v>
      </c>
      <c r="J486" s="4">
        <f ca="1">D486*IF(RESULTADOS!$C$17="Normal",PREMISSAS!$C$62,0)</f>
        <v>0</v>
      </c>
      <c r="K486" s="116">
        <f ca="1">IFERROR(K485*(1+PREMISSAS!$C$18)+(E486+H486-IF(RESULTADOS!$C$17="Normal",I486,0)-J486)*IF(MONTH(B486)=12,2,1),0)</f>
        <v>0</v>
      </c>
      <c r="L486" s="116">
        <f ca="1">IFERROR((L485+G486-IF(RESULTADOS!$C$17="Normal",0,I486))*(1+PREMISSAS!$C$18)+F486,0)</f>
        <v>0</v>
      </c>
      <c r="N486" s="73">
        <f t="shared" ca="1" si="64"/>
        <v>0</v>
      </c>
      <c r="P486" s="164" t="str">
        <f t="shared" ca="1" si="58"/>
        <v/>
      </c>
      <c r="Q486" s="140" t="str">
        <f ca="1">IF(C486="","",Q485+(E486+H486-IF(RESULTADOS!$C$17="Normal",I486,0)-J486)/2+(F486+G486-IF(RESULTADOS!$C$17="Normal",0,I486)))</f>
        <v/>
      </c>
      <c r="R486" s="140" t="str">
        <f ca="1">IF(C486="","",R485+(E486+H486-IF(RESULTADOS!$C$17="Normal",I486,0)-J486)/2)</f>
        <v/>
      </c>
      <c r="S486" s="140">
        <f t="shared" ca="1" si="60"/>
        <v>0</v>
      </c>
      <c r="U486" s="164" t="str">
        <f t="shared" ca="1" si="61"/>
        <v/>
      </c>
      <c r="V486" s="164" t="str">
        <f t="shared" ca="1" si="59"/>
        <v/>
      </c>
      <c r="W486" s="140">
        <f ca="1">IF(OR((W485-13/12*Z485)*(1+PREMISSAS!$C$16)&lt;0,W485=""),0,(W485-13/12*Z485)*(1+PREMISSAS!$C$16))</f>
        <v>0</v>
      </c>
      <c r="X486" s="140">
        <f ca="1">IF(OR((X485-13/12*AA485)*(1+PREMISSAS!$C$16)&lt;0,X485=""),0,(X485-13/12*AA485)*(1+PREMISSAS!$C$16))</f>
        <v>0</v>
      </c>
      <c r="Y486" s="140">
        <f t="shared" ca="1" si="56"/>
        <v>0</v>
      </c>
      <c r="Z486" s="167">
        <f t="shared" ca="1" si="62"/>
        <v>0</v>
      </c>
      <c r="AA486" s="167">
        <f t="shared" ca="1" si="63"/>
        <v>0</v>
      </c>
    </row>
    <row r="487" spans="2:27" x14ac:dyDescent="0.25">
      <c r="B487" s="21" t="str">
        <f ca="1">IF(B486="","",IF(EOMONTH(B486,1)&gt;EOMONTH(ELEGIBILIDADE!$J$17,0),"",EOMONTH(B486,1)))</f>
        <v/>
      </c>
      <c r="C487" s="22" t="str">
        <f ca="1">IF(B487="","",IF(MONTH(B487)=1,C486*(1+PREMISSAS!$C$57),C486))</f>
        <v/>
      </c>
      <c r="D487" s="22">
        <f ca="1">IF(RESULTADOS!$C$17="Normal",IFERROR(MAX(C487-PREMISSAS!$C$13,0),0),IF(Painel!$I$23=0,0,MAX(10*PREMISSAS!$C$38,RESULTADOS!$F$17)))</f>
        <v>0</v>
      </c>
      <c r="E487" s="4">
        <f ca="1">D487*IF(RESULTADOS!$C$17="Normal",RESULTADOS!$C$16,0)</f>
        <v>0</v>
      </c>
      <c r="F487" s="4">
        <f ca="1">IFERROR(IF(RESULTADOS!$C$17="Normal",D487,C487)*RESULTADOS!$C$18,0)</f>
        <v>0</v>
      </c>
      <c r="G487" s="4">
        <f ca="1">IFERROR(IF(RESULTADOS!$C$17="Normal",0,D487)*IF(RESULTADOS!$C$17="Normal",RESULTADOS!$C$18,RESULTADOS!$C$16),0)</f>
        <v>0</v>
      </c>
      <c r="H487" s="4">
        <f ca="1">IF(RESULTADOS!$C$17="Normal",E487,0)</f>
        <v>0</v>
      </c>
      <c r="I487" s="4">
        <f ca="1">(E487+H487+G487)*PREMISSAS!$C$60</f>
        <v>0</v>
      </c>
      <c r="J487" s="4">
        <f ca="1">D487*IF(RESULTADOS!$C$17="Normal",PREMISSAS!$C$62,0)</f>
        <v>0</v>
      </c>
      <c r="K487" s="116">
        <f ca="1">IFERROR(K486*(1+PREMISSAS!$C$18)+(E487+H487-IF(RESULTADOS!$C$17="Normal",I487,0)-J487)*IF(MONTH(B487)=12,2,1),0)</f>
        <v>0</v>
      </c>
      <c r="L487" s="116">
        <f ca="1">IFERROR((L486+G487-IF(RESULTADOS!$C$17="Normal",0,I487))*(1+PREMISSAS!$C$18)+F487,0)</f>
        <v>0</v>
      </c>
      <c r="N487" s="73">
        <f t="shared" ca="1" si="64"/>
        <v>0</v>
      </c>
      <c r="P487" s="164" t="str">
        <f t="shared" ca="1" si="58"/>
        <v/>
      </c>
      <c r="Q487" s="140" t="str">
        <f ca="1">IF(C487="","",Q486+(E487+H487-IF(RESULTADOS!$C$17="Normal",I487,0)-J487)/2+(F487+G487-IF(RESULTADOS!$C$17="Normal",0,I487)))</f>
        <v/>
      </c>
      <c r="R487" s="140" t="str">
        <f ca="1">IF(C487="","",R486+(E487+H487-IF(RESULTADOS!$C$17="Normal",I487,0)-J487)/2)</f>
        <v/>
      </c>
      <c r="S487" s="140">
        <f t="shared" ca="1" si="60"/>
        <v>0</v>
      </c>
      <c r="U487" s="164" t="str">
        <f t="shared" ca="1" si="61"/>
        <v/>
      </c>
      <c r="V487" s="164" t="str">
        <f t="shared" ca="1" si="59"/>
        <v/>
      </c>
      <c r="W487" s="140">
        <f ca="1">IF(OR((W486-13/12*Z486)*(1+PREMISSAS!$C$16)&lt;0,W486=""),0,(W486-13/12*Z486)*(1+PREMISSAS!$C$16))</f>
        <v>0</v>
      </c>
      <c r="X487" s="140">
        <f ca="1">IF(OR((X486-13/12*AA486)*(1+PREMISSAS!$C$16)&lt;0,X486=""),0,(X486-13/12*AA486)*(1+PREMISSAS!$C$16))</f>
        <v>0</v>
      </c>
      <c r="Y487" s="140">
        <f t="shared" ca="1" si="56"/>
        <v>0</v>
      </c>
      <c r="Z487" s="167">
        <f t="shared" ca="1" si="62"/>
        <v>0</v>
      </c>
      <c r="AA487" s="167">
        <f t="shared" ca="1" si="63"/>
        <v>0</v>
      </c>
    </row>
    <row r="488" spans="2:27" x14ac:dyDescent="0.25">
      <c r="B488" s="21" t="str">
        <f ca="1">IF(B487="","",IF(EOMONTH(B487,1)&gt;EOMONTH(ELEGIBILIDADE!$J$17,0),"",EOMONTH(B487,1)))</f>
        <v/>
      </c>
      <c r="C488" s="22" t="str">
        <f ca="1">IF(B488="","",IF(MONTH(B488)=1,C487*(1+PREMISSAS!$C$57),C487))</f>
        <v/>
      </c>
      <c r="D488" s="22">
        <f ca="1">IF(RESULTADOS!$C$17="Normal",IFERROR(MAX(C488-PREMISSAS!$C$13,0),0),IF(Painel!$I$23=0,0,MAX(10*PREMISSAS!$C$38,RESULTADOS!$F$17)))</f>
        <v>0</v>
      </c>
      <c r="E488" s="4">
        <f ca="1">D488*IF(RESULTADOS!$C$17="Normal",RESULTADOS!$C$16,0)</f>
        <v>0</v>
      </c>
      <c r="F488" s="4">
        <f ca="1">IFERROR(IF(RESULTADOS!$C$17="Normal",D488,C488)*RESULTADOS!$C$18,0)</f>
        <v>0</v>
      </c>
      <c r="G488" s="4">
        <f ca="1">IFERROR(IF(RESULTADOS!$C$17="Normal",0,D488)*IF(RESULTADOS!$C$17="Normal",RESULTADOS!$C$18,RESULTADOS!$C$16),0)</f>
        <v>0</v>
      </c>
      <c r="H488" s="4">
        <f ca="1">IF(RESULTADOS!$C$17="Normal",E488,0)</f>
        <v>0</v>
      </c>
      <c r="I488" s="4">
        <f ca="1">(E488+H488+G488)*PREMISSAS!$C$60</f>
        <v>0</v>
      </c>
      <c r="J488" s="4">
        <f ca="1">D488*IF(RESULTADOS!$C$17="Normal",PREMISSAS!$C$62,0)</f>
        <v>0</v>
      </c>
      <c r="K488" s="116">
        <f ca="1">IFERROR(K487*(1+PREMISSAS!$C$18)+(E488+H488-IF(RESULTADOS!$C$17="Normal",I488,0)-J488)*IF(MONTH(B488)=12,2,1),0)</f>
        <v>0</v>
      </c>
      <c r="L488" s="116">
        <f ca="1">IFERROR((L487+G488-IF(RESULTADOS!$C$17="Normal",0,I488))*(1+PREMISSAS!$C$18)+F488,0)</f>
        <v>0</v>
      </c>
      <c r="N488" s="73">
        <f t="shared" ca="1" si="64"/>
        <v>0</v>
      </c>
      <c r="P488" s="164" t="str">
        <f t="shared" ca="1" si="58"/>
        <v/>
      </c>
      <c r="Q488" s="140" t="str">
        <f ca="1">IF(C488="","",Q487+(E488+H488-IF(RESULTADOS!$C$17="Normal",I488,0)-J488)/2+(F488+G488-IF(RESULTADOS!$C$17="Normal",0,I488)))</f>
        <v/>
      </c>
      <c r="R488" s="140" t="str">
        <f ca="1">IF(C488="","",R487+(E488+H488-IF(RESULTADOS!$C$17="Normal",I488,0)-J488)/2)</f>
        <v/>
      </c>
      <c r="S488" s="140">
        <f t="shared" ca="1" si="60"/>
        <v>0</v>
      </c>
      <c r="U488" s="164" t="str">
        <f t="shared" ca="1" si="61"/>
        <v/>
      </c>
      <c r="V488" s="164" t="str">
        <f t="shared" ca="1" si="59"/>
        <v/>
      </c>
      <c r="W488" s="140">
        <f ca="1">IF(OR((W487-13/12*Z487)*(1+PREMISSAS!$C$16)&lt;0,W487=""),0,(W487-13/12*Z487)*(1+PREMISSAS!$C$16))</f>
        <v>0</v>
      </c>
      <c r="X488" s="140">
        <f ca="1">IF(OR((X487-13/12*AA487)*(1+PREMISSAS!$C$16)&lt;0,X487=""),0,(X487-13/12*AA487)*(1+PREMISSAS!$C$16))</f>
        <v>0</v>
      </c>
      <c r="Y488" s="140">
        <f t="shared" ca="1" si="56"/>
        <v>0</v>
      </c>
      <c r="Z488" s="167">
        <f t="shared" ca="1" si="62"/>
        <v>0</v>
      </c>
      <c r="AA488" s="167">
        <f t="shared" ca="1" si="63"/>
        <v>0</v>
      </c>
    </row>
    <row r="489" spans="2:27" x14ac:dyDescent="0.25">
      <c r="B489" s="21" t="str">
        <f ca="1">IF(B488="","",IF(EOMONTH(B488,1)&gt;EOMONTH(ELEGIBILIDADE!$J$17,0),"",EOMONTH(B488,1)))</f>
        <v/>
      </c>
      <c r="C489" s="22" t="str">
        <f ca="1">IF(B489="","",IF(MONTH(B489)=1,C488*(1+PREMISSAS!$C$57),C488))</f>
        <v/>
      </c>
      <c r="D489" s="22">
        <f ca="1">IF(RESULTADOS!$C$17="Normal",IFERROR(MAX(C489-PREMISSAS!$C$13,0),0),IF(Painel!$I$23=0,0,MAX(10*PREMISSAS!$C$38,RESULTADOS!$F$17)))</f>
        <v>0</v>
      </c>
      <c r="E489" s="4">
        <f ca="1">D489*IF(RESULTADOS!$C$17="Normal",RESULTADOS!$C$16,0)</f>
        <v>0</v>
      </c>
      <c r="F489" s="4">
        <f ca="1">IFERROR(IF(RESULTADOS!$C$17="Normal",D489,C489)*RESULTADOS!$C$18,0)</f>
        <v>0</v>
      </c>
      <c r="G489" s="4">
        <f ca="1">IFERROR(IF(RESULTADOS!$C$17="Normal",0,D489)*IF(RESULTADOS!$C$17="Normal",RESULTADOS!$C$18,RESULTADOS!$C$16),0)</f>
        <v>0</v>
      </c>
      <c r="H489" s="4">
        <f ca="1">IF(RESULTADOS!$C$17="Normal",E489,0)</f>
        <v>0</v>
      </c>
      <c r="I489" s="4">
        <f ca="1">(E489+H489+G489)*PREMISSAS!$C$60</f>
        <v>0</v>
      </c>
      <c r="J489" s="4">
        <f ca="1">D489*IF(RESULTADOS!$C$17="Normal",PREMISSAS!$C$62,0)</f>
        <v>0</v>
      </c>
      <c r="K489" s="116">
        <f ca="1">IFERROR(K488*(1+PREMISSAS!$C$18)+(E489+H489-IF(RESULTADOS!$C$17="Normal",I489,0)-J489)*IF(MONTH(B489)=12,2,1),0)</f>
        <v>0</v>
      </c>
      <c r="L489" s="116">
        <f ca="1">IFERROR((L488+G489-IF(RESULTADOS!$C$17="Normal",0,I489))*(1+PREMISSAS!$C$18)+F489,0)</f>
        <v>0</v>
      </c>
      <c r="N489" s="73">
        <f t="shared" ca="1" si="64"/>
        <v>0</v>
      </c>
      <c r="P489" s="164" t="str">
        <f t="shared" ca="1" si="58"/>
        <v/>
      </c>
      <c r="Q489" s="140" t="str">
        <f ca="1">IF(C489="","",Q488+(E489+H489-IF(RESULTADOS!$C$17="Normal",I489,0)-J489)/2+(F489+G489-IF(RESULTADOS!$C$17="Normal",0,I489)))</f>
        <v/>
      </c>
      <c r="R489" s="140" t="str">
        <f ca="1">IF(C489="","",R488+(E489+H489-IF(RESULTADOS!$C$17="Normal",I489,0)-J489)/2)</f>
        <v/>
      </c>
      <c r="S489" s="140">
        <f t="shared" ca="1" si="60"/>
        <v>0</v>
      </c>
      <c r="U489" s="164" t="str">
        <f t="shared" ca="1" si="61"/>
        <v/>
      </c>
      <c r="V489" s="164" t="str">
        <f t="shared" ca="1" si="59"/>
        <v/>
      </c>
      <c r="W489" s="140">
        <f ca="1">IF(OR((W488-13/12*Z488)*(1+PREMISSAS!$C$16)&lt;0,W488=""),0,(W488-13/12*Z488)*(1+PREMISSAS!$C$16))</f>
        <v>0</v>
      </c>
      <c r="X489" s="140">
        <f ca="1">IF(OR((X488-13/12*AA488)*(1+PREMISSAS!$C$16)&lt;0,X488=""),0,(X488-13/12*AA488)*(1+PREMISSAS!$C$16))</f>
        <v>0</v>
      </c>
      <c r="Y489" s="140">
        <f t="shared" ca="1" si="56"/>
        <v>0</v>
      </c>
      <c r="Z489" s="167">
        <f t="shared" ca="1" si="62"/>
        <v>0</v>
      </c>
      <c r="AA489" s="167">
        <f t="shared" ca="1" si="63"/>
        <v>0</v>
      </c>
    </row>
    <row r="490" spans="2:27" x14ac:dyDescent="0.25">
      <c r="B490" s="21" t="str">
        <f ca="1">IF(B489="","",IF(EOMONTH(B489,1)&gt;EOMONTH(ELEGIBILIDADE!$J$17,0),"",EOMONTH(B489,1)))</f>
        <v/>
      </c>
      <c r="C490" s="22" t="str">
        <f ca="1">IF(B490="","",IF(MONTH(B490)=1,C489*(1+PREMISSAS!$C$57),C489))</f>
        <v/>
      </c>
      <c r="D490" s="22">
        <f ca="1">IF(RESULTADOS!$C$17="Normal",IFERROR(MAX(C490-PREMISSAS!$C$13,0),0),IF(Painel!$I$23=0,0,MAX(10*PREMISSAS!$C$38,RESULTADOS!$F$17)))</f>
        <v>0</v>
      </c>
      <c r="E490" s="4">
        <f ca="1">D490*IF(RESULTADOS!$C$17="Normal",RESULTADOS!$C$16,0)</f>
        <v>0</v>
      </c>
      <c r="F490" s="4">
        <f ca="1">IFERROR(IF(RESULTADOS!$C$17="Normal",D490,C490)*RESULTADOS!$C$18,0)</f>
        <v>0</v>
      </c>
      <c r="G490" s="4">
        <f ca="1">IFERROR(IF(RESULTADOS!$C$17="Normal",0,D490)*IF(RESULTADOS!$C$17="Normal",RESULTADOS!$C$18,RESULTADOS!$C$16),0)</f>
        <v>0</v>
      </c>
      <c r="H490" s="4">
        <f ca="1">IF(RESULTADOS!$C$17="Normal",E490,0)</f>
        <v>0</v>
      </c>
      <c r="I490" s="4">
        <f ca="1">(E490+H490+G490)*PREMISSAS!$C$60</f>
        <v>0</v>
      </c>
      <c r="J490" s="4">
        <f ca="1">D490*IF(RESULTADOS!$C$17="Normal",PREMISSAS!$C$62,0)</f>
        <v>0</v>
      </c>
      <c r="K490" s="116">
        <f ca="1">IFERROR(K489*(1+PREMISSAS!$C$18)+(E490+H490-IF(RESULTADOS!$C$17="Normal",I490,0)-J490)*IF(MONTH(B490)=12,2,1),0)</f>
        <v>0</v>
      </c>
      <c r="L490" s="116">
        <f ca="1">IFERROR((L489+G490-IF(RESULTADOS!$C$17="Normal",0,I490))*(1+PREMISSAS!$C$18)+F490,0)</f>
        <v>0</v>
      </c>
      <c r="N490" s="73">
        <f t="shared" ca="1" si="64"/>
        <v>0</v>
      </c>
      <c r="P490" s="164" t="str">
        <f t="shared" ca="1" si="58"/>
        <v/>
      </c>
      <c r="Q490" s="140" t="str">
        <f ca="1">IF(C490="","",Q489+(E490+H490-IF(RESULTADOS!$C$17="Normal",I490,0)-J490)/2+(F490+G490-IF(RESULTADOS!$C$17="Normal",0,I490)))</f>
        <v/>
      </c>
      <c r="R490" s="140" t="str">
        <f ca="1">IF(C490="","",R489+(E490+H490-IF(RESULTADOS!$C$17="Normal",I490,0)-J490)/2)</f>
        <v/>
      </c>
      <c r="S490" s="140">
        <f t="shared" ca="1" si="60"/>
        <v>0</v>
      </c>
      <c r="U490" s="164" t="str">
        <f t="shared" ca="1" si="61"/>
        <v/>
      </c>
      <c r="V490" s="164" t="str">
        <f t="shared" ca="1" si="59"/>
        <v/>
      </c>
      <c r="W490" s="140">
        <f ca="1">IF(OR((W489-13/12*Z489)*(1+PREMISSAS!$C$16)&lt;0,W489=""),0,(W489-13/12*Z489)*(1+PREMISSAS!$C$16))</f>
        <v>0</v>
      </c>
      <c r="X490" s="140">
        <f ca="1">IF(OR((X489-13/12*AA489)*(1+PREMISSAS!$C$16)&lt;0,X489=""),0,(X489-13/12*AA489)*(1+PREMISSAS!$C$16))</f>
        <v>0</v>
      </c>
      <c r="Y490" s="140">
        <f t="shared" ca="1" si="56"/>
        <v>0</v>
      </c>
      <c r="Z490" s="167">
        <f t="shared" ca="1" si="62"/>
        <v>0</v>
      </c>
      <c r="AA490" s="167">
        <f t="shared" ca="1" si="63"/>
        <v>0</v>
      </c>
    </row>
    <row r="491" spans="2:27" x14ac:dyDescent="0.25">
      <c r="B491" s="21" t="str">
        <f ca="1">IF(B490="","",IF(EOMONTH(B490,1)&gt;EOMONTH(ELEGIBILIDADE!$J$17,0),"",EOMONTH(B490,1)))</f>
        <v/>
      </c>
      <c r="C491" s="22" t="str">
        <f ca="1">IF(B491="","",IF(MONTH(B491)=1,C490*(1+PREMISSAS!$C$57),C490))</f>
        <v/>
      </c>
      <c r="D491" s="22">
        <f ca="1">IF(RESULTADOS!$C$17="Normal",IFERROR(MAX(C491-PREMISSAS!$C$13,0),0),IF(Painel!$I$23=0,0,MAX(10*PREMISSAS!$C$38,RESULTADOS!$F$17)))</f>
        <v>0</v>
      </c>
      <c r="E491" s="4">
        <f ca="1">D491*IF(RESULTADOS!$C$17="Normal",RESULTADOS!$C$16,0)</f>
        <v>0</v>
      </c>
      <c r="F491" s="4">
        <f ca="1">IFERROR(IF(RESULTADOS!$C$17="Normal",D491,C491)*RESULTADOS!$C$18,0)</f>
        <v>0</v>
      </c>
      <c r="G491" s="4">
        <f ca="1">IFERROR(IF(RESULTADOS!$C$17="Normal",0,D491)*IF(RESULTADOS!$C$17="Normal",RESULTADOS!$C$18,RESULTADOS!$C$16),0)</f>
        <v>0</v>
      </c>
      <c r="H491" s="4">
        <f ca="1">IF(RESULTADOS!$C$17="Normal",E491,0)</f>
        <v>0</v>
      </c>
      <c r="I491" s="4">
        <f ca="1">(E491+H491+G491)*PREMISSAS!$C$60</f>
        <v>0</v>
      </c>
      <c r="J491" s="4">
        <f ca="1">D491*IF(RESULTADOS!$C$17="Normal",PREMISSAS!$C$62,0)</f>
        <v>0</v>
      </c>
      <c r="K491" s="116">
        <f ca="1">IFERROR(K490*(1+PREMISSAS!$C$18)+(E491+H491-IF(RESULTADOS!$C$17="Normal",I491,0)-J491)*IF(MONTH(B491)=12,2,1),0)</f>
        <v>0</v>
      </c>
      <c r="L491" s="116">
        <f ca="1">IFERROR((L490+G491-IF(RESULTADOS!$C$17="Normal",0,I491))*(1+PREMISSAS!$C$18)+F491,0)</f>
        <v>0</v>
      </c>
      <c r="N491" s="73">
        <f t="shared" ca="1" si="64"/>
        <v>0</v>
      </c>
      <c r="P491" s="164" t="str">
        <f t="shared" ca="1" si="58"/>
        <v/>
      </c>
      <c r="Q491" s="140" t="str">
        <f ca="1">IF(C491="","",Q490+(E491+H491-IF(RESULTADOS!$C$17="Normal",I491,0)-J491)/2+(F491+G491-IF(RESULTADOS!$C$17="Normal",0,I491)))</f>
        <v/>
      </c>
      <c r="R491" s="140" t="str">
        <f ca="1">IF(C491="","",R490+(E491+H491-IF(RESULTADOS!$C$17="Normal",I491,0)-J491)/2)</f>
        <v/>
      </c>
      <c r="S491" s="140">
        <f t="shared" ca="1" si="60"/>
        <v>0</v>
      </c>
      <c r="U491" s="164" t="str">
        <f t="shared" ca="1" si="61"/>
        <v/>
      </c>
      <c r="V491" s="164" t="str">
        <f t="shared" ca="1" si="59"/>
        <v/>
      </c>
      <c r="W491" s="140">
        <f ca="1">IF(OR((W490-13/12*Z490)*(1+PREMISSAS!$C$16)&lt;0,W490=""),0,(W490-13/12*Z490)*(1+PREMISSAS!$C$16))</f>
        <v>0</v>
      </c>
      <c r="X491" s="140">
        <f ca="1">IF(OR((X490-13/12*AA490)*(1+PREMISSAS!$C$16)&lt;0,X490=""),0,(X490-13/12*AA490)*(1+PREMISSAS!$C$16))</f>
        <v>0</v>
      </c>
      <c r="Y491" s="140">
        <f t="shared" ca="1" si="56"/>
        <v>0</v>
      </c>
      <c r="Z491" s="167">
        <f t="shared" ca="1" si="62"/>
        <v>0</v>
      </c>
      <c r="AA491" s="167">
        <f t="shared" ca="1" si="63"/>
        <v>0</v>
      </c>
    </row>
    <row r="492" spans="2:27" x14ac:dyDescent="0.25">
      <c r="B492" s="21" t="str">
        <f ca="1">IF(B491="","",IF(EOMONTH(B491,1)&gt;EOMONTH(ELEGIBILIDADE!$J$17,0),"",EOMONTH(B491,1)))</f>
        <v/>
      </c>
      <c r="C492" s="22" t="str">
        <f ca="1">IF(B492="","",IF(MONTH(B492)=1,C491*(1+PREMISSAS!$C$57),C491))</f>
        <v/>
      </c>
      <c r="D492" s="22">
        <f ca="1">IF(RESULTADOS!$C$17="Normal",IFERROR(MAX(C492-PREMISSAS!$C$13,0),0),IF(Painel!$I$23=0,0,MAX(10*PREMISSAS!$C$38,RESULTADOS!$F$17)))</f>
        <v>0</v>
      </c>
      <c r="E492" s="4">
        <f ca="1">D492*IF(RESULTADOS!$C$17="Normal",RESULTADOS!$C$16,0)</f>
        <v>0</v>
      </c>
      <c r="F492" s="4">
        <f ca="1">IFERROR(IF(RESULTADOS!$C$17="Normal",D492,C492)*RESULTADOS!$C$18,0)</f>
        <v>0</v>
      </c>
      <c r="G492" s="4">
        <f ca="1">IFERROR(IF(RESULTADOS!$C$17="Normal",0,D492)*IF(RESULTADOS!$C$17="Normal",RESULTADOS!$C$18,RESULTADOS!$C$16),0)</f>
        <v>0</v>
      </c>
      <c r="H492" s="4">
        <f ca="1">IF(RESULTADOS!$C$17="Normal",E492,0)</f>
        <v>0</v>
      </c>
      <c r="I492" s="4">
        <f ca="1">(E492+H492+G492)*PREMISSAS!$C$60</f>
        <v>0</v>
      </c>
      <c r="J492" s="4">
        <f ca="1">D492*IF(RESULTADOS!$C$17="Normal",PREMISSAS!$C$62,0)</f>
        <v>0</v>
      </c>
      <c r="K492" s="116">
        <f ca="1">IFERROR(K491*(1+PREMISSAS!$C$18)+(E492+H492-IF(RESULTADOS!$C$17="Normal",I492,0)-J492)*IF(MONTH(B492)=12,2,1),0)</f>
        <v>0</v>
      </c>
      <c r="L492" s="116">
        <f ca="1">IFERROR((L491+G492-IF(RESULTADOS!$C$17="Normal",0,I492))*(1+PREMISSAS!$C$18)+F492,0)</f>
        <v>0</v>
      </c>
      <c r="N492" s="73">
        <f t="shared" ca="1" si="64"/>
        <v>0</v>
      </c>
      <c r="P492" s="164" t="str">
        <f t="shared" ca="1" si="58"/>
        <v/>
      </c>
      <c r="Q492" s="140" t="str">
        <f ca="1">IF(C492="","",Q491+(E492+H492-IF(RESULTADOS!$C$17="Normal",I492,0)-J492)/2+(F492+G492-IF(RESULTADOS!$C$17="Normal",0,I492)))</f>
        <v/>
      </c>
      <c r="R492" s="140" t="str">
        <f ca="1">IF(C492="","",R491+(E492+H492-IF(RESULTADOS!$C$17="Normal",I492,0)-J492)/2)</f>
        <v/>
      </c>
      <c r="S492" s="140">
        <f t="shared" ca="1" si="60"/>
        <v>0</v>
      </c>
      <c r="U492" s="164" t="str">
        <f t="shared" ca="1" si="61"/>
        <v/>
      </c>
      <c r="V492" s="164" t="str">
        <f t="shared" ca="1" si="59"/>
        <v/>
      </c>
      <c r="W492" s="140">
        <f ca="1">IF(OR((W491-13/12*Z491)*(1+PREMISSAS!$C$16)&lt;0,W491=""),0,(W491-13/12*Z491)*(1+PREMISSAS!$C$16))</f>
        <v>0</v>
      </c>
      <c r="X492" s="140">
        <f ca="1">IF(OR((X491-13/12*AA491)*(1+PREMISSAS!$C$16)&lt;0,X491=""),0,(X491-13/12*AA491)*(1+PREMISSAS!$C$16))</f>
        <v>0</v>
      </c>
      <c r="Y492" s="140">
        <f t="shared" ca="1" si="56"/>
        <v>0</v>
      </c>
      <c r="Z492" s="167">
        <f t="shared" ca="1" si="62"/>
        <v>0</v>
      </c>
      <c r="AA492" s="167">
        <f t="shared" ca="1" si="63"/>
        <v>0</v>
      </c>
    </row>
    <row r="493" spans="2:27" x14ac:dyDescent="0.25">
      <c r="B493" s="21" t="str">
        <f ca="1">IF(B492="","",IF(EOMONTH(B492,1)&gt;EOMONTH(ELEGIBILIDADE!$J$17,0),"",EOMONTH(B492,1)))</f>
        <v/>
      </c>
      <c r="C493" s="22" t="str">
        <f ca="1">IF(B493="","",IF(MONTH(B493)=1,C492*(1+PREMISSAS!$C$57),C492))</f>
        <v/>
      </c>
      <c r="D493" s="22">
        <f ca="1">IF(RESULTADOS!$C$17="Normal",IFERROR(MAX(C493-PREMISSAS!$C$13,0),0),IF(Painel!$I$23=0,0,MAX(10*PREMISSAS!$C$38,RESULTADOS!$F$17)))</f>
        <v>0</v>
      </c>
      <c r="E493" s="4">
        <f ca="1">D493*IF(RESULTADOS!$C$17="Normal",RESULTADOS!$C$16,0)</f>
        <v>0</v>
      </c>
      <c r="F493" s="4">
        <f ca="1">IFERROR(IF(RESULTADOS!$C$17="Normal",D493,C493)*RESULTADOS!$C$18,0)</f>
        <v>0</v>
      </c>
      <c r="G493" s="4">
        <f ca="1">IFERROR(IF(RESULTADOS!$C$17="Normal",0,D493)*IF(RESULTADOS!$C$17="Normal",RESULTADOS!$C$18,RESULTADOS!$C$16),0)</f>
        <v>0</v>
      </c>
      <c r="H493" s="4">
        <f ca="1">IF(RESULTADOS!$C$17="Normal",E493,0)</f>
        <v>0</v>
      </c>
      <c r="I493" s="4">
        <f ca="1">(E493+H493+G493)*PREMISSAS!$C$60</f>
        <v>0</v>
      </c>
      <c r="J493" s="4">
        <f ca="1">D493*IF(RESULTADOS!$C$17="Normal",PREMISSAS!$C$62,0)</f>
        <v>0</v>
      </c>
      <c r="K493" s="116">
        <f ca="1">IFERROR(K492*(1+PREMISSAS!$C$18)+(E493+H493-IF(RESULTADOS!$C$17="Normal",I493,0)-J493)*IF(MONTH(B493)=12,2,1),0)</f>
        <v>0</v>
      </c>
      <c r="L493" s="116">
        <f ca="1">IFERROR((L492+G493-IF(RESULTADOS!$C$17="Normal",0,I493))*(1+PREMISSAS!$C$18)+F493,0)</f>
        <v>0</v>
      </c>
      <c r="N493" s="73">
        <f t="shared" ca="1" si="64"/>
        <v>0</v>
      </c>
      <c r="P493" s="164" t="str">
        <f t="shared" ca="1" si="58"/>
        <v/>
      </c>
      <c r="Q493" s="140" t="str">
        <f ca="1">IF(C493="","",Q492+(E493+H493-IF(RESULTADOS!$C$17="Normal",I493,0)-J493)/2+(F493+G493-IF(RESULTADOS!$C$17="Normal",0,I493)))</f>
        <v/>
      </c>
      <c r="R493" s="140" t="str">
        <f ca="1">IF(C493="","",R492+(E493+H493-IF(RESULTADOS!$C$17="Normal",I493,0)-J493)/2)</f>
        <v/>
      </c>
      <c r="S493" s="140">
        <f t="shared" ca="1" si="60"/>
        <v>0</v>
      </c>
      <c r="U493" s="164" t="str">
        <f t="shared" ca="1" si="61"/>
        <v/>
      </c>
      <c r="V493" s="164" t="str">
        <f t="shared" ca="1" si="59"/>
        <v/>
      </c>
      <c r="W493" s="140">
        <f ca="1">IF(OR((W492-13/12*Z492)*(1+PREMISSAS!$C$16)&lt;0,W492=""),0,(W492-13/12*Z492)*(1+PREMISSAS!$C$16))</f>
        <v>0</v>
      </c>
      <c r="X493" s="140">
        <f ca="1">IF(OR((X492-13/12*AA492)*(1+PREMISSAS!$C$16)&lt;0,X492=""),0,(X492-13/12*AA492)*(1+PREMISSAS!$C$16))</f>
        <v>0</v>
      </c>
      <c r="Y493" s="140">
        <f t="shared" ca="1" si="56"/>
        <v>0</v>
      </c>
      <c r="Z493" s="167">
        <f t="shared" ca="1" si="62"/>
        <v>0</v>
      </c>
      <c r="AA493" s="167">
        <f t="shared" ca="1" si="63"/>
        <v>0</v>
      </c>
    </row>
    <row r="494" spans="2:27" x14ac:dyDescent="0.25">
      <c r="B494" s="21" t="str">
        <f ca="1">IF(B493="","",IF(EOMONTH(B493,1)&gt;EOMONTH(ELEGIBILIDADE!$J$17,0),"",EOMONTH(B493,1)))</f>
        <v/>
      </c>
      <c r="C494" s="22" t="str">
        <f ca="1">IF(B494="","",IF(MONTH(B494)=1,C493*(1+PREMISSAS!$C$57),C493))</f>
        <v/>
      </c>
      <c r="D494" s="22">
        <f ca="1">IF(RESULTADOS!$C$17="Normal",IFERROR(MAX(C494-PREMISSAS!$C$13,0),0),IF(Painel!$I$23=0,0,MAX(10*PREMISSAS!$C$38,RESULTADOS!$F$17)))</f>
        <v>0</v>
      </c>
      <c r="E494" s="4">
        <f ca="1">D494*IF(RESULTADOS!$C$17="Normal",RESULTADOS!$C$16,0)</f>
        <v>0</v>
      </c>
      <c r="F494" s="4">
        <f ca="1">IFERROR(IF(RESULTADOS!$C$17="Normal",D494,C494)*RESULTADOS!$C$18,0)</f>
        <v>0</v>
      </c>
      <c r="G494" s="4">
        <f ca="1">IFERROR(IF(RESULTADOS!$C$17="Normal",0,D494)*IF(RESULTADOS!$C$17="Normal",RESULTADOS!$C$18,RESULTADOS!$C$16),0)</f>
        <v>0</v>
      </c>
      <c r="H494" s="4">
        <f ca="1">IF(RESULTADOS!$C$17="Normal",E494,0)</f>
        <v>0</v>
      </c>
      <c r="I494" s="4">
        <f ca="1">(E494+H494+G494)*PREMISSAS!$C$60</f>
        <v>0</v>
      </c>
      <c r="J494" s="4">
        <f ca="1">D494*IF(RESULTADOS!$C$17="Normal",PREMISSAS!$C$62,0)</f>
        <v>0</v>
      </c>
      <c r="K494" s="116">
        <f ca="1">IFERROR(K493*(1+PREMISSAS!$C$18)+(E494+H494-IF(RESULTADOS!$C$17="Normal",I494,0)-J494)*IF(MONTH(B494)=12,2,1),0)</f>
        <v>0</v>
      </c>
      <c r="L494" s="116">
        <f ca="1">IFERROR((L493+G494-IF(RESULTADOS!$C$17="Normal",0,I494))*(1+PREMISSAS!$C$18)+F494,0)</f>
        <v>0</v>
      </c>
      <c r="N494" s="73">
        <f t="shared" ca="1" si="64"/>
        <v>0</v>
      </c>
      <c r="P494" s="164" t="str">
        <f t="shared" ca="1" si="58"/>
        <v/>
      </c>
      <c r="Q494" s="140" t="str">
        <f ca="1">IF(C494="","",Q493+(E494+H494-IF(RESULTADOS!$C$17="Normal",I494,0)-J494)/2+(F494+G494-IF(RESULTADOS!$C$17="Normal",0,I494)))</f>
        <v/>
      </c>
      <c r="R494" s="140" t="str">
        <f ca="1">IF(C494="","",R493+(E494+H494-IF(RESULTADOS!$C$17="Normal",I494,0)-J494)/2)</f>
        <v/>
      </c>
      <c r="S494" s="140">
        <f t="shared" ca="1" si="60"/>
        <v>0</v>
      </c>
      <c r="U494" s="164" t="str">
        <f t="shared" ca="1" si="61"/>
        <v/>
      </c>
      <c r="V494" s="164" t="str">
        <f t="shared" ca="1" si="59"/>
        <v/>
      </c>
      <c r="W494" s="140">
        <f ca="1">IF(OR((W493-13/12*Z493)*(1+PREMISSAS!$C$16)&lt;0,W493=""),0,(W493-13/12*Z493)*(1+PREMISSAS!$C$16))</f>
        <v>0</v>
      </c>
      <c r="X494" s="140">
        <f ca="1">IF(OR((X493-13/12*AA493)*(1+PREMISSAS!$C$16)&lt;0,X493=""),0,(X493-13/12*AA493)*(1+PREMISSAS!$C$16))</f>
        <v>0</v>
      </c>
      <c r="Y494" s="140">
        <f t="shared" ca="1" si="56"/>
        <v>0</v>
      </c>
      <c r="Z494" s="167">
        <f t="shared" ca="1" si="62"/>
        <v>0</v>
      </c>
      <c r="AA494" s="167">
        <f t="shared" ca="1" si="63"/>
        <v>0</v>
      </c>
    </row>
    <row r="495" spans="2:27" x14ac:dyDescent="0.25">
      <c r="B495" s="21" t="str">
        <f ca="1">IF(B494="","",IF(EOMONTH(B494,1)&gt;EOMONTH(ELEGIBILIDADE!$J$17,0),"",EOMONTH(B494,1)))</f>
        <v/>
      </c>
      <c r="C495" s="22" t="str">
        <f ca="1">IF(B495="","",IF(MONTH(B495)=1,C494*(1+PREMISSAS!$C$57),C494))</f>
        <v/>
      </c>
      <c r="D495" s="22">
        <f ca="1">IF(RESULTADOS!$C$17="Normal",IFERROR(MAX(C495-PREMISSAS!$C$13,0),0),IF(Painel!$I$23=0,0,MAX(10*PREMISSAS!$C$38,RESULTADOS!$F$17)))</f>
        <v>0</v>
      </c>
      <c r="E495" s="4">
        <f ca="1">D495*IF(RESULTADOS!$C$17="Normal",RESULTADOS!$C$16,0)</f>
        <v>0</v>
      </c>
      <c r="F495" s="4">
        <f ca="1">IFERROR(IF(RESULTADOS!$C$17="Normal",D495,C495)*RESULTADOS!$C$18,0)</f>
        <v>0</v>
      </c>
      <c r="G495" s="4">
        <f ca="1">IFERROR(IF(RESULTADOS!$C$17="Normal",0,D495)*IF(RESULTADOS!$C$17="Normal",RESULTADOS!$C$18,RESULTADOS!$C$16),0)</f>
        <v>0</v>
      </c>
      <c r="H495" s="4">
        <f ca="1">IF(RESULTADOS!$C$17="Normal",E495,0)</f>
        <v>0</v>
      </c>
      <c r="I495" s="4">
        <f ca="1">(E495+H495+G495)*PREMISSAS!$C$60</f>
        <v>0</v>
      </c>
      <c r="J495" s="4">
        <f ca="1">D495*IF(RESULTADOS!$C$17="Normal",PREMISSAS!$C$62,0)</f>
        <v>0</v>
      </c>
      <c r="K495" s="116">
        <f ca="1">IFERROR(K494*(1+PREMISSAS!$C$18)+(E495+H495-IF(RESULTADOS!$C$17="Normal",I495,0)-J495)*IF(MONTH(B495)=12,2,1),0)</f>
        <v>0</v>
      </c>
      <c r="L495" s="116">
        <f ca="1">IFERROR((L494+G495-IF(RESULTADOS!$C$17="Normal",0,I495))*(1+PREMISSAS!$C$18)+F495,0)</f>
        <v>0</v>
      </c>
      <c r="N495" s="73">
        <f t="shared" ca="1" si="64"/>
        <v>0</v>
      </c>
      <c r="P495" s="164" t="str">
        <f t="shared" ca="1" si="58"/>
        <v/>
      </c>
      <c r="Q495" s="140" t="str">
        <f ca="1">IF(C495="","",Q494+(E495+H495-IF(RESULTADOS!$C$17="Normal",I495,0)-J495)/2+(F495+G495-IF(RESULTADOS!$C$17="Normal",0,I495)))</f>
        <v/>
      </c>
      <c r="R495" s="140" t="str">
        <f ca="1">IF(C495="","",R494+(E495+H495-IF(RESULTADOS!$C$17="Normal",I495,0)-J495)/2)</f>
        <v/>
      </c>
      <c r="S495" s="140">
        <f t="shared" ca="1" si="60"/>
        <v>0</v>
      </c>
      <c r="U495" s="164" t="str">
        <f t="shared" ca="1" si="61"/>
        <v/>
      </c>
      <c r="V495" s="164" t="str">
        <f t="shared" ca="1" si="59"/>
        <v/>
      </c>
      <c r="W495" s="140">
        <f ca="1">IF(OR((W494-13/12*Z494)*(1+PREMISSAS!$C$16)&lt;0,W494=""),0,(W494-13/12*Z494)*(1+PREMISSAS!$C$16))</f>
        <v>0</v>
      </c>
      <c r="X495" s="140">
        <f ca="1">IF(OR((X494-13/12*AA494)*(1+PREMISSAS!$C$16)&lt;0,X494=""),0,(X494-13/12*AA494)*(1+PREMISSAS!$C$16))</f>
        <v>0</v>
      </c>
      <c r="Y495" s="140">
        <f t="shared" ca="1" si="56"/>
        <v>0</v>
      </c>
      <c r="Z495" s="167">
        <f t="shared" ca="1" si="62"/>
        <v>0</v>
      </c>
      <c r="AA495" s="167">
        <f t="shared" ca="1" si="63"/>
        <v>0</v>
      </c>
    </row>
    <row r="496" spans="2:27" x14ac:dyDescent="0.25">
      <c r="B496" s="21" t="str">
        <f ca="1">IF(B495="","",IF(EOMONTH(B495,1)&gt;EOMONTH(ELEGIBILIDADE!$J$17,0),"",EOMONTH(B495,1)))</f>
        <v/>
      </c>
      <c r="C496" s="22" t="str">
        <f ca="1">IF(B496="","",IF(MONTH(B496)=1,C495*(1+PREMISSAS!$C$57),C495))</f>
        <v/>
      </c>
      <c r="D496" s="22">
        <f ca="1">IF(RESULTADOS!$C$17="Normal",IFERROR(MAX(C496-PREMISSAS!$C$13,0),0),IF(Painel!$I$23=0,0,MAX(10*PREMISSAS!$C$38,RESULTADOS!$F$17)))</f>
        <v>0</v>
      </c>
      <c r="E496" s="4">
        <f ca="1">D496*IF(RESULTADOS!$C$17="Normal",RESULTADOS!$C$16,0)</f>
        <v>0</v>
      </c>
      <c r="F496" s="4">
        <f ca="1">IFERROR(IF(RESULTADOS!$C$17="Normal",D496,C496)*RESULTADOS!$C$18,0)</f>
        <v>0</v>
      </c>
      <c r="G496" s="4">
        <f ca="1">IFERROR(IF(RESULTADOS!$C$17="Normal",0,D496)*IF(RESULTADOS!$C$17="Normal",RESULTADOS!$C$18,RESULTADOS!$C$16),0)</f>
        <v>0</v>
      </c>
      <c r="H496" s="4">
        <f ca="1">IF(RESULTADOS!$C$17="Normal",E496,0)</f>
        <v>0</v>
      </c>
      <c r="I496" s="4">
        <f ca="1">(E496+H496+G496)*PREMISSAS!$C$60</f>
        <v>0</v>
      </c>
      <c r="J496" s="4">
        <f ca="1">D496*IF(RESULTADOS!$C$17="Normal",PREMISSAS!$C$62,0)</f>
        <v>0</v>
      </c>
      <c r="K496" s="116">
        <f ca="1">IFERROR(K495*(1+PREMISSAS!$C$18)+(E496+H496-IF(RESULTADOS!$C$17="Normal",I496,0)-J496)*IF(MONTH(B496)=12,2,1),0)</f>
        <v>0</v>
      </c>
      <c r="L496" s="116">
        <f ca="1">IFERROR((L495+G496-IF(RESULTADOS!$C$17="Normal",0,I496))*(1+PREMISSAS!$C$18)+F496,0)</f>
        <v>0</v>
      </c>
      <c r="N496" s="73">
        <f t="shared" ca="1" si="64"/>
        <v>0</v>
      </c>
      <c r="P496" s="164" t="str">
        <f t="shared" ca="1" si="58"/>
        <v/>
      </c>
      <c r="Q496" s="140" t="str">
        <f ca="1">IF(C496="","",Q495+(E496+H496-IF(RESULTADOS!$C$17="Normal",I496,0)-J496)/2+(F496+G496-IF(RESULTADOS!$C$17="Normal",0,I496)))</f>
        <v/>
      </c>
      <c r="R496" s="140" t="str">
        <f ca="1">IF(C496="","",R495+(E496+H496-IF(RESULTADOS!$C$17="Normal",I496,0)-J496)/2)</f>
        <v/>
      </c>
      <c r="S496" s="140">
        <f t="shared" ca="1" si="60"/>
        <v>0</v>
      </c>
      <c r="U496" s="164" t="str">
        <f t="shared" ca="1" si="61"/>
        <v/>
      </c>
      <c r="V496" s="164" t="str">
        <f t="shared" ca="1" si="59"/>
        <v/>
      </c>
      <c r="W496" s="140">
        <f ca="1">IF(OR((W495-13/12*Z495)*(1+PREMISSAS!$C$16)&lt;0,W495=""),0,(W495-13/12*Z495)*(1+PREMISSAS!$C$16))</f>
        <v>0</v>
      </c>
      <c r="X496" s="140">
        <f ca="1">IF(OR((X495-13/12*AA495)*(1+PREMISSAS!$C$16)&lt;0,X495=""),0,(X495-13/12*AA495)*(1+PREMISSAS!$C$16))</f>
        <v>0</v>
      </c>
      <c r="Y496" s="140">
        <f t="shared" ca="1" si="56"/>
        <v>0</v>
      </c>
      <c r="Z496" s="167">
        <f t="shared" ca="1" si="62"/>
        <v>0</v>
      </c>
      <c r="AA496" s="167">
        <f t="shared" ca="1" si="63"/>
        <v>0</v>
      </c>
    </row>
    <row r="497" spans="2:27" x14ac:dyDescent="0.25">
      <c r="B497" s="21" t="str">
        <f ca="1">IF(B496="","",IF(EOMONTH(B496,1)&gt;EOMONTH(ELEGIBILIDADE!$J$17,0),"",EOMONTH(B496,1)))</f>
        <v/>
      </c>
      <c r="C497" s="22" t="str">
        <f ca="1">IF(B497="","",IF(MONTH(B497)=1,C496*(1+PREMISSAS!$C$57),C496))</f>
        <v/>
      </c>
      <c r="D497" s="22">
        <f ca="1">IF(RESULTADOS!$C$17="Normal",IFERROR(MAX(C497-PREMISSAS!$C$13,0),0),IF(Painel!$I$23=0,0,MAX(10*PREMISSAS!$C$38,RESULTADOS!$F$17)))</f>
        <v>0</v>
      </c>
      <c r="E497" s="4">
        <f ca="1">D497*IF(RESULTADOS!$C$17="Normal",RESULTADOS!$C$16,0)</f>
        <v>0</v>
      </c>
      <c r="F497" s="4">
        <f ca="1">IFERROR(IF(RESULTADOS!$C$17="Normal",D497,C497)*RESULTADOS!$C$18,0)</f>
        <v>0</v>
      </c>
      <c r="G497" s="4">
        <f ca="1">IFERROR(IF(RESULTADOS!$C$17="Normal",0,D497)*IF(RESULTADOS!$C$17="Normal",RESULTADOS!$C$18,RESULTADOS!$C$16),0)</f>
        <v>0</v>
      </c>
      <c r="H497" s="4">
        <f ca="1">IF(RESULTADOS!$C$17="Normal",E497,0)</f>
        <v>0</v>
      </c>
      <c r="I497" s="4">
        <f ca="1">(E497+H497+G497)*PREMISSAS!$C$60</f>
        <v>0</v>
      </c>
      <c r="J497" s="4">
        <f ca="1">D497*IF(RESULTADOS!$C$17="Normal",PREMISSAS!$C$62,0)</f>
        <v>0</v>
      </c>
      <c r="K497" s="116">
        <f ca="1">IFERROR(K496*(1+PREMISSAS!$C$18)+(E497+H497-IF(RESULTADOS!$C$17="Normal",I497,0)-J497)*IF(MONTH(B497)=12,2,1),0)</f>
        <v>0</v>
      </c>
      <c r="L497" s="116">
        <f ca="1">IFERROR((L496+G497-IF(RESULTADOS!$C$17="Normal",0,I497))*(1+PREMISSAS!$C$18)+F497,0)</f>
        <v>0</v>
      </c>
      <c r="N497" s="73">
        <f t="shared" ca="1" si="64"/>
        <v>0</v>
      </c>
      <c r="P497" s="164" t="str">
        <f t="shared" ca="1" si="58"/>
        <v/>
      </c>
      <c r="Q497" s="140" t="str">
        <f ca="1">IF(C497="","",Q496+(E497+H497-IF(RESULTADOS!$C$17="Normal",I497,0)-J497)/2+(F497+G497-IF(RESULTADOS!$C$17="Normal",0,I497)))</f>
        <v/>
      </c>
      <c r="R497" s="140" t="str">
        <f ca="1">IF(C497="","",R496+(E497+H497-IF(RESULTADOS!$C$17="Normal",I497,0)-J497)/2)</f>
        <v/>
      </c>
      <c r="S497" s="140">
        <f t="shared" ca="1" si="60"/>
        <v>0</v>
      </c>
      <c r="U497" s="164" t="str">
        <f t="shared" ca="1" si="61"/>
        <v/>
      </c>
      <c r="V497" s="164" t="str">
        <f t="shared" ca="1" si="59"/>
        <v/>
      </c>
      <c r="W497" s="140">
        <f ca="1">IF(OR((W496-13/12*Z496)*(1+PREMISSAS!$C$16)&lt;0,W496=""),0,(W496-13/12*Z496)*(1+PREMISSAS!$C$16))</f>
        <v>0</v>
      </c>
      <c r="X497" s="140">
        <f ca="1">IF(OR((X496-13/12*AA496)*(1+PREMISSAS!$C$16)&lt;0,X496=""),0,(X496-13/12*AA496)*(1+PREMISSAS!$C$16))</f>
        <v>0</v>
      </c>
      <c r="Y497" s="140">
        <f t="shared" ca="1" si="56"/>
        <v>0</v>
      </c>
      <c r="Z497" s="167">
        <f t="shared" ca="1" si="62"/>
        <v>0</v>
      </c>
      <c r="AA497" s="167">
        <f t="shared" ca="1" si="63"/>
        <v>0</v>
      </c>
    </row>
    <row r="498" spans="2:27" x14ac:dyDescent="0.25">
      <c r="B498" s="21" t="str">
        <f ca="1">IF(B497="","",IF(EOMONTH(B497,1)&gt;EOMONTH(ELEGIBILIDADE!$J$17,0),"",EOMONTH(B497,1)))</f>
        <v/>
      </c>
      <c r="C498" s="22" t="str">
        <f ca="1">IF(B498="","",IF(MONTH(B498)=1,C497*(1+PREMISSAS!$C$57),C497))</f>
        <v/>
      </c>
      <c r="D498" s="22">
        <f ca="1">IF(RESULTADOS!$C$17="Normal",IFERROR(MAX(C498-PREMISSAS!$C$13,0),0),IF(Painel!$I$23=0,0,MAX(10*PREMISSAS!$C$38,RESULTADOS!$F$17)))</f>
        <v>0</v>
      </c>
      <c r="E498" s="4">
        <f ca="1">D498*IF(RESULTADOS!$C$17="Normal",RESULTADOS!$C$16,0)</f>
        <v>0</v>
      </c>
      <c r="F498" s="4">
        <f ca="1">IFERROR(IF(RESULTADOS!$C$17="Normal",D498,C498)*RESULTADOS!$C$18,0)</f>
        <v>0</v>
      </c>
      <c r="G498" s="4">
        <f ca="1">IFERROR(IF(RESULTADOS!$C$17="Normal",0,D498)*IF(RESULTADOS!$C$17="Normal",RESULTADOS!$C$18,RESULTADOS!$C$16),0)</f>
        <v>0</v>
      </c>
      <c r="H498" s="4">
        <f ca="1">IF(RESULTADOS!$C$17="Normal",E498,0)</f>
        <v>0</v>
      </c>
      <c r="I498" s="4">
        <f ca="1">(E498+H498+G498)*PREMISSAS!$C$60</f>
        <v>0</v>
      </c>
      <c r="J498" s="4">
        <f ca="1">D498*IF(RESULTADOS!$C$17="Normal",PREMISSAS!$C$62,0)</f>
        <v>0</v>
      </c>
      <c r="K498" s="116">
        <f ca="1">IFERROR(K497*(1+PREMISSAS!$C$18)+(E498+H498-IF(RESULTADOS!$C$17="Normal",I498,0)-J498)*IF(MONTH(B498)=12,2,1),0)</f>
        <v>0</v>
      </c>
      <c r="L498" s="116">
        <f ca="1">IFERROR((L497+G498-IF(RESULTADOS!$C$17="Normal",0,I498))*(1+PREMISSAS!$C$18)+F498,0)</f>
        <v>0</v>
      </c>
      <c r="N498" s="73">
        <f t="shared" ref="N498:N527" ca="1" si="65">IFERROR((E498+F498+G498)/C498,0)</f>
        <v>0</v>
      </c>
      <c r="P498" s="164" t="str">
        <f t="shared" ca="1" si="58"/>
        <v/>
      </c>
      <c r="Q498" s="140" t="str">
        <f ca="1">IF(C498="","",Q497+(E498+H498-IF(RESULTADOS!$C$17="Normal",I498,0)-J498)/2+(F498+G498-IF(RESULTADOS!$C$17="Normal",0,I498)))</f>
        <v/>
      </c>
      <c r="R498" s="140" t="str">
        <f ca="1">IF(C498="","",R497+(E498+H498-IF(RESULTADOS!$C$17="Normal",I498,0)-J498)/2)</f>
        <v/>
      </c>
      <c r="S498" s="140">
        <f t="shared" ca="1" si="60"/>
        <v>0</v>
      </c>
      <c r="U498" s="164" t="str">
        <f t="shared" ca="1" si="61"/>
        <v/>
      </c>
      <c r="V498" s="164" t="str">
        <f t="shared" ca="1" si="59"/>
        <v/>
      </c>
      <c r="W498" s="140">
        <f ca="1">IF(OR((W497-13/12*Z497)*(1+PREMISSAS!$C$16)&lt;0,W497=""),0,(W497-13/12*Z497)*(1+PREMISSAS!$C$16))</f>
        <v>0</v>
      </c>
      <c r="X498" s="140">
        <f ca="1">IF(OR((X497-13/12*AA497)*(1+PREMISSAS!$C$16)&lt;0,X497=""),0,(X497-13/12*AA497)*(1+PREMISSAS!$C$16))</f>
        <v>0</v>
      </c>
      <c r="Y498" s="140">
        <f t="shared" ca="1" si="56"/>
        <v>0</v>
      </c>
      <c r="Z498" s="167">
        <f t="shared" ca="1" si="62"/>
        <v>0</v>
      </c>
      <c r="AA498" s="167">
        <f t="shared" ca="1" si="63"/>
        <v>0</v>
      </c>
    </row>
    <row r="499" spans="2:27" x14ac:dyDescent="0.25">
      <c r="B499" s="21" t="str">
        <f ca="1">IF(B498="","",IF(EOMONTH(B498,1)&gt;EOMONTH(ELEGIBILIDADE!$J$17,0),"",EOMONTH(B498,1)))</f>
        <v/>
      </c>
      <c r="C499" s="22" t="str">
        <f ca="1">IF(B499="","",IF(MONTH(B499)=1,C498*(1+PREMISSAS!$C$57),C498))</f>
        <v/>
      </c>
      <c r="D499" s="22">
        <f ca="1">IF(RESULTADOS!$C$17="Normal",IFERROR(MAX(C499-PREMISSAS!$C$13,0),0),IF(Painel!$I$23=0,0,MAX(10*PREMISSAS!$C$38,RESULTADOS!$F$17)))</f>
        <v>0</v>
      </c>
      <c r="E499" s="4">
        <f ca="1">D499*IF(RESULTADOS!$C$17="Normal",RESULTADOS!$C$16,0)</f>
        <v>0</v>
      </c>
      <c r="F499" s="4">
        <f ca="1">IFERROR(IF(RESULTADOS!$C$17="Normal",D499,C499)*RESULTADOS!$C$18,0)</f>
        <v>0</v>
      </c>
      <c r="G499" s="4">
        <f ca="1">IFERROR(IF(RESULTADOS!$C$17="Normal",0,D499)*IF(RESULTADOS!$C$17="Normal",RESULTADOS!$C$18,RESULTADOS!$C$16),0)</f>
        <v>0</v>
      </c>
      <c r="H499" s="4">
        <f ca="1">IF(RESULTADOS!$C$17="Normal",E499,0)</f>
        <v>0</v>
      </c>
      <c r="I499" s="4">
        <f ca="1">(E499+H499+G499)*PREMISSAS!$C$60</f>
        <v>0</v>
      </c>
      <c r="J499" s="4">
        <f ca="1">D499*IF(RESULTADOS!$C$17="Normal",PREMISSAS!$C$62,0)</f>
        <v>0</v>
      </c>
      <c r="K499" s="116">
        <f ca="1">IFERROR(K498*(1+PREMISSAS!$C$18)+(E499+H499-IF(RESULTADOS!$C$17="Normal",I499,0)-J499)*IF(MONTH(B499)=12,2,1),0)</f>
        <v>0</v>
      </c>
      <c r="L499" s="116">
        <f ca="1">IFERROR((L498+G499-IF(RESULTADOS!$C$17="Normal",0,I499))*(1+PREMISSAS!$C$18)+F499,0)</f>
        <v>0</v>
      </c>
      <c r="N499" s="73">
        <f t="shared" ca="1" si="65"/>
        <v>0</v>
      </c>
      <c r="P499" s="164" t="str">
        <f t="shared" ca="1" si="58"/>
        <v/>
      </c>
      <c r="Q499" s="140" t="str">
        <f ca="1">IF(C499="","",Q498+(E499+H499-IF(RESULTADOS!$C$17="Normal",I499,0)-J499)/2+(F499+G499-IF(RESULTADOS!$C$17="Normal",0,I499)))</f>
        <v/>
      </c>
      <c r="R499" s="140" t="str">
        <f ca="1">IF(C499="","",R498+(E499+H499-IF(RESULTADOS!$C$17="Normal",I499,0)-J499)/2)</f>
        <v/>
      </c>
      <c r="S499" s="140">
        <f t="shared" ca="1" si="60"/>
        <v>0</v>
      </c>
      <c r="U499" s="164" t="str">
        <f t="shared" ca="1" si="61"/>
        <v/>
      </c>
      <c r="V499" s="164" t="str">
        <f t="shared" ca="1" si="59"/>
        <v/>
      </c>
      <c r="W499" s="140">
        <f ca="1">IF(OR((W498-13/12*Z498)*(1+PREMISSAS!$C$16)&lt;0,W498=""),0,(W498-13/12*Z498)*(1+PREMISSAS!$C$16))</f>
        <v>0</v>
      </c>
      <c r="X499" s="140">
        <f ca="1">IF(OR((X498-13/12*AA498)*(1+PREMISSAS!$C$16)&lt;0,X498=""),0,(X498-13/12*AA498)*(1+PREMISSAS!$C$16))</f>
        <v>0</v>
      </c>
      <c r="Y499" s="140">
        <f t="shared" ca="1" si="56"/>
        <v>0</v>
      </c>
      <c r="Z499" s="167">
        <f t="shared" ca="1" si="62"/>
        <v>0</v>
      </c>
      <c r="AA499" s="167">
        <f t="shared" ca="1" si="63"/>
        <v>0</v>
      </c>
    </row>
    <row r="500" spans="2:27" x14ac:dyDescent="0.25">
      <c r="B500" s="21" t="str">
        <f ca="1">IF(B499="","",IF(EOMONTH(B499,1)&gt;EOMONTH(ELEGIBILIDADE!$J$17,0),"",EOMONTH(B499,1)))</f>
        <v/>
      </c>
      <c r="C500" s="22" t="str">
        <f ca="1">IF(B500="","",IF(MONTH(B500)=1,C499*(1+PREMISSAS!$C$57),C499))</f>
        <v/>
      </c>
      <c r="D500" s="22">
        <f ca="1">IF(RESULTADOS!$C$17="Normal",IFERROR(MAX(C500-PREMISSAS!$C$13,0),0),IF(Painel!$I$23=0,0,MAX(10*PREMISSAS!$C$38,RESULTADOS!$F$17)))</f>
        <v>0</v>
      </c>
      <c r="E500" s="4">
        <f ca="1">D500*IF(RESULTADOS!$C$17="Normal",RESULTADOS!$C$16,0)</f>
        <v>0</v>
      </c>
      <c r="F500" s="4">
        <f ca="1">IFERROR(IF(RESULTADOS!$C$17="Normal",D500,C500)*RESULTADOS!$C$18,0)</f>
        <v>0</v>
      </c>
      <c r="G500" s="4">
        <f ca="1">IFERROR(IF(RESULTADOS!$C$17="Normal",0,D500)*IF(RESULTADOS!$C$17="Normal",RESULTADOS!$C$18,RESULTADOS!$C$16),0)</f>
        <v>0</v>
      </c>
      <c r="H500" s="4">
        <f ca="1">IF(RESULTADOS!$C$17="Normal",E500,0)</f>
        <v>0</v>
      </c>
      <c r="I500" s="4">
        <f ca="1">(E500+H500+G500)*PREMISSAS!$C$60</f>
        <v>0</v>
      </c>
      <c r="J500" s="4">
        <f ca="1">D500*IF(RESULTADOS!$C$17="Normal",PREMISSAS!$C$62,0)</f>
        <v>0</v>
      </c>
      <c r="K500" s="116">
        <f ca="1">IFERROR(K499*(1+PREMISSAS!$C$18)+(E500+H500-IF(RESULTADOS!$C$17="Normal",I500,0)-J500)*IF(MONTH(B500)=12,2,1),0)</f>
        <v>0</v>
      </c>
      <c r="L500" s="116">
        <f ca="1">IFERROR((L499+G500-IF(RESULTADOS!$C$17="Normal",0,I500))*(1+PREMISSAS!$C$18)+F500,0)</f>
        <v>0</v>
      </c>
      <c r="N500" s="73">
        <f t="shared" ca="1" si="65"/>
        <v>0</v>
      </c>
      <c r="P500" s="164" t="str">
        <f t="shared" ca="1" si="58"/>
        <v/>
      </c>
      <c r="Q500" s="140" t="str">
        <f ca="1">IF(C500="","",Q499+(E500+H500-IF(RESULTADOS!$C$17="Normal",I500,0)-J500)/2+(F500+G500-IF(RESULTADOS!$C$17="Normal",0,I500)))</f>
        <v/>
      </c>
      <c r="R500" s="140" t="str">
        <f ca="1">IF(C500="","",R499+(E500+H500-IF(RESULTADOS!$C$17="Normal",I500,0)-J500)/2)</f>
        <v/>
      </c>
      <c r="S500" s="140">
        <f t="shared" ca="1" si="60"/>
        <v>0</v>
      </c>
      <c r="U500" s="164" t="str">
        <f t="shared" ca="1" si="61"/>
        <v/>
      </c>
      <c r="V500" s="164" t="str">
        <f t="shared" ca="1" si="59"/>
        <v/>
      </c>
      <c r="W500" s="140">
        <f ca="1">IF(OR((W499-13/12*Z499)*(1+PREMISSAS!$C$16)&lt;0,W499=""),0,(W499-13/12*Z499)*(1+PREMISSAS!$C$16))</f>
        <v>0</v>
      </c>
      <c r="X500" s="140">
        <f ca="1">IF(OR((X499-13/12*AA499)*(1+PREMISSAS!$C$16)&lt;0,X499=""),0,(X499-13/12*AA499)*(1+PREMISSAS!$C$16))</f>
        <v>0</v>
      </c>
      <c r="Y500" s="140">
        <f t="shared" ca="1" si="56"/>
        <v>0</v>
      </c>
      <c r="Z500" s="167">
        <f t="shared" ca="1" si="62"/>
        <v>0</v>
      </c>
      <c r="AA500" s="167">
        <f t="shared" ca="1" si="63"/>
        <v>0</v>
      </c>
    </row>
    <row r="501" spans="2:27" x14ac:dyDescent="0.25">
      <c r="B501" s="21" t="str">
        <f ca="1">IF(B500="","",IF(EOMONTH(B500,1)&gt;EOMONTH(ELEGIBILIDADE!$J$17,0),"",EOMONTH(B500,1)))</f>
        <v/>
      </c>
      <c r="C501" s="22" t="str">
        <f ca="1">IF(B501="","",IF(MONTH(B501)=1,C500*(1+PREMISSAS!$C$57),C500))</f>
        <v/>
      </c>
      <c r="D501" s="22">
        <f ca="1">IF(RESULTADOS!$C$17="Normal",IFERROR(MAX(C501-PREMISSAS!$C$13,0),0),IF(Painel!$I$23=0,0,MAX(10*PREMISSAS!$C$38,RESULTADOS!$F$17)))</f>
        <v>0</v>
      </c>
      <c r="E501" s="4">
        <f ca="1">D501*IF(RESULTADOS!$C$17="Normal",RESULTADOS!$C$16,0)</f>
        <v>0</v>
      </c>
      <c r="F501" s="4">
        <f ca="1">IFERROR(IF(RESULTADOS!$C$17="Normal",D501,C501)*RESULTADOS!$C$18,0)</f>
        <v>0</v>
      </c>
      <c r="G501" s="4">
        <f ca="1">IFERROR(IF(RESULTADOS!$C$17="Normal",0,D501)*IF(RESULTADOS!$C$17="Normal",RESULTADOS!$C$18,RESULTADOS!$C$16),0)</f>
        <v>0</v>
      </c>
      <c r="H501" s="4">
        <f ca="1">IF(RESULTADOS!$C$17="Normal",E501,0)</f>
        <v>0</v>
      </c>
      <c r="I501" s="4">
        <f ca="1">(E501+H501+G501)*PREMISSAS!$C$60</f>
        <v>0</v>
      </c>
      <c r="J501" s="4">
        <f ca="1">D501*IF(RESULTADOS!$C$17="Normal",PREMISSAS!$C$62,0)</f>
        <v>0</v>
      </c>
      <c r="K501" s="116">
        <f ca="1">IFERROR(K500*(1+PREMISSAS!$C$18)+(E501+H501-IF(RESULTADOS!$C$17="Normal",I501,0)-J501)*IF(MONTH(B501)=12,2,1),0)</f>
        <v>0</v>
      </c>
      <c r="L501" s="116">
        <f ca="1">IFERROR((L500+G501-IF(RESULTADOS!$C$17="Normal",0,I501))*(1+PREMISSAS!$C$18)+F501,0)</f>
        <v>0</v>
      </c>
      <c r="N501" s="73">
        <f t="shared" ca="1" si="65"/>
        <v>0</v>
      </c>
      <c r="P501" s="164" t="str">
        <f t="shared" ca="1" si="58"/>
        <v/>
      </c>
      <c r="Q501" s="140" t="str">
        <f ca="1">IF(C501="","",Q500+(E501+H501-IF(RESULTADOS!$C$17="Normal",I501,0)-J501)/2+(F501+G501-IF(RESULTADOS!$C$17="Normal",0,I501)))</f>
        <v/>
      </c>
      <c r="R501" s="140" t="str">
        <f ca="1">IF(C501="","",R500+(E501+H501-IF(RESULTADOS!$C$17="Normal",I501,0)-J501)/2)</f>
        <v/>
      </c>
      <c r="S501" s="140">
        <f t="shared" ca="1" si="60"/>
        <v>0</v>
      </c>
      <c r="U501" s="164" t="str">
        <f t="shared" ca="1" si="61"/>
        <v/>
      </c>
      <c r="V501" s="164" t="str">
        <f t="shared" ca="1" si="59"/>
        <v/>
      </c>
      <c r="W501" s="140">
        <f ca="1">IF(OR((W500-13/12*Z500)*(1+PREMISSAS!$C$16)&lt;0,W500=""),0,(W500-13/12*Z500)*(1+PREMISSAS!$C$16))</f>
        <v>0</v>
      </c>
      <c r="X501" s="140">
        <f ca="1">IF(OR((X500-13/12*AA500)*(1+PREMISSAS!$C$16)&lt;0,X500=""),0,(X500-13/12*AA500)*(1+PREMISSAS!$C$16))</f>
        <v>0</v>
      </c>
      <c r="Y501" s="140">
        <f t="shared" ca="1" si="56"/>
        <v>0</v>
      </c>
      <c r="Z501" s="167">
        <f t="shared" ca="1" si="62"/>
        <v>0</v>
      </c>
      <c r="AA501" s="167">
        <f t="shared" ca="1" si="63"/>
        <v>0</v>
      </c>
    </row>
    <row r="502" spans="2:27" x14ac:dyDescent="0.25">
      <c r="B502" s="21" t="str">
        <f ca="1">IF(B501="","",IF(EOMONTH(B501,1)&gt;EOMONTH(ELEGIBILIDADE!$J$17,0),"",EOMONTH(B501,1)))</f>
        <v/>
      </c>
      <c r="C502" s="22" t="str">
        <f ca="1">IF(B502="","",IF(MONTH(B502)=1,C501*(1+PREMISSAS!$C$57),C501))</f>
        <v/>
      </c>
      <c r="D502" s="22">
        <f ca="1">IF(RESULTADOS!$C$17="Normal",IFERROR(MAX(C502-PREMISSAS!$C$13,0),0),IF(Painel!$I$23=0,0,MAX(10*PREMISSAS!$C$38,RESULTADOS!$F$17)))</f>
        <v>0</v>
      </c>
      <c r="E502" s="4">
        <f ca="1">D502*IF(RESULTADOS!$C$17="Normal",RESULTADOS!$C$16,0)</f>
        <v>0</v>
      </c>
      <c r="F502" s="4">
        <f ca="1">IFERROR(IF(RESULTADOS!$C$17="Normal",D502,C502)*RESULTADOS!$C$18,0)</f>
        <v>0</v>
      </c>
      <c r="G502" s="4">
        <f ca="1">IFERROR(IF(RESULTADOS!$C$17="Normal",0,D502)*IF(RESULTADOS!$C$17="Normal",RESULTADOS!$C$18,RESULTADOS!$C$16),0)</f>
        <v>0</v>
      </c>
      <c r="H502" s="4">
        <f ca="1">IF(RESULTADOS!$C$17="Normal",E502,0)</f>
        <v>0</v>
      </c>
      <c r="I502" s="4">
        <f ca="1">(E502+H502+G502)*PREMISSAS!$C$60</f>
        <v>0</v>
      </c>
      <c r="J502" s="4">
        <f ca="1">D502*IF(RESULTADOS!$C$17="Normal",PREMISSAS!$C$62,0)</f>
        <v>0</v>
      </c>
      <c r="K502" s="116">
        <f ca="1">IFERROR(K501*(1+PREMISSAS!$C$18)+(E502+H502-IF(RESULTADOS!$C$17="Normal",I502,0)-J502)*IF(MONTH(B502)=12,2,1),0)</f>
        <v>0</v>
      </c>
      <c r="L502" s="116">
        <f ca="1">IFERROR((L501+G502-IF(RESULTADOS!$C$17="Normal",0,I502))*(1+PREMISSAS!$C$18)+F502,0)</f>
        <v>0</v>
      </c>
      <c r="N502" s="73">
        <f t="shared" ca="1" si="65"/>
        <v>0</v>
      </c>
      <c r="P502" s="164" t="str">
        <f t="shared" ca="1" si="58"/>
        <v/>
      </c>
      <c r="Q502" s="140" t="str">
        <f ca="1">IF(C502="","",Q501+(E502+H502-IF(RESULTADOS!$C$17="Normal",I502,0)-J502)/2+(F502+G502-IF(RESULTADOS!$C$17="Normal",0,I502)))</f>
        <v/>
      </c>
      <c r="R502" s="140" t="str">
        <f ca="1">IF(C502="","",R501+(E502+H502-IF(RESULTADOS!$C$17="Normal",I502,0)-J502)/2)</f>
        <v/>
      </c>
      <c r="S502" s="140">
        <f t="shared" ca="1" si="60"/>
        <v>0</v>
      </c>
      <c r="U502" s="164" t="str">
        <f t="shared" ca="1" si="61"/>
        <v/>
      </c>
      <c r="V502" s="164" t="str">
        <f t="shared" ca="1" si="59"/>
        <v/>
      </c>
      <c r="W502" s="140">
        <f ca="1">IF(OR((W501-13/12*Z501)*(1+PREMISSAS!$C$16)&lt;0,W501=""),0,(W501-13/12*Z501)*(1+PREMISSAS!$C$16))</f>
        <v>0</v>
      </c>
      <c r="X502" s="140">
        <f ca="1">IF(OR((X501-13/12*AA501)*(1+PREMISSAS!$C$16)&lt;0,X501=""),0,(X501-13/12*AA501)*(1+PREMISSAS!$C$16))</f>
        <v>0</v>
      </c>
      <c r="Y502" s="140">
        <f t="shared" ca="1" si="56"/>
        <v>0</v>
      </c>
      <c r="Z502" s="167">
        <f t="shared" ca="1" si="62"/>
        <v>0</v>
      </c>
      <c r="AA502" s="167">
        <f t="shared" ca="1" si="63"/>
        <v>0</v>
      </c>
    </row>
    <row r="503" spans="2:27" x14ac:dyDescent="0.25">
      <c r="B503" s="21" t="str">
        <f ca="1">IF(B502="","",IF(EOMONTH(B502,1)&gt;EOMONTH(ELEGIBILIDADE!$J$17,0),"",EOMONTH(B502,1)))</f>
        <v/>
      </c>
      <c r="C503" s="22" t="str">
        <f ca="1">IF(B503="","",IF(MONTH(B503)=1,C502*(1+PREMISSAS!$C$57),C502))</f>
        <v/>
      </c>
      <c r="D503" s="22">
        <f ca="1">IF(RESULTADOS!$C$17="Normal",IFERROR(MAX(C503-PREMISSAS!$C$13,0),0),IF(Painel!$I$23=0,0,MAX(10*PREMISSAS!$C$38,RESULTADOS!$F$17)))</f>
        <v>0</v>
      </c>
      <c r="E503" s="4">
        <f ca="1">D503*IF(RESULTADOS!$C$17="Normal",RESULTADOS!$C$16,0)</f>
        <v>0</v>
      </c>
      <c r="F503" s="4">
        <f ca="1">IFERROR(IF(RESULTADOS!$C$17="Normal",D503,C503)*RESULTADOS!$C$18,0)</f>
        <v>0</v>
      </c>
      <c r="G503" s="4">
        <f ca="1">IFERROR(IF(RESULTADOS!$C$17="Normal",0,D503)*IF(RESULTADOS!$C$17="Normal",RESULTADOS!$C$18,RESULTADOS!$C$16),0)</f>
        <v>0</v>
      </c>
      <c r="H503" s="4">
        <f ca="1">IF(RESULTADOS!$C$17="Normal",E503,0)</f>
        <v>0</v>
      </c>
      <c r="I503" s="4">
        <f ca="1">(E503+H503+G503)*PREMISSAS!$C$60</f>
        <v>0</v>
      </c>
      <c r="J503" s="4">
        <f ca="1">D503*IF(RESULTADOS!$C$17="Normal",PREMISSAS!$C$62,0)</f>
        <v>0</v>
      </c>
      <c r="K503" s="116">
        <f ca="1">IFERROR(K502*(1+PREMISSAS!$C$18)+(E503+H503-IF(RESULTADOS!$C$17="Normal",I503,0)-J503)*IF(MONTH(B503)=12,2,1),0)</f>
        <v>0</v>
      </c>
      <c r="L503" s="116">
        <f ca="1">IFERROR((L502+G503-IF(RESULTADOS!$C$17="Normal",0,I503))*(1+PREMISSAS!$C$18)+F503,0)</f>
        <v>0</v>
      </c>
      <c r="N503" s="73">
        <f t="shared" ca="1" si="65"/>
        <v>0</v>
      </c>
      <c r="P503" s="164" t="str">
        <f t="shared" ca="1" si="58"/>
        <v/>
      </c>
      <c r="Q503" s="140" t="str">
        <f ca="1">IF(C503="","",Q502+(E503+H503-IF(RESULTADOS!$C$17="Normal",I503,0)-J503)/2+(F503+G503-IF(RESULTADOS!$C$17="Normal",0,I503)))</f>
        <v/>
      </c>
      <c r="R503" s="140" t="str">
        <f ca="1">IF(C503="","",R502+(E503+H503-IF(RESULTADOS!$C$17="Normal",I503,0)-J503)/2)</f>
        <v/>
      </c>
      <c r="S503" s="140">
        <f t="shared" ca="1" si="60"/>
        <v>0</v>
      </c>
      <c r="U503" s="164" t="str">
        <f t="shared" ca="1" si="61"/>
        <v/>
      </c>
      <c r="V503" s="164" t="str">
        <f t="shared" ca="1" si="59"/>
        <v/>
      </c>
      <c r="W503" s="140">
        <f ca="1">IF(OR((W502-13/12*Z502)*(1+PREMISSAS!$C$16)&lt;0,W502=""),0,(W502-13/12*Z502)*(1+PREMISSAS!$C$16))</f>
        <v>0</v>
      </c>
      <c r="X503" s="140">
        <f ca="1">IF(OR((X502-13/12*AA502)*(1+PREMISSAS!$C$16)&lt;0,X502=""),0,(X502-13/12*AA502)*(1+PREMISSAS!$C$16))</f>
        <v>0</v>
      </c>
      <c r="Y503" s="140">
        <f t="shared" ca="1" si="56"/>
        <v>0</v>
      </c>
      <c r="Z503" s="167">
        <f t="shared" ca="1" si="62"/>
        <v>0</v>
      </c>
      <c r="AA503" s="167">
        <f t="shared" ca="1" si="63"/>
        <v>0</v>
      </c>
    </row>
    <row r="504" spans="2:27" x14ac:dyDescent="0.25">
      <c r="B504" s="21" t="str">
        <f ca="1">IF(B503="","",IF(EOMONTH(B503,1)&gt;EOMONTH(ELEGIBILIDADE!$J$17,0),"",EOMONTH(B503,1)))</f>
        <v/>
      </c>
      <c r="C504" s="22" t="str">
        <f ca="1">IF(B504="","",IF(MONTH(B504)=1,C503*(1+PREMISSAS!$C$57),C503))</f>
        <v/>
      </c>
      <c r="D504" s="22">
        <f ca="1">IF(RESULTADOS!$C$17="Normal",IFERROR(MAX(C504-PREMISSAS!$C$13,0),0),IF(Painel!$I$23=0,0,MAX(10*PREMISSAS!$C$38,RESULTADOS!$F$17)))</f>
        <v>0</v>
      </c>
      <c r="E504" s="4">
        <f ca="1">D504*IF(RESULTADOS!$C$17="Normal",RESULTADOS!$C$16,0)</f>
        <v>0</v>
      </c>
      <c r="F504" s="4">
        <f ca="1">IFERROR(IF(RESULTADOS!$C$17="Normal",D504,C504)*RESULTADOS!$C$18,0)</f>
        <v>0</v>
      </c>
      <c r="G504" s="4">
        <f ca="1">IFERROR(IF(RESULTADOS!$C$17="Normal",0,D504)*IF(RESULTADOS!$C$17="Normal",RESULTADOS!$C$18,RESULTADOS!$C$16),0)</f>
        <v>0</v>
      </c>
      <c r="H504" s="4">
        <f ca="1">IF(RESULTADOS!$C$17="Normal",E504,0)</f>
        <v>0</v>
      </c>
      <c r="I504" s="4">
        <f ca="1">(E504+H504+G504)*PREMISSAS!$C$60</f>
        <v>0</v>
      </c>
      <c r="J504" s="4">
        <f ca="1">D504*IF(RESULTADOS!$C$17="Normal",PREMISSAS!$C$62,0)</f>
        <v>0</v>
      </c>
      <c r="K504" s="116">
        <f ca="1">IFERROR(K503*(1+PREMISSAS!$C$18)+(E504+H504-IF(RESULTADOS!$C$17="Normal",I504,0)-J504)*IF(MONTH(B504)=12,2,1),0)</f>
        <v>0</v>
      </c>
      <c r="L504" s="116">
        <f ca="1">IFERROR((L503+G504-IF(RESULTADOS!$C$17="Normal",0,I504))*(1+PREMISSAS!$C$18)+F504,0)</f>
        <v>0</v>
      </c>
      <c r="N504" s="73">
        <f t="shared" ca="1" si="65"/>
        <v>0</v>
      </c>
      <c r="P504" s="164" t="str">
        <f t="shared" ca="1" si="58"/>
        <v/>
      </c>
      <c r="Q504" s="140" t="str">
        <f ca="1">IF(C504="","",Q503+(E504+H504-IF(RESULTADOS!$C$17="Normal",I504,0)-J504)/2+(F504+G504-IF(RESULTADOS!$C$17="Normal",0,I504)))</f>
        <v/>
      </c>
      <c r="R504" s="140" t="str">
        <f ca="1">IF(C504="","",R503+(E504+H504-IF(RESULTADOS!$C$17="Normal",I504,0)-J504)/2)</f>
        <v/>
      </c>
      <c r="S504" s="140">
        <f t="shared" ca="1" si="60"/>
        <v>0</v>
      </c>
      <c r="U504" s="164" t="str">
        <f t="shared" ca="1" si="61"/>
        <v/>
      </c>
      <c r="V504" s="164" t="str">
        <f t="shared" ca="1" si="59"/>
        <v/>
      </c>
      <c r="W504" s="140">
        <f ca="1">IF(OR((W503-13/12*Z503)*(1+PREMISSAS!$C$16)&lt;0,W503=""),0,(W503-13/12*Z503)*(1+PREMISSAS!$C$16))</f>
        <v>0</v>
      </c>
      <c r="X504" s="140">
        <f ca="1">IF(OR((X503-13/12*AA503)*(1+PREMISSAS!$C$16)&lt;0,X503=""),0,(X503-13/12*AA503)*(1+PREMISSAS!$C$16))</f>
        <v>0</v>
      </c>
      <c r="Y504" s="140">
        <f t="shared" ca="1" si="56"/>
        <v>0</v>
      </c>
      <c r="Z504" s="167">
        <f t="shared" ca="1" si="62"/>
        <v>0</v>
      </c>
      <c r="AA504" s="167">
        <f t="shared" ca="1" si="63"/>
        <v>0</v>
      </c>
    </row>
    <row r="505" spans="2:27" x14ac:dyDescent="0.25">
      <c r="B505" s="21" t="str">
        <f ca="1">IF(B504="","",IF(EOMONTH(B504,1)&gt;EOMONTH(ELEGIBILIDADE!$J$17,0),"",EOMONTH(B504,1)))</f>
        <v/>
      </c>
      <c r="C505" s="22" t="str">
        <f ca="1">IF(B505="","",IF(MONTH(B505)=1,C504*(1+PREMISSAS!$C$57),C504))</f>
        <v/>
      </c>
      <c r="D505" s="22">
        <f ca="1">IF(RESULTADOS!$C$17="Normal",IFERROR(MAX(C505-PREMISSAS!$C$13,0),0),IF(Painel!$I$23=0,0,MAX(10*PREMISSAS!$C$38,RESULTADOS!$F$17)))</f>
        <v>0</v>
      </c>
      <c r="E505" s="4">
        <f ca="1">D505*IF(RESULTADOS!$C$17="Normal",RESULTADOS!$C$16,0)</f>
        <v>0</v>
      </c>
      <c r="F505" s="4">
        <f ca="1">IFERROR(IF(RESULTADOS!$C$17="Normal",D505,C505)*RESULTADOS!$C$18,0)</f>
        <v>0</v>
      </c>
      <c r="G505" s="4">
        <f ca="1">IFERROR(IF(RESULTADOS!$C$17="Normal",0,D505)*IF(RESULTADOS!$C$17="Normal",RESULTADOS!$C$18,RESULTADOS!$C$16),0)</f>
        <v>0</v>
      </c>
      <c r="H505" s="4">
        <f ca="1">IF(RESULTADOS!$C$17="Normal",E505,0)</f>
        <v>0</v>
      </c>
      <c r="I505" s="4">
        <f ca="1">(E505+H505+G505)*PREMISSAS!$C$60</f>
        <v>0</v>
      </c>
      <c r="J505" s="4">
        <f ca="1">D505*IF(RESULTADOS!$C$17="Normal",PREMISSAS!$C$62,0)</f>
        <v>0</v>
      </c>
      <c r="K505" s="116">
        <f ca="1">IFERROR(K504*(1+PREMISSAS!$C$18)+(E505+H505-IF(RESULTADOS!$C$17="Normal",I505,0)-J505)*IF(MONTH(B505)=12,2,1),0)</f>
        <v>0</v>
      </c>
      <c r="L505" s="116">
        <f ca="1">IFERROR((L504+G505-IF(RESULTADOS!$C$17="Normal",0,I505))*(1+PREMISSAS!$C$18)+F505,0)</f>
        <v>0</v>
      </c>
      <c r="N505" s="73">
        <f t="shared" ca="1" si="65"/>
        <v>0</v>
      </c>
      <c r="P505" s="164" t="str">
        <f t="shared" ca="1" si="58"/>
        <v/>
      </c>
      <c r="Q505" s="140" t="str">
        <f ca="1">IF(C505="","",Q504+(E505+H505-IF(RESULTADOS!$C$17="Normal",I505,0)-J505)/2+(F505+G505-IF(RESULTADOS!$C$17="Normal",0,I505)))</f>
        <v/>
      </c>
      <c r="R505" s="140" t="str">
        <f ca="1">IF(C505="","",R504+(E505+H505-IF(RESULTADOS!$C$17="Normal",I505,0)-J505)/2)</f>
        <v/>
      </c>
      <c r="S505" s="140">
        <f t="shared" ca="1" si="60"/>
        <v>0</v>
      </c>
      <c r="U505" s="164" t="str">
        <f t="shared" ca="1" si="61"/>
        <v/>
      </c>
      <c r="V505" s="164" t="str">
        <f t="shared" ca="1" si="59"/>
        <v/>
      </c>
      <c r="W505" s="140">
        <f ca="1">IF(OR((W504-13/12*Z504)*(1+PREMISSAS!$C$16)&lt;0,W504=""),0,(W504-13/12*Z504)*(1+PREMISSAS!$C$16))</f>
        <v>0</v>
      </c>
      <c r="X505" s="140">
        <f ca="1">IF(OR((X504-13/12*AA504)*(1+PREMISSAS!$C$16)&lt;0,X504=""),0,(X504-13/12*AA504)*(1+PREMISSAS!$C$16))</f>
        <v>0</v>
      </c>
      <c r="Y505" s="140">
        <f t="shared" ca="1" si="56"/>
        <v>0</v>
      </c>
      <c r="Z505" s="167">
        <f t="shared" ca="1" si="62"/>
        <v>0</v>
      </c>
      <c r="AA505" s="167">
        <f t="shared" ca="1" si="63"/>
        <v>0</v>
      </c>
    </row>
    <row r="506" spans="2:27" x14ac:dyDescent="0.25">
      <c r="B506" s="21" t="str">
        <f ca="1">IF(B505="","",IF(EOMONTH(B505,1)&gt;EOMONTH(ELEGIBILIDADE!$J$17,0),"",EOMONTH(B505,1)))</f>
        <v/>
      </c>
      <c r="C506" s="22" t="str">
        <f ca="1">IF(B506="","",IF(MONTH(B506)=1,C505*(1+PREMISSAS!$C$57),C505))</f>
        <v/>
      </c>
      <c r="D506" s="22">
        <f ca="1">IF(RESULTADOS!$C$17="Normal",IFERROR(MAX(C506-PREMISSAS!$C$13,0),0),IF(Painel!$I$23=0,0,MAX(10*PREMISSAS!$C$38,RESULTADOS!$F$17)))</f>
        <v>0</v>
      </c>
      <c r="E506" s="4">
        <f ca="1">D506*IF(RESULTADOS!$C$17="Normal",RESULTADOS!$C$16,0)</f>
        <v>0</v>
      </c>
      <c r="F506" s="4">
        <f ca="1">IFERROR(IF(RESULTADOS!$C$17="Normal",D506,C506)*RESULTADOS!$C$18,0)</f>
        <v>0</v>
      </c>
      <c r="G506" s="4">
        <f ca="1">IFERROR(IF(RESULTADOS!$C$17="Normal",0,D506)*IF(RESULTADOS!$C$17="Normal",RESULTADOS!$C$18,RESULTADOS!$C$16),0)</f>
        <v>0</v>
      </c>
      <c r="H506" s="4">
        <f ca="1">IF(RESULTADOS!$C$17="Normal",E506,0)</f>
        <v>0</v>
      </c>
      <c r="I506" s="4">
        <f ca="1">(E506+H506+G506)*PREMISSAS!$C$60</f>
        <v>0</v>
      </c>
      <c r="J506" s="4">
        <f ca="1">D506*IF(RESULTADOS!$C$17="Normal",PREMISSAS!$C$62,0)</f>
        <v>0</v>
      </c>
      <c r="K506" s="116">
        <f ca="1">IFERROR(K505*(1+PREMISSAS!$C$18)+(E506+H506-IF(RESULTADOS!$C$17="Normal",I506,0)-J506)*IF(MONTH(B506)=12,2,1),0)</f>
        <v>0</v>
      </c>
      <c r="L506" s="116">
        <f ca="1">IFERROR((L505+G506-IF(RESULTADOS!$C$17="Normal",0,I506))*(1+PREMISSAS!$C$18)+F506,0)</f>
        <v>0</v>
      </c>
      <c r="N506" s="73">
        <f t="shared" ca="1" si="65"/>
        <v>0</v>
      </c>
      <c r="P506" s="164" t="str">
        <f t="shared" ca="1" si="58"/>
        <v/>
      </c>
      <c r="Q506" s="140" t="str">
        <f ca="1">IF(C506="","",Q505+(E506+H506-IF(RESULTADOS!$C$17="Normal",I506,0)-J506)/2+(F506+G506-IF(RESULTADOS!$C$17="Normal",0,I506)))</f>
        <v/>
      </c>
      <c r="R506" s="140" t="str">
        <f ca="1">IF(C506="","",R505+(E506+H506-IF(RESULTADOS!$C$17="Normal",I506,0)-J506)/2)</f>
        <v/>
      </c>
      <c r="S506" s="140">
        <f t="shared" ca="1" si="60"/>
        <v>0</v>
      </c>
      <c r="U506" s="164" t="str">
        <f t="shared" ca="1" si="61"/>
        <v/>
      </c>
      <c r="V506" s="164" t="str">
        <f t="shared" ca="1" si="59"/>
        <v/>
      </c>
      <c r="W506" s="140">
        <f ca="1">IF(OR((W505-13/12*Z505)*(1+PREMISSAS!$C$16)&lt;0,W505=""),0,(W505-13/12*Z505)*(1+PREMISSAS!$C$16))</f>
        <v>0</v>
      </c>
      <c r="X506" s="140">
        <f ca="1">IF(OR((X505-13/12*AA505)*(1+PREMISSAS!$C$16)&lt;0,X505=""),0,(X505-13/12*AA505)*(1+PREMISSAS!$C$16))</f>
        <v>0</v>
      </c>
      <c r="Y506" s="140">
        <f t="shared" ca="1" si="56"/>
        <v>0</v>
      </c>
      <c r="Z506" s="167">
        <f t="shared" ca="1" si="62"/>
        <v>0</v>
      </c>
      <c r="AA506" s="167">
        <f t="shared" ca="1" si="63"/>
        <v>0</v>
      </c>
    </row>
    <row r="507" spans="2:27" x14ac:dyDescent="0.25">
      <c r="B507" s="21" t="str">
        <f ca="1">IF(B506="","",IF(EOMONTH(B506,1)&gt;EOMONTH(ELEGIBILIDADE!$J$17,0),"",EOMONTH(B506,1)))</f>
        <v/>
      </c>
      <c r="C507" s="22" t="str">
        <f ca="1">IF(B507="","",IF(MONTH(B507)=1,C506*(1+PREMISSAS!$C$57),C506))</f>
        <v/>
      </c>
      <c r="D507" s="22">
        <f ca="1">IF(RESULTADOS!$C$17="Normal",IFERROR(MAX(C507-PREMISSAS!$C$13,0),0),IF(Painel!$I$23=0,0,MAX(10*PREMISSAS!$C$38,RESULTADOS!$F$17)))</f>
        <v>0</v>
      </c>
      <c r="E507" s="4">
        <f ca="1">D507*IF(RESULTADOS!$C$17="Normal",RESULTADOS!$C$16,0)</f>
        <v>0</v>
      </c>
      <c r="F507" s="4">
        <f ca="1">IFERROR(IF(RESULTADOS!$C$17="Normal",D507,C507)*RESULTADOS!$C$18,0)</f>
        <v>0</v>
      </c>
      <c r="G507" s="4">
        <f ca="1">IFERROR(IF(RESULTADOS!$C$17="Normal",0,D507)*IF(RESULTADOS!$C$17="Normal",RESULTADOS!$C$18,RESULTADOS!$C$16),0)</f>
        <v>0</v>
      </c>
      <c r="H507" s="4">
        <f ca="1">IF(RESULTADOS!$C$17="Normal",E507,0)</f>
        <v>0</v>
      </c>
      <c r="I507" s="4">
        <f ca="1">(E507+H507+G507)*PREMISSAS!$C$60</f>
        <v>0</v>
      </c>
      <c r="J507" s="4">
        <f ca="1">D507*IF(RESULTADOS!$C$17="Normal",PREMISSAS!$C$62,0)</f>
        <v>0</v>
      </c>
      <c r="K507" s="116">
        <f ca="1">IFERROR(K506*(1+PREMISSAS!$C$18)+(E507+H507-IF(RESULTADOS!$C$17="Normal",I507,0)-J507)*IF(MONTH(B507)=12,2,1),0)</f>
        <v>0</v>
      </c>
      <c r="L507" s="116">
        <f ca="1">IFERROR((L506+G507-IF(RESULTADOS!$C$17="Normal",0,I507))*(1+PREMISSAS!$C$18)+F507,0)</f>
        <v>0</v>
      </c>
      <c r="N507" s="73">
        <f t="shared" ca="1" si="65"/>
        <v>0</v>
      </c>
      <c r="P507" s="164" t="str">
        <f t="shared" ca="1" si="58"/>
        <v/>
      </c>
      <c r="Q507" s="140" t="str">
        <f ca="1">IF(C507="","",Q506+(E507+H507-IF(RESULTADOS!$C$17="Normal",I507,0)-J507)/2+(F507+G507-IF(RESULTADOS!$C$17="Normal",0,I507)))</f>
        <v/>
      </c>
      <c r="R507" s="140" t="str">
        <f ca="1">IF(C507="","",R506+(E507+H507-IF(RESULTADOS!$C$17="Normal",I507,0)-J507)/2)</f>
        <v/>
      </c>
      <c r="S507" s="140">
        <f t="shared" ca="1" si="60"/>
        <v>0</v>
      </c>
      <c r="U507" s="164" t="str">
        <f t="shared" ca="1" si="61"/>
        <v/>
      </c>
      <c r="V507" s="164" t="str">
        <f t="shared" ca="1" si="59"/>
        <v/>
      </c>
      <c r="W507" s="140">
        <f ca="1">IF(OR((W506-13/12*Z506)*(1+PREMISSAS!$C$16)&lt;0,W506=""),0,(W506-13/12*Z506)*(1+PREMISSAS!$C$16))</f>
        <v>0</v>
      </c>
      <c r="X507" s="140">
        <f ca="1">IF(OR((X506-13/12*AA506)*(1+PREMISSAS!$C$16)&lt;0,X506=""),0,(X506-13/12*AA506)*(1+PREMISSAS!$C$16))</f>
        <v>0</v>
      </c>
      <c r="Y507" s="140">
        <f t="shared" ref="Y507:Y527" ca="1" si="66">SUM(W507:X507)</f>
        <v>0</v>
      </c>
      <c r="Z507" s="167">
        <f t="shared" ca="1" si="62"/>
        <v>0</v>
      </c>
      <c r="AA507" s="167">
        <f t="shared" ca="1" si="63"/>
        <v>0</v>
      </c>
    </row>
    <row r="508" spans="2:27" x14ac:dyDescent="0.25">
      <c r="B508" s="21" t="str">
        <f ca="1">IF(B507="","",IF(EOMONTH(B507,1)&gt;EOMONTH(ELEGIBILIDADE!$J$17,0),"",EOMONTH(B507,1)))</f>
        <v/>
      </c>
      <c r="C508" s="22" t="str">
        <f ca="1">IF(B508="","",IF(MONTH(B508)=1,C507*(1+PREMISSAS!$C$57),C507))</f>
        <v/>
      </c>
      <c r="D508" s="22">
        <f ca="1">IF(RESULTADOS!$C$17="Normal",IFERROR(MAX(C508-PREMISSAS!$C$13,0),0),IF(Painel!$I$23=0,0,MAX(10*PREMISSAS!$C$38,RESULTADOS!$F$17)))</f>
        <v>0</v>
      </c>
      <c r="E508" s="4">
        <f ca="1">D508*IF(RESULTADOS!$C$17="Normal",RESULTADOS!$C$16,0)</f>
        <v>0</v>
      </c>
      <c r="F508" s="4">
        <f ca="1">IFERROR(IF(RESULTADOS!$C$17="Normal",D508,C508)*RESULTADOS!$C$18,0)</f>
        <v>0</v>
      </c>
      <c r="G508" s="4">
        <f ca="1">IFERROR(IF(RESULTADOS!$C$17="Normal",0,D508)*IF(RESULTADOS!$C$17="Normal",RESULTADOS!$C$18,RESULTADOS!$C$16),0)</f>
        <v>0</v>
      </c>
      <c r="H508" s="4">
        <f ca="1">IF(RESULTADOS!$C$17="Normal",E508,0)</f>
        <v>0</v>
      </c>
      <c r="I508" s="4">
        <f ca="1">(E508+H508+G508)*PREMISSAS!$C$60</f>
        <v>0</v>
      </c>
      <c r="J508" s="4">
        <f ca="1">D508*IF(RESULTADOS!$C$17="Normal",PREMISSAS!$C$62,0)</f>
        <v>0</v>
      </c>
      <c r="K508" s="116">
        <f ca="1">IFERROR(K507*(1+PREMISSAS!$C$18)+(E508+H508-IF(RESULTADOS!$C$17="Normal",I508,0)-J508)*IF(MONTH(B508)=12,2,1),0)</f>
        <v>0</v>
      </c>
      <c r="L508" s="116">
        <f ca="1">IFERROR((L507+G508-IF(RESULTADOS!$C$17="Normal",0,I508))*(1+PREMISSAS!$C$18)+F508,0)</f>
        <v>0</v>
      </c>
      <c r="N508" s="73">
        <f t="shared" ca="1" si="65"/>
        <v>0</v>
      </c>
      <c r="P508" s="164" t="str">
        <f t="shared" ca="1" si="58"/>
        <v/>
      </c>
      <c r="Q508" s="140" t="str">
        <f ca="1">IF(C508="","",Q507+(E508+H508-IF(RESULTADOS!$C$17="Normal",I508,0)-J508)/2+(F508+G508-IF(RESULTADOS!$C$17="Normal",0,I508)))</f>
        <v/>
      </c>
      <c r="R508" s="140" t="str">
        <f ca="1">IF(C508="","",R507+(E508+H508-IF(RESULTADOS!$C$17="Normal",I508,0)-J508)/2)</f>
        <v/>
      </c>
      <c r="S508" s="140">
        <f t="shared" ca="1" si="60"/>
        <v>0</v>
      </c>
      <c r="U508" s="164" t="str">
        <f t="shared" ca="1" si="61"/>
        <v/>
      </c>
      <c r="V508" s="164" t="str">
        <f t="shared" ca="1" si="59"/>
        <v/>
      </c>
      <c r="W508" s="140">
        <f ca="1">IF(OR((W507-13/12*Z507)*(1+PREMISSAS!$C$16)&lt;0,W507=""),0,(W507-13/12*Z507)*(1+PREMISSAS!$C$16))</f>
        <v>0</v>
      </c>
      <c r="X508" s="140">
        <f ca="1">IF(OR((X507-13/12*AA507)*(1+PREMISSAS!$C$16)&lt;0,X507=""),0,(X507-13/12*AA507)*(1+PREMISSAS!$C$16))</f>
        <v>0</v>
      </c>
      <c r="Y508" s="140">
        <f t="shared" ca="1" si="66"/>
        <v>0</v>
      </c>
      <c r="Z508" s="167">
        <f t="shared" ca="1" si="62"/>
        <v>0</v>
      </c>
      <c r="AA508" s="167">
        <f t="shared" ca="1" si="63"/>
        <v>0</v>
      </c>
    </row>
    <row r="509" spans="2:27" x14ac:dyDescent="0.25">
      <c r="B509" s="21" t="str">
        <f ca="1">IF(B508="","",IF(EOMONTH(B508,1)&gt;EOMONTH(ELEGIBILIDADE!$J$17,0),"",EOMONTH(B508,1)))</f>
        <v/>
      </c>
      <c r="C509" s="22" t="str">
        <f ca="1">IF(B509="","",IF(MONTH(B509)=1,C508*(1+PREMISSAS!$C$57),C508))</f>
        <v/>
      </c>
      <c r="D509" s="22">
        <f ca="1">IF(RESULTADOS!$C$17="Normal",IFERROR(MAX(C509-PREMISSAS!$C$13,0),0),IF(Painel!$I$23=0,0,MAX(10*PREMISSAS!$C$38,RESULTADOS!$F$17)))</f>
        <v>0</v>
      </c>
      <c r="E509" s="4">
        <f ca="1">D509*IF(RESULTADOS!$C$17="Normal",RESULTADOS!$C$16,0)</f>
        <v>0</v>
      </c>
      <c r="F509" s="4">
        <f ca="1">IFERROR(IF(RESULTADOS!$C$17="Normal",D509,C509)*RESULTADOS!$C$18,0)</f>
        <v>0</v>
      </c>
      <c r="G509" s="4">
        <f ca="1">IFERROR(IF(RESULTADOS!$C$17="Normal",0,D509)*IF(RESULTADOS!$C$17="Normal",RESULTADOS!$C$18,RESULTADOS!$C$16),0)</f>
        <v>0</v>
      </c>
      <c r="H509" s="4">
        <f ca="1">IF(RESULTADOS!$C$17="Normal",E509,0)</f>
        <v>0</v>
      </c>
      <c r="I509" s="4">
        <f ca="1">(E509+H509+G509)*PREMISSAS!$C$60</f>
        <v>0</v>
      </c>
      <c r="J509" s="4">
        <f ca="1">D509*IF(RESULTADOS!$C$17="Normal",PREMISSAS!$C$62,0)</f>
        <v>0</v>
      </c>
      <c r="K509" s="116">
        <f ca="1">IFERROR(K508*(1+PREMISSAS!$C$18)+(E509+H509-IF(RESULTADOS!$C$17="Normal",I509,0)-J509)*IF(MONTH(B509)=12,2,1),0)</f>
        <v>0</v>
      </c>
      <c r="L509" s="116">
        <f ca="1">IFERROR((L508+G509-IF(RESULTADOS!$C$17="Normal",0,I509))*(1+PREMISSAS!$C$18)+F509,0)</f>
        <v>0</v>
      </c>
      <c r="N509" s="73">
        <f t="shared" ca="1" si="65"/>
        <v>0</v>
      </c>
      <c r="P509" s="164" t="str">
        <f t="shared" ca="1" si="58"/>
        <v/>
      </c>
      <c r="Q509" s="140" t="str">
        <f ca="1">IF(C509="","",Q508+(E509+H509-IF(RESULTADOS!$C$17="Normal",I509,0)-J509)/2+(F509+G509-IF(RESULTADOS!$C$17="Normal",0,I509)))</f>
        <v/>
      </c>
      <c r="R509" s="140" t="str">
        <f ca="1">IF(C509="","",R508+(E509+H509-IF(RESULTADOS!$C$17="Normal",I509,0)-J509)/2)</f>
        <v/>
      </c>
      <c r="S509" s="140">
        <f t="shared" ca="1" si="60"/>
        <v>0</v>
      </c>
      <c r="U509" s="164" t="str">
        <f t="shared" ca="1" si="61"/>
        <v/>
      </c>
      <c r="V509" s="164" t="str">
        <f t="shared" ca="1" si="59"/>
        <v/>
      </c>
      <c r="W509" s="140">
        <f ca="1">IF(OR((W508-13/12*Z508)*(1+PREMISSAS!$C$16)&lt;0,W508=""),0,(W508-13/12*Z508)*(1+PREMISSAS!$C$16))</f>
        <v>0</v>
      </c>
      <c r="X509" s="140">
        <f ca="1">IF(OR((X508-13/12*AA508)*(1+PREMISSAS!$C$16)&lt;0,X508=""),0,(X508-13/12*AA508)*(1+PREMISSAS!$C$16))</f>
        <v>0</v>
      </c>
      <c r="Y509" s="140">
        <f t="shared" ca="1" si="66"/>
        <v>0</v>
      </c>
      <c r="Z509" s="167">
        <f t="shared" ca="1" si="62"/>
        <v>0</v>
      </c>
      <c r="AA509" s="167">
        <f t="shared" ca="1" si="63"/>
        <v>0</v>
      </c>
    </row>
    <row r="510" spans="2:27" x14ac:dyDescent="0.25">
      <c r="B510" s="21" t="str">
        <f ca="1">IF(B509="","",IF(EOMONTH(B509,1)&gt;EOMONTH(ELEGIBILIDADE!$J$17,0),"",EOMONTH(B509,1)))</f>
        <v/>
      </c>
      <c r="C510" s="22" t="str">
        <f ca="1">IF(B510="","",IF(MONTH(B510)=1,C509*(1+PREMISSAS!$C$57),C509))</f>
        <v/>
      </c>
      <c r="D510" s="22">
        <f ca="1">IF(RESULTADOS!$C$17="Normal",IFERROR(MAX(C510-PREMISSAS!$C$13,0),0),IF(Painel!$I$23=0,0,MAX(10*PREMISSAS!$C$38,RESULTADOS!$F$17)))</f>
        <v>0</v>
      </c>
      <c r="E510" s="4">
        <f ca="1">D510*IF(RESULTADOS!$C$17="Normal",RESULTADOS!$C$16,0)</f>
        <v>0</v>
      </c>
      <c r="F510" s="4">
        <f ca="1">IFERROR(IF(RESULTADOS!$C$17="Normal",D510,C510)*RESULTADOS!$C$18,0)</f>
        <v>0</v>
      </c>
      <c r="G510" s="4">
        <f ca="1">IFERROR(IF(RESULTADOS!$C$17="Normal",0,D510)*IF(RESULTADOS!$C$17="Normal",RESULTADOS!$C$18,RESULTADOS!$C$16),0)</f>
        <v>0</v>
      </c>
      <c r="H510" s="4">
        <f ca="1">IF(RESULTADOS!$C$17="Normal",E510,0)</f>
        <v>0</v>
      </c>
      <c r="I510" s="4">
        <f ca="1">(E510+H510+G510)*PREMISSAS!$C$60</f>
        <v>0</v>
      </c>
      <c r="J510" s="4">
        <f ca="1">D510*IF(RESULTADOS!$C$17="Normal",PREMISSAS!$C$62,0)</f>
        <v>0</v>
      </c>
      <c r="K510" s="116">
        <f ca="1">IFERROR(K509*(1+PREMISSAS!$C$18)+(E510+H510-IF(RESULTADOS!$C$17="Normal",I510,0)-J510)*IF(MONTH(B510)=12,2,1),0)</f>
        <v>0</v>
      </c>
      <c r="L510" s="116">
        <f ca="1">IFERROR((L509+G510-IF(RESULTADOS!$C$17="Normal",0,I510))*(1+PREMISSAS!$C$18)+F510,0)</f>
        <v>0</v>
      </c>
      <c r="N510" s="73">
        <f t="shared" ca="1" si="65"/>
        <v>0</v>
      </c>
      <c r="P510" s="164" t="str">
        <f t="shared" ca="1" si="58"/>
        <v/>
      </c>
      <c r="Q510" s="140" t="str">
        <f ca="1">IF(C510="","",Q509+(E510+H510-IF(RESULTADOS!$C$17="Normal",I510,0)-J510)/2+(F510+G510-IF(RESULTADOS!$C$17="Normal",0,I510)))</f>
        <v/>
      </c>
      <c r="R510" s="140" t="str">
        <f ca="1">IF(C510="","",R509+(E510+H510-IF(RESULTADOS!$C$17="Normal",I510,0)-J510)/2)</f>
        <v/>
      </c>
      <c r="S510" s="140">
        <f t="shared" ca="1" si="60"/>
        <v>0</v>
      </c>
      <c r="U510" s="164" t="str">
        <f t="shared" ca="1" si="61"/>
        <v/>
      </c>
      <c r="V510" s="164" t="str">
        <f t="shared" ca="1" si="59"/>
        <v/>
      </c>
      <c r="W510" s="140">
        <f ca="1">IF(OR((W509-13/12*Z509)*(1+PREMISSAS!$C$16)&lt;0,W509=""),0,(W509-13/12*Z509)*(1+PREMISSAS!$C$16))</f>
        <v>0</v>
      </c>
      <c r="X510" s="140">
        <f ca="1">IF(OR((X509-13/12*AA509)*(1+PREMISSAS!$C$16)&lt;0,X509=""),0,(X509-13/12*AA509)*(1+PREMISSAS!$C$16))</f>
        <v>0</v>
      </c>
      <c r="Y510" s="140">
        <f t="shared" ca="1" si="66"/>
        <v>0</v>
      </c>
      <c r="Z510" s="167">
        <f t="shared" ca="1" si="62"/>
        <v>0</v>
      </c>
      <c r="AA510" s="167">
        <f t="shared" ca="1" si="63"/>
        <v>0</v>
      </c>
    </row>
    <row r="511" spans="2:27" x14ac:dyDescent="0.25">
      <c r="B511" s="21" t="str">
        <f ca="1">IF(B510="","",IF(EOMONTH(B510,1)&gt;EOMONTH(ELEGIBILIDADE!$J$17,0),"",EOMONTH(B510,1)))</f>
        <v/>
      </c>
      <c r="C511" s="22" t="str">
        <f ca="1">IF(B511="","",IF(MONTH(B511)=1,C510*(1+PREMISSAS!$C$57),C510))</f>
        <v/>
      </c>
      <c r="D511" s="22">
        <f ca="1">IF(RESULTADOS!$C$17="Normal",IFERROR(MAX(C511-PREMISSAS!$C$13,0),0),IF(Painel!$I$23=0,0,MAX(10*PREMISSAS!$C$38,RESULTADOS!$F$17)))</f>
        <v>0</v>
      </c>
      <c r="E511" s="4">
        <f ca="1">D511*IF(RESULTADOS!$C$17="Normal",RESULTADOS!$C$16,0)</f>
        <v>0</v>
      </c>
      <c r="F511" s="4">
        <f ca="1">IFERROR(IF(RESULTADOS!$C$17="Normal",D511,C511)*RESULTADOS!$C$18,0)</f>
        <v>0</v>
      </c>
      <c r="G511" s="4">
        <f ca="1">IFERROR(IF(RESULTADOS!$C$17="Normal",0,D511)*IF(RESULTADOS!$C$17="Normal",RESULTADOS!$C$18,RESULTADOS!$C$16),0)</f>
        <v>0</v>
      </c>
      <c r="H511" s="4">
        <f ca="1">IF(RESULTADOS!$C$17="Normal",E511,0)</f>
        <v>0</v>
      </c>
      <c r="I511" s="4">
        <f ca="1">(E511+H511+G511)*PREMISSAS!$C$60</f>
        <v>0</v>
      </c>
      <c r="J511" s="4">
        <f ca="1">D511*IF(RESULTADOS!$C$17="Normal",PREMISSAS!$C$62,0)</f>
        <v>0</v>
      </c>
      <c r="K511" s="116">
        <f ca="1">IFERROR(K510*(1+PREMISSAS!$C$18)+(E511+H511-IF(RESULTADOS!$C$17="Normal",I511,0)-J511)*IF(MONTH(B511)=12,2,1),0)</f>
        <v>0</v>
      </c>
      <c r="L511" s="116">
        <f ca="1">IFERROR((L510+G511-IF(RESULTADOS!$C$17="Normal",0,I511))*(1+PREMISSAS!$C$18)+F511,0)</f>
        <v>0</v>
      </c>
      <c r="N511" s="73">
        <f t="shared" ca="1" si="65"/>
        <v>0</v>
      </c>
      <c r="P511" s="164" t="str">
        <f t="shared" ca="1" si="58"/>
        <v/>
      </c>
      <c r="Q511" s="140" t="str">
        <f ca="1">IF(C511="","",Q510+(E511+H511-IF(RESULTADOS!$C$17="Normal",I511,0)-J511)/2+(F511+G511-IF(RESULTADOS!$C$17="Normal",0,I511)))</f>
        <v/>
      </c>
      <c r="R511" s="140" t="str">
        <f ca="1">IF(C511="","",R510+(E511+H511-IF(RESULTADOS!$C$17="Normal",I511,0)-J511)/2)</f>
        <v/>
      </c>
      <c r="S511" s="140">
        <f t="shared" ca="1" si="60"/>
        <v>0</v>
      </c>
      <c r="U511" s="164" t="str">
        <f t="shared" ca="1" si="61"/>
        <v/>
      </c>
      <c r="V511" s="164" t="str">
        <f t="shared" ca="1" si="59"/>
        <v/>
      </c>
      <c r="W511" s="140">
        <f ca="1">IF(OR((W510-13/12*Z510)*(1+PREMISSAS!$C$16)&lt;0,W510=""),0,(W510-13/12*Z510)*(1+PREMISSAS!$C$16))</f>
        <v>0</v>
      </c>
      <c r="X511" s="140">
        <f ca="1">IF(OR((X510-13/12*AA510)*(1+PREMISSAS!$C$16)&lt;0,X510=""),0,(X510-13/12*AA510)*(1+PREMISSAS!$C$16))</f>
        <v>0</v>
      </c>
      <c r="Y511" s="140">
        <f t="shared" ca="1" si="66"/>
        <v>0</v>
      </c>
      <c r="Z511" s="167">
        <f t="shared" ca="1" si="62"/>
        <v>0</v>
      </c>
      <c r="AA511" s="167">
        <f t="shared" ca="1" si="63"/>
        <v>0</v>
      </c>
    </row>
    <row r="512" spans="2:27" x14ac:dyDescent="0.25">
      <c r="B512" s="21" t="str">
        <f ca="1">IF(B511="","",IF(EOMONTH(B511,1)&gt;EOMONTH(ELEGIBILIDADE!$J$17,0),"",EOMONTH(B511,1)))</f>
        <v/>
      </c>
      <c r="C512" s="22" t="str">
        <f ca="1">IF(B512="","",IF(MONTH(B512)=1,C511*(1+PREMISSAS!$C$57),C511))</f>
        <v/>
      </c>
      <c r="D512" s="22">
        <f ca="1">IF(RESULTADOS!$C$17="Normal",IFERROR(MAX(C512-PREMISSAS!$C$13,0),0),IF(Painel!$I$23=0,0,MAX(10*PREMISSAS!$C$38,RESULTADOS!$F$17)))</f>
        <v>0</v>
      </c>
      <c r="E512" s="4">
        <f ca="1">D512*IF(RESULTADOS!$C$17="Normal",RESULTADOS!$C$16,0)</f>
        <v>0</v>
      </c>
      <c r="F512" s="4">
        <f ca="1">IFERROR(IF(RESULTADOS!$C$17="Normal",D512,C512)*RESULTADOS!$C$18,0)</f>
        <v>0</v>
      </c>
      <c r="G512" s="4">
        <f ca="1">IFERROR(IF(RESULTADOS!$C$17="Normal",0,D512)*IF(RESULTADOS!$C$17="Normal",RESULTADOS!$C$18,RESULTADOS!$C$16),0)</f>
        <v>0</v>
      </c>
      <c r="H512" s="4">
        <f ca="1">IF(RESULTADOS!$C$17="Normal",E512,0)</f>
        <v>0</v>
      </c>
      <c r="I512" s="4">
        <f ca="1">(E512+H512+G512)*PREMISSAS!$C$60</f>
        <v>0</v>
      </c>
      <c r="J512" s="4">
        <f ca="1">D512*IF(RESULTADOS!$C$17="Normal",PREMISSAS!$C$62,0)</f>
        <v>0</v>
      </c>
      <c r="K512" s="116">
        <f ca="1">IFERROR(K511*(1+PREMISSAS!$C$18)+(E512+H512-IF(RESULTADOS!$C$17="Normal",I512,0)-J512)*IF(MONTH(B512)=12,2,1),0)</f>
        <v>0</v>
      </c>
      <c r="L512" s="116">
        <f ca="1">IFERROR((L511+G512-IF(RESULTADOS!$C$17="Normal",0,I512))*(1+PREMISSAS!$C$18)+F512,0)</f>
        <v>0</v>
      </c>
      <c r="N512" s="73">
        <f t="shared" ca="1" si="65"/>
        <v>0</v>
      </c>
      <c r="P512" s="164" t="str">
        <f t="shared" ca="1" si="58"/>
        <v/>
      </c>
      <c r="Q512" s="140" t="str">
        <f ca="1">IF(C512="","",Q511+(E512+H512-IF(RESULTADOS!$C$17="Normal",I512,0)-J512)/2+(F512+G512-IF(RESULTADOS!$C$17="Normal",0,I512)))</f>
        <v/>
      </c>
      <c r="R512" s="140" t="str">
        <f ca="1">IF(C512="","",R511+(E512+H512-IF(RESULTADOS!$C$17="Normal",I512,0)-J512)/2)</f>
        <v/>
      </c>
      <c r="S512" s="140">
        <f t="shared" ca="1" si="60"/>
        <v>0</v>
      </c>
      <c r="U512" s="164" t="str">
        <f t="shared" ca="1" si="61"/>
        <v/>
      </c>
      <c r="V512" s="164" t="str">
        <f t="shared" ca="1" si="59"/>
        <v/>
      </c>
      <c r="W512" s="140">
        <f ca="1">IF(OR((W511-13/12*Z511)*(1+PREMISSAS!$C$16)&lt;0,W511=""),0,(W511-13/12*Z511)*(1+PREMISSAS!$C$16))</f>
        <v>0</v>
      </c>
      <c r="X512" s="140">
        <f ca="1">IF(OR((X511-13/12*AA511)*(1+PREMISSAS!$C$16)&lt;0,X511=""),0,(X511-13/12*AA511)*(1+PREMISSAS!$C$16))</f>
        <v>0</v>
      </c>
      <c r="Y512" s="140">
        <f t="shared" ca="1" si="66"/>
        <v>0</v>
      </c>
      <c r="Z512" s="167">
        <f t="shared" ca="1" si="62"/>
        <v>0</v>
      </c>
      <c r="AA512" s="167">
        <f t="shared" ca="1" si="63"/>
        <v>0</v>
      </c>
    </row>
    <row r="513" spans="2:27" x14ac:dyDescent="0.25">
      <c r="B513" s="21" t="str">
        <f ca="1">IF(B512="","",IF(EOMONTH(B512,1)&gt;EOMONTH(ELEGIBILIDADE!$J$17,0),"",EOMONTH(B512,1)))</f>
        <v/>
      </c>
      <c r="C513" s="22" t="str">
        <f ca="1">IF(B513="","",IF(MONTH(B513)=1,C512*(1+PREMISSAS!$C$57),C512))</f>
        <v/>
      </c>
      <c r="D513" s="22">
        <f ca="1">IF(RESULTADOS!$C$17="Normal",IFERROR(MAX(C513-PREMISSAS!$C$13,0),0),IF(Painel!$I$23=0,0,MAX(10*PREMISSAS!$C$38,RESULTADOS!$F$17)))</f>
        <v>0</v>
      </c>
      <c r="E513" s="4">
        <f ca="1">D513*IF(RESULTADOS!$C$17="Normal",RESULTADOS!$C$16,0)</f>
        <v>0</v>
      </c>
      <c r="F513" s="4">
        <f ca="1">IFERROR(IF(RESULTADOS!$C$17="Normal",D513,C513)*RESULTADOS!$C$18,0)</f>
        <v>0</v>
      </c>
      <c r="G513" s="4">
        <f ca="1">IFERROR(IF(RESULTADOS!$C$17="Normal",0,D513)*IF(RESULTADOS!$C$17="Normal",RESULTADOS!$C$18,RESULTADOS!$C$16),0)</f>
        <v>0</v>
      </c>
      <c r="H513" s="4">
        <f ca="1">IF(RESULTADOS!$C$17="Normal",E513,0)</f>
        <v>0</v>
      </c>
      <c r="I513" s="4">
        <f ca="1">(E513+H513+G513)*PREMISSAS!$C$60</f>
        <v>0</v>
      </c>
      <c r="J513" s="4">
        <f ca="1">D513*IF(RESULTADOS!$C$17="Normal",PREMISSAS!$C$62,0)</f>
        <v>0</v>
      </c>
      <c r="K513" s="116">
        <f ca="1">IFERROR(K512*(1+PREMISSAS!$C$18)+(E513+H513-IF(RESULTADOS!$C$17="Normal",I513,0)-J513)*IF(MONTH(B513)=12,2,1),0)</f>
        <v>0</v>
      </c>
      <c r="L513" s="116">
        <f ca="1">IFERROR((L512+G513-IF(RESULTADOS!$C$17="Normal",0,I513))*(1+PREMISSAS!$C$18)+F513,0)</f>
        <v>0</v>
      </c>
      <c r="N513" s="73">
        <f t="shared" ca="1" si="65"/>
        <v>0</v>
      </c>
      <c r="P513" s="164" t="str">
        <f t="shared" ca="1" si="58"/>
        <v/>
      </c>
      <c r="Q513" s="140" t="str">
        <f ca="1">IF(C513="","",Q512+(E513+H513-IF(RESULTADOS!$C$17="Normal",I513,0)-J513)/2+(F513+G513-IF(RESULTADOS!$C$17="Normal",0,I513)))</f>
        <v/>
      </c>
      <c r="R513" s="140" t="str">
        <f ca="1">IF(C513="","",R512+(E513+H513-IF(RESULTADOS!$C$17="Normal",I513,0)-J513)/2)</f>
        <v/>
      </c>
      <c r="S513" s="140">
        <f t="shared" ca="1" si="60"/>
        <v>0</v>
      </c>
      <c r="U513" s="164" t="str">
        <f t="shared" ca="1" si="61"/>
        <v/>
      </c>
      <c r="V513" s="164" t="str">
        <f t="shared" ca="1" si="59"/>
        <v/>
      </c>
      <c r="W513" s="140">
        <f ca="1">IF(OR((W512-13/12*Z512)*(1+PREMISSAS!$C$16)&lt;0,W512=""),0,(W512-13/12*Z512)*(1+PREMISSAS!$C$16))</f>
        <v>0</v>
      </c>
      <c r="X513" s="140">
        <f ca="1">IF(OR((X512-13/12*AA512)*(1+PREMISSAS!$C$16)&lt;0,X512=""),0,(X512-13/12*AA512)*(1+PREMISSAS!$C$16))</f>
        <v>0</v>
      </c>
      <c r="Y513" s="140">
        <f t="shared" ca="1" si="66"/>
        <v>0</v>
      </c>
      <c r="Z513" s="167">
        <f t="shared" ca="1" si="62"/>
        <v>0</v>
      </c>
      <c r="AA513" s="167">
        <f t="shared" ca="1" si="63"/>
        <v>0</v>
      </c>
    </row>
    <row r="514" spans="2:27" x14ac:dyDescent="0.25">
      <c r="B514" s="21" t="str">
        <f ca="1">IF(B513="","",IF(EOMONTH(B513,1)&gt;EOMONTH(ELEGIBILIDADE!$J$17,0),"",EOMONTH(B513,1)))</f>
        <v/>
      </c>
      <c r="C514" s="22" t="str">
        <f ca="1">IF(B514="","",IF(MONTH(B514)=1,C513*(1+PREMISSAS!$C$57),C513))</f>
        <v/>
      </c>
      <c r="D514" s="22">
        <f ca="1">IF(RESULTADOS!$C$17="Normal",IFERROR(MAX(C514-PREMISSAS!$C$13,0),0),IF(Painel!$I$23=0,0,MAX(10*PREMISSAS!$C$38,RESULTADOS!$F$17)))</f>
        <v>0</v>
      </c>
      <c r="E514" s="4">
        <f ca="1">D514*IF(RESULTADOS!$C$17="Normal",RESULTADOS!$C$16,0)</f>
        <v>0</v>
      </c>
      <c r="F514" s="4">
        <f ca="1">IFERROR(IF(RESULTADOS!$C$17="Normal",D514,C514)*RESULTADOS!$C$18,0)</f>
        <v>0</v>
      </c>
      <c r="G514" s="4">
        <f ca="1">IFERROR(IF(RESULTADOS!$C$17="Normal",0,D514)*IF(RESULTADOS!$C$17="Normal",RESULTADOS!$C$18,RESULTADOS!$C$16),0)</f>
        <v>0</v>
      </c>
      <c r="H514" s="4">
        <f ca="1">IF(RESULTADOS!$C$17="Normal",E514,0)</f>
        <v>0</v>
      </c>
      <c r="I514" s="4">
        <f ca="1">(E514+H514+G514)*PREMISSAS!$C$60</f>
        <v>0</v>
      </c>
      <c r="J514" s="4">
        <f ca="1">D514*IF(RESULTADOS!$C$17="Normal",PREMISSAS!$C$62,0)</f>
        <v>0</v>
      </c>
      <c r="K514" s="116">
        <f ca="1">IFERROR(K513*(1+PREMISSAS!$C$18)+(E514+H514-IF(RESULTADOS!$C$17="Normal",I514,0)-J514)*IF(MONTH(B514)=12,2,1),0)</f>
        <v>0</v>
      </c>
      <c r="L514" s="116">
        <f ca="1">IFERROR((L513+G514-IF(RESULTADOS!$C$17="Normal",0,I514))*(1+PREMISSAS!$C$18)+F514,0)</f>
        <v>0</v>
      </c>
      <c r="N514" s="73">
        <f t="shared" ca="1" si="65"/>
        <v>0</v>
      </c>
      <c r="P514" s="164" t="str">
        <f t="shared" ca="1" si="58"/>
        <v/>
      </c>
      <c r="Q514" s="140" t="str">
        <f ca="1">IF(C514="","",Q513+(E514+H514-IF(RESULTADOS!$C$17="Normal",I514,0)-J514)/2+(F514+G514-IF(RESULTADOS!$C$17="Normal",0,I514)))</f>
        <v/>
      </c>
      <c r="R514" s="140" t="str">
        <f ca="1">IF(C514="","",R513+(E514+H514-IF(RESULTADOS!$C$17="Normal",I514,0)-J514)/2)</f>
        <v/>
      </c>
      <c r="S514" s="140">
        <f t="shared" ca="1" si="60"/>
        <v>0</v>
      </c>
      <c r="U514" s="164" t="str">
        <f t="shared" ca="1" si="61"/>
        <v/>
      </c>
      <c r="V514" s="164" t="str">
        <f t="shared" ca="1" si="59"/>
        <v/>
      </c>
      <c r="W514" s="140">
        <f ca="1">IF(OR((W513-13/12*Z513)*(1+PREMISSAS!$C$16)&lt;0,W513=""),0,(W513-13/12*Z513)*(1+PREMISSAS!$C$16))</f>
        <v>0</v>
      </c>
      <c r="X514" s="140">
        <f ca="1">IF(OR((X513-13/12*AA513)*(1+PREMISSAS!$C$16)&lt;0,X513=""),0,(X513-13/12*AA513)*(1+PREMISSAS!$C$16))</f>
        <v>0</v>
      </c>
      <c r="Y514" s="140">
        <f t="shared" ca="1" si="66"/>
        <v>0</v>
      </c>
      <c r="Z514" s="167">
        <f t="shared" ca="1" si="62"/>
        <v>0</v>
      </c>
      <c r="AA514" s="167">
        <f t="shared" ca="1" si="63"/>
        <v>0</v>
      </c>
    </row>
    <row r="515" spans="2:27" x14ac:dyDescent="0.25">
      <c r="B515" s="21" t="str">
        <f ca="1">IF(B514="","",IF(EOMONTH(B514,1)&gt;EOMONTH(ELEGIBILIDADE!$J$17,0),"",EOMONTH(B514,1)))</f>
        <v/>
      </c>
      <c r="C515" s="22" t="str">
        <f ca="1">IF(B515="","",IF(MONTH(B515)=1,C514*(1+PREMISSAS!$C$57),C514))</f>
        <v/>
      </c>
      <c r="D515" s="22">
        <f ca="1">IF(RESULTADOS!$C$17="Normal",IFERROR(MAX(C515-PREMISSAS!$C$13,0),0),IF(Painel!$I$23=0,0,MAX(10*PREMISSAS!$C$38,RESULTADOS!$F$17)))</f>
        <v>0</v>
      </c>
      <c r="E515" s="4">
        <f ca="1">D515*IF(RESULTADOS!$C$17="Normal",RESULTADOS!$C$16,0)</f>
        <v>0</v>
      </c>
      <c r="F515" s="4">
        <f ca="1">IFERROR(IF(RESULTADOS!$C$17="Normal",D515,C515)*RESULTADOS!$C$18,0)</f>
        <v>0</v>
      </c>
      <c r="G515" s="4">
        <f ca="1">IFERROR(IF(RESULTADOS!$C$17="Normal",0,D515)*IF(RESULTADOS!$C$17="Normal",RESULTADOS!$C$18,RESULTADOS!$C$16),0)</f>
        <v>0</v>
      </c>
      <c r="H515" s="4">
        <f ca="1">IF(RESULTADOS!$C$17="Normal",E515,0)</f>
        <v>0</v>
      </c>
      <c r="I515" s="4">
        <f ca="1">(E515+H515+G515)*PREMISSAS!$C$60</f>
        <v>0</v>
      </c>
      <c r="J515" s="4">
        <f ca="1">D515*IF(RESULTADOS!$C$17="Normal",PREMISSAS!$C$62,0)</f>
        <v>0</v>
      </c>
      <c r="K515" s="116">
        <f ca="1">IFERROR(K514*(1+PREMISSAS!$C$18)+(E515+H515-IF(RESULTADOS!$C$17="Normal",I515,0)-J515)*IF(MONTH(B515)=12,2,1),0)</f>
        <v>0</v>
      </c>
      <c r="L515" s="116">
        <f ca="1">IFERROR((L514+G515-IF(RESULTADOS!$C$17="Normal",0,I515))*(1+PREMISSAS!$C$18)+F515,0)</f>
        <v>0</v>
      </c>
      <c r="N515" s="73">
        <f t="shared" ca="1" si="65"/>
        <v>0</v>
      </c>
      <c r="P515" s="164" t="str">
        <f t="shared" ca="1" si="58"/>
        <v/>
      </c>
      <c r="Q515" s="140" t="str">
        <f ca="1">IF(C515="","",Q514+(E515+H515-IF(RESULTADOS!$C$17="Normal",I515,0)-J515)/2+(F515+G515-IF(RESULTADOS!$C$17="Normal",0,I515)))</f>
        <v/>
      </c>
      <c r="R515" s="140" t="str">
        <f ca="1">IF(C515="","",R514+(E515+H515-IF(RESULTADOS!$C$17="Normal",I515,0)-J515)/2)</f>
        <v/>
      </c>
      <c r="S515" s="140">
        <f t="shared" ca="1" si="60"/>
        <v>0</v>
      </c>
      <c r="U515" s="164" t="str">
        <f t="shared" ca="1" si="61"/>
        <v/>
      </c>
      <c r="V515" s="164" t="str">
        <f t="shared" ca="1" si="59"/>
        <v/>
      </c>
      <c r="W515" s="140">
        <f ca="1">IF(OR((W514-13/12*Z514)*(1+PREMISSAS!$C$16)&lt;0,W514=""),0,(W514-13/12*Z514)*(1+PREMISSAS!$C$16))</f>
        <v>0</v>
      </c>
      <c r="X515" s="140">
        <f ca="1">IF(OR((X514-13/12*AA514)*(1+PREMISSAS!$C$16)&lt;0,X514=""),0,(X514-13/12*AA514)*(1+PREMISSAS!$C$16))</f>
        <v>0</v>
      </c>
      <c r="Y515" s="140">
        <f t="shared" ca="1" si="66"/>
        <v>0</v>
      </c>
      <c r="Z515" s="167">
        <f t="shared" ca="1" si="62"/>
        <v>0</v>
      </c>
      <c r="AA515" s="167">
        <f t="shared" ca="1" si="63"/>
        <v>0</v>
      </c>
    </row>
    <row r="516" spans="2:27" x14ac:dyDescent="0.25">
      <c r="B516" s="21" t="str">
        <f ca="1">IF(B515="","",IF(EOMONTH(B515,1)&gt;EOMONTH(ELEGIBILIDADE!$J$17,0),"",EOMONTH(B515,1)))</f>
        <v/>
      </c>
      <c r="C516" s="22" t="str">
        <f ca="1">IF(B516="","",IF(MONTH(B516)=1,C515*(1+PREMISSAS!$C$57),C515))</f>
        <v/>
      </c>
      <c r="D516" s="22">
        <f ca="1">IF(RESULTADOS!$C$17="Normal",IFERROR(MAX(C516-PREMISSAS!$C$13,0),0),IF(Painel!$I$23=0,0,MAX(10*PREMISSAS!$C$38,RESULTADOS!$F$17)))</f>
        <v>0</v>
      </c>
      <c r="E516" s="4">
        <f ca="1">D516*IF(RESULTADOS!$C$17="Normal",RESULTADOS!$C$16,0)</f>
        <v>0</v>
      </c>
      <c r="F516" s="4">
        <f ca="1">IFERROR(IF(RESULTADOS!$C$17="Normal",D516,C516)*RESULTADOS!$C$18,0)</f>
        <v>0</v>
      </c>
      <c r="G516" s="4">
        <f ca="1">IFERROR(IF(RESULTADOS!$C$17="Normal",0,D516)*IF(RESULTADOS!$C$17="Normal",RESULTADOS!$C$18,RESULTADOS!$C$16),0)</f>
        <v>0</v>
      </c>
      <c r="H516" s="4">
        <f ca="1">IF(RESULTADOS!$C$17="Normal",E516,0)</f>
        <v>0</v>
      </c>
      <c r="I516" s="4">
        <f ca="1">(E516+H516+G516)*PREMISSAS!$C$60</f>
        <v>0</v>
      </c>
      <c r="J516" s="4">
        <f ca="1">D516*IF(RESULTADOS!$C$17="Normal",PREMISSAS!$C$62,0)</f>
        <v>0</v>
      </c>
      <c r="K516" s="116">
        <f ca="1">IFERROR(K515*(1+PREMISSAS!$C$18)+(E516+H516-IF(RESULTADOS!$C$17="Normal",I516,0)-J516)*IF(MONTH(B516)=12,2,1),0)</f>
        <v>0</v>
      </c>
      <c r="L516" s="116">
        <f ca="1">IFERROR((L515+G516-IF(RESULTADOS!$C$17="Normal",0,I516))*(1+PREMISSAS!$C$18)+F516,0)</f>
        <v>0</v>
      </c>
      <c r="N516" s="73">
        <f t="shared" ca="1" si="65"/>
        <v>0</v>
      </c>
      <c r="P516" s="164" t="str">
        <f t="shared" ca="1" si="58"/>
        <v/>
      </c>
      <c r="Q516" s="140" t="str">
        <f ca="1">IF(C516="","",Q515+(E516+H516-IF(RESULTADOS!$C$17="Normal",I516,0)-J516)/2+(F516+G516-IF(RESULTADOS!$C$17="Normal",0,I516)))</f>
        <v/>
      </c>
      <c r="R516" s="140" t="str">
        <f ca="1">IF(C516="","",R515+(E516+H516-IF(RESULTADOS!$C$17="Normal",I516,0)-J516)/2)</f>
        <v/>
      </c>
      <c r="S516" s="140">
        <f t="shared" ca="1" si="60"/>
        <v>0</v>
      </c>
      <c r="U516" s="164" t="str">
        <f t="shared" ca="1" si="61"/>
        <v/>
      </c>
      <c r="V516" s="164" t="str">
        <f t="shared" ca="1" si="59"/>
        <v/>
      </c>
      <c r="W516" s="140">
        <f ca="1">IF(OR((W515-13/12*Z515)*(1+PREMISSAS!$C$16)&lt;0,W515=""),0,(W515-13/12*Z515)*(1+PREMISSAS!$C$16))</f>
        <v>0</v>
      </c>
      <c r="X516" s="140">
        <f ca="1">IF(OR((X515-13/12*AA515)*(1+PREMISSAS!$C$16)&lt;0,X515=""),0,(X515-13/12*AA515)*(1+PREMISSAS!$C$16))</f>
        <v>0</v>
      </c>
      <c r="Y516" s="140">
        <f t="shared" ca="1" si="66"/>
        <v>0</v>
      </c>
      <c r="Z516" s="167">
        <f t="shared" ca="1" si="62"/>
        <v>0</v>
      </c>
      <c r="AA516" s="167">
        <f t="shared" ca="1" si="63"/>
        <v>0</v>
      </c>
    </row>
    <row r="517" spans="2:27" x14ac:dyDescent="0.25">
      <c r="B517" s="21" t="str">
        <f ca="1">IF(B516="","",IF(EOMONTH(B516,1)&gt;EOMONTH(ELEGIBILIDADE!$J$17,0),"",EOMONTH(B516,1)))</f>
        <v/>
      </c>
      <c r="C517" s="22" t="str">
        <f ca="1">IF(B517="","",IF(MONTH(B517)=1,C516*(1+PREMISSAS!$C$57),C516))</f>
        <v/>
      </c>
      <c r="D517" s="22">
        <f ca="1">IF(RESULTADOS!$C$17="Normal",IFERROR(MAX(C517-PREMISSAS!$C$13,0),0),IF(Painel!$I$23=0,0,MAX(10*PREMISSAS!$C$38,RESULTADOS!$F$17)))</f>
        <v>0</v>
      </c>
      <c r="E517" s="4">
        <f ca="1">D517*IF(RESULTADOS!$C$17="Normal",RESULTADOS!$C$16,0)</f>
        <v>0</v>
      </c>
      <c r="F517" s="4">
        <f ca="1">IFERROR(IF(RESULTADOS!$C$17="Normal",D517,C517)*RESULTADOS!$C$18,0)</f>
        <v>0</v>
      </c>
      <c r="G517" s="4">
        <f ca="1">IFERROR(IF(RESULTADOS!$C$17="Normal",0,D517)*IF(RESULTADOS!$C$17="Normal",RESULTADOS!$C$18,RESULTADOS!$C$16),0)</f>
        <v>0</v>
      </c>
      <c r="H517" s="4">
        <f ca="1">IF(RESULTADOS!$C$17="Normal",E517,0)</f>
        <v>0</v>
      </c>
      <c r="I517" s="4">
        <f ca="1">(E517+H517+G517)*PREMISSAS!$C$60</f>
        <v>0</v>
      </c>
      <c r="J517" s="4">
        <f ca="1">D517*IF(RESULTADOS!$C$17="Normal",PREMISSAS!$C$62,0)</f>
        <v>0</v>
      </c>
      <c r="K517" s="116">
        <f ca="1">IFERROR(K516*(1+PREMISSAS!$C$18)+(E517+H517-IF(RESULTADOS!$C$17="Normal",I517,0)-J517)*IF(MONTH(B517)=12,2,1),0)</f>
        <v>0</v>
      </c>
      <c r="L517" s="116">
        <f ca="1">IFERROR((L516+G517-IF(RESULTADOS!$C$17="Normal",0,I517))*(1+PREMISSAS!$C$18)+F517,0)</f>
        <v>0</v>
      </c>
      <c r="N517" s="73">
        <f t="shared" ca="1" si="65"/>
        <v>0</v>
      </c>
      <c r="P517" s="164" t="str">
        <f t="shared" ca="1" si="58"/>
        <v/>
      </c>
      <c r="Q517" s="140" t="str">
        <f ca="1">IF(C517="","",Q516+(E517+H517-IF(RESULTADOS!$C$17="Normal",I517,0)-J517)/2+(F517+G517-IF(RESULTADOS!$C$17="Normal",0,I517)))</f>
        <v/>
      </c>
      <c r="R517" s="140" t="str">
        <f ca="1">IF(C517="","",R516+(E517+H517-IF(RESULTADOS!$C$17="Normal",I517,0)-J517)/2)</f>
        <v/>
      </c>
      <c r="S517" s="140">
        <f t="shared" ca="1" si="60"/>
        <v>0</v>
      </c>
      <c r="U517" s="164" t="str">
        <f t="shared" ca="1" si="61"/>
        <v/>
      </c>
      <c r="V517" s="164" t="str">
        <f t="shared" ca="1" si="59"/>
        <v/>
      </c>
      <c r="W517" s="140">
        <f ca="1">IF(OR((W516-13/12*Z516)*(1+PREMISSAS!$C$16)&lt;0,W516=""),0,(W516-13/12*Z516)*(1+PREMISSAS!$C$16))</f>
        <v>0</v>
      </c>
      <c r="X517" s="140">
        <f ca="1">IF(OR((X516-13/12*AA516)*(1+PREMISSAS!$C$16)&lt;0,X516=""),0,(X516-13/12*AA516)*(1+PREMISSAS!$C$16))</f>
        <v>0</v>
      </c>
      <c r="Y517" s="140">
        <f t="shared" ca="1" si="66"/>
        <v>0</v>
      </c>
      <c r="Z517" s="167">
        <f t="shared" ca="1" si="62"/>
        <v>0</v>
      </c>
      <c r="AA517" s="167">
        <f t="shared" ca="1" si="63"/>
        <v>0</v>
      </c>
    </row>
    <row r="518" spans="2:27" x14ac:dyDescent="0.25">
      <c r="B518" s="21" t="str">
        <f ca="1">IF(B517="","",IF(EOMONTH(B517,1)&gt;EOMONTH(ELEGIBILIDADE!$J$17,0),"",EOMONTH(B517,1)))</f>
        <v/>
      </c>
      <c r="C518" s="22" t="str">
        <f ca="1">IF(B518="","",IF(MONTH(B518)=1,C517*(1+PREMISSAS!$C$57),C517))</f>
        <v/>
      </c>
      <c r="D518" s="22">
        <f ca="1">IF(RESULTADOS!$C$17="Normal",IFERROR(MAX(C518-PREMISSAS!$C$13,0),0),IF(Painel!$I$23=0,0,MAX(10*PREMISSAS!$C$38,RESULTADOS!$F$17)))</f>
        <v>0</v>
      </c>
      <c r="E518" s="4">
        <f ca="1">D518*IF(RESULTADOS!$C$17="Normal",RESULTADOS!$C$16,0)</f>
        <v>0</v>
      </c>
      <c r="F518" s="4">
        <f ca="1">IFERROR(IF(RESULTADOS!$C$17="Normal",D518,C518)*RESULTADOS!$C$18,0)</f>
        <v>0</v>
      </c>
      <c r="G518" s="4">
        <f ca="1">IFERROR(IF(RESULTADOS!$C$17="Normal",0,D518)*IF(RESULTADOS!$C$17="Normal",RESULTADOS!$C$18,RESULTADOS!$C$16),0)</f>
        <v>0</v>
      </c>
      <c r="H518" s="4">
        <f ca="1">IF(RESULTADOS!$C$17="Normal",E518,0)</f>
        <v>0</v>
      </c>
      <c r="I518" s="4">
        <f ca="1">(E518+H518+G518)*PREMISSAS!$C$60</f>
        <v>0</v>
      </c>
      <c r="J518" s="4">
        <f ca="1">D518*IF(RESULTADOS!$C$17="Normal",PREMISSAS!$C$62,0)</f>
        <v>0</v>
      </c>
      <c r="K518" s="116">
        <f ca="1">IFERROR(K517*(1+PREMISSAS!$C$18)+(E518+H518-IF(RESULTADOS!$C$17="Normal",I518,0)-J518)*IF(MONTH(B518)=12,2,1),0)</f>
        <v>0</v>
      </c>
      <c r="L518" s="116">
        <f ca="1">IFERROR((L517+G518-IF(RESULTADOS!$C$17="Normal",0,I518))*(1+PREMISSAS!$C$18)+F518,0)</f>
        <v>0</v>
      </c>
      <c r="N518" s="73">
        <f t="shared" ca="1" si="65"/>
        <v>0</v>
      </c>
      <c r="P518" s="164" t="str">
        <f t="shared" ref="P518:P527" ca="1" si="67">IF(C518="","",B518)</f>
        <v/>
      </c>
      <c r="Q518" s="140" t="str">
        <f ca="1">IF(C518="","",Q517+(E518+H518-IF(RESULTADOS!$C$17="Normal",I518,0)-J518)/2+(F518+G518-IF(RESULTADOS!$C$17="Normal",0,I518)))</f>
        <v/>
      </c>
      <c r="R518" s="140" t="str">
        <f ca="1">IF(C518="","",R517+(E518+H518-IF(RESULTADOS!$C$17="Normal",I518,0)-J518)/2)</f>
        <v/>
      </c>
      <c r="S518" s="140">
        <f t="shared" ca="1" si="60"/>
        <v>0</v>
      </c>
      <c r="U518" s="164" t="str">
        <f t="shared" ca="1" si="61"/>
        <v/>
      </c>
      <c r="V518" s="164" t="str">
        <f t="shared" ref="V518:V527" ca="1" si="68">IF(AA518&lt;&gt;"",U518,"")</f>
        <v/>
      </c>
      <c r="W518" s="140">
        <f ca="1">IF(OR((W517-13/12*Z517)*(1+PREMISSAS!$C$16)&lt;0,W517=""),0,(W517-13/12*Z517)*(1+PREMISSAS!$C$16))</f>
        <v>0</v>
      </c>
      <c r="X518" s="140">
        <f ca="1">IF(OR((X517-13/12*AA517)*(1+PREMISSAS!$C$16)&lt;0,X517=""),0,(X517-13/12*AA517)*(1+PREMISSAS!$C$16))</f>
        <v>0</v>
      </c>
      <c r="Y518" s="140">
        <f t="shared" ca="1" si="66"/>
        <v>0</v>
      </c>
      <c r="Z518" s="167">
        <f t="shared" ca="1" si="62"/>
        <v>0</v>
      </c>
      <c r="AA518" s="167">
        <f t="shared" ca="1" si="63"/>
        <v>0</v>
      </c>
    </row>
    <row r="519" spans="2:27" x14ac:dyDescent="0.25">
      <c r="B519" s="21" t="str">
        <f ca="1">IF(B518="","",IF(EOMONTH(B518,1)&gt;EOMONTH(ELEGIBILIDADE!$J$17,0),"",EOMONTH(B518,1)))</f>
        <v/>
      </c>
      <c r="C519" s="22" t="str">
        <f ca="1">IF(B519="","",IF(MONTH(B519)=1,C518*(1+PREMISSAS!$C$57),C518))</f>
        <v/>
      </c>
      <c r="D519" s="22">
        <f ca="1">IF(RESULTADOS!$C$17="Normal",IFERROR(MAX(C519-PREMISSAS!$C$13,0),0),IF(Painel!$I$23=0,0,MAX(10*PREMISSAS!$C$38,RESULTADOS!$F$17)))</f>
        <v>0</v>
      </c>
      <c r="E519" s="4">
        <f ca="1">D519*IF(RESULTADOS!$C$17="Normal",RESULTADOS!$C$16,0)</f>
        <v>0</v>
      </c>
      <c r="F519" s="4">
        <f ca="1">IFERROR(IF(RESULTADOS!$C$17="Normal",D519,C519)*RESULTADOS!$C$18,0)</f>
        <v>0</v>
      </c>
      <c r="G519" s="4">
        <f ca="1">IFERROR(IF(RESULTADOS!$C$17="Normal",0,D519)*IF(RESULTADOS!$C$17="Normal",RESULTADOS!$C$18,RESULTADOS!$C$16),0)</f>
        <v>0</v>
      </c>
      <c r="H519" s="4">
        <f ca="1">IF(RESULTADOS!$C$17="Normal",E519,0)</f>
        <v>0</v>
      </c>
      <c r="I519" s="4">
        <f ca="1">(E519+H519+G519)*PREMISSAS!$C$60</f>
        <v>0</v>
      </c>
      <c r="J519" s="4">
        <f ca="1">D519*IF(RESULTADOS!$C$17="Normal",PREMISSAS!$C$62,0)</f>
        <v>0</v>
      </c>
      <c r="K519" s="116">
        <f ca="1">IFERROR(K518*(1+PREMISSAS!$C$18)+(E519+H519-IF(RESULTADOS!$C$17="Normal",I519,0)-J519)*IF(MONTH(B519)=12,2,1),0)</f>
        <v>0</v>
      </c>
      <c r="L519" s="116">
        <f ca="1">IFERROR((L518+G519-IF(RESULTADOS!$C$17="Normal",0,I519))*(1+PREMISSAS!$C$18)+F519,0)</f>
        <v>0</v>
      </c>
      <c r="N519" s="73">
        <f t="shared" ca="1" si="65"/>
        <v>0</v>
      </c>
      <c r="P519" s="164" t="str">
        <f t="shared" ca="1" si="67"/>
        <v/>
      </c>
      <c r="Q519" s="140" t="str">
        <f ca="1">IF(C519="","",Q518+(E519+H519-IF(RESULTADOS!$C$17="Normal",I519,0)-J519)/2+(F519+G519-IF(RESULTADOS!$C$17="Normal",0,I519)))</f>
        <v/>
      </c>
      <c r="R519" s="140" t="str">
        <f ca="1">IF(C519="","",R518+(E519+H519-IF(RESULTADOS!$C$17="Normal",I519,0)-J519)/2)</f>
        <v/>
      </c>
      <c r="S519" s="140">
        <f t="shared" ref="S519:S527" ca="1" si="69">SUM(K519:L519)-SUM(Q519:R519)</f>
        <v>0</v>
      </c>
      <c r="U519" s="164" t="str">
        <f t="shared" ref="U519:U527" ca="1" si="70">IF(Y519=0,"",EOMONTH(U518,1))</f>
        <v/>
      </c>
      <c r="V519" s="164" t="str">
        <f t="shared" ca="1" si="68"/>
        <v/>
      </c>
      <c r="W519" s="140">
        <f ca="1">IF(OR((W518-13/12*Z518)*(1+PREMISSAS!$C$16)&lt;0,W518=""),0,(W518-13/12*Z518)*(1+PREMISSAS!$C$16))</f>
        <v>0</v>
      </c>
      <c r="X519" s="140">
        <f ca="1">IF(OR((X518-13/12*AA518)*(1+PREMISSAS!$C$16)&lt;0,X518=""),0,(X518-13/12*AA518)*(1+PREMISSAS!$C$16))</f>
        <v>0</v>
      </c>
      <c r="Y519" s="140">
        <f t="shared" ca="1" si="66"/>
        <v>0</v>
      </c>
      <c r="Z519" s="167">
        <f t="shared" ref="Z519:Z527" ca="1" si="71">IF(W519&lt;&gt;0,Z518,0)</f>
        <v>0</v>
      </c>
      <c r="AA519" s="167">
        <f t="shared" ref="AA519:AA582" ca="1" si="72">IF(X519&lt;&gt;0,AA518,0)</f>
        <v>0</v>
      </c>
    </row>
    <row r="520" spans="2:27" x14ac:dyDescent="0.25">
      <c r="B520" s="21" t="str">
        <f ca="1">IF(B519="","",IF(EOMONTH(B519,1)&gt;EOMONTH(ELEGIBILIDADE!$J$17,0),"",EOMONTH(B519,1)))</f>
        <v/>
      </c>
      <c r="C520" s="22" t="str">
        <f ca="1">IF(B520="","",IF(MONTH(B520)=1,C519*(1+PREMISSAS!$C$57),C519))</f>
        <v/>
      </c>
      <c r="D520" s="22">
        <f ca="1">IF(RESULTADOS!$C$17="Normal",IFERROR(MAX(C520-PREMISSAS!$C$13,0),0),IF(Painel!$I$23=0,0,MAX(10*PREMISSAS!$C$38,RESULTADOS!$F$17)))</f>
        <v>0</v>
      </c>
      <c r="E520" s="4">
        <f ca="1">D520*IF(RESULTADOS!$C$17="Normal",RESULTADOS!$C$16,0)</f>
        <v>0</v>
      </c>
      <c r="F520" s="4">
        <f ca="1">IFERROR(IF(RESULTADOS!$C$17="Normal",D520,C520)*RESULTADOS!$C$18,0)</f>
        <v>0</v>
      </c>
      <c r="G520" s="4">
        <f ca="1">IFERROR(IF(RESULTADOS!$C$17="Normal",0,D520)*IF(RESULTADOS!$C$17="Normal",RESULTADOS!$C$18,RESULTADOS!$C$16),0)</f>
        <v>0</v>
      </c>
      <c r="H520" s="4">
        <f ca="1">IF(RESULTADOS!$C$17="Normal",E520,0)</f>
        <v>0</v>
      </c>
      <c r="I520" s="4">
        <f ca="1">(E520+H520+G520)*PREMISSAS!$C$60</f>
        <v>0</v>
      </c>
      <c r="J520" s="4">
        <f ca="1">D520*IF(RESULTADOS!$C$17="Normal",PREMISSAS!$C$62,0)</f>
        <v>0</v>
      </c>
      <c r="K520" s="116">
        <f ca="1">IFERROR(K519*(1+PREMISSAS!$C$18)+(E520+H520-IF(RESULTADOS!$C$17="Normal",I520,0)-J520)*IF(MONTH(B520)=12,2,1),0)</f>
        <v>0</v>
      </c>
      <c r="L520" s="116">
        <f ca="1">IFERROR((L519+G520-IF(RESULTADOS!$C$17="Normal",0,I520))*(1+PREMISSAS!$C$18)+F520,0)</f>
        <v>0</v>
      </c>
      <c r="N520" s="73">
        <f t="shared" ca="1" si="65"/>
        <v>0</v>
      </c>
      <c r="P520" s="164" t="str">
        <f t="shared" ca="1" si="67"/>
        <v/>
      </c>
      <c r="Q520" s="140" t="str">
        <f ca="1">IF(C520="","",Q519+(E520+H520-IF(RESULTADOS!$C$17="Normal",I520,0)-J520)/2+(F520+G520-IF(RESULTADOS!$C$17="Normal",0,I520)))</f>
        <v/>
      </c>
      <c r="R520" s="140" t="str">
        <f ca="1">IF(C520="","",R519+(E520+H520-IF(RESULTADOS!$C$17="Normal",I520,0)-J520)/2)</f>
        <v/>
      </c>
      <c r="S520" s="140">
        <f t="shared" ca="1" si="69"/>
        <v>0</v>
      </c>
      <c r="U520" s="164" t="str">
        <f t="shared" ca="1" si="70"/>
        <v/>
      </c>
      <c r="V520" s="164" t="str">
        <f t="shared" ca="1" si="68"/>
        <v/>
      </c>
      <c r="W520" s="140">
        <f ca="1">IF(OR((W519-13/12*Z519)*(1+PREMISSAS!$C$16)&lt;0,W519=""),0,(W519-13/12*Z519)*(1+PREMISSAS!$C$16))</f>
        <v>0</v>
      </c>
      <c r="X520" s="140">
        <f ca="1">IF(OR((X519-13/12*AA519)*(1+PREMISSAS!$C$16)&lt;0,X519=""),0,(X519-13/12*AA519)*(1+PREMISSAS!$C$16))</f>
        <v>0</v>
      </c>
      <c r="Y520" s="140">
        <f t="shared" ca="1" si="66"/>
        <v>0</v>
      </c>
      <c r="Z520" s="167">
        <f t="shared" ca="1" si="71"/>
        <v>0</v>
      </c>
      <c r="AA520" s="167">
        <f t="shared" ca="1" si="72"/>
        <v>0</v>
      </c>
    </row>
    <row r="521" spans="2:27" x14ac:dyDescent="0.25">
      <c r="B521" s="21" t="str">
        <f ca="1">IF(B520="","",IF(EOMONTH(B520,1)&gt;EOMONTH(ELEGIBILIDADE!$J$17,0),"",EOMONTH(B520,1)))</f>
        <v/>
      </c>
      <c r="C521" s="22" t="str">
        <f ca="1">IF(B521="","",IF(MONTH(B521)=1,C520*(1+PREMISSAS!$C$57),C520))</f>
        <v/>
      </c>
      <c r="D521" s="22">
        <f ca="1">IF(RESULTADOS!$C$17="Normal",IFERROR(MAX(C521-PREMISSAS!$C$13,0),0),IF(Painel!$I$23=0,0,MAX(10*PREMISSAS!$C$38,RESULTADOS!$F$17)))</f>
        <v>0</v>
      </c>
      <c r="E521" s="4">
        <f ca="1">D521*IF(RESULTADOS!$C$17="Normal",RESULTADOS!$C$16,0)</f>
        <v>0</v>
      </c>
      <c r="F521" s="4">
        <f ca="1">IFERROR(IF(RESULTADOS!$C$17="Normal",D521,C521)*RESULTADOS!$C$18,0)</f>
        <v>0</v>
      </c>
      <c r="G521" s="4">
        <f ca="1">IFERROR(IF(RESULTADOS!$C$17="Normal",0,D521)*IF(RESULTADOS!$C$17="Normal",RESULTADOS!$C$18,RESULTADOS!$C$16),0)</f>
        <v>0</v>
      </c>
      <c r="H521" s="4">
        <f ca="1">IF(RESULTADOS!$C$17="Normal",E521,0)</f>
        <v>0</v>
      </c>
      <c r="I521" s="4">
        <f ca="1">(E521+H521+G521)*PREMISSAS!$C$60</f>
        <v>0</v>
      </c>
      <c r="J521" s="4">
        <f ca="1">D521*IF(RESULTADOS!$C$17="Normal",PREMISSAS!$C$62,0)</f>
        <v>0</v>
      </c>
      <c r="K521" s="116">
        <f ca="1">IFERROR(K520*(1+PREMISSAS!$C$18)+(E521+H521-IF(RESULTADOS!$C$17="Normal",I521,0)-J521)*IF(MONTH(B521)=12,2,1),0)</f>
        <v>0</v>
      </c>
      <c r="L521" s="116">
        <f ca="1">IFERROR((L520+G521-IF(RESULTADOS!$C$17="Normal",0,I521))*(1+PREMISSAS!$C$18)+F521,0)</f>
        <v>0</v>
      </c>
      <c r="N521" s="73">
        <f t="shared" ca="1" si="65"/>
        <v>0</v>
      </c>
      <c r="P521" s="164" t="str">
        <f t="shared" ca="1" si="67"/>
        <v/>
      </c>
      <c r="Q521" s="140" t="str">
        <f ca="1">IF(C521="","",Q520+(E521+H521-IF(RESULTADOS!$C$17="Normal",I521,0)-J521)/2+(F521+G521-IF(RESULTADOS!$C$17="Normal",0,I521)))</f>
        <v/>
      </c>
      <c r="R521" s="140" t="str">
        <f ca="1">IF(C521="","",R520+(E521+H521-IF(RESULTADOS!$C$17="Normal",I521,0)-J521)/2)</f>
        <v/>
      </c>
      <c r="S521" s="140">
        <f t="shared" ca="1" si="69"/>
        <v>0</v>
      </c>
      <c r="U521" s="164" t="str">
        <f t="shared" ca="1" si="70"/>
        <v/>
      </c>
      <c r="V521" s="164" t="str">
        <f t="shared" ca="1" si="68"/>
        <v/>
      </c>
      <c r="W521" s="140">
        <f ca="1">IF(OR((W520-13/12*Z520)*(1+PREMISSAS!$C$16)&lt;0,W520=""),0,(W520-13/12*Z520)*(1+PREMISSAS!$C$16))</f>
        <v>0</v>
      </c>
      <c r="X521" s="140">
        <f ca="1">IF(OR((X520-13/12*AA520)*(1+PREMISSAS!$C$16)&lt;0,X520=""),0,(X520-13/12*AA520)*(1+PREMISSAS!$C$16))</f>
        <v>0</v>
      </c>
      <c r="Y521" s="140">
        <f t="shared" ca="1" si="66"/>
        <v>0</v>
      </c>
      <c r="Z521" s="167">
        <f t="shared" ca="1" si="71"/>
        <v>0</v>
      </c>
      <c r="AA521" s="167">
        <f t="shared" ca="1" si="72"/>
        <v>0</v>
      </c>
    </row>
    <row r="522" spans="2:27" x14ac:dyDescent="0.25">
      <c r="B522" s="21" t="str">
        <f ca="1">IF(B521="","",IF(EOMONTH(B521,1)&gt;EOMONTH(ELEGIBILIDADE!$J$17,0),"",EOMONTH(B521,1)))</f>
        <v/>
      </c>
      <c r="C522" s="22" t="str">
        <f ca="1">IF(B522="","",IF(MONTH(B522)=1,C521*(1+PREMISSAS!$C$57),C521))</f>
        <v/>
      </c>
      <c r="D522" s="22">
        <f ca="1">IF(RESULTADOS!$C$17="Normal",IFERROR(MAX(C522-PREMISSAS!$C$13,0),0),IF(Painel!$I$23=0,0,MAX(10*PREMISSAS!$C$38,RESULTADOS!$F$17)))</f>
        <v>0</v>
      </c>
      <c r="E522" s="4">
        <f ca="1">D522*IF(RESULTADOS!$C$17="Normal",RESULTADOS!$C$16,0)</f>
        <v>0</v>
      </c>
      <c r="F522" s="4">
        <f ca="1">IFERROR(IF(RESULTADOS!$C$17="Normal",D522,C522)*RESULTADOS!$C$18,0)</f>
        <v>0</v>
      </c>
      <c r="G522" s="4">
        <f ca="1">IFERROR(IF(RESULTADOS!$C$17="Normal",0,D522)*IF(RESULTADOS!$C$17="Normal",RESULTADOS!$C$18,RESULTADOS!$C$16),0)</f>
        <v>0</v>
      </c>
      <c r="H522" s="4">
        <f ca="1">IF(RESULTADOS!$C$17="Normal",E522,0)</f>
        <v>0</v>
      </c>
      <c r="I522" s="4">
        <f ca="1">(E522+H522+G522)*PREMISSAS!$C$60</f>
        <v>0</v>
      </c>
      <c r="J522" s="4">
        <f ca="1">D522*IF(RESULTADOS!$C$17="Normal",PREMISSAS!$C$62,0)</f>
        <v>0</v>
      </c>
      <c r="K522" s="116">
        <f ca="1">IFERROR(K521*(1+PREMISSAS!$C$18)+(E522+H522-IF(RESULTADOS!$C$17="Normal",I522,0)-J522)*IF(MONTH(B522)=12,2,1),0)</f>
        <v>0</v>
      </c>
      <c r="L522" s="116">
        <f ca="1">IFERROR((L521+G522-IF(RESULTADOS!$C$17="Normal",0,I522))*(1+PREMISSAS!$C$18)+F522,0)</f>
        <v>0</v>
      </c>
      <c r="N522" s="73">
        <f t="shared" ca="1" si="65"/>
        <v>0</v>
      </c>
      <c r="P522" s="164" t="str">
        <f t="shared" ca="1" si="67"/>
        <v/>
      </c>
      <c r="Q522" s="140" t="str">
        <f ca="1">IF(C522="","",Q521+(E522+H522-IF(RESULTADOS!$C$17="Normal",I522,0)-J522)/2+(F522+G522-IF(RESULTADOS!$C$17="Normal",0,I522)))</f>
        <v/>
      </c>
      <c r="R522" s="140" t="str">
        <f ca="1">IF(C522="","",R521+(E522+H522-IF(RESULTADOS!$C$17="Normal",I522,0)-J522)/2)</f>
        <v/>
      </c>
      <c r="S522" s="140">
        <f t="shared" ca="1" si="69"/>
        <v>0</v>
      </c>
      <c r="U522" s="164" t="str">
        <f t="shared" ca="1" si="70"/>
        <v/>
      </c>
      <c r="V522" s="164" t="str">
        <f t="shared" ca="1" si="68"/>
        <v/>
      </c>
      <c r="W522" s="140">
        <f ca="1">IF(OR((W521-13/12*Z521)*(1+PREMISSAS!$C$16)&lt;0,W521=""),0,(W521-13/12*Z521)*(1+PREMISSAS!$C$16))</f>
        <v>0</v>
      </c>
      <c r="X522" s="140">
        <f ca="1">IF(OR((X521-13/12*AA521)*(1+PREMISSAS!$C$16)&lt;0,X521=""),0,(X521-13/12*AA521)*(1+PREMISSAS!$C$16))</f>
        <v>0</v>
      </c>
      <c r="Y522" s="140">
        <f t="shared" ca="1" si="66"/>
        <v>0</v>
      </c>
      <c r="Z522" s="167">
        <f t="shared" ca="1" si="71"/>
        <v>0</v>
      </c>
      <c r="AA522" s="167">
        <f t="shared" ca="1" si="72"/>
        <v>0</v>
      </c>
    </row>
    <row r="523" spans="2:27" x14ac:dyDescent="0.25">
      <c r="B523" s="21" t="str">
        <f ca="1">IF(B522="","",IF(EOMONTH(B522,1)&gt;EOMONTH(ELEGIBILIDADE!$J$17,0),"",EOMONTH(B522,1)))</f>
        <v/>
      </c>
      <c r="C523" s="22" t="str">
        <f ca="1">IF(B523="","",IF(MONTH(B523)=1,C522*(1+PREMISSAS!$C$57),C522))</f>
        <v/>
      </c>
      <c r="D523" s="22">
        <f ca="1">IF(RESULTADOS!$C$17="Normal",IFERROR(MAX(C523-PREMISSAS!$C$13,0),0),IF(Painel!$I$23=0,0,MAX(10*PREMISSAS!$C$38,RESULTADOS!$F$17)))</f>
        <v>0</v>
      </c>
      <c r="E523" s="4">
        <f ca="1">D523*IF(RESULTADOS!$C$17="Normal",RESULTADOS!$C$16,0)</f>
        <v>0</v>
      </c>
      <c r="F523" s="4">
        <f ca="1">IFERROR(IF(RESULTADOS!$C$17="Normal",D523,C523)*RESULTADOS!$C$18,0)</f>
        <v>0</v>
      </c>
      <c r="G523" s="4">
        <f ca="1">IFERROR(IF(RESULTADOS!$C$17="Normal",0,D523)*IF(RESULTADOS!$C$17="Normal",RESULTADOS!$C$18,RESULTADOS!$C$16),0)</f>
        <v>0</v>
      </c>
      <c r="H523" s="4">
        <f ca="1">IF(RESULTADOS!$C$17="Normal",E523,0)</f>
        <v>0</v>
      </c>
      <c r="I523" s="4">
        <f ca="1">(E523+H523+G523)*PREMISSAS!$C$60</f>
        <v>0</v>
      </c>
      <c r="J523" s="4">
        <f ca="1">D523*IF(RESULTADOS!$C$17="Normal",PREMISSAS!$C$62,0)</f>
        <v>0</v>
      </c>
      <c r="K523" s="116">
        <f ca="1">IFERROR(K522*(1+PREMISSAS!$C$18)+(E523+H523-IF(RESULTADOS!$C$17="Normal",I523,0)-J523)*IF(MONTH(B523)=12,2,1),0)</f>
        <v>0</v>
      </c>
      <c r="L523" s="116">
        <f ca="1">IFERROR((L522+G523-IF(RESULTADOS!$C$17="Normal",0,I523))*(1+PREMISSAS!$C$18)+F523,0)</f>
        <v>0</v>
      </c>
      <c r="N523" s="73">
        <f t="shared" ca="1" si="65"/>
        <v>0</v>
      </c>
      <c r="P523" s="164" t="str">
        <f t="shared" ca="1" si="67"/>
        <v/>
      </c>
      <c r="Q523" s="140" t="str">
        <f ca="1">IF(C523="","",Q522+(E523+H523-IF(RESULTADOS!$C$17="Normal",I523,0)-J523)/2+(F523+G523-IF(RESULTADOS!$C$17="Normal",0,I523)))</f>
        <v/>
      </c>
      <c r="R523" s="140" t="str">
        <f ca="1">IF(C523="","",R522+(E523+H523-IF(RESULTADOS!$C$17="Normal",I523,0)-J523)/2)</f>
        <v/>
      </c>
      <c r="S523" s="140">
        <f t="shared" ca="1" si="69"/>
        <v>0</v>
      </c>
      <c r="U523" s="164" t="str">
        <f t="shared" ca="1" si="70"/>
        <v/>
      </c>
      <c r="V523" s="164" t="str">
        <f t="shared" ca="1" si="68"/>
        <v/>
      </c>
      <c r="W523" s="140">
        <f ca="1">IF(OR((W522-13/12*Z522)*(1+PREMISSAS!$C$16)&lt;0,W522=""),0,(W522-13/12*Z522)*(1+PREMISSAS!$C$16))</f>
        <v>0</v>
      </c>
      <c r="X523" s="140">
        <f ca="1">IF(OR((X522-13/12*AA522)*(1+PREMISSAS!$C$16)&lt;0,X522=""),0,(X522-13/12*AA522)*(1+PREMISSAS!$C$16))</f>
        <v>0</v>
      </c>
      <c r="Y523" s="140">
        <f t="shared" ca="1" si="66"/>
        <v>0</v>
      </c>
      <c r="Z523" s="167">
        <f t="shared" ca="1" si="71"/>
        <v>0</v>
      </c>
      <c r="AA523" s="167">
        <f t="shared" ca="1" si="72"/>
        <v>0</v>
      </c>
    </row>
    <row r="524" spans="2:27" x14ac:dyDescent="0.25">
      <c r="B524" s="21" t="str">
        <f ca="1">IF(B523="","",IF(EOMONTH(B523,1)&gt;EOMONTH(ELEGIBILIDADE!$J$17,0),"",EOMONTH(B523,1)))</f>
        <v/>
      </c>
      <c r="C524" s="22" t="str">
        <f ca="1">IF(B524="","",IF(MONTH(B524)=1,C523*(1+PREMISSAS!$C$57),C523))</f>
        <v/>
      </c>
      <c r="D524" s="22">
        <f ca="1">IF(RESULTADOS!$C$17="Normal",IFERROR(MAX(C524-PREMISSAS!$C$13,0),0),IF(Painel!$I$23=0,0,MAX(10*PREMISSAS!$C$38,RESULTADOS!$F$17)))</f>
        <v>0</v>
      </c>
      <c r="E524" s="4">
        <f ca="1">D524*IF(RESULTADOS!$C$17="Normal",RESULTADOS!$C$16,0)</f>
        <v>0</v>
      </c>
      <c r="F524" s="4">
        <f ca="1">IFERROR(IF(RESULTADOS!$C$17="Normal",D524,C524)*RESULTADOS!$C$18,0)</f>
        <v>0</v>
      </c>
      <c r="G524" s="4">
        <f ca="1">IFERROR(IF(RESULTADOS!$C$17="Normal",0,D524)*IF(RESULTADOS!$C$17="Normal",RESULTADOS!$C$18,RESULTADOS!$C$16),0)</f>
        <v>0</v>
      </c>
      <c r="H524" s="4">
        <f ca="1">IF(RESULTADOS!$C$17="Normal",E524,0)</f>
        <v>0</v>
      </c>
      <c r="I524" s="4">
        <f ca="1">(E524+H524+G524)*PREMISSAS!$C$60</f>
        <v>0</v>
      </c>
      <c r="J524" s="4">
        <f ca="1">D524*IF(RESULTADOS!$C$17="Normal",PREMISSAS!$C$62,0)</f>
        <v>0</v>
      </c>
      <c r="K524" s="116">
        <f ca="1">IFERROR(K523*(1+PREMISSAS!$C$18)+(E524+H524-IF(RESULTADOS!$C$17="Normal",I524,0)-J524)*IF(MONTH(B524)=12,2,1),0)</f>
        <v>0</v>
      </c>
      <c r="L524" s="116">
        <f ca="1">IFERROR((L523+G524-IF(RESULTADOS!$C$17="Normal",0,I524))*(1+PREMISSAS!$C$18)+F524,0)</f>
        <v>0</v>
      </c>
      <c r="N524" s="73">
        <f t="shared" ca="1" si="65"/>
        <v>0</v>
      </c>
      <c r="P524" s="164" t="str">
        <f t="shared" ca="1" si="67"/>
        <v/>
      </c>
      <c r="Q524" s="140" t="str">
        <f ca="1">IF(C524="","",Q523+(E524+H524-IF(RESULTADOS!$C$17="Normal",I524,0)-J524)/2+(F524+G524-IF(RESULTADOS!$C$17="Normal",0,I524)))</f>
        <v/>
      </c>
      <c r="R524" s="140" t="str">
        <f ca="1">IF(C524="","",R523+(E524+H524-IF(RESULTADOS!$C$17="Normal",I524,0)-J524)/2)</f>
        <v/>
      </c>
      <c r="S524" s="140">
        <f t="shared" ca="1" si="69"/>
        <v>0</v>
      </c>
      <c r="U524" s="164" t="str">
        <f t="shared" ca="1" si="70"/>
        <v/>
      </c>
      <c r="V524" s="164" t="str">
        <f t="shared" ca="1" si="68"/>
        <v/>
      </c>
      <c r="W524" s="140">
        <f ca="1">IF(OR((W523-13/12*Z523)*(1+PREMISSAS!$C$16)&lt;0,W523=""),0,(W523-13/12*Z523)*(1+PREMISSAS!$C$16))</f>
        <v>0</v>
      </c>
      <c r="X524" s="140">
        <f ca="1">IF(OR((X523-13/12*AA523)*(1+PREMISSAS!$C$16)&lt;0,X523=""),0,(X523-13/12*AA523)*(1+PREMISSAS!$C$16))</f>
        <v>0</v>
      </c>
      <c r="Y524" s="140">
        <f t="shared" ca="1" si="66"/>
        <v>0</v>
      </c>
      <c r="Z524" s="167">
        <f t="shared" ca="1" si="71"/>
        <v>0</v>
      </c>
      <c r="AA524" s="167">
        <f t="shared" ca="1" si="72"/>
        <v>0</v>
      </c>
    </row>
    <row r="525" spans="2:27" x14ac:dyDescent="0.25">
      <c r="B525" s="21" t="str">
        <f ca="1">IF(B524="","",IF(EOMONTH(B524,1)&gt;EOMONTH(ELEGIBILIDADE!$J$17,0),"",EOMONTH(B524,1)))</f>
        <v/>
      </c>
      <c r="C525" s="22" t="str">
        <f ca="1">IF(B525="","",IF(MONTH(B525)=1,C524*(1+PREMISSAS!$C$57),C524))</f>
        <v/>
      </c>
      <c r="D525" s="22">
        <f ca="1">IF(RESULTADOS!$C$17="Normal",IFERROR(MAX(C525-PREMISSAS!$C$13,0),0),IF(Painel!$I$23=0,0,MAX(10*PREMISSAS!$C$38,RESULTADOS!$F$17)))</f>
        <v>0</v>
      </c>
      <c r="E525" s="4">
        <f ca="1">D525*IF(RESULTADOS!$C$17="Normal",RESULTADOS!$C$16,0)</f>
        <v>0</v>
      </c>
      <c r="F525" s="4">
        <f ca="1">IFERROR(IF(RESULTADOS!$C$17="Normal",D525,C525)*RESULTADOS!$C$18,0)</f>
        <v>0</v>
      </c>
      <c r="G525" s="4">
        <f ca="1">IFERROR(IF(RESULTADOS!$C$17="Normal",0,D525)*IF(RESULTADOS!$C$17="Normal",RESULTADOS!$C$18,RESULTADOS!$C$16),0)</f>
        <v>0</v>
      </c>
      <c r="H525" s="4">
        <f ca="1">IF(RESULTADOS!$C$17="Normal",E525,0)</f>
        <v>0</v>
      </c>
      <c r="I525" s="4">
        <f ca="1">(E525+H525+G525)*PREMISSAS!$C$60</f>
        <v>0</v>
      </c>
      <c r="J525" s="4">
        <f ca="1">D525*IF(RESULTADOS!$C$17="Normal",PREMISSAS!$C$62,0)</f>
        <v>0</v>
      </c>
      <c r="K525" s="116">
        <f ca="1">IFERROR(K524*(1+PREMISSAS!$C$18)+(E525+H525-IF(RESULTADOS!$C$17="Normal",I525,0)-J525)*IF(MONTH(B525)=12,2,1),0)</f>
        <v>0</v>
      </c>
      <c r="L525" s="116">
        <f ca="1">IFERROR((L524+G525-IF(RESULTADOS!$C$17="Normal",0,I525))*(1+PREMISSAS!$C$18)+F525,0)</f>
        <v>0</v>
      </c>
      <c r="N525" s="73">
        <f t="shared" ca="1" si="65"/>
        <v>0</v>
      </c>
      <c r="P525" s="164" t="str">
        <f t="shared" ca="1" si="67"/>
        <v/>
      </c>
      <c r="Q525" s="140" t="str">
        <f ca="1">IF(C525="","",Q524+(E525+H525-IF(RESULTADOS!$C$17="Normal",I525,0)-J525)/2+(F525+G525-IF(RESULTADOS!$C$17="Normal",0,I525)))</f>
        <v/>
      </c>
      <c r="R525" s="140" t="str">
        <f ca="1">IF(C525="","",R524+(E525+H525-IF(RESULTADOS!$C$17="Normal",I525,0)-J525)/2)</f>
        <v/>
      </c>
      <c r="S525" s="140">
        <f t="shared" ca="1" si="69"/>
        <v>0</v>
      </c>
      <c r="U525" s="164" t="str">
        <f t="shared" ca="1" si="70"/>
        <v/>
      </c>
      <c r="V525" s="164" t="str">
        <f t="shared" ca="1" si="68"/>
        <v/>
      </c>
      <c r="W525" s="140">
        <f ca="1">IF(OR((W524-13/12*Z524)*(1+PREMISSAS!$C$16)&lt;0,W524=""),0,(W524-13/12*Z524)*(1+PREMISSAS!$C$16))</f>
        <v>0</v>
      </c>
      <c r="X525" s="140">
        <f ca="1">IF(OR((X524-13/12*AA524)*(1+PREMISSAS!$C$16)&lt;0,X524=""),0,(X524-13/12*AA524)*(1+PREMISSAS!$C$16))</f>
        <v>0</v>
      </c>
      <c r="Y525" s="140">
        <f t="shared" ca="1" si="66"/>
        <v>0</v>
      </c>
      <c r="Z525" s="167">
        <f t="shared" ca="1" si="71"/>
        <v>0</v>
      </c>
      <c r="AA525" s="167">
        <f t="shared" ca="1" si="72"/>
        <v>0</v>
      </c>
    </row>
    <row r="526" spans="2:27" x14ac:dyDescent="0.25">
      <c r="B526" s="21" t="str">
        <f ca="1">IF(B525="","",IF(EOMONTH(B525,1)&gt;EOMONTH(ELEGIBILIDADE!$J$17,0),"",EOMONTH(B525,1)))</f>
        <v/>
      </c>
      <c r="C526" s="22" t="str">
        <f ca="1">IF(B526="","",IF(MONTH(B526)=1,C525*(1+PREMISSAS!$C$57),C525))</f>
        <v/>
      </c>
      <c r="D526" s="22">
        <f ca="1">IF(RESULTADOS!$C$17="Normal",IFERROR(MAX(C526-PREMISSAS!$C$13,0),0),IF(Painel!$I$23=0,0,MAX(10*PREMISSAS!$C$38,RESULTADOS!$F$17)))</f>
        <v>0</v>
      </c>
      <c r="E526" s="4">
        <f ca="1">D526*IF(RESULTADOS!$C$17="Normal",RESULTADOS!$C$16,0)</f>
        <v>0</v>
      </c>
      <c r="F526" s="4">
        <f ca="1">IFERROR(IF(RESULTADOS!$C$17="Normal",D526,C526)*RESULTADOS!$C$18,0)</f>
        <v>0</v>
      </c>
      <c r="G526" s="4">
        <f ca="1">IFERROR(IF(RESULTADOS!$C$17="Normal",0,D526)*IF(RESULTADOS!$C$17="Normal",RESULTADOS!$C$18,RESULTADOS!$C$16),0)</f>
        <v>0</v>
      </c>
      <c r="H526" s="4">
        <f ca="1">IF(RESULTADOS!$C$17="Normal",E526,0)</f>
        <v>0</v>
      </c>
      <c r="I526" s="4">
        <f ca="1">(E526+H526+G526)*PREMISSAS!$C$60</f>
        <v>0</v>
      </c>
      <c r="J526" s="4">
        <f ca="1">D526*IF(RESULTADOS!$C$17="Normal",PREMISSAS!$C$62,0)</f>
        <v>0</v>
      </c>
      <c r="K526" s="116">
        <f ca="1">IFERROR(K525*(1+PREMISSAS!$C$18)+(E526+H526-IF(RESULTADOS!$C$17="Normal",I526,0)-J526)*IF(MONTH(B526)=12,2,1),0)</f>
        <v>0</v>
      </c>
      <c r="L526" s="116">
        <f ca="1">IFERROR((L525+G526-IF(RESULTADOS!$C$17="Normal",0,I526))*(1+PREMISSAS!$C$18)+F526,0)</f>
        <v>0</v>
      </c>
      <c r="N526" s="73">
        <f t="shared" ca="1" si="65"/>
        <v>0</v>
      </c>
      <c r="P526" s="164" t="str">
        <f t="shared" ca="1" si="67"/>
        <v/>
      </c>
      <c r="Q526" s="140" t="str">
        <f ca="1">IF(C526="","",Q525+(E526+H526-IF(RESULTADOS!$C$17="Normal",I526,0)-J526)/2+(F526+G526-IF(RESULTADOS!$C$17="Normal",0,I526)))</f>
        <v/>
      </c>
      <c r="R526" s="140" t="str">
        <f ca="1">IF(C526="","",R525+(E526+H526-IF(RESULTADOS!$C$17="Normal",I526,0)-J526)/2)</f>
        <v/>
      </c>
      <c r="S526" s="140">
        <f t="shared" ca="1" si="69"/>
        <v>0</v>
      </c>
      <c r="U526" s="164" t="str">
        <f t="shared" ca="1" si="70"/>
        <v/>
      </c>
      <c r="V526" s="164" t="str">
        <f t="shared" ca="1" si="68"/>
        <v/>
      </c>
      <c r="W526" s="140">
        <f ca="1">IF(OR((W525-13/12*Z525)*(1+PREMISSAS!$C$16)&lt;0,W525=""),0,(W525-13/12*Z525)*(1+PREMISSAS!$C$16))</f>
        <v>0</v>
      </c>
      <c r="X526" s="140">
        <f ca="1">IF(OR((X525-13/12*AA525)*(1+PREMISSAS!$C$16)&lt;0,X525=""),0,(X525-13/12*AA525)*(1+PREMISSAS!$C$16))</f>
        <v>0</v>
      </c>
      <c r="Y526" s="140">
        <f t="shared" ca="1" si="66"/>
        <v>0</v>
      </c>
      <c r="Z526" s="167">
        <f t="shared" ca="1" si="71"/>
        <v>0</v>
      </c>
      <c r="AA526" s="167">
        <f t="shared" ca="1" si="72"/>
        <v>0</v>
      </c>
    </row>
    <row r="527" spans="2:27" x14ac:dyDescent="0.25">
      <c r="B527" s="21" t="str">
        <f ca="1">IF(B526="","",IF(EOMONTH(B526,1)&gt;EOMONTH(ELEGIBILIDADE!$J$17,0),"",EOMONTH(B526,1)))</f>
        <v/>
      </c>
      <c r="C527" s="22" t="str">
        <f ca="1">IF(B527="","",IF(MONTH(B527)=1,C526*(1+PREMISSAS!$C$57),C526))</f>
        <v/>
      </c>
      <c r="D527" s="22">
        <f ca="1">IF(RESULTADOS!$C$17="Normal",IFERROR(MAX(C527-PREMISSAS!$C$13,0),0),IF(Painel!$I$23=0,0,MAX(10*PREMISSAS!$C$38,RESULTADOS!$F$17)))</f>
        <v>0</v>
      </c>
      <c r="E527" s="4">
        <f ca="1">D527*IF(RESULTADOS!$C$17="Normal",RESULTADOS!$C$16,0)</f>
        <v>0</v>
      </c>
      <c r="F527" s="4">
        <f ca="1">IFERROR(IF(RESULTADOS!$C$17="Normal",D527,C527)*RESULTADOS!$C$18,0)</f>
        <v>0</v>
      </c>
      <c r="G527" s="4">
        <f ca="1">IFERROR(IF(RESULTADOS!$C$17="Normal",0,D527)*IF(RESULTADOS!$C$17="Normal",RESULTADOS!$C$18,RESULTADOS!$C$16),0)</f>
        <v>0</v>
      </c>
      <c r="H527" s="4">
        <f ca="1">IF(RESULTADOS!$C$17="Normal",E527,0)</f>
        <v>0</v>
      </c>
      <c r="I527" s="4">
        <f ca="1">(E527+H527+G527)*PREMISSAS!$C$60</f>
        <v>0</v>
      </c>
      <c r="J527" s="4">
        <f ca="1">D527*IF(RESULTADOS!$C$17="Normal",PREMISSAS!$C$62,0)</f>
        <v>0</v>
      </c>
      <c r="K527" s="116">
        <f ca="1">IFERROR(K526*(1+PREMISSAS!$C$18)+(E527+H527-IF(RESULTADOS!$C$17="Normal",I527,0)-J527)*IF(MONTH(B527)=12,2,1),0)</f>
        <v>0</v>
      </c>
      <c r="L527" s="116">
        <f ca="1">IFERROR((L526+G527-IF(RESULTADOS!$C$17="Normal",0,I527))*(1+PREMISSAS!$C$18)+F527,0)</f>
        <v>0</v>
      </c>
      <c r="N527" s="73">
        <f t="shared" ca="1" si="65"/>
        <v>0</v>
      </c>
      <c r="P527" s="164" t="str">
        <f t="shared" ca="1" si="67"/>
        <v/>
      </c>
      <c r="Q527" s="140" t="str">
        <f ca="1">IF(C527="","",Q526+(E527+H527-IF(RESULTADOS!$C$17="Normal",I527,0)-J527)/2+(F527+G527-IF(RESULTADOS!$C$17="Normal",0,I527)))</f>
        <v/>
      </c>
      <c r="R527" s="140" t="str">
        <f ca="1">IF(C527="","",R526+(E527+H527-IF(RESULTADOS!$C$17="Normal",I527,0)-J527)/2)</f>
        <v/>
      </c>
      <c r="S527" s="140">
        <f t="shared" ca="1" si="69"/>
        <v>0</v>
      </c>
      <c r="U527" s="164" t="str">
        <f t="shared" ca="1" si="70"/>
        <v/>
      </c>
      <c r="V527" s="164" t="str">
        <f t="shared" ca="1" si="68"/>
        <v/>
      </c>
      <c r="W527" s="140">
        <f ca="1">IF(OR((W526-13/12*Z526)*(1+PREMISSAS!$C$16)&lt;0,W526=""),0,(W526-13/12*Z526)*(1+PREMISSAS!$C$16))</f>
        <v>0</v>
      </c>
      <c r="X527" s="140">
        <f ca="1">IF(OR((X526-13/12*AA526)*(1+PREMISSAS!$C$16)&lt;0,X526=""),0,(X526-13/12*AA526)*(1+PREMISSAS!$C$16))</f>
        <v>0</v>
      </c>
      <c r="Y527" s="140">
        <f t="shared" ca="1" si="66"/>
        <v>0</v>
      </c>
      <c r="Z527" s="167">
        <f t="shared" ca="1" si="71"/>
        <v>0</v>
      </c>
      <c r="AA527" s="167">
        <f t="shared" ca="1" si="72"/>
        <v>0</v>
      </c>
    </row>
    <row r="528" spans="2:27" x14ac:dyDescent="0.25">
      <c r="B528" s="21" t="str">
        <f ca="1">IF(B527="","",IF(EOMONTH(B527,1)&gt;EOMONTH(ELEGIBILIDADE!$J$17,0),"",EOMONTH(B527,1)))</f>
        <v/>
      </c>
      <c r="C528" s="22" t="str">
        <f ca="1">IF(B528="","",IF(MONTH(B528)=1,C527*(1+PREMISSAS!$C$57),C527))</f>
        <v/>
      </c>
      <c r="D528" s="22">
        <f ca="1">IF(RESULTADOS!$C$17="Normal",IFERROR(MAX(C528-PREMISSAS!$C$13,0),0),IF(Painel!$I$23=0,0,MAX(10*PREMISSAS!$C$38,RESULTADOS!$F$17)))</f>
        <v>0</v>
      </c>
      <c r="E528" s="4">
        <f ca="1">D528*IF(RESULTADOS!$C$17="Normal",RESULTADOS!$C$16,0)</f>
        <v>0</v>
      </c>
      <c r="F528" s="4">
        <f ca="1">IFERROR(IF(RESULTADOS!$C$17="Normal",D528,C528)*RESULTADOS!$C$18,0)</f>
        <v>0</v>
      </c>
      <c r="G528" s="4">
        <f ca="1">IFERROR(IF(RESULTADOS!$C$17="Normal",0,D528)*IF(RESULTADOS!$C$17="Normal",RESULTADOS!$C$18,RESULTADOS!$C$16),0)</f>
        <v>0</v>
      </c>
      <c r="H528" s="4">
        <f ca="1">IF(RESULTADOS!$C$17="Normal",E528,0)</f>
        <v>0</v>
      </c>
      <c r="I528" s="4">
        <f ca="1">(E528+H528+G528)*PREMISSAS!$C$60</f>
        <v>0</v>
      </c>
      <c r="J528" s="4">
        <f ca="1">D528*IF(RESULTADOS!$C$17="Normal",PREMISSAS!$C$62,0)</f>
        <v>0</v>
      </c>
      <c r="K528" s="116">
        <f ca="1">IFERROR(K527*(1+PREMISSAS!$C$18)+(E528+H528-IF(RESULTADOS!$C$17="Normal",I528,0)-J528)*IF(MONTH(B528)=12,2,1),0)</f>
        <v>0</v>
      </c>
      <c r="L528" s="116">
        <f ca="1">IFERROR((L527+G528-IF(RESULTADOS!$C$17="Normal",0,I528))*(1+PREMISSAS!$C$18)+F528,0)</f>
        <v>0</v>
      </c>
      <c r="N528" s="73">
        <f t="shared" ref="N528:N591" ca="1" si="73">IFERROR((E528+F528+G528)/C528,0)</f>
        <v>0</v>
      </c>
      <c r="P528" s="164" t="str">
        <f t="shared" ref="P528:P591" ca="1" si="74">IF(C528="","",B528)</f>
        <v/>
      </c>
      <c r="Q528" s="140" t="str">
        <f ca="1">IF(C528="","",Q527+(E528+H528-IF(RESULTADOS!$C$17="Normal",I528,0)-J528)/2+(F528+G528-IF(RESULTADOS!$C$17="Normal",0,I528)))</f>
        <v/>
      </c>
      <c r="R528" s="140" t="str">
        <f ca="1">IF(C528="","",R527+(E528+H528-IF(RESULTADOS!$C$17="Normal",I528,0)-J528)/2)</f>
        <v/>
      </c>
      <c r="S528" s="140">
        <f t="shared" ref="S528:S591" ca="1" si="75">SUM(K528:L528)-SUM(Q528:R528)</f>
        <v>0</v>
      </c>
      <c r="U528" s="164" t="str">
        <f t="shared" ref="U528:U591" ca="1" si="76">IF(Y528=0,"",EOMONTH(U527,1))</f>
        <v/>
      </c>
      <c r="V528" s="164" t="str">
        <f t="shared" ref="V528:V591" ca="1" si="77">IF(AA528&lt;&gt;"",U528,"")</f>
        <v/>
      </c>
      <c r="W528" s="140">
        <f ca="1">IF(OR((W527-13/12*Z527)*(1+PREMISSAS!$C$16)&lt;0,W527=""),0,(W527-13/12*Z527)*(1+PREMISSAS!$C$16))</f>
        <v>0</v>
      </c>
      <c r="X528" s="140">
        <f ca="1">IF(OR((X527-13/12*AA527)*(1+PREMISSAS!$C$16)&lt;0,X527=""),0,(X527-13/12*AA527)*(1+PREMISSAS!$C$16))</f>
        <v>0</v>
      </c>
      <c r="Y528" s="140">
        <f t="shared" ref="Y528:Y591" ca="1" si="78">SUM(W528:X528)</f>
        <v>0</v>
      </c>
      <c r="Z528" s="167">
        <f t="shared" ref="Z528:Z591" ca="1" si="79">IF(W528&lt;&gt;0,Z527,0)</f>
        <v>0</v>
      </c>
      <c r="AA528" s="167">
        <f t="shared" ca="1" si="72"/>
        <v>0</v>
      </c>
    </row>
    <row r="529" spans="2:27" x14ac:dyDescent="0.25">
      <c r="B529" s="21" t="str">
        <f ca="1">IF(B528="","",IF(EOMONTH(B528,1)&gt;EOMONTH(ELEGIBILIDADE!$J$17,0),"",EOMONTH(B528,1)))</f>
        <v/>
      </c>
      <c r="C529" s="22" t="str">
        <f ca="1">IF(B529="","",IF(MONTH(B529)=1,C528*(1+PREMISSAS!$C$57),C528))</f>
        <v/>
      </c>
      <c r="D529" s="22">
        <f ca="1">IF(RESULTADOS!$C$17="Normal",IFERROR(MAX(C529-PREMISSAS!$C$13,0),0),IF(Painel!$I$23=0,0,MAX(10*PREMISSAS!$C$38,RESULTADOS!$F$17)))</f>
        <v>0</v>
      </c>
      <c r="E529" s="4">
        <f ca="1">D529*IF(RESULTADOS!$C$17="Normal",RESULTADOS!$C$16,0)</f>
        <v>0</v>
      </c>
      <c r="F529" s="4">
        <f ca="1">IFERROR(IF(RESULTADOS!$C$17="Normal",D529,C529)*RESULTADOS!$C$18,0)</f>
        <v>0</v>
      </c>
      <c r="G529" s="4">
        <f ca="1">IFERROR(IF(RESULTADOS!$C$17="Normal",0,D529)*IF(RESULTADOS!$C$17="Normal",RESULTADOS!$C$18,RESULTADOS!$C$16),0)</f>
        <v>0</v>
      </c>
      <c r="H529" s="4">
        <f ca="1">IF(RESULTADOS!$C$17="Normal",E529,0)</f>
        <v>0</v>
      </c>
      <c r="I529" s="4">
        <f ca="1">(E529+H529+G529)*PREMISSAS!$C$60</f>
        <v>0</v>
      </c>
      <c r="J529" s="4">
        <f ca="1">D529*IF(RESULTADOS!$C$17="Normal",PREMISSAS!$C$62,0)</f>
        <v>0</v>
      </c>
      <c r="K529" s="116">
        <f ca="1">IFERROR(K528*(1+PREMISSAS!$C$18)+(E529+H529-IF(RESULTADOS!$C$17="Normal",I529,0)-J529)*IF(MONTH(B529)=12,2,1),0)</f>
        <v>0</v>
      </c>
      <c r="L529" s="116">
        <f ca="1">IFERROR((L528+G529-IF(RESULTADOS!$C$17="Normal",0,I529))*(1+PREMISSAS!$C$18)+F529,0)</f>
        <v>0</v>
      </c>
      <c r="N529" s="73">
        <f t="shared" ca="1" si="73"/>
        <v>0</v>
      </c>
      <c r="P529" s="164" t="str">
        <f t="shared" ca="1" si="74"/>
        <v/>
      </c>
      <c r="Q529" s="140" t="str">
        <f ca="1">IF(C529="","",Q528+(E529+H529-IF(RESULTADOS!$C$17="Normal",I529,0)-J529)/2+(F529+G529-IF(RESULTADOS!$C$17="Normal",0,I529)))</f>
        <v/>
      </c>
      <c r="R529" s="140" t="str">
        <f ca="1">IF(C529="","",R528+(E529+H529-IF(RESULTADOS!$C$17="Normal",I529,0)-J529)/2)</f>
        <v/>
      </c>
      <c r="S529" s="140">
        <f t="shared" ca="1" si="75"/>
        <v>0</v>
      </c>
      <c r="U529" s="164" t="str">
        <f t="shared" ca="1" si="76"/>
        <v/>
      </c>
      <c r="V529" s="164" t="str">
        <f t="shared" ca="1" si="77"/>
        <v/>
      </c>
      <c r="W529" s="140">
        <f ca="1">IF(OR((W528-13/12*Z528)*(1+PREMISSAS!$C$16)&lt;0,W528=""),0,(W528-13/12*Z528)*(1+PREMISSAS!$C$16))</f>
        <v>0</v>
      </c>
      <c r="X529" s="140">
        <f ca="1">IF(OR((X528-13/12*AA528)*(1+PREMISSAS!$C$16)&lt;0,X528=""),0,(X528-13/12*AA528)*(1+PREMISSAS!$C$16))</f>
        <v>0</v>
      </c>
      <c r="Y529" s="140">
        <f t="shared" ca="1" si="78"/>
        <v>0</v>
      </c>
      <c r="Z529" s="167">
        <f t="shared" ca="1" si="79"/>
        <v>0</v>
      </c>
      <c r="AA529" s="167">
        <f t="shared" ca="1" si="72"/>
        <v>0</v>
      </c>
    </row>
    <row r="530" spans="2:27" x14ac:dyDescent="0.25">
      <c r="B530" s="21" t="str">
        <f ca="1">IF(B529="","",IF(EOMONTH(B529,1)&gt;EOMONTH(ELEGIBILIDADE!$J$17,0),"",EOMONTH(B529,1)))</f>
        <v/>
      </c>
      <c r="C530" s="22" t="str">
        <f ca="1">IF(B530="","",IF(MONTH(B530)=1,C529*(1+PREMISSAS!$C$57),C529))</f>
        <v/>
      </c>
      <c r="D530" s="22">
        <f ca="1">IF(RESULTADOS!$C$17="Normal",IFERROR(MAX(C530-PREMISSAS!$C$13,0),0),IF(Painel!$I$23=0,0,MAX(10*PREMISSAS!$C$38,RESULTADOS!$F$17)))</f>
        <v>0</v>
      </c>
      <c r="E530" s="4">
        <f ca="1">D530*IF(RESULTADOS!$C$17="Normal",RESULTADOS!$C$16,0)</f>
        <v>0</v>
      </c>
      <c r="F530" s="4">
        <f ca="1">IFERROR(IF(RESULTADOS!$C$17="Normal",D530,C530)*RESULTADOS!$C$18,0)</f>
        <v>0</v>
      </c>
      <c r="G530" s="4">
        <f ca="1">IFERROR(IF(RESULTADOS!$C$17="Normal",0,D530)*IF(RESULTADOS!$C$17="Normal",RESULTADOS!$C$18,RESULTADOS!$C$16),0)</f>
        <v>0</v>
      </c>
      <c r="H530" s="4">
        <f ca="1">IF(RESULTADOS!$C$17="Normal",E530,0)</f>
        <v>0</v>
      </c>
      <c r="I530" s="4">
        <f ca="1">(E530+H530+G530)*PREMISSAS!$C$60</f>
        <v>0</v>
      </c>
      <c r="J530" s="4">
        <f ca="1">D530*IF(RESULTADOS!$C$17="Normal",PREMISSAS!$C$62,0)</f>
        <v>0</v>
      </c>
      <c r="K530" s="116">
        <f ca="1">IFERROR(K529*(1+PREMISSAS!$C$18)+(E530+H530-IF(RESULTADOS!$C$17="Normal",I530,0)-J530)*IF(MONTH(B530)=12,2,1),0)</f>
        <v>0</v>
      </c>
      <c r="L530" s="116">
        <f ca="1">IFERROR((L529+G530-IF(RESULTADOS!$C$17="Normal",0,I530))*(1+PREMISSAS!$C$18)+F530,0)</f>
        <v>0</v>
      </c>
      <c r="N530" s="73">
        <f t="shared" ca="1" si="73"/>
        <v>0</v>
      </c>
      <c r="P530" s="164" t="str">
        <f t="shared" ca="1" si="74"/>
        <v/>
      </c>
      <c r="Q530" s="140" t="str">
        <f ca="1">IF(C530="","",Q529+(E530+H530-IF(RESULTADOS!$C$17="Normal",I530,0)-J530)/2+(F530+G530-IF(RESULTADOS!$C$17="Normal",0,I530)))</f>
        <v/>
      </c>
      <c r="R530" s="140" t="str">
        <f ca="1">IF(C530="","",R529+(E530+H530-IF(RESULTADOS!$C$17="Normal",I530,0)-J530)/2)</f>
        <v/>
      </c>
      <c r="S530" s="140">
        <f t="shared" ca="1" si="75"/>
        <v>0</v>
      </c>
      <c r="U530" s="164" t="str">
        <f t="shared" ca="1" si="76"/>
        <v/>
      </c>
      <c r="V530" s="164" t="str">
        <f t="shared" ca="1" si="77"/>
        <v/>
      </c>
      <c r="W530" s="140">
        <f ca="1">IF(OR((W529-13/12*Z529)*(1+PREMISSAS!$C$16)&lt;0,W529=""),0,(W529-13/12*Z529)*(1+PREMISSAS!$C$16))</f>
        <v>0</v>
      </c>
      <c r="X530" s="140">
        <f ca="1">IF(OR((X529-13/12*AA529)*(1+PREMISSAS!$C$16)&lt;0,X529=""),0,(X529-13/12*AA529)*(1+PREMISSAS!$C$16))</f>
        <v>0</v>
      </c>
      <c r="Y530" s="140">
        <f t="shared" ca="1" si="78"/>
        <v>0</v>
      </c>
      <c r="Z530" s="167">
        <f t="shared" ca="1" si="79"/>
        <v>0</v>
      </c>
      <c r="AA530" s="167">
        <f t="shared" ca="1" si="72"/>
        <v>0</v>
      </c>
    </row>
    <row r="531" spans="2:27" x14ac:dyDescent="0.25">
      <c r="B531" s="21" t="str">
        <f ca="1">IF(B530="","",IF(EOMONTH(B530,1)&gt;EOMONTH(ELEGIBILIDADE!$J$17,0),"",EOMONTH(B530,1)))</f>
        <v/>
      </c>
      <c r="C531" s="22" t="str">
        <f ca="1">IF(B531="","",IF(MONTH(B531)=1,C530*(1+PREMISSAS!$C$57),C530))</f>
        <v/>
      </c>
      <c r="D531" s="22">
        <f ca="1">IF(RESULTADOS!$C$17="Normal",IFERROR(MAX(C531-PREMISSAS!$C$13,0),0),IF(Painel!$I$23=0,0,MAX(10*PREMISSAS!$C$38,RESULTADOS!$F$17)))</f>
        <v>0</v>
      </c>
      <c r="E531" s="4">
        <f ca="1">D531*IF(RESULTADOS!$C$17="Normal",RESULTADOS!$C$16,0)</f>
        <v>0</v>
      </c>
      <c r="F531" s="4">
        <f ca="1">IFERROR(IF(RESULTADOS!$C$17="Normal",D531,C531)*RESULTADOS!$C$18,0)</f>
        <v>0</v>
      </c>
      <c r="G531" s="4">
        <f ca="1">IFERROR(IF(RESULTADOS!$C$17="Normal",0,D531)*IF(RESULTADOS!$C$17="Normal",RESULTADOS!$C$18,RESULTADOS!$C$16),0)</f>
        <v>0</v>
      </c>
      <c r="H531" s="4">
        <f ca="1">IF(RESULTADOS!$C$17="Normal",E531,0)</f>
        <v>0</v>
      </c>
      <c r="I531" s="4">
        <f ca="1">(E531+H531+G531)*PREMISSAS!$C$60</f>
        <v>0</v>
      </c>
      <c r="J531" s="4">
        <f ca="1">D531*IF(RESULTADOS!$C$17="Normal",PREMISSAS!$C$62,0)</f>
        <v>0</v>
      </c>
      <c r="K531" s="116">
        <f ca="1">IFERROR(K530*(1+PREMISSAS!$C$18)+(E531+H531-IF(RESULTADOS!$C$17="Normal",I531,0)-J531)*IF(MONTH(B531)=12,2,1),0)</f>
        <v>0</v>
      </c>
      <c r="L531" s="116">
        <f ca="1">IFERROR((L530+G531-IF(RESULTADOS!$C$17="Normal",0,I531))*(1+PREMISSAS!$C$18)+F531,0)</f>
        <v>0</v>
      </c>
      <c r="N531" s="73">
        <f t="shared" ca="1" si="73"/>
        <v>0</v>
      </c>
      <c r="P531" s="164" t="str">
        <f t="shared" ca="1" si="74"/>
        <v/>
      </c>
      <c r="Q531" s="140" t="str">
        <f ca="1">IF(C531="","",Q530+(E531+H531-IF(RESULTADOS!$C$17="Normal",I531,0)-J531)/2+(F531+G531-IF(RESULTADOS!$C$17="Normal",0,I531)))</f>
        <v/>
      </c>
      <c r="R531" s="140" t="str">
        <f ca="1">IF(C531="","",R530+(E531+H531-IF(RESULTADOS!$C$17="Normal",I531,0)-J531)/2)</f>
        <v/>
      </c>
      <c r="S531" s="140">
        <f t="shared" ca="1" si="75"/>
        <v>0</v>
      </c>
      <c r="U531" s="164" t="str">
        <f t="shared" ca="1" si="76"/>
        <v/>
      </c>
      <c r="V531" s="164" t="str">
        <f t="shared" ca="1" si="77"/>
        <v/>
      </c>
      <c r="W531" s="140">
        <f ca="1">IF(OR((W530-13/12*Z530)*(1+PREMISSAS!$C$16)&lt;0,W530=""),0,(W530-13/12*Z530)*(1+PREMISSAS!$C$16))</f>
        <v>0</v>
      </c>
      <c r="X531" s="140">
        <f ca="1">IF(OR((X530-13/12*AA530)*(1+PREMISSAS!$C$16)&lt;0,X530=""),0,(X530-13/12*AA530)*(1+PREMISSAS!$C$16))</f>
        <v>0</v>
      </c>
      <c r="Y531" s="140">
        <f t="shared" ca="1" si="78"/>
        <v>0</v>
      </c>
      <c r="Z531" s="167">
        <f t="shared" ca="1" si="79"/>
        <v>0</v>
      </c>
      <c r="AA531" s="167">
        <f t="shared" ca="1" si="72"/>
        <v>0</v>
      </c>
    </row>
    <row r="532" spans="2:27" x14ac:dyDescent="0.25">
      <c r="B532" s="21" t="str">
        <f ca="1">IF(B531="","",IF(EOMONTH(B531,1)&gt;EOMONTH(ELEGIBILIDADE!$J$17,0),"",EOMONTH(B531,1)))</f>
        <v/>
      </c>
      <c r="C532" s="22" t="str">
        <f ca="1">IF(B532="","",IF(MONTH(B532)=1,C531*(1+PREMISSAS!$C$57),C531))</f>
        <v/>
      </c>
      <c r="D532" s="22">
        <f ca="1">IF(RESULTADOS!$C$17="Normal",IFERROR(MAX(C532-PREMISSAS!$C$13,0),0),IF(Painel!$I$23=0,0,MAX(10*PREMISSAS!$C$38,RESULTADOS!$F$17)))</f>
        <v>0</v>
      </c>
      <c r="E532" s="4">
        <f ca="1">D532*IF(RESULTADOS!$C$17="Normal",RESULTADOS!$C$16,0)</f>
        <v>0</v>
      </c>
      <c r="F532" s="4">
        <f ca="1">IFERROR(IF(RESULTADOS!$C$17="Normal",D532,C532)*RESULTADOS!$C$18,0)</f>
        <v>0</v>
      </c>
      <c r="G532" s="4">
        <f ca="1">IFERROR(IF(RESULTADOS!$C$17="Normal",0,D532)*IF(RESULTADOS!$C$17="Normal",RESULTADOS!$C$18,RESULTADOS!$C$16),0)</f>
        <v>0</v>
      </c>
      <c r="H532" s="4">
        <f ca="1">IF(RESULTADOS!$C$17="Normal",E532,0)</f>
        <v>0</v>
      </c>
      <c r="I532" s="4">
        <f ca="1">(E532+H532+G532)*PREMISSAS!$C$60</f>
        <v>0</v>
      </c>
      <c r="J532" s="4">
        <f ca="1">D532*IF(RESULTADOS!$C$17="Normal",PREMISSAS!$C$62,0)</f>
        <v>0</v>
      </c>
      <c r="K532" s="116">
        <f ca="1">IFERROR(K531*(1+PREMISSAS!$C$18)+(E532+H532-IF(RESULTADOS!$C$17="Normal",I532,0)-J532)*IF(MONTH(B532)=12,2,1),0)</f>
        <v>0</v>
      </c>
      <c r="L532" s="116">
        <f ca="1">IFERROR((L531+G532-IF(RESULTADOS!$C$17="Normal",0,I532))*(1+PREMISSAS!$C$18)+F532,0)</f>
        <v>0</v>
      </c>
      <c r="N532" s="73">
        <f t="shared" ca="1" si="73"/>
        <v>0</v>
      </c>
      <c r="P532" s="164" t="str">
        <f t="shared" ca="1" si="74"/>
        <v/>
      </c>
      <c r="Q532" s="140" t="str">
        <f ca="1">IF(C532="","",Q531+(E532+H532-IF(RESULTADOS!$C$17="Normal",I532,0)-J532)/2+(F532+G532-IF(RESULTADOS!$C$17="Normal",0,I532)))</f>
        <v/>
      </c>
      <c r="R532" s="140" t="str">
        <f ca="1">IF(C532="","",R531+(E532+H532-IF(RESULTADOS!$C$17="Normal",I532,0)-J532)/2)</f>
        <v/>
      </c>
      <c r="S532" s="140">
        <f t="shared" ca="1" si="75"/>
        <v>0</v>
      </c>
      <c r="U532" s="164" t="str">
        <f t="shared" ca="1" si="76"/>
        <v/>
      </c>
      <c r="V532" s="164" t="str">
        <f t="shared" ca="1" si="77"/>
        <v/>
      </c>
      <c r="W532" s="140">
        <f ca="1">IF(OR((W531-13/12*Z531)*(1+PREMISSAS!$C$16)&lt;0,W531=""),0,(W531-13/12*Z531)*(1+PREMISSAS!$C$16))</f>
        <v>0</v>
      </c>
      <c r="X532" s="140">
        <f ca="1">IF(OR((X531-13/12*AA531)*(1+PREMISSAS!$C$16)&lt;0,X531=""),0,(X531-13/12*AA531)*(1+PREMISSAS!$C$16))</f>
        <v>0</v>
      </c>
      <c r="Y532" s="140">
        <f t="shared" ca="1" si="78"/>
        <v>0</v>
      </c>
      <c r="Z532" s="167">
        <f t="shared" ca="1" si="79"/>
        <v>0</v>
      </c>
      <c r="AA532" s="167">
        <f t="shared" ca="1" si="72"/>
        <v>0</v>
      </c>
    </row>
    <row r="533" spans="2:27" x14ac:dyDescent="0.25">
      <c r="B533" s="21" t="str">
        <f ca="1">IF(B532="","",IF(EOMONTH(B532,1)&gt;EOMONTH(ELEGIBILIDADE!$J$17,0),"",EOMONTH(B532,1)))</f>
        <v/>
      </c>
      <c r="C533" s="22" t="str">
        <f ca="1">IF(B533="","",IF(MONTH(B533)=1,C532*(1+PREMISSAS!$C$57),C532))</f>
        <v/>
      </c>
      <c r="D533" s="22">
        <f ca="1">IF(RESULTADOS!$C$17="Normal",IFERROR(MAX(C533-PREMISSAS!$C$13,0),0),IF(Painel!$I$23=0,0,MAX(10*PREMISSAS!$C$38,RESULTADOS!$F$17)))</f>
        <v>0</v>
      </c>
      <c r="E533" s="4">
        <f ca="1">D533*IF(RESULTADOS!$C$17="Normal",RESULTADOS!$C$16,0)</f>
        <v>0</v>
      </c>
      <c r="F533" s="4">
        <f ca="1">IFERROR(IF(RESULTADOS!$C$17="Normal",D533,C533)*RESULTADOS!$C$18,0)</f>
        <v>0</v>
      </c>
      <c r="G533" s="4">
        <f ca="1">IFERROR(IF(RESULTADOS!$C$17="Normal",0,D533)*IF(RESULTADOS!$C$17="Normal",RESULTADOS!$C$18,RESULTADOS!$C$16),0)</f>
        <v>0</v>
      </c>
      <c r="H533" s="4">
        <f ca="1">IF(RESULTADOS!$C$17="Normal",E533,0)</f>
        <v>0</v>
      </c>
      <c r="I533" s="4">
        <f ca="1">(E533+H533+G533)*PREMISSAS!$C$60</f>
        <v>0</v>
      </c>
      <c r="J533" s="4">
        <f ca="1">D533*IF(RESULTADOS!$C$17="Normal",PREMISSAS!$C$62,0)</f>
        <v>0</v>
      </c>
      <c r="K533" s="116">
        <f ca="1">IFERROR(K532*(1+PREMISSAS!$C$18)+(E533+H533-IF(RESULTADOS!$C$17="Normal",I533,0)-J533)*IF(MONTH(B533)=12,2,1),0)</f>
        <v>0</v>
      </c>
      <c r="L533" s="116">
        <f ca="1">IFERROR((L532+G533-IF(RESULTADOS!$C$17="Normal",0,I533))*(1+PREMISSAS!$C$18)+F533,0)</f>
        <v>0</v>
      </c>
      <c r="N533" s="73">
        <f t="shared" ca="1" si="73"/>
        <v>0</v>
      </c>
      <c r="P533" s="164" t="str">
        <f t="shared" ca="1" si="74"/>
        <v/>
      </c>
      <c r="Q533" s="140" t="str">
        <f ca="1">IF(C533="","",Q532+(E533+H533-IF(RESULTADOS!$C$17="Normal",I533,0)-J533)/2+(F533+G533-IF(RESULTADOS!$C$17="Normal",0,I533)))</f>
        <v/>
      </c>
      <c r="R533" s="140" t="str">
        <f ca="1">IF(C533="","",R532+(E533+H533-IF(RESULTADOS!$C$17="Normal",I533,0)-J533)/2)</f>
        <v/>
      </c>
      <c r="S533" s="140">
        <f t="shared" ca="1" si="75"/>
        <v>0</v>
      </c>
      <c r="U533" s="164" t="str">
        <f t="shared" ca="1" si="76"/>
        <v/>
      </c>
      <c r="V533" s="164" t="str">
        <f t="shared" ca="1" si="77"/>
        <v/>
      </c>
      <c r="W533" s="140">
        <f ca="1">IF(OR((W532-13/12*Z532)*(1+PREMISSAS!$C$16)&lt;0,W532=""),0,(W532-13/12*Z532)*(1+PREMISSAS!$C$16))</f>
        <v>0</v>
      </c>
      <c r="X533" s="140">
        <f ca="1">IF(OR((X532-13/12*AA532)*(1+PREMISSAS!$C$16)&lt;0,X532=""),0,(X532-13/12*AA532)*(1+PREMISSAS!$C$16))</f>
        <v>0</v>
      </c>
      <c r="Y533" s="140">
        <f t="shared" ca="1" si="78"/>
        <v>0</v>
      </c>
      <c r="Z533" s="167">
        <f t="shared" ca="1" si="79"/>
        <v>0</v>
      </c>
      <c r="AA533" s="167">
        <f t="shared" ca="1" si="72"/>
        <v>0</v>
      </c>
    </row>
    <row r="534" spans="2:27" x14ac:dyDescent="0.25">
      <c r="B534" s="21" t="str">
        <f ca="1">IF(B533="","",IF(EOMONTH(B533,1)&gt;EOMONTH(ELEGIBILIDADE!$J$17,0),"",EOMONTH(B533,1)))</f>
        <v/>
      </c>
      <c r="C534" s="22" t="str">
        <f ca="1">IF(B534="","",IF(MONTH(B534)=1,C533*(1+PREMISSAS!$C$57),C533))</f>
        <v/>
      </c>
      <c r="D534" s="22">
        <f ca="1">IF(RESULTADOS!$C$17="Normal",IFERROR(MAX(C534-PREMISSAS!$C$13,0),0),IF(Painel!$I$23=0,0,MAX(10*PREMISSAS!$C$38,RESULTADOS!$F$17)))</f>
        <v>0</v>
      </c>
      <c r="E534" s="4">
        <f ca="1">D534*IF(RESULTADOS!$C$17="Normal",RESULTADOS!$C$16,0)</f>
        <v>0</v>
      </c>
      <c r="F534" s="4">
        <f ca="1">IFERROR(IF(RESULTADOS!$C$17="Normal",D534,C534)*RESULTADOS!$C$18,0)</f>
        <v>0</v>
      </c>
      <c r="G534" s="4">
        <f ca="1">IFERROR(IF(RESULTADOS!$C$17="Normal",0,D534)*IF(RESULTADOS!$C$17="Normal",RESULTADOS!$C$18,RESULTADOS!$C$16),0)</f>
        <v>0</v>
      </c>
      <c r="H534" s="4">
        <f ca="1">IF(RESULTADOS!$C$17="Normal",E534,0)</f>
        <v>0</v>
      </c>
      <c r="I534" s="4">
        <f ca="1">(E534+H534+G534)*PREMISSAS!$C$60</f>
        <v>0</v>
      </c>
      <c r="J534" s="4">
        <f ca="1">D534*IF(RESULTADOS!$C$17="Normal",PREMISSAS!$C$62,0)</f>
        <v>0</v>
      </c>
      <c r="K534" s="116">
        <f ca="1">IFERROR(K533*(1+PREMISSAS!$C$18)+(E534+H534-IF(RESULTADOS!$C$17="Normal",I534,0)-J534)*IF(MONTH(B534)=12,2,1),0)</f>
        <v>0</v>
      </c>
      <c r="L534" s="116">
        <f ca="1">IFERROR((L533+G534-IF(RESULTADOS!$C$17="Normal",0,I534))*(1+PREMISSAS!$C$18)+F534,0)</f>
        <v>0</v>
      </c>
      <c r="N534" s="73">
        <f t="shared" ca="1" si="73"/>
        <v>0</v>
      </c>
      <c r="P534" s="164" t="str">
        <f t="shared" ca="1" si="74"/>
        <v/>
      </c>
      <c r="Q534" s="140" t="str">
        <f ca="1">IF(C534="","",Q533+(E534+H534-IF(RESULTADOS!$C$17="Normal",I534,0)-J534)/2+(F534+G534-IF(RESULTADOS!$C$17="Normal",0,I534)))</f>
        <v/>
      </c>
      <c r="R534" s="140" t="str">
        <f ca="1">IF(C534="","",R533+(E534+H534-IF(RESULTADOS!$C$17="Normal",I534,0)-J534)/2)</f>
        <v/>
      </c>
      <c r="S534" s="140">
        <f t="shared" ca="1" si="75"/>
        <v>0</v>
      </c>
      <c r="U534" s="164" t="str">
        <f t="shared" ca="1" si="76"/>
        <v/>
      </c>
      <c r="V534" s="164" t="str">
        <f t="shared" ca="1" si="77"/>
        <v/>
      </c>
      <c r="W534" s="140">
        <f ca="1">IF(OR((W533-13/12*Z533)*(1+PREMISSAS!$C$16)&lt;0,W533=""),0,(W533-13/12*Z533)*(1+PREMISSAS!$C$16))</f>
        <v>0</v>
      </c>
      <c r="X534" s="140">
        <f ca="1">IF(OR((X533-13/12*AA533)*(1+PREMISSAS!$C$16)&lt;0,X533=""),0,(X533-13/12*AA533)*(1+PREMISSAS!$C$16))</f>
        <v>0</v>
      </c>
      <c r="Y534" s="140">
        <f t="shared" ca="1" si="78"/>
        <v>0</v>
      </c>
      <c r="Z534" s="167">
        <f t="shared" ca="1" si="79"/>
        <v>0</v>
      </c>
      <c r="AA534" s="167">
        <f t="shared" ca="1" si="72"/>
        <v>0</v>
      </c>
    </row>
    <row r="535" spans="2:27" x14ac:dyDescent="0.25">
      <c r="B535" s="21" t="str">
        <f ca="1">IF(B534="","",IF(EOMONTH(B534,1)&gt;EOMONTH(ELEGIBILIDADE!$J$17,0),"",EOMONTH(B534,1)))</f>
        <v/>
      </c>
      <c r="C535" s="22" t="str">
        <f ca="1">IF(B535="","",IF(MONTH(B535)=1,C534*(1+PREMISSAS!$C$57),C534))</f>
        <v/>
      </c>
      <c r="D535" s="22">
        <f ca="1">IF(RESULTADOS!$C$17="Normal",IFERROR(MAX(C535-PREMISSAS!$C$13,0),0),IF(Painel!$I$23=0,0,MAX(10*PREMISSAS!$C$38,RESULTADOS!$F$17)))</f>
        <v>0</v>
      </c>
      <c r="E535" s="4">
        <f ca="1">D535*IF(RESULTADOS!$C$17="Normal",RESULTADOS!$C$16,0)</f>
        <v>0</v>
      </c>
      <c r="F535" s="4">
        <f ca="1">IFERROR(IF(RESULTADOS!$C$17="Normal",D535,C535)*RESULTADOS!$C$18,0)</f>
        <v>0</v>
      </c>
      <c r="G535" s="4">
        <f ca="1">IFERROR(IF(RESULTADOS!$C$17="Normal",0,D535)*IF(RESULTADOS!$C$17="Normal",RESULTADOS!$C$18,RESULTADOS!$C$16),0)</f>
        <v>0</v>
      </c>
      <c r="H535" s="4">
        <f ca="1">IF(RESULTADOS!$C$17="Normal",E535,0)</f>
        <v>0</v>
      </c>
      <c r="I535" s="4">
        <f ca="1">(E535+H535+G535)*PREMISSAS!$C$60</f>
        <v>0</v>
      </c>
      <c r="J535" s="4">
        <f ca="1">D535*IF(RESULTADOS!$C$17="Normal",PREMISSAS!$C$62,0)</f>
        <v>0</v>
      </c>
      <c r="K535" s="116">
        <f ca="1">IFERROR(K534*(1+PREMISSAS!$C$18)+(E535+H535-IF(RESULTADOS!$C$17="Normal",I535,0)-J535)*IF(MONTH(B535)=12,2,1),0)</f>
        <v>0</v>
      </c>
      <c r="L535" s="116">
        <f ca="1">IFERROR((L534+G535-IF(RESULTADOS!$C$17="Normal",0,I535))*(1+PREMISSAS!$C$18)+F535,0)</f>
        <v>0</v>
      </c>
      <c r="N535" s="73">
        <f t="shared" ca="1" si="73"/>
        <v>0</v>
      </c>
      <c r="P535" s="164" t="str">
        <f t="shared" ca="1" si="74"/>
        <v/>
      </c>
      <c r="Q535" s="140" t="str">
        <f ca="1">IF(C535="","",Q534+(E535+H535-IF(RESULTADOS!$C$17="Normal",I535,0)-J535)/2+(F535+G535-IF(RESULTADOS!$C$17="Normal",0,I535)))</f>
        <v/>
      </c>
      <c r="R535" s="140" t="str">
        <f ca="1">IF(C535="","",R534+(E535+H535-IF(RESULTADOS!$C$17="Normal",I535,0)-J535)/2)</f>
        <v/>
      </c>
      <c r="S535" s="140">
        <f t="shared" ca="1" si="75"/>
        <v>0</v>
      </c>
      <c r="U535" s="164" t="str">
        <f t="shared" ca="1" si="76"/>
        <v/>
      </c>
      <c r="V535" s="164" t="str">
        <f t="shared" ca="1" si="77"/>
        <v/>
      </c>
      <c r="W535" s="140">
        <f ca="1">IF(OR((W534-13/12*Z534)*(1+PREMISSAS!$C$16)&lt;0,W534=""),0,(W534-13/12*Z534)*(1+PREMISSAS!$C$16))</f>
        <v>0</v>
      </c>
      <c r="X535" s="140">
        <f ca="1">IF(OR((X534-13/12*AA534)*(1+PREMISSAS!$C$16)&lt;0,X534=""),0,(X534-13/12*AA534)*(1+PREMISSAS!$C$16))</f>
        <v>0</v>
      </c>
      <c r="Y535" s="140">
        <f t="shared" ca="1" si="78"/>
        <v>0</v>
      </c>
      <c r="Z535" s="167">
        <f t="shared" ca="1" si="79"/>
        <v>0</v>
      </c>
      <c r="AA535" s="167">
        <f t="shared" ca="1" si="72"/>
        <v>0</v>
      </c>
    </row>
    <row r="536" spans="2:27" x14ac:dyDescent="0.25">
      <c r="B536" s="21" t="str">
        <f ca="1">IF(B535="","",IF(EOMONTH(B535,1)&gt;EOMONTH(ELEGIBILIDADE!$J$17,0),"",EOMONTH(B535,1)))</f>
        <v/>
      </c>
      <c r="C536" s="22" t="str">
        <f ca="1">IF(B536="","",IF(MONTH(B536)=1,C535*(1+PREMISSAS!$C$57),C535))</f>
        <v/>
      </c>
      <c r="D536" s="22">
        <f ca="1">IF(RESULTADOS!$C$17="Normal",IFERROR(MAX(C536-PREMISSAS!$C$13,0),0),IF(Painel!$I$23=0,0,MAX(10*PREMISSAS!$C$38,RESULTADOS!$F$17)))</f>
        <v>0</v>
      </c>
      <c r="E536" s="4">
        <f ca="1">D536*IF(RESULTADOS!$C$17="Normal",RESULTADOS!$C$16,0)</f>
        <v>0</v>
      </c>
      <c r="F536" s="4">
        <f ca="1">IFERROR(IF(RESULTADOS!$C$17="Normal",D536,C536)*RESULTADOS!$C$18,0)</f>
        <v>0</v>
      </c>
      <c r="G536" s="4">
        <f ca="1">IFERROR(IF(RESULTADOS!$C$17="Normal",0,D536)*IF(RESULTADOS!$C$17="Normal",RESULTADOS!$C$18,RESULTADOS!$C$16),0)</f>
        <v>0</v>
      </c>
      <c r="H536" s="4">
        <f ca="1">IF(RESULTADOS!$C$17="Normal",E536,0)</f>
        <v>0</v>
      </c>
      <c r="I536" s="4">
        <f ca="1">(E536+H536+G536)*PREMISSAS!$C$60</f>
        <v>0</v>
      </c>
      <c r="J536" s="4">
        <f ca="1">D536*IF(RESULTADOS!$C$17="Normal",PREMISSAS!$C$62,0)</f>
        <v>0</v>
      </c>
      <c r="K536" s="116">
        <f ca="1">IFERROR(K535*(1+PREMISSAS!$C$18)+(E536+H536-IF(RESULTADOS!$C$17="Normal",I536,0)-J536)*IF(MONTH(B536)=12,2,1),0)</f>
        <v>0</v>
      </c>
      <c r="L536" s="116">
        <f ca="1">IFERROR((L535+G536-IF(RESULTADOS!$C$17="Normal",0,I536))*(1+PREMISSAS!$C$18)+F536,0)</f>
        <v>0</v>
      </c>
      <c r="N536" s="73">
        <f t="shared" ca="1" si="73"/>
        <v>0</v>
      </c>
      <c r="P536" s="164" t="str">
        <f t="shared" ca="1" si="74"/>
        <v/>
      </c>
      <c r="Q536" s="140" t="str">
        <f ca="1">IF(C536="","",Q535+(E536+H536-IF(RESULTADOS!$C$17="Normal",I536,0)-J536)/2+(F536+G536-IF(RESULTADOS!$C$17="Normal",0,I536)))</f>
        <v/>
      </c>
      <c r="R536" s="140" t="str">
        <f ca="1">IF(C536="","",R535+(E536+H536-IF(RESULTADOS!$C$17="Normal",I536,0)-J536)/2)</f>
        <v/>
      </c>
      <c r="S536" s="140">
        <f t="shared" ca="1" si="75"/>
        <v>0</v>
      </c>
      <c r="U536" s="164" t="str">
        <f t="shared" ca="1" si="76"/>
        <v/>
      </c>
      <c r="V536" s="164" t="str">
        <f t="shared" ca="1" si="77"/>
        <v/>
      </c>
      <c r="W536" s="140">
        <f ca="1">IF(OR((W535-13/12*Z535)*(1+PREMISSAS!$C$16)&lt;0,W535=""),0,(W535-13/12*Z535)*(1+PREMISSAS!$C$16))</f>
        <v>0</v>
      </c>
      <c r="X536" s="140">
        <f ca="1">IF(OR((X535-13/12*AA535)*(1+PREMISSAS!$C$16)&lt;0,X535=""),0,(X535-13/12*AA535)*(1+PREMISSAS!$C$16))</f>
        <v>0</v>
      </c>
      <c r="Y536" s="140">
        <f t="shared" ca="1" si="78"/>
        <v>0</v>
      </c>
      <c r="Z536" s="167">
        <f t="shared" ca="1" si="79"/>
        <v>0</v>
      </c>
      <c r="AA536" s="167">
        <f t="shared" ca="1" si="72"/>
        <v>0</v>
      </c>
    </row>
    <row r="537" spans="2:27" x14ac:dyDescent="0.25">
      <c r="B537" s="21" t="str">
        <f ca="1">IF(B536="","",IF(EOMONTH(B536,1)&gt;EOMONTH(ELEGIBILIDADE!$J$17,0),"",EOMONTH(B536,1)))</f>
        <v/>
      </c>
      <c r="C537" s="22" t="str">
        <f ca="1">IF(B537="","",IF(MONTH(B537)=1,C536*(1+PREMISSAS!$C$57),C536))</f>
        <v/>
      </c>
      <c r="D537" s="22">
        <f ca="1">IF(RESULTADOS!$C$17="Normal",IFERROR(MAX(C537-PREMISSAS!$C$13,0),0),IF(Painel!$I$23=0,0,MAX(10*PREMISSAS!$C$38,RESULTADOS!$F$17)))</f>
        <v>0</v>
      </c>
      <c r="E537" s="4">
        <f ca="1">D537*IF(RESULTADOS!$C$17="Normal",RESULTADOS!$C$16,0)</f>
        <v>0</v>
      </c>
      <c r="F537" s="4">
        <f ca="1">IFERROR(IF(RESULTADOS!$C$17="Normal",D537,C537)*RESULTADOS!$C$18,0)</f>
        <v>0</v>
      </c>
      <c r="G537" s="4">
        <f ca="1">IFERROR(IF(RESULTADOS!$C$17="Normal",0,D537)*IF(RESULTADOS!$C$17="Normal",RESULTADOS!$C$18,RESULTADOS!$C$16),0)</f>
        <v>0</v>
      </c>
      <c r="H537" s="4">
        <f ca="1">IF(RESULTADOS!$C$17="Normal",E537,0)</f>
        <v>0</v>
      </c>
      <c r="I537" s="4">
        <f ca="1">(E537+H537+G537)*PREMISSAS!$C$60</f>
        <v>0</v>
      </c>
      <c r="J537" s="4">
        <f ca="1">D537*IF(RESULTADOS!$C$17="Normal",PREMISSAS!$C$62,0)</f>
        <v>0</v>
      </c>
      <c r="K537" s="116">
        <f ca="1">IFERROR(K536*(1+PREMISSAS!$C$18)+(E537+H537-IF(RESULTADOS!$C$17="Normal",I537,0)-J537)*IF(MONTH(B537)=12,2,1),0)</f>
        <v>0</v>
      </c>
      <c r="L537" s="116">
        <f ca="1">IFERROR((L536+G537-IF(RESULTADOS!$C$17="Normal",0,I537))*(1+PREMISSAS!$C$18)+F537,0)</f>
        <v>0</v>
      </c>
      <c r="N537" s="73">
        <f t="shared" ca="1" si="73"/>
        <v>0</v>
      </c>
      <c r="P537" s="164" t="str">
        <f t="shared" ca="1" si="74"/>
        <v/>
      </c>
      <c r="Q537" s="140" t="str">
        <f ca="1">IF(C537="","",Q536+(E537+H537-IF(RESULTADOS!$C$17="Normal",I537,0)-J537)/2+(F537+G537-IF(RESULTADOS!$C$17="Normal",0,I537)))</f>
        <v/>
      </c>
      <c r="R537" s="140" t="str">
        <f ca="1">IF(C537="","",R536+(E537+H537-IF(RESULTADOS!$C$17="Normal",I537,0)-J537)/2)</f>
        <v/>
      </c>
      <c r="S537" s="140">
        <f t="shared" ca="1" si="75"/>
        <v>0</v>
      </c>
      <c r="U537" s="164" t="str">
        <f t="shared" ca="1" si="76"/>
        <v/>
      </c>
      <c r="V537" s="164" t="str">
        <f t="shared" ca="1" si="77"/>
        <v/>
      </c>
      <c r="W537" s="140">
        <f ca="1">IF(OR((W536-13/12*Z536)*(1+PREMISSAS!$C$16)&lt;0,W536=""),0,(W536-13/12*Z536)*(1+PREMISSAS!$C$16))</f>
        <v>0</v>
      </c>
      <c r="X537" s="140">
        <f ca="1">IF(OR((X536-13/12*AA536)*(1+PREMISSAS!$C$16)&lt;0,X536=""),0,(X536-13/12*AA536)*(1+PREMISSAS!$C$16))</f>
        <v>0</v>
      </c>
      <c r="Y537" s="140">
        <f t="shared" ca="1" si="78"/>
        <v>0</v>
      </c>
      <c r="Z537" s="167">
        <f t="shared" ca="1" si="79"/>
        <v>0</v>
      </c>
      <c r="AA537" s="167">
        <f t="shared" ca="1" si="72"/>
        <v>0</v>
      </c>
    </row>
    <row r="538" spans="2:27" x14ac:dyDescent="0.25">
      <c r="B538" s="21" t="str">
        <f ca="1">IF(B537="","",IF(EOMONTH(B537,1)&gt;EOMONTH(ELEGIBILIDADE!$J$17,0),"",EOMONTH(B537,1)))</f>
        <v/>
      </c>
      <c r="C538" s="22" t="str">
        <f ca="1">IF(B538="","",IF(MONTH(B538)=1,C537*(1+PREMISSAS!$C$57),C537))</f>
        <v/>
      </c>
      <c r="D538" s="22">
        <f ca="1">IF(RESULTADOS!$C$17="Normal",IFERROR(MAX(C538-PREMISSAS!$C$13,0),0),IF(Painel!$I$23=0,0,MAX(10*PREMISSAS!$C$38,RESULTADOS!$F$17)))</f>
        <v>0</v>
      </c>
      <c r="E538" s="4">
        <f ca="1">D538*IF(RESULTADOS!$C$17="Normal",RESULTADOS!$C$16,0)</f>
        <v>0</v>
      </c>
      <c r="F538" s="4">
        <f ca="1">IFERROR(IF(RESULTADOS!$C$17="Normal",D538,C538)*RESULTADOS!$C$18,0)</f>
        <v>0</v>
      </c>
      <c r="G538" s="4">
        <f ca="1">IFERROR(IF(RESULTADOS!$C$17="Normal",0,D538)*IF(RESULTADOS!$C$17="Normal",RESULTADOS!$C$18,RESULTADOS!$C$16),0)</f>
        <v>0</v>
      </c>
      <c r="H538" s="4">
        <f ca="1">IF(RESULTADOS!$C$17="Normal",E538,0)</f>
        <v>0</v>
      </c>
      <c r="I538" s="4">
        <f ca="1">(E538+H538+G538)*PREMISSAS!$C$60</f>
        <v>0</v>
      </c>
      <c r="J538" s="4">
        <f ca="1">D538*IF(RESULTADOS!$C$17="Normal",PREMISSAS!$C$62,0)</f>
        <v>0</v>
      </c>
      <c r="K538" s="116">
        <f ca="1">IFERROR(K537*(1+PREMISSAS!$C$18)+(E538+H538-IF(RESULTADOS!$C$17="Normal",I538,0)-J538)*IF(MONTH(B538)=12,2,1),0)</f>
        <v>0</v>
      </c>
      <c r="L538" s="116">
        <f ca="1">IFERROR((L537+G538-IF(RESULTADOS!$C$17="Normal",0,I538))*(1+PREMISSAS!$C$18)+F538,0)</f>
        <v>0</v>
      </c>
      <c r="N538" s="73">
        <f t="shared" ca="1" si="73"/>
        <v>0</v>
      </c>
      <c r="P538" s="164" t="str">
        <f t="shared" ca="1" si="74"/>
        <v/>
      </c>
      <c r="Q538" s="140" t="str">
        <f ca="1">IF(C538="","",Q537+(E538+H538-IF(RESULTADOS!$C$17="Normal",I538,0)-J538)/2+(F538+G538-IF(RESULTADOS!$C$17="Normal",0,I538)))</f>
        <v/>
      </c>
      <c r="R538" s="140" t="str">
        <f ca="1">IF(C538="","",R537+(E538+H538-IF(RESULTADOS!$C$17="Normal",I538,0)-J538)/2)</f>
        <v/>
      </c>
      <c r="S538" s="140">
        <f t="shared" ca="1" si="75"/>
        <v>0</v>
      </c>
      <c r="U538" s="164" t="str">
        <f t="shared" ca="1" si="76"/>
        <v/>
      </c>
      <c r="V538" s="164" t="str">
        <f t="shared" ca="1" si="77"/>
        <v/>
      </c>
      <c r="W538" s="140">
        <f ca="1">IF(OR((W537-13/12*Z537)*(1+PREMISSAS!$C$16)&lt;0,W537=""),0,(W537-13/12*Z537)*(1+PREMISSAS!$C$16))</f>
        <v>0</v>
      </c>
      <c r="X538" s="140">
        <f ca="1">IF(OR((X537-13/12*AA537)*(1+PREMISSAS!$C$16)&lt;0,X537=""),0,(X537-13/12*AA537)*(1+PREMISSAS!$C$16))</f>
        <v>0</v>
      </c>
      <c r="Y538" s="140">
        <f t="shared" ca="1" si="78"/>
        <v>0</v>
      </c>
      <c r="Z538" s="167">
        <f t="shared" ca="1" si="79"/>
        <v>0</v>
      </c>
      <c r="AA538" s="167">
        <f t="shared" ca="1" si="72"/>
        <v>0</v>
      </c>
    </row>
    <row r="539" spans="2:27" x14ac:dyDescent="0.25">
      <c r="B539" s="21" t="str">
        <f ca="1">IF(B538="","",IF(EOMONTH(B538,1)&gt;EOMONTH(ELEGIBILIDADE!$J$17,0),"",EOMONTH(B538,1)))</f>
        <v/>
      </c>
      <c r="C539" s="22" t="str">
        <f ca="1">IF(B539="","",IF(MONTH(B539)=1,C538*(1+PREMISSAS!$C$57),C538))</f>
        <v/>
      </c>
      <c r="D539" s="22">
        <f ca="1">IF(RESULTADOS!$C$17="Normal",IFERROR(MAX(C539-PREMISSAS!$C$13,0),0),IF(Painel!$I$23=0,0,MAX(10*PREMISSAS!$C$38,RESULTADOS!$F$17)))</f>
        <v>0</v>
      </c>
      <c r="E539" s="4">
        <f ca="1">D539*IF(RESULTADOS!$C$17="Normal",RESULTADOS!$C$16,0)</f>
        <v>0</v>
      </c>
      <c r="F539" s="4">
        <f ca="1">IFERROR(IF(RESULTADOS!$C$17="Normal",D539,C539)*RESULTADOS!$C$18,0)</f>
        <v>0</v>
      </c>
      <c r="G539" s="4">
        <f ca="1">IFERROR(IF(RESULTADOS!$C$17="Normal",0,D539)*IF(RESULTADOS!$C$17="Normal",RESULTADOS!$C$18,RESULTADOS!$C$16),0)</f>
        <v>0</v>
      </c>
      <c r="H539" s="4">
        <f ca="1">IF(RESULTADOS!$C$17="Normal",E539,0)</f>
        <v>0</v>
      </c>
      <c r="I539" s="4">
        <f ca="1">(E539+H539+G539)*PREMISSAS!$C$60</f>
        <v>0</v>
      </c>
      <c r="J539" s="4">
        <f ca="1">D539*IF(RESULTADOS!$C$17="Normal",PREMISSAS!$C$62,0)</f>
        <v>0</v>
      </c>
      <c r="K539" s="116">
        <f ca="1">IFERROR(K538*(1+PREMISSAS!$C$18)+(E539+H539-IF(RESULTADOS!$C$17="Normal",I539,0)-J539)*IF(MONTH(B539)=12,2,1),0)</f>
        <v>0</v>
      </c>
      <c r="L539" s="116">
        <f ca="1">IFERROR((L538+G539-IF(RESULTADOS!$C$17="Normal",0,I539))*(1+PREMISSAS!$C$18)+F539,0)</f>
        <v>0</v>
      </c>
      <c r="N539" s="73">
        <f t="shared" ca="1" si="73"/>
        <v>0</v>
      </c>
      <c r="P539" s="164" t="str">
        <f t="shared" ca="1" si="74"/>
        <v/>
      </c>
      <c r="Q539" s="140" t="str">
        <f ca="1">IF(C539="","",Q538+(E539+H539-IF(RESULTADOS!$C$17="Normal",I539,0)-J539)/2+(F539+G539-IF(RESULTADOS!$C$17="Normal",0,I539)))</f>
        <v/>
      </c>
      <c r="R539" s="140" t="str">
        <f ca="1">IF(C539="","",R538+(E539+H539-IF(RESULTADOS!$C$17="Normal",I539,0)-J539)/2)</f>
        <v/>
      </c>
      <c r="S539" s="140">
        <f t="shared" ca="1" si="75"/>
        <v>0</v>
      </c>
      <c r="U539" s="164" t="str">
        <f t="shared" ca="1" si="76"/>
        <v/>
      </c>
      <c r="V539" s="164" t="str">
        <f t="shared" ca="1" si="77"/>
        <v/>
      </c>
      <c r="W539" s="140">
        <f ca="1">IF(OR((W538-13/12*Z538)*(1+PREMISSAS!$C$16)&lt;0,W538=""),0,(W538-13/12*Z538)*(1+PREMISSAS!$C$16))</f>
        <v>0</v>
      </c>
      <c r="X539" s="140">
        <f ca="1">IF(OR((X538-13/12*AA538)*(1+PREMISSAS!$C$16)&lt;0,X538=""),0,(X538-13/12*AA538)*(1+PREMISSAS!$C$16))</f>
        <v>0</v>
      </c>
      <c r="Y539" s="140">
        <f t="shared" ca="1" si="78"/>
        <v>0</v>
      </c>
      <c r="Z539" s="167">
        <f t="shared" ca="1" si="79"/>
        <v>0</v>
      </c>
      <c r="AA539" s="167">
        <f t="shared" ca="1" si="72"/>
        <v>0</v>
      </c>
    </row>
    <row r="540" spans="2:27" x14ac:dyDescent="0.25">
      <c r="B540" s="21" t="str">
        <f ca="1">IF(B539="","",IF(EOMONTH(B539,1)&gt;EOMONTH(ELEGIBILIDADE!$J$17,0),"",EOMONTH(B539,1)))</f>
        <v/>
      </c>
      <c r="C540" s="22" t="str">
        <f ca="1">IF(B540="","",IF(MONTH(B540)=1,C539*(1+PREMISSAS!$C$57),C539))</f>
        <v/>
      </c>
      <c r="D540" s="22">
        <f ca="1">IF(RESULTADOS!$C$17="Normal",IFERROR(MAX(C540-PREMISSAS!$C$13,0),0),IF(Painel!$I$23=0,0,MAX(10*PREMISSAS!$C$38,RESULTADOS!$F$17)))</f>
        <v>0</v>
      </c>
      <c r="E540" s="4">
        <f ca="1">D540*IF(RESULTADOS!$C$17="Normal",RESULTADOS!$C$16,0)</f>
        <v>0</v>
      </c>
      <c r="F540" s="4">
        <f ca="1">IFERROR(IF(RESULTADOS!$C$17="Normal",D540,C540)*RESULTADOS!$C$18,0)</f>
        <v>0</v>
      </c>
      <c r="G540" s="4">
        <f ca="1">IFERROR(IF(RESULTADOS!$C$17="Normal",0,D540)*IF(RESULTADOS!$C$17="Normal",RESULTADOS!$C$18,RESULTADOS!$C$16),0)</f>
        <v>0</v>
      </c>
      <c r="H540" s="4">
        <f ca="1">IF(RESULTADOS!$C$17="Normal",E540,0)</f>
        <v>0</v>
      </c>
      <c r="I540" s="4">
        <f ca="1">(E540+H540+G540)*PREMISSAS!$C$60</f>
        <v>0</v>
      </c>
      <c r="J540" s="4">
        <f ca="1">D540*IF(RESULTADOS!$C$17="Normal",PREMISSAS!$C$62,0)</f>
        <v>0</v>
      </c>
      <c r="K540" s="116">
        <f ca="1">IFERROR(K539*(1+PREMISSAS!$C$18)+(E540+H540-IF(RESULTADOS!$C$17="Normal",I540,0)-J540)*IF(MONTH(B540)=12,2,1),0)</f>
        <v>0</v>
      </c>
      <c r="L540" s="116">
        <f ca="1">IFERROR((L539+G540-IF(RESULTADOS!$C$17="Normal",0,I540))*(1+PREMISSAS!$C$18)+F540,0)</f>
        <v>0</v>
      </c>
      <c r="N540" s="73">
        <f t="shared" ca="1" si="73"/>
        <v>0</v>
      </c>
      <c r="P540" s="164" t="str">
        <f t="shared" ca="1" si="74"/>
        <v/>
      </c>
      <c r="Q540" s="140" t="str">
        <f ca="1">IF(C540="","",Q539+(E540+H540-IF(RESULTADOS!$C$17="Normal",I540,0)-J540)/2+(F540+G540-IF(RESULTADOS!$C$17="Normal",0,I540)))</f>
        <v/>
      </c>
      <c r="R540" s="140" t="str">
        <f ca="1">IF(C540="","",R539+(E540+H540-IF(RESULTADOS!$C$17="Normal",I540,0)-J540)/2)</f>
        <v/>
      </c>
      <c r="S540" s="140">
        <f t="shared" ca="1" si="75"/>
        <v>0</v>
      </c>
      <c r="U540" s="164" t="str">
        <f t="shared" ca="1" si="76"/>
        <v/>
      </c>
      <c r="V540" s="164" t="str">
        <f t="shared" ca="1" si="77"/>
        <v/>
      </c>
      <c r="W540" s="140">
        <f ca="1">IF(OR((W539-13/12*Z539)*(1+PREMISSAS!$C$16)&lt;0,W539=""),0,(W539-13/12*Z539)*(1+PREMISSAS!$C$16))</f>
        <v>0</v>
      </c>
      <c r="X540" s="140">
        <f ca="1">IF(OR((X539-13/12*AA539)*(1+PREMISSAS!$C$16)&lt;0,X539=""),0,(X539-13/12*AA539)*(1+PREMISSAS!$C$16))</f>
        <v>0</v>
      </c>
      <c r="Y540" s="140">
        <f t="shared" ca="1" si="78"/>
        <v>0</v>
      </c>
      <c r="Z540" s="167">
        <f t="shared" ca="1" si="79"/>
        <v>0</v>
      </c>
      <c r="AA540" s="167">
        <f t="shared" ca="1" si="72"/>
        <v>0</v>
      </c>
    </row>
    <row r="541" spans="2:27" x14ac:dyDescent="0.25">
      <c r="B541" s="21" t="str">
        <f ca="1">IF(B540="","",IF(EOMONTH(B540,1)&gt;EOMONTH(ELEGIBILIDADE!$J$17,0),"",EOMONTH(B540,1)))</f>
        <v/>
      </c>
      <c r="C541" s="22" t="str">
        <f ca="1">IF(B541="","",IF(MONTH(B541)=1,C540*(1+PREMISSAS!$C$57),C540))</f>
        <v/>
      </c>
      <c r="D541" s="22">
        <f ca="1">IF(RESULTADOS!$C$17="Normal",IFERROR(MAX(C541-PREMISSAS!$C$13,0),0),IF(Painel!$I$23=0,0,MAX(10*PREMISSAS!$C$38,RESULTADOS!$F$17)))</f>
        <v>0</v>
      </c>
      <c r="E541" s="4">
        <f ca="1">D541*IF(RESULTADOS!$C$17="Normal",RESULTADOS!$C$16,0)</f>
        <v>0</v>
      </c>
      <c r="F541" s="4">
        <f ca="1">IFERROR(IF(RESULTADOS!$C$17="Normal",D541,C541)*RESULTADOS!$C$18,0)</f>
        <v>0</v>
      </c>
      <c r="G541" s="4">
        <f ca="1">IFERROR(IF(RESULTADOS!$C$17="Normal",0,D541)*IF(RESULTADOS!$C$17="Normal",RESULTADOS!$C$18,RESULTADOS!$C$16),0)</f>
        <v>0</v>
      </c>
      <c r="H541" s="4">
        <f ca="1">IF(RESULTADOS!$C$17="Normal",E541,0)</f>
        <v>0</v>
      </c>
      <c r="I541" s="4">
        <f ca="1">(E541+H541+G541)*PREMISSAS!$C$60</f>
        <v>0</v>
      </c>
      <c r="J541" s="4">
        <f ca="1">D541*IF(RESULTADOS!$C$17="Normal",PREMISSAS!$C$62,0)</f>
        <v>0</v>
      </c>
      <c r="K541" s="116">
        <f ca="1">IFERROR(K540*(1+PREMISSAS!$C$18)+(E541+H541-IF(RESULTADOS!$C$17="Normal",I541,0)-J541)*IF(MONTH(B541)=12,2,1),0)</f>
        <v>0</v>
      </c>
      <c r="L541" s="116">
        <f ca="1">IFERROR((L540+G541-IF(RESULTADOS!$C$17="Normal",0,I541))*(1+PREMISSAS!$C$18)+F541,0)</f>
        <v>0</v>
      </c>
      <c r="N541" s="73">
        <f t="shared" ca="1" si="73"/>
        <v>0</v>
      </c>
      <c r="P541" s="164" t="str">
        <f t="shared" ca="1" si="74"/>
        <v/>
      </c>
      <c r="Q541" s="140" t="str">
        <f ca="1">IF(C541="","",Q540+(E541+H541-IF(RESULTADOS!$C$17="Normal",I541,0)-J541)/2+(F541+G541-IF(RESULTADOS!$C$17="Normal",0,I541)))</f>
        <v/>
      </c>
      <c r="R541" s="140" t="str">
        <f ca="1">IF(C541="","",R540+(E541+H541-IF(RESULTADOS!$C$17="Normal",I541,0)-J541)/2)</f>
        <v/>
      </c>
      <c r="S541" s="140">
        <f t="shared" ca="1" si="75"/>
        <v>0</v>
      </c>
      <c r="U541" s="164" t="str">
        <f t="shared" ca="1" si="76"/>
        <v/>
      </c>
      <c r="V541" s="164" t="str">
        <f t="shared" ca="1" si="77"/>
        <v/>
      </c>
      <c r="W541" s="140">
        <f ca="1">IF(OR((W540-13/12*Z540)*(1+PREMISSAS!$C$16)&lt;0,W540=""),0,(W540-13/12*Z540)*(1+PREMISSAS!$C$16))</f>
        <v>0</v>
      </c>
      <c r="X541" s="140">
        <f ca="1">IF(OR((X540-13/12*AA540)*(1+PREMISSAS!$C$16)&lt;0,X540=""),0,(X540-13/12*AA540)*(1+PREMISSAS!$C$16))</f>
        <v>0</v>
      </c>
      <c r="Y541" s="140">
        <f t="shared" ca="1" si="78"/>
        <v>0</v>
      </c>
      <c r="Z541" s="167">
        <f t="shared" ca="1" si="79"/>
        <v>0</v>
      </c>
      <c r="AA541" s="167">
        <f t="shared" ca="1" si="72"/>
        <v>0</v>
      </c>
    </row>
    <row r="542" spans="2:27" x14ac:dyDescent="0.25">
      <c r="B542" s="21" t="str">
        <f ca="1">IF(B541="","",IF(EOMONTH(B541,1)&gt;EOMONTH(ELEGIBILIDADE!$J$17,0),"",EOMONTH(B541,1)))</f>
        <v/>
      </c>
      <c r="C542" s="22" t="str">
        <f ca="1">IF(B542="","",IF(MONTH(B542)=1,C541*(1+PREMISSAS!$C$57),C541))</f>
        <v/>
      </c>
      <c r="D542" s="22">
        <f ca="1">IF(RESULTADOS!$C$17="Normal",IFERROR(MAX(C542-PREMISSAS!$C$13,0),0),IF(Painel!$I$23=0,0,MAX(10*PREMISSAS!$C$38,RESULTADOS!$F$17)))</f>
        <v>0</v>
      </c>
      <c r="E542" s="4">
        <f ca="1">D542*IF(RESULTADOS!$C$17="Normal",RESULTADOS!$C$16,0)</f>
        <v>0</v>
      </c>
      <c r="F542" s="4">
        <f ca="1">IFERROR(IF(RESULTADOS!$C$17="Normal",D542,C542)*RESULTADOS!$C$18,0)</f>
        <v>0</v>
      </c>
      <c r="G542" s="4">
        <f ca="1">IFERROR(IF(RESULTADOS!$C$17="Normal",0,D542)*IF(RESULTADOS!$C$17="Normal",RESULTADOS!$C$18,RESULTADOS!$C$16),0)</f>
        <v>0</v>
      </c>
      <c r="H542" s="4">
        <f ca="1">IF(RESULTADOS!$C$17="Normal",E542,0)</f>
        <v>0</v>
      </c>
      <c r="I542" s="4">
        <f ca="1">(E542+H542+G542)*PREMISSAS!$C$60</f>
        <v>0</v>
      </c>
      <c r="J542" s="4">
        <f ca="1">D542*IF(RESULTADOS!$C$17="Normal",PREMISSAS!$C$62,0)</f>
        <v>0</v>
      </c>
      <c r="K542" s="116">
        <f ca="1">IFERROR(K541*(1+PREMISSAS!$C$18)+(E542+H542-IF(RESULTADOS!$C$17="Normal",I542,0)-J542)*IF(MONTH(B542)=12,2,1),0)</f>
        <v>0</v>
      </c>
      <c r="L542" s="116">
        <f ca="1">IFERROR((L541+G542-IF(RESULTADOS!$C$17="Normal",0,I542))*(1+PREMISSAS!$C$18)+F542,0)</f>
        <v>0</v>
      </c>
      <c r="N542" s="73">
        <f t="shared" ca="1" si="73"/>
        <v>0</v>
      </c>
      <c r="P542" s="164" t="str">
        <f t="shared" ca="1" si="74"/>
        <v/>
      </c>
      <c r="Q542" s="140" t="str">
        <f ca="1">IF(C542="","",Q541+(E542+H542-IF(RESULTADOS!$C$17="Normal",I542,0)-J542)/2+(F542+G542-IF(RESULTADOS!$C$17="Normal",0,I542)))</f>
        <v/>
      </c>
      <c r="R542" s="140" t="str">
        <f ca="1">IF(C542="","",R541+(E542+H542-IF(RESULTADOS!$C$17="Normal",I542,0)-J542)/2)</f>
        <v/>
      </c>
      <c r="S542" s="140">
        <f t="shared" ca="1" si="75"/>
        <v>0</v>
      </c>
      <c r="U542" s="164" t="str">
        <f t="shared" ca="1" si="76"/>
        <v/>
      </c>
      <c r="V542" s="164" t="str">
        <f t="shared" ca="1" si="77"/>
        <v/>
      </c>
      <c r="W542" s="140">
        <f ca="1">IF(OR((W541-13/12*Z541)*(1+PREMISSAS!$C$16)&lt;0,W541=""),0,(W541-13/12*Z541)*(1+PREMISSAS!$C$16))</f>
        <v>0</v>
      </c>
      <c r="X542" s="140">
        <f ca="1">IF(OR((X541-13/12*AA541)*(1+PREMISSAS!$C$16)&lt;0,X541=""),0,(X541-13/12*AA541)*(1+PREMISSAS!$C$16))</f>
        <v>0</v>
      </c>
      <c r="Y542" s="140">
        <f t="shared" ca="1" si="78"/>
        <v>0</v>
      </c>
      <c r="Z542" s="167">
        <f t="shared" ca="1" si="79"/>
        <v>0</v>
      </c>
      <c r="AA542" s="167">
        <f t="shared" ca="1" si="72"/>
        <v>0</v>
      </c>
    </row>
    <row r="543" spans="2:27" x14ac:dyDescent="0.25">
      <c r="B543" s="21" t="str">
        <f ca="1">IF(B542="","",IF(EOMONTH(B542,1)&gt;EOMONTH(ELEGIBILIDADE!$J$17,0),"",EOMONTH(B542,1)))</f>
        <v/>
      </c>
      <c r="C543" s="22" t="str">
        <f ca="1">IF(B543="","",IF(MONTH(B543)=1,C542*(1+PREMISSAS!$C$57),C542))</f>
        <v/>
      </c>
      <c r="D543" s="22">
        <f ca="1">IF(RESULTADOS!$C$17="Normal",IFERROR(MAX(C543-PREMISSAS!$C$13,0),0),IF(Painel!$I$23=0,0,MAX(10*PREMISSAS!$C$38,RESULTADOS!$F$17)))</f>
        <v>0</v>
      </c>
      <c r="E543" s="4">
        <f ca="1">D543*IF(RESULTADOS!$C$17="Normal",RESULTADOS!$C$16,0)</f>
        <v>0</v>
      </c>
      <c r="F543" s="4">
        <f ca="1">IFERROR(IF(RESULTADOS!$C$17="Normal",D543,C543)*RESULTADOS!$C$18,0)</f>
        <v>0</v>
      </c>
      <c r="G543" s="4">
        <f ca="1">IFERROR(IF(RESULTADOS!$C$17="Normal",0,D543)*IF(RESULTADOS!$C$17="Normal",RESULTADOS!$C$18,RESULTADOS!$C$16),0)</f>
        <v>0</v>
      </c>
      <c r="H543" s="4">
        <f ca="1">IF(RESULTADOS!$C$17="Normal",E543,0)</f>
        <v>0</v>
      </c>
      <c r="I543" s="4">
        <f ca="1">(E543+H543+G543)*PREMISSAS!$C$60</f>
        <v>0</v>
      </c>
      <c r="J543" s="4">
        <f ca="1">D543*IF(RESULTADOS!$C$17="Normal",PREMISSAS!$C$62,0)</f>
        <v>0</v>
      </c>
      <c r="K543" s="116">
        <f ca="1">IFERROR(K542*(1+PREMISSAS!$C$18)+(E543+H543-IF(RESULTADOS!$C$17="Normal",I543,0)-J543)*IF(MONTH(B543)=12,2,1),0)</f>
        <v>0</v>
      </c>
      <c r="L543" s="116">
        <f ca="1">IFERROR((L542+G543-IF(RESULTADOS!$C$17="Normal",0,I543))*(1+PREMISSAS!$C$18)+F543,0)</f>
        <v>0</v>
      </c>
      <c r="N543" s="73">
        <f t="shared" ca="1" si="73"/>
        <v>0</v>
      </c>
      <c r="P543" s="164" t="str">
        <f t="shared" ca="1" si="74"/>
        <v/>
      </c>
      <c r="Q543" s="140" t="str">
        <f ca="1">IF(C543="","",Q542+(E543+H543-IF(RESULTADOS!$C$17="Normal",I543,0)-J543)/2+(F543+G543-IF(RESULTADOS!$C$17="Normal",0,I543)))</f>
        <v/>
      </c>
      <c r="R543" s="140" t="str">
        <f ca="1">IF(C543="","",R542+(E543+H543-IF(RESULTADOS!$C$17="Normal",I543,0)-J543)/2)</f>
        <v/>
      </c>
      <c r="S543" s="140">
        <f t="shared" ca="1" si="75"/>
        <v>0</v>
      </c>
      <c r="U543" s="164" t="str">
        <f t="shared" ca="1" si="76"/>
        <v/>
      </c>
      <c r="V543" s="164" t="str">
        <f t="shared" ca="1" si="77"/>
        <v/>
      </c>
      <c r="W543" s="140">
        <f ca="1">IF(OR((W542-13/12*Z542)*(1+PREMISSAS!$C$16)&lt;0,W542=""),0,(W542-13/12*Z542)*(1+PREMISSAS!$C$16))</f>
        <v>0</v>
      </c>
      <c r="X543" s="140">
        <f ca="1">IF(OR((X542-13/12*AA542)*(1+PREMISSAS!$C$16)&lt;0,X542=""),0,(X542-13/12*AA542)*(1+PREMISSAS!$C$16))</f>
        <v>0</v>
      </c>
      <c r="Y543" s="140">
        <f t="shared" ca="1" si="78"/>
        <v>0</v>
      </c>
      <c r="Z543" s="167">
        <f t="shared" ca="1" si="79"/>
        <v>0</v>
      </c>
      <c r="AA543" s="167">
        <f t="shared" ca="1" si="72"/>
        <v>0</v>
      </c>
    </row>
    <row r="544" spans="2:27" x14ac:dyDescent="0.25">
      <c r="B544" s="21" t="str">
        <f ca="1">IF(B543="","",IF(EOMONTH(B543,1)&gt;EOMONTH(ELEGIBILIDADE!$J$17,0),"",EOMONTH(B543,1)))</f>
        <v/>
      </c>
      <c r="C544" s="22" t="str">
        <f ca="1">IF(B544="","",IF(MONTH(B544)=1,C543*(1+PREMISSAS!$C$57),C543))</f>
        <v/>
      </c>
      <c r="D544" s="22">
        <f ca="1">IF(RESULTADOS!$C$17="Normal",IFERROR(MAX(C544-PREMISSAS!$C$13,0),0),IF(Painel!$I$23=0,0,MAX(10*PREMISSAS!$C$38,RESULTADOS!$F$17)))</f>
        <v>0</v>
      </c>
      <c r="E544" s="4">
        <f ca="1">D544*IF(RESULTADOS!$C$17="Normal",RESULTADOS!$C$16,0)</f>
        <v>0</v>
      </c>
      <c r="F544" s="4">
        <f ca="1">IFERROR(IF(RESULTADOS!$C$17="Normal",D544,C544)*RESULTADOS!$C$18,0)</f>
        <v>0</v>
      </c>
      <c r="G544" s="4">
        <f ca="1">IFERROR(IF(RESULTADOS!$C$17="Normal",0,D544)*IF(RESULTADOS!$C$17="Normal",RESULTADOS!$C$18,RESULTADOS!$C$16),0)</f>
        <v>0</v>
      </c>
      <c r="H544" s="4">
        <f ca="1">IF(RESULTADOS!$C$17="Normal",E544,0)</f>
        <v>0</v>
      </c>
      <c r="I544" s="4">
        <f ca="1">(E544+H544+G544)*PREMISSAS!$C$60</f>
        <v>0</v>
      </c>
      <c r="J544" s="4">
        <f ca="1">D544*IF(RESULTADOS!$C$17="Normal",PREMISSAS!$C$62,0)</f>
        <v>0</v>
      </c>
      <c r="K544" s="116">
        <f ca="1">IFERROR(K543*(1+PREMISSAS!$C$18)+(E544+H544-IF(RESULTADOS!$C$17="Normal",I544,0)-J544)*IF(MONTH(B544)=12,2,1),0)</f>
        <v>0</v>
      </c>
      <c r="L544" s="116">
        <f ca="1">IFERROR((L543+G544-IF(RESULTADOS!$C$17="Normal",0,I544))*(1+PREMISSAS!$C$18)+F544,0)</f>
        <v>0</v>
      </c>
      <c r="N544" s="73">
        <f t="shared" ca="1" si="73"/>
        <v>0</v>
      </c>
      <c r="P544" s="164" t="str">
        <f t="shared" ca="1" si="74"/>
        <v/>
      </c>
      <c r="Q544" s="140" t="str">
        <f ca="1">IF(C544="","",Q543+(E544+H544-IF(RESULTADOS!$C$17="Normal",I544,0)-J544)/2+(F544+G544-IF(RESULTADOS!$C$17="Normal",0,I544)))</f>
        <v/>
      </c>
      <c r="R544" s="140" t="str">
        <f ca="1">IF(C544="","",R543+(E544+H544-IF(RESULTADOS!$C$17="Normal",I544,0)-J544)/2)</f>
        <v/>
      </c>
      <c r="S544" s="140">
        <f t="shared" ca="1" si="75"/>
        <v>0</v>
      </c>
      <c r="U544" s="164" t="str">
        <f t="shared" ca="1" si="76"/>
        <v/>
      </c>
      <c r="V544" s="164" t="str">
        <f t="shared" ca="1" si="77"/>
        <v/>
      </c>
      <c r="W544" s="140">
        <f ca="1">IF(OR((W543-13/12*Z543)*(1+PREMISSAS!$C$16)&lt;0,W543=""),0,(W543-13/12*Z543)*(1+PREMISSAS!$C$16))</f>
        <v>0</v>
      </c>
      <c r="X544" s="140">
        <f ca="1">IF(OR((X543-13/12*AA543)*(1+PREMISSAS!$C$16)&lt;0,X543=""),0,(X543-13/12*AA543)*(1+PREMISSAS!$C$16))</f>
        <v>0</v>
      </c>
      <c r="Y544" s="140">
        <f t="shared" ca="1" si="78"/>
        <v>0</v>
      </c>
      <c r="Z544" s="167">
        <f t="shared" ca="1" si="79"/>
        <v>0</v>
      </c>
      <c r="AA544" s="167">
        <f t="shared" ca="1" si="72"/>
        <v>0</v>
      </c>
    </row>
    <row r="545" spans="2:27" x14ac:dyDescent="0.25">
      <c r="B545" s="21" t="str">
        <f ca="1">IF(B544="","",IF(EOMONTH(B544,1)&gt;EOMONTH(ELEGIBILIDADE!$J$17,0),"",EOMONTH(B544,1)))</f>
        <v/>
      </c>
      <c r="C545" s="22" t="str">
        <f ca="1">IF(B545="","",IF(MONTH(B545)=1,C544*(1+PREMISSAS!$C$57),C544))</f>
        <v/>
      </c>
      <c r="D545" s="22">
        <f ca="1">IF(RESULTADOS!$C$17="Normal",IFERROR(MAX(C545-PREMISSAS!$C$13,0),0),IF(Painel!$I$23=0,0,MAX(10*PREMISSAS!$C$38,RESULTADOS!$F$17)))</f>
        <v>0</v>
      </c>
      <c r="E545" s="4">
        <f ca="1">D545*IF(RESULTADOS!$C$17="Normal",RESULTADOS!$C$16,0)</f>
        <v>0</v>
      </c>
      <c r="F545" s="4">
        <f ca="1">IFERROR(IF(RESULTADOS!$C$17="Normal",D545,C545)*RESULTADOS!$C$18,0)</f>
        <v>0</v>
      </c>
      <c r="G545" s="4">
        <f ca="1">IFERROR(IF(RESULTADOS!$C$17="Normal",0,D545)*IF(RESULTADOS!$C$17="Normal",RESULTADOS!$C$18,RESULTADOS!$C$16),0)</f>
        <v>0</v>
      </c>
      <c r="H545" s="4">
        <f ca="1">IF(RESULTADOS!$C$17="Normal",E545,0)</f>
        <v>0</v>
      </c>
      <c r="I545" s="4">
        <f ca="1">(E545+H545+G545)*PREMISSAS!$C$60</f>
        <v>0</v>
      </c>
      <c r="J545" s="4">
        <f ca="1">D545*IF(RESULTADOS!$C$17="Normal",PREMISSAS!$C$62,0)</f>
        <v>0</v>
      </c>
      <c r="K545" s="116">
        <f ca="1">IFERROR(K544*(1+PREMISSAS!$C$18)+(E545+H545-IF(RESULTADOS!$C$17="Normal",I545,0)-J545)*IF(MONTH(B545)=12,2,1),0)</f>
        <v>0</v>
      </c>
      <c r="L545" s="116">
        <f ca="1">IFERROR((L544+G545-IF(RESULTADOS!$C$17="Normal",0,I545))*(1+PREMISSAS!$C$18)+F545,0)</f>
        <v>0</v>
      </c>
      <c r="N545" s="73">
        <f t="shared" ca="1" si="73"/>
        <v>0</v>
      </c>
      <c r="P545" s="164" t="str">
        <f t="shared" ca="1" si="74"/>
        <v/>
      </c>
      <c r="Q545" s="140" t="str">
        <f ca="1">IF(C545="","",Q544+(E545+H545-IF(RESULTADOS!$C$17="Normal",I545,0)-J545)/2+(F545+G545-IF(RESULTADOS!$C$17="Normal",0,I545)))</f>
        <v/>
      </c>
      <c r="R545" s="140" t="str">
        <f ca="1">IF(C545="","",R544+(E545+H545-IF(RESULTADOS!$C$17="Normal",I545,0)-J545)/2)</f>
        <v/>
      </c>
      <c r="S545" s="140">
        <f t="shared" ca="1" si="75"/>
        <v>0</v>
      </c>
      <c r="U545" s="164" t="str">
        <f t="shared" ca="1" si="76"/>
        <v/>
      </c>
      <c r="V545" s="164" t="str">
        <f t="shared" ca="1" si="77"/>
        <v/>
      </c>
      <c r="W545" s="140">
        <f ca="1">IF(OR((W544-13/12*Z544)*(1+PREMISSAS!$C$16)&lt;0,W544=""),0,(W544-13/12*Z544)*(1+PREMISSAS!$C$16))</f>
        <v>0</v>
      </c>
      <c r="X545" s="140">
        <f ca="1">IF(OR((X544-13/12*AA544)*(1+PREMISSAS!$C$16)&lt;0,X544=""),0,(X544-13/12*AA544)*(1+PREMISSAS!$C$16))</f>
        <v>0</v>
      </c>
      <c r="Y545" s="140">
        <f t="shared" ca="1" si="78"/>
        <v>0</v>
      </c>
      <c r="Z545" s="167">
        <f t="shared" ca="1" si="79"/>
        <v>0</v>
      </c>
      <c r="AA545" s="167">
        <f t="shared" ca="1" si="72"/>
        <v>0</v>
      </c>
    </row>
    <row r="546" spans="2:27" x14ac:dyDescent="0.25">
      <c r="B546" s="21" t="str">
        <f ca="1">IF(B545="","",IF(EOMONTH(B545,1)&gt;EOMONTH(ELEGIBILIDADE!$J$17,0),"",EOMONTH(B545,1)))</f>
        <v/>
      </c>
      <c r="C546" s="22" t="str">
        <f ca="1">IF(B546="","",IF(MONTH(B546)=1,C545*(1+PREMISSAS!$C$57),C545))</f>
        <v/>
      </c>
      <c r="D546" s="22">
        <f ca="1">IF(RESULTADOS!$C$17="Normal",IFERROR(MAX(C546-PREMISSAS!$C$13,0),0),IF(Painel!$I$23=0,0,MAX(10*PREMISSAS!$C$38,RESULTADOS!$F$17)))</f>
        <v>0</v>
      </c>
      <c r="E546" s="4">
        <f ca="1">D546*IF(RESULTADOS!$C$17="Normal",RESULTADOS!$C$16,0)</f>
        <v>0</v>
      </c>
      <c r="F546" s="4">
        <f ca="1">IFERROR(IF(RESULTADOS!$C$17="Normal",D546,C546)*RESULTADOS!$C$18,0)</f>
        <v>0</v>
      </c>
      <c r="G546" s="4">
        <f ca="1">IFERROR(IF(RESULTADOS!$C$17="Normal",0,D546)*IF(RESULTADOS!$C$17="Normal",RESULTADOS!$C$18,RESULTADOS!$C$16),0)</f>
        <v>0</v>
      </c>
      <c r="H546" s="4">
        <f ca="1">IF(RESULTADOS!$C$17="Normal",E546,0)</f>
        <v>0</v>
      </c>
      <c r="I546" s="4">
        <f ca="1">(E546+H546+G546)*PREMISSAS!$C$60</f>
        <v>0</v>
      </c>
      <c r="J546" s="4">
        <f ca="1">D546*IF(RESULTADOS!$C$17="Normal",PREMISSAS!$C$62,0)</f>
        <v>0</v>
      </c>
      <c r="K546" s="116">
        <f ca="1">IFERROR(K545*(1+PREMISSAS!$C$18)+(E546+H546-IF(RESULTADOS!$C$17="Normal",I546,0)-J546)*IF(MONTH(B546)=12,2,1),0)</f>
        <v>0</v>
      </c>
      <c r="L546" s="116">
        <f ca="1">IFERROR((L545+G546-IF(RESULTADOS!$C$17="Normal",0,I546))*(1+PREMISSAS!$C$18)+F546,0)</f>
        <v>0</v>
      </c>
      <c r="N546" s="73">
        <f t="shared" ca="1" si="73"/>
        <v>0</v>
      </c>
      <c r="P546" s="164" t="str">
        <f t="shared" ca="1" si="74"/>
        <v/>
      </c>
      <c r="Q546" s="140" t="str">
        <f ca="1">IF(C546="","",Q545+(E546+H546-IF(RESULTADOS!$C$17="Normal",I546,0)-J546)/2+(F546+G546-IF(RESULTADOS!$C$17="Normal",0,I546)))</f>
        <v/>
      </c>
      <c r="R546" s="140" t="str">
        <f ca="1">IF(C546="","",R545+(E546+H546-IF(RESULTADOS!$C$17="Normal",I546,0)-J546)/2)</f>
        <v/>
      </c>
      <c r="S546" s="140">
        <f t="shared" ca="1" si="75"/>
        <v>0</v>
      </c>
      <c r="U546" s="164" t="str">
        <f t="shared" ca="1" si="76"/>
        <v/>
      </c>
      <c r="V546" s="164" t="str">
        <f t="shared" ca="1" si="77"/>
        <v/>
      </c>
      <c r="W546" s="140">
        <f ca="1">IF(OR((W545-13/12*Z545)*(1+PREMISSAS!$C$16)&lt;0,W545=""),0,(W545-13/12*Z545)*(1+PREMISSAS!$C$16))</f>
        <v>0</v>
      </c>
      <c r="X546" s="140">
        <f ca="1">IF(OR((X545-13/12*AA545)*(1+PREMISSAS!$C$16)&lt;0,X545=""),0,(X545-13/12*AA545)*(1+PREMISSAS!$C$16))</f>
        <v>0</v>
      </c>
      <c r="Y546" s="140">
        <f t="shared" ca="1" si="78"/>
        <v>0</v>
      </c>
      <c r="Z546" s="167">
        <f t="shared" ca="1" si="79"/>
        <v>0</v>
      </c>
      <c r="AA546" s="167">
        <f t="shared" ca="1" si="72"/>
        <v>0</v>
      </c>
    </row>
    <row r="547" spans="2:27" x14ac:dyDescent="0.25">
      <c r="B547" s="21" t="str">
        <f ca="1">IF(B546="","",IF(EOMONTH(B546,1)&gt;EOMONTH(ELEGIBILIDADE!$J$17,0),"",EOMONTH(B546,1)))</f>
        <v/>
      </c>
      <c r="C547" s="22" t="str">
        <f ca="1">IF(B547="","",IF(MONTH(B547)=1,C546*(1+PREMISSAS!$C$57),C546))</f>
        <v/>
      </c>
      <c r="D547" s="22">
        <f ca="1">IF(RESULTADOS!$C$17="Normal",IFERROR(MAX(C547-PREMISSAS!$C$13,0),0),IF(Painel!$I$23=0,0,MAX(10*PREMISSAS!$C$38,RESULTADOS!$F$17)))</f>
        <v>0</v>
      </c>
      <c r="E547" s="4">
        <f ca="1">D547*IF(RESULTADOS!$C$17="Normal",RESULTADOS!$C$16,0)</f>
        <v>0</v>
      </c>
      <c r="F547" s="4">
        <f ca="1">IFERROR(IF(RESULTADOS!$C$17="Normal",D547,C547)*RESULTADOS!$C$18,0)</f>
        <v>0</v>
      </c>
      <c r="G547" s="4">
        <f ca="1">IFERROR(IF(RESULTADOS!$C$17="Normal",0,D547)*IF(RESULTADOS!$C$17="Normal",RESULTADOS!$C$18,RESULTADOS!$C$16),0)</f>
        <v>0</v>
      </c>
      <c r="H547" s="4">
        <f ca="1">IF(RESULTADOS!$C$17="Normal",E547,0)</f>
        <v>0</v>
      </c>
      <c r="I547" s="4">
        <f ca="1">(E547+H547+G547)*PREMISSAS!$C$60</f>
        <v>0</v>
      </c>
      <c r="J547" s="4">
        <f ca="1">D547*IF(RESULTADOS!$C$17="Normal",PREMISSAS!$C$62,0)</f>
        <v>0</v>
      </c>
      <c r="K547" s="116">
        <f ca="1">IFERROR(K546*(1+PREMISSAS!$C$18)+(E547+H547-IF(RESULTADOS!$C$17="Normal",I547,0)-J547)*IF(MONTH(B547)=12,2,1),0)</f>
        <v>0</v>
      </c>
      <c r="L547" s="116">
        <f ca="1">IFERROR((L546+G547-IF(RESULTADOS!$C$17="Normal",0,I547))*(1+PREMISSAS!$C$18)+F547,0)</f>
        <v>0</v>
      </c>
      <c r="N547" s="73">
        <f t="shared" ca="1" si="73"/>
        <v>0</v>
      </c>
      <c r="P547" s="164" t="str">
        <f t="shared" ca="1" si="74"/>
        <v/>
      </c>
      <c r="Q547" s="140" t="str">
        <f ca="1">IF(C547="","",Q546+(E547+H547-IF(RESULTADOS!$C$17="Normal",I547,0)-J547)/2+(F547+G547-IF(RESULTADOS!$C$17="Normal",0,I547)))</f>
        <v/>
      </c>
      <c r="R547" s="140" t="str">
        <f ca="1">IF(C547="","",R546+(E547+H547-IF(RESULTADOS!$C$17="Normal",I547,0)-J547)/2)</f>
        <v/>
      </c>
      <c r="S547" s="140">
        <f t="shared" ca="1" si="75"/>
        <v>0</v>
      </c>
      <c r="U547" s="164" t="str">
        <f t="shared" ca="1" si="76"/>
        <v/>
      </c>
      <c r="V547" s="164" t="str">
        <f t="shared" ca="1" si="77"/>
        <v/>
      </c>
      <c r="W547" s="140">
        <f ca="1">IF(OR((W546-13/12*Z546)*(1+PREMISSAS!$C$16)&lt;0,W546=""),0,(W546-13/12*Z546)*(1+PREMISSAS!$C$16))</f>
        <v>0</v>
      </c>
      <c r="X547" s="140">
        <f ca="1">IF(OR((X546-13/12*AA546)*(1+PREMISSAS!$C$16)&lt;0,X546=""),0,(X546-13/12*AA546)*(1+PREMISSAS!$C$16))</f>
        <v>0</v>
      </c>
      <c r="Y547" s="140">
        <f t="shared" ca="1" si="78"/>
        <v>0</v>
      </c>
      <c r="Z547" s="167">
        <f t="shared" ca="1" si="79"/>
        <v>0</v>
      </c>
      <c r="AA547" s="167">
        <f t="shared" ca="1" si="72"/>
        <v>0</v>
      </c>
    </row>
    <row r="548" spans="2:27" x14ac:dyDescent="0.25">
      <c r="B548" s="21" t="str">
        <f ca="1">IF(B547="","",IF(EOMONTH(B547,1)&gt;EOMONTH(ELEGIBILIDADE!$J$17,0),"",EOMONTH(B547,1)))</f>
        <v/>
      </c>
      <c r="C548" s="22" t="str">
        <f ca="1">IF(B548="","",IF(MONTH(B548)=1,C547*(1+PREMISSAS!$C$57),C547))</f>
        <v/>
      </c>
      <c r="D548" s="22">
        <f ca="1">IF(RESULTADOS!$C$17="Normal",IFERROR(MAX(C548-PREMISSAS!$C$13,0),0),IF(Painel!$I$23=0,0,MAX(10*PREMISSAS!$C$38,RESULTADOS!$F$17)))</f>
        <v>0</v>
      </c>
      <c r="E548" s="4">
        <f ca="1">D548*IF(RESULTADOS!$C$17="Normal",RESULTADOS!$C$16,0)</f>
        <v>0</v>
      </c>
      <c r="F548" s="4">
        <f ca="1">IFERROR(IF(RESULTADOS!$C$17="Normal",D548,C548)*RESULTADOS!$C$18,0)</f>
        <v>0</v>
      </c>
      <c r="G548" s="4">
        <f ca="1">IFERROR(IF(RESULTADOS!$C$17="Normal",0,D548)*IF(RESULTADOS!$C$17="Normal",RESULTADOS!$C$18,RESULTADOS!$C$16),0)</f>
        <v>0</v>
      </c>
      <c r="H548" s="4">
        <f ca="1">IF(RESULTADOS!$C$17="Normal",E548,0)</f>
        <v>0</v>
      </c>
      <c r="I548" s="4">
        <f ca="1">(E548+H548+G548)*PREMISSAS!$C$60</f>
        <v>0</v>
      </c>
      <c r="J548" s="4">
        <f ca="1">D548*IF(RESULTADOS!$C$17="Normal",PREMISSAS!$C$62,0)</f>
        <v>0</v>
      </c>
      <c r="K548" s="116">
        <f ca="1">IFERROR(K547*(1+PREMISSAS!$C$18)+(E548+H548-IF(RESULTADOS!$C$17="Normal",I548,0)-J548)*IF(MONTH(B548)=12,2,1),0)</f>
        <v>0</v>
      </c>
      <c r="L548" s="116">
        <f ca="1">IFERROR((L547+G548-IF(RESULTADOS!$C$17="Normal",0,I548))*(1+PREMISSAS!$C$18)+F548,0)</f>
        <v>0</v>
      </c>
      <c r="N548" s="73">
        <f t="shared" ca="1" si="73"/>
        <v>0</v>
      </c>
      <c r="P548" s="164" t="str">
        <f t="shared" ca="1" si="74"/>
        <v/>
      </c>
      <c r="Q548" s="140" t="str">
        <f ca="1">IF(C548="","",Q547+(E548+H548-IF(RESULTADOS!$C$17="Normal",I548,0)-J548)/2+(F548+G548-IF(RESULTADOS!$C$17="Normal",0,I548)))</f>
        <v/>
      </c>
      <c r="R548" s="140" t="str">
        <f ca="1">IF(C548="","",R547+(E548+H548-IF(RESULTADOS!$C$17="Normal",I548,0)-J548)/2)</f>
        <v/>
      </c>
      <c r="S548" s="140">
        <f t="shared" ca="1" si="75"/>
        <v>0</v>
      </c>
      <c r="U548" s="164" t="str">
        <f t="shared" ca="1" si="76"/>
        <v/>
      </c>
      <c r="V548" s="164" t="str">
        <f t="shared" ca="1" si="77"/>
        <v/>
      </c>
      <c r="W548" s="140">
        <f ca="1">IF(OR((W547-13/12*Z547)*(1+PREMISSAS!$C$16)&lt;0,W547=""),0,(W547-13/12*Z547)*(1+PREMISSAS!$C$16))</f>
        <v>0</v>
      </c>
      <c r="X548" s="140">
        <f ca="1">IF(OR((X547-13/12*AA547)*(1+PREMISSAS!$C$16)&lt;0,X547=""),0,(X547-13/12*AA547)*(1+PREMISSAS!$C$16))</f>
        <v>0</v>
      </c>
      <c r="Y548" s="140">
        <f t="shared" ca="1" si="78"/>
        <v>0</v>
      </c>
      <c r="Z548" s="167">
        <f t="shared" ca="1" si="79"/>
        <v>0</v>
      </c>
      <c r="AA548" s="167">
        <f t="shared" ca="1" si="72"/>
        <v>0</v>
      </c>
    </row>
    <row r="549" spans="2:27" x14ac:dyDescent="0.25">
      <c r="B549" s="21" t="str">
        <f ca="1">IF(B548="","",IF(EOMONTH(B548,1)&gt;EOMONTH(ELEGIBILIDADE!$J$17,0),"",EOMONTH(B548,1)))</f>
        <v/>
      </c>
      <c r="C549" s="22" t="str">
        <f ca="1">IF(B549="","",IF(MONTH(B549)=1,C548*(1+PREMISSAS!$C$57),C548))</f>
        <v/>
      </c>
      <c r="D549" s="22">
        <f ca="1">IF(RESULTADOS!$C$17="Normal",IFERROR(MAX(C549-PREMISSAS!$C$13,0),0),IF(Painel!$I$23=0,0,MAX(10*PREMISSAS!$C$38,RESULTADOS!$F$17)))</f>
        <v>0</v>
      </c>
      <c r="E549" s="4">
        <f ca="1">D549*IF(RESULTADOS!$C$17="Normal",RESULTADOS!$C$16,0)</f>
        <v>0</v>
      </c>
      <c r="F549" s="4">
        <f ca="1">IFERROR(IF(RESULTADOS!$C$17="Normal",D549,C549)*RESULTADOS!$C$18,0)</f>
        <v>0</v>
      </c>
      <c r="G549" s="4">
        <f ca="1">IFERROR(IF(RESULTADOS!$C$17="Normal",0,D549)*IF(RESULTADOS!$C$17="Normal",RESULTADOS!$C$18,RESULTADOS!$C$16),0)</f>
        <v>0</v>
      </c>
      <c r="H549" s="4">
        <f ca="1">IF(RESULTADOS!$C$17="Normal",E549,0)</f>
        <v>0</v>
      </c>
      <c r="I549" s="4">
        <f ca="1">(E549+H549+G549)*PREMISSAS!$C$60</f>
        <v>0</v>
      </c>
      <c r="J549" s="4">
        <f ca="1">D549*IF(RESULTADOS!$C$17="Normal",PREMISSAS!$C$62,0)</f>
        <v>0</v>
      </c>
      <c r="K549" s="116">
        <f ca="1">IFERROR(K548*(1+PREMISSAS!$C$18)+(E549+H549-IF(RESULTADOS!$C$17="Normal",I549,0)-J549)*IF(MONTH(B549)=12,2,1),0)</f>
        <v>0</v>
      </c>
      <c r="L549" s="116">
        <f ca="1">IFERROR((L548+G549-IF(RESULTADOS!$C$17="Normal",0,I549))*(1+PREMISSAS!$C$18)+F549,0)</f>
        <v>0</v>
      </c>
      <c r="N549" s="73">
        <f t="shared" ca="1" si="73"/>
        <v>0</v>
      </c>
      <c r="P549" s="164" t="str">
        <f t="shared" ca="1" si="74"/>
        <v/>
      </c>
      <c r="Q549" s="140" t="str">
        <f ca="1">IF(C549="","",Q548+(E549+H549-IF(RESULTADOS!$C$17="Normal",I549,0)-J549)/2+(F549+G549-IF(RESULTADOS!$C$17="Normal",0,I549)))</f>
        <v/>
      </c>
      <c r="R549" s="140" t="str">
        <f ca="1">IF(C549="","",R548+(E549+H549-IF(RESULTADOS!$C$17="Normal",I549,0)-J549)/2)</f>
        <v/>
      </c>
      <c r="S549" s="140">
        <f t="shared" ca="1" si="75"/>
        <v>0</v>
      </c>
      <c r="U549" s="164" t="str">
        <f t="shared" ca="1" si="76"/>
        <v/>
      </c>
      <c r="V549" s="164" t="str">
        <f t="shared" ca="1" si="77"/>
        <v/>
      </c>
      <c r="W549" s="140">
        <f ca="1">IF(OR((W548-13/12*Z548)*(1+PREMISSAS!$C$16)&lt;0,W548=""),0,(W548-13/12*Z548)*(1+PREMISSAS!$C$16))</f>
        <v>0</v>
      </c>
      <c r="X549" s="140">
        <f ca="1">IF(OR((X548-13/12*AA548)*(1+PREMISSAS!$C$16)&lt;0,X548=""),0,(X548-13/12*AA548)*(1+PREMISSAS!$C$16))</f>
        <v>0</v>
      </c>
      <c r="Y549" s="140">
        <f t="shared" ca="1" si="78"/>
        <v>0</v>
      </c>
      <c r="Z549" s="167">
        <f t="shared" ca="1" si="79"/>
        <v>0</v>
      </c>
      <c r="AA549" s="167">
        <f t="shared" ca="1" si="72"/>
        <v>0</v>
      </c>
    </row>
    <row r="550" spans="2:27" x14ac:dyDescent="0.25">
      <c r="B550" s="21" t="str">
        <f ca="1">IF(B549="","",IF(EOMONTH(B549,1)&gt;EOMONTH(ELEGIBILIDADE!$J$17,0),"",EOMONTH(B549,1)))</f>
        <v/>
      </c>
      <c r="C550" s="22" t="str">
        <f ca="1">IF(B550="","",IF(MONTH(B550)=1,C549*(1+PREMISSAS!$C$57),C549))</f>
        <v/>
      </c>
      <c r="D550" s="22">
        <f ca="1">IF(RESULTADOS!$C$17="Normal",IFERROR(MAX(C550-PREMISSAS!$C$13,0),0),IF(Painel!$I$23=0,0,MAX(10*PREMISSAS!$C$38,RESULTADOS!$F$17)))</f>
        <v>0</v>
      </c>
      <c r="E550" s="4">
        <f ca="1">D550*IF(RESULTADOS!$C$17="Normal",RESULTADOS!$C$16,0)</f>
        <v>0</v>
      </c>
      <c r="F550" s="4">
        <f ca="1">IFERROR(IF(RESULTADOS!$C$17="Normal",D550,C550)*RESULTADOS!$C$18,0)</f>
        <v>0</v>
      </c>
      <c r="G550" s="4">
        <f ca="1">IFERROR(IF(RESULTADOS!$C$17="Normal",0,D550)*IF(RESULTADOS!$C$17="Normal",RESULTADOS!$C$18,RESULTADOS!$C$16),0)</f>
        <v>0</v>
      </c>
      <c r="H550" s="4">
        <f ca="1">IF(RESULTADOS!$C$17="Normal",E550,0)</f>
        <v>0</v>
      </c>
      <c r="I550" s="4">
        <f ca="1">(E550+H550+G550)*PREMISSAS!$C$60</f>
        <v>0</v>
      </c>
      <c r="J550" s="4">
        <f ca="1">D550*IF(RESULTADOS!$C$17="Normal",PREMISSAS!$C$62,0)</f>
        <v>0</v>
      </c>
      <c r="K550" s="116">
        <f ca="1">IFERROR(K549*(1+PREMISSAS!$C$18)+(E550+H550-IF(RESULTADOS!$C$17="Normal",I550,0)-J550)*IF(MONTH(B550)=12,2,1),0)</f>
        <v>0</v>
      </c>
      <c r="L550" s="116">
        <f ca="1">IFERROR((L549+G550-IF(RESULTADOS!$C$17="Normal",0,I550))*(1+PREMISSAS!$C$18)+F550,0)</f>
        <v>0</v>
      </c>
      <c r="N550" s="73">
        <f t="shared" ca="1" si="73"/>
        <v>0</v>
      </c>
      <c r="P550" s="164" t="str">
        <f t="shared" ca="1" si="74"/>
        <v/>
      </c>
      <c r="Q550" s="140" t="str">
        <f ca="1">IF(C550="","",Q549+(E550+H550-IF(RESULTADOS!$C$17="Normal",I550,0)-J550)/2+(F550+G550-IF(RESULTADOS!$C$17="Normal",0,I550)))</f>
        <v/>
      </c>
      <c r="R550" s="140" t="str">
        <f ca="1">IF(C550="","",R549+(E550+H550-IF(RESULTADOS!$C$17="Normal",I550,0)-J550)/2)</f>
        <v/>
      </c>
      <c r="S550" s="140">
        <f t="shared" ca="1" si="75"/>
        <v>0</v>
      </c>
      <c r="U550" s="164" t="str">
        <f t="shared" ca="1" si="76"/>
        <v/>
      </c>
      <c r="V550" s="164" t="str">
        <f t="shared" ca="1" si="77"/>
        <v/>
      </c>
      <c r="W550" s="140">
        <f ca="1">IF(OR((W549-13/12*Z549)*(1+PREMISSAS!$C$16)&lt;0,W549=""),0,(W549-13/12*Z549)*(1+PREMISSAS!$C$16))</f>
        <v>0</v>
      </c>
      <c r="X550" s="140">
        <f ca="1">IF(OR((X549-13/12*AA549)*(1+PREMISSAS!$C$16)&lt;0,X549=""),0,(X549-13/12*AA549)*(1+PREMISSAS!$C$16))</f>
        <v>0</v>
      </c>
      <c r="Y550" s="140">
        <f t="shared" ca="1" si="78"/>
        <v>0</v>
      </c>
      <c r="Z550" s="167">
        <f t="shared" ca="1" si="79"/>
        <v>0</v>
      </c>
      <c r="AA550" s="167">
        <f t="shared" ca="1" si="72"/>
        <v>0</v>
      </c>
    </row>
    <row r="551" spans="2:27" x14ac:dyDescent="0.25">
      <c r="B551" s="21" t="str">
        <f ca="1">IF(B550="","",IF(EOMONTH(B550,1)&gt;EOMONTH(ELEGIBILIDADE!$J$17,0),"",EOMONTH(B550,1)))</f>
        <v/>
      </c>
      <c r="C551" s="22" t="str">
        <f ca="1">IF(B551="","",IF(MONTH(B551)=1,C550*(1+PREMISSAS!$C$57),C550))</f>
        <v/>
      </c>
      <c r="D551" s="22">
        <f ca="1">IF(RESULTADOS!$C$17="Normal",IFERROR(MAX(C551-PREMISSAS!$C$13,0),0),IF(Painel!$I$23=0,0,MAX(10*PREMISSAS!$C$38,RESULTADOS!$F$17)))</f>
        <v>0</v>
      </c>
      <c r="E551" s="4">
        <f ca="1">D551*IF(RESULTADOS!$C$17="Normal",RESULTADOS!$C$16,0)</f>
        <v>0</v>
      </c>
      <c r="F551" s="4">
        <f ca="1">IFERROR(IF(RESULTADOS!$C$17="Normal",D551,C551)*RESULTADOS!$C$18,0)</f>
        <v>0</v>
      </c>
      <c r="G551" s="4">
        <f ca="1">IFERROR(IF(RESULTADOS!$C$17="Normal",0,D551)*IF(RESULTADOS!$C$17="Normal",RESULTADOS!$C$18,RESULTADOS!$C$16),0)</f>
        <v>0</v>
      </c>
      <c r="H551" s="4">
        <f ca="1">IF(RESULTADOS!$C$17="Normal",E551,0)</f>
        <v>0</v>
      </c>
      <c r="I551" s="4">
        <f ca="1">(E551+H551+G551)*PREMISSAS!$C$60</f>
        <v>0</v>
      </c>
      <c r="J551" s="4">
        <f ca="1">D551*IF(RESULTADOS!$C$17="Normal",PREMISSAS!$C$62,0)</f>
        <v>0</v>
      </c>
      <c r="K551" s="116">
        <f ca="1">IFERROR(K550*(1+PREMISSAS!$C$18)+(E551+H551-IF(RESULTADOS!$C$17="Normal",I551,0)-J551)*IF(MONTH(B551)=12,2,1),0)</f>
        <v>0</v>
      </c>
      <c r="L551" s="116">
        <f ca="1">IFERROR((L550+G551-IF(RESULTADOS!$C$17="Normal",0,I551))*(1+PREMISSAS!$C$18)+F551,0)</f>
        <v>0</v>
      </c>
      <c r="N551" s="73">
        <f t="shared" ca="1" si="73"/>
        <v>0</v>
      </c>
      <c r="P551" s="164" t="str">
        <f t="shared" ca="1" si="74"/>
        <v/>
      </c>
      <c r="Q551" s="140" t="str">
        <f ca="1">IF(C551="","",Q550+(E551+H551-IF(RESULTADOS!$C$17="Normal",I551,0)-J551)/2+(F551+G551-IF(RESULTADOS!$C$17="Normal",0,I551)))</f>
        <v/>
      </c>
      <c r="R551" s="140" t="str">
        <f ca="1">IF(C551="","",R550+(E551+H551-IF(RESULTADOS!$C$17="Normal",I551,0)-J551)/2)</f>
        <v/>
      </c>
      <c r="S551" s="140">
        <f t="shared" ca="1" si="75"/>
        <v>0</v>
      </c>
      <c r="U551" s="164" t="str">
        <f t="shared" ca="1" si="76"/>
        <v/>
      </c>
      <c r="V551" s="164" t="str">
        <f t="shared" ca="1" si="77"/>
        <v/>
      </c>
      <c r="W551" s="140">
        <f ca="1">IF(OR((W550-13/12*Z550)*(1+PREMISSAS!$C$16)&lt;0,W550=""),0,(W550-13/12*Z550)*(1+PREMISSAS!$C$16))</f>
        <v>0</v>
      </c>
      <c r="X551" s="140">
        <f ca="1">IF(OR((X550-13/12*AA550)*(1+PREMISSAS!$C$16)&lt;0,X550=""),0,(X550-13/12*AA550)*(1+PREMISSAS!$C$16))</f>
        <v>0</v>
      </c>
      <c r="Y551" s="140">
        <f t="shared" ca="1" si="78"/>
        <v>0</v>
      </c>
      <c r="Z551" s="167">
        <f t="shared" ca="1" si="79"/>
        <v>0</v>
      </c>
      <c r="AA551" s="167">
        <f t="shared" ca="1" si="72"/>
        <v>0</v>
      </c>
    </row>
    <row r="552" spans="2:27" x14ac:dyDescent="0.25">
      <c r="B552" s="21" t="str">
        <f ca="1">IF(B551="","",IF(EOMONTH(B551,1)&gt;EOMONTH(ELEGIBILIDADE!$J$17,0),"",EOMONTH(B551,1)))</f>
        <v/>
      </c>
      <c r="C552" s="22" t="str">
        <f ca="1">IF(B552="","",IF(MONTH(B552)=1,C551*(1+PREMISSAS!$C$57),C551))</f>
        <v/>
      </c>
      <c r="D552" s="22">
        <f ca="1">IF(RESULTADOS!$C$17="Normal",IFERROR(MAX(C552-PREMISSAS!$C$13,0),0),IF(Painel!$I$23=0,0,MAX(10*PREMISSAS!$C$38,RESULTADOS!$F$17)))</f>
        <v>0</v>
      </c>
      <c r="E552" s="4">
        <f ca="1">D552*IF(RESULTADOS!$C$17="Normal",RESULTADOS!$C$16,0)</f>
        <v>0</v>
      </c>
      <c r="F552" s="4">
        <f ca="1">IFERROR(IF(RESULTADOS!$C$17="Normal",D552,C552)*RESULTADOS!$C$18,0)</f>
        <v>0</v>
      </c>
      <c r="G552" s="4">
        <f ca="1">IFERROR(IF(RESULTADOS!$C$17="Normal",0,D552)*IF(RESULTADOS!$C$17="Normal",RESULTADOS!$C$18,RESULTADOS!$C$16),0)</f>
        <v>0</v>
      </c>
      <c r="H552" s="4">
        <f ca="1">IF(RESULTADOS!$C$17="Normal",E552,0)</f>
        <v>0</v>
      </c>
      <c r="I552" s="4">
        <f ca="1">(E552+H552+G552)*PREMISSAS!$C$60</f>
        <v>0</v>
      </c>
      <c r="J552" s="4">
        <f ca="1">D552*IF(RESULTADOS!$C$17="Normal",PREMISSAS!$C$62,0)</f>
        <v>0</v>
      </c>
      <c r="K552" s="116">
        <f ca="1">IFERROR(K551*(1+PREMISSAS!$C$18)+(E552+H552-IF(RESULTADOS!$C$17="Normal",I552,0)-J552)*IF(MONTH(B552)=12,2,1),0)</f>
        <v>0</v>
      </c>
      <c r="L552" s="116">
        <f ca="1">IFERROR((L551+G552-IF(RESULTADOS!$C$17="Normal",0,I552))*(1+PREMISSAS!$C$18)+F552,0)</f>
        <v>0</v>
      </c>
      <c r="N552" s="73">
        <f t="shared" ca="1" si="73"/>
        <v>0</v>
      </c>
      <c r="P552" s="164" t="str">
        <f t="shared" ca="1" si="74"/>
        <v/>
      </c>
      <c r="Q552" s="140" t="str">
        <f ca="1">IF(C552="","",Q551+(E552+H552-IF(RESULTADOS!$C$17="Normal",I552,0)-J552)/2+(F552+G552-IF(RESULTADOS!$C$17="Normal",0,I552)))</f>
        <v/>
      </c>
      <c r="R552" s="140" t="str">
        <f ca="1">IF(C552="","",R551+(E552+H552-IF(RESULTADOS!$C$17="Normal",I552,0)-J552)/2)</f>
        <v/>
      </c>
      <c r="S552" s="140">
        <f t="shared" ca="1" si="75"/>
        <v>0</v>
      </c>
      <c r="U552" s="164" t="str">
        <f t="shared" ca="1" si="76"/>
        <v/>
      </c>
      <c r="V552" s="164" t="str">
        <f t="shared" ca="1" si="77"/>
        <v/>
      </c>
      <c r="W552" s="140">
        <f ca="1">IF(OR((W551-13/12*Z551)*(1+PREMISSAS!$C$16)&lt;0,W551=""),0,(W551-13/12*Z551)*(1+PREMISSAS!$C$16))</f>
        <v>0</v>
      </c>
      <c r="X552" s="140">
        <f ca="1">IF(OR((X551-13/12*AA551)*(1+PREMISSAS!$C$16)&lt;0,X551=""),0,(X551-13/12*AA551)*(1+PREMISSAS!$C$16))</f>
        <v>0</v>
      </c>
      <c r="Y552" s="140">
        <f t="shared" ca="1" si="78"/>
        <v>0</v>
      </c>
      <c r="Z552" s="167">
        <f t="shared" ca="1" si="79"/>
        <v>0</v>
      </c>
      <c r="AA552" s="167">
        <f t="shared" ca="1" si="72"/>
        <v>0</v>
      </c>
    </row>
    <row r="553" spans="2:27" x14ac:dyDescent="0.25">
      <c r="B553" s="21" t="str">
        <f ca="1">IF(B552="","",IF(EOMONTH(B552,1)&gt;EOMONTH(ELEGIBILIDADE!$J$17,0),"",EOMONTH(B552,1)))</f>
        <v/>
      </c>
      <c r="C553" s="22" t="str">
        <f ca="1">IF(B553="","",IF(MONTH(B553)=1,C552*(1+PREMISSAS!$C$57),C552))</f>
        <v/>
      </c>
      <c r="D553" s="22">
        <f ca="1">IF(RESULTADOS!$C$17="Normal",IFERROR(MAX(C553-PREMISSAS!$C$13,0),0),IF(Painel!$I$23=0,0,MAX(10*PREMISSAS!$C$38,RESULTADOS!$F$17)))</f>
        <v>0</v>
      </c>
      <c r="E553" s="4">
        <f ca="1">D553*IF(RESULTADOS!$C$17="Normal",RESULTADOS!$C$16,0)</f>
        <v>0</v>
      </c>
      <c r="F553" s="4">
        <f ca="1">IFERROR(IF(RESULTADOS!$C$17="Normal",D553,C553)*RESULTADOS!$C$18,0)</f>
        <v>0</v>
      </c>
      <c r="G553" s="4">
        <f ca="1">IFERROR(IF(RESULTADOS!$C$17="Normal",0,D553)*IF(RESULTADOS!$C$17="Normal",RESULTADOS!$C$18,RESULTADOS!$C$16),0)</f>
        <v>0</v>
      </c>
      <c r="H553" s="4">
        <f ca="1">IF(RESULTADOS!$C$17="Normal",E553,0)</f>
        <v>0</v>
      </c>
      <c r="I553" s="4">
        <f ca="1">(E553+H553+G553)*PREMISSAS!$C$60</f>
        <v>0</v>
      </c>
      <c r="J553" s="4">
        <f ca="1">D553*IF(RESULTADOS!$C$17="Normal",PREMISSAS!$C$62,0)</f>
        <v>0</v>
      </c>
      <c r="K553" s="116">
        <f ca="1">IFERROR(K552*(1+PREMISSAS!$C$18)+(E553+H553-IF(RESULTADOS!$C$17="Normal",I553,0)-J553)*IF(MONTH(B553)=12,2,1),0)</f>
        <v>0</v>
      </c>
      <c r="L553" s="116">
        <f ca="1">IFERROR((L552+G553-IF(RESULTADOS!$C$17="Normal",0,I553))*(1+PREMISSAS!$C$18)+F553,0)</f>
        <v>0</v>
      </c>
      <c r="N553" s="73">
        <f t="shared" ca="1" si="73"/>
        <v>0</v>
      </c>
      <c r="P553" s="164" t="str">
        <f t="shared" ca="1" si="74"/>
        <v/>
      </c>
      <c r="Q553" s="140" t="str">
        <f ca="1">IF(C553="","",Q552+(E553+H553-IF(RESULTADOS!$C$17="Normal",I553,0)-J553)/2+(F553+G553-IF(RESULTADOS!$C$17="Normal",0,I553)))</f>
        <v/>
      </c>
      <c r="R553" s="140" t="str">
        <f ca="1">IF(C553="","",R552+(E553+H553-IF(RESULTADOS!$C$17="Normal",I553,0)-J553)/2)</f>
        <v/>
      </c>
      <c r="S553" s="140">
        <f t="shared" ca="1" si="75"/>
        <v>0</v>
      </c>
      <c r="U553" s="164" t="str">
        <f t="shared" ca="1" si="76"/>
        <v/>
      </c>
      <c r="V553" s="164" t="str">
        <f t="shared" ca="1" si="77"/>
        <v/>
      </c>
      <c r="W553" s="140">
        <f ca="1">IF(OR((W552-13/12*Z552)*(1+PREMISSAS!$C$16)&lt;0,W552=""),0,(W552-13/12*Z552)*(1+PREMISSAS!$C$16))</f>
        <v>0</v>
      </c>
      <c r="X553" s="140">
        <f ca="1">IF(OR((X552-13/12*AA552)*(1+PREMISSAS!$C$16)&lt;0,X552=""),0,(X552-13/12*AA552)*(1+PREMISSAS!$C$16))</f>
        <v>0</v>
      </c>
      <c r="Y553" s="140">
        <f t="shared" ca="1" si="78"/>
        <v>0</v>
      </c>
      <c r="Z553" s="167">
        <f t="shared" ca="1" si="79"/>
        <v>0</v>
      </c>
      <c r="AA553" s="167">
        <f t="shared" ca="1" si="72"/>
        <v>0</v>
      </c>
    </row>
    <row r="554" spans="2:27" x14ac:dyDescent="0.25">
      <c r="B554" s="21" t="str">
        <f ca="1">IF(B553="","",IF(EOMONTH(B553,1)&gt;EOMONTH(ELEGIBILIDADE!$J$17,0),"",EOMONTH(B553,1)))</f>
        <v/>
      </c>
      <c r="C554" s="22" t="str">
        <f ca="1">IF(B554="","",IF(MONTH(B554)=1,C553*(1+PREMISSAS!$C$57),C553))</f>
        <v/>
      </c>
      <c r="D554" s="22">
        <f ca="1">IF(RESULTADOS!$C$17="Normal",IFERROR(MAX(C554-PREMISSAS!$C$13,0),0),IF(Painel!$I$23=0,0,MAX(10*PREMISSAS!$C$38,RESULTADOS!$F$17)))</f>
        <v>0</v>
      </c>
      <c r="E554" s="4">
        <f ca="1">D554*IF(RESULTADOS!$C$17="Normal",RESULTADOS!$C$16,0)</f>
        <v>0</v>
      </c>
      <c r="F554" s="4">
        <f ca="1">IFERROR(IF(RESULTADOS!$C$17="Normal",D554,C554)*RESULTADOS!$C$18,0)</f>
        <v>0</v>
      </c>
      <c r="G554" s="4">
        <f ca="1">IFERROR(IF(RESULTADOS!$C$17="Normal",0,D554)*IF(RESULTADOS!$C$17="Normal",RESULTADOS!$C$18,RESULTADOS!$C$16),0)</f>
        <v>0</v>
      </c>
      <c r="H554" s="4">
        <f ca="1">IF(RESULTADOS!$C$17="Normal",E554,0)</f>
        <v>0</v>
      </c>
      <c r="I554" s="4">
        <f ca="1">(E554+H554+G554)*PREMISSAS!$C$60</f>
        <v>0</v>
      </c>
      <c r="J554" s="4">
        <f ca="1">D554*IF(RESULTADOS!$C$17="Normal",PREMISSAS!$C$62,0)</f>
        <v>0</v>
      </c>
      <c r="K554" s="116">
        <f ca="1">IFERROR(K553*(1+PREMISSAS!$C$18)+(E554+H554-IF(RESULTADOS!$C$17="Normal",I554,0)-J554)*IF(MONTH(B554)=12,2,1),0)</f>
        <v>0</v>
      </c>
      <c r="L554" s="116">
        <f ca="1">IFERROR((L553+G554-IF(RESULTADOS!$C$17="Normal",0,I554))*(1+PREMISSAS!$C$18)+F554,0)</f>
        <v>0</v>
      </c>
      <c r="N554" s="73">
        <f t="shared" ca="1" si="73"/>
        <v>0</v>
      </c>
      <c r="P554" s="164" t="str">
        <f t="shared" ca="1" si="74"/>
        <v/>
      </c>
      <c r="Q554" s="140" t="str">
        <f ca="1">IF(C554="","",Q553+(E554+H554-IF(RESULTADOS!$C$17="Normal",I554,0)-J554)/2+(F554+G554-IF(RESULTADOS!$C$17="Normal",0,I554)))</f>
        <v/>
      </c>
      <c r="R554" s="140" t="str">
        <f ca="1">IF(C554="","",R553+(E554+H554-IF(RESULTADOS!$C$17="Normal",I554,0)-J554)/2)</f>
        <v/>
      </c>
      <c r="S554" s="140">
        <f t="shared" ca="1" si="75"/>
        <v>0</v>
      </c>
      <c r="U554" s="164" t="str">
        <f t="shared" ca="1" si="76"/>
        <v/>
      </c>
      <c r="V554" s="164" t="str">
        <f t="shared" ca="1" si="77"/>
        <v/>
      </c>
      <c r="W554" s="140">
        <f ca="1">IF(OR((W553-13/12*Z553)*(1+PREMISSAS!$C$16)&lt;0,W553=""),0,(W553-13/12*Z553)*(1+PREMISSAS!$C$16))</f>
        <v>0</v>
      </c>
      <c r="X554" s="140">
        <f ca="1">IF(OR((X553-13/12*AA553)*(1+PREMISSAS!$C$16)&lt;0,X553=""),0,(X553-13/12*AA553)*(1+PREMISSAS!$C$16))</f>
        <v>0</v>
      </c>
      <c r="Y554" s="140">
        <f t="shared" ca="1" si="78"/>
        <v>0</v>
      </c>
      <c r="Z554" s="167">
        <f t="shared" ca="1" si="79"/>
        <v>0</v>
      </c>
      <c r="AA554" s="167">
        <f t="shared" ca="1" si="72"/>
        <v>0</v>
      </c>
    </row>
    <row r="555" spans="2:27" x14ac:dyDescent="0.25">
      <c r="B555" s="21" t="str">
        <f ca="1">IF(B554="","",IF(EOMONTH(B554,1)&gt;EOMONTH(ELEGIBILIDADE!$J$17,0),"",EOMONTH(B554,1)))</f>
        <v/>
      </c>
      <c r="C555" s="22" t="str">
        <f ca="1">IF(B555="","",IF(MONTH(B555)=1,C554*(1+PREMISSAS!$C$57),C554))</f>
        <v/>
      </c>
      <c r="D555" s="22">
        <f ca="1">IF(RESULTADOS!$C$17="Normal",IFERROR(MAX(C555-PREMISSAS!$C$13,0),0),IF(Painel!$I$23=0,0,MAX(10*PREMISSAS!$C$38,RESULTADOS!$F$17)))</f>
        <v>0</v>
      </c>
      <c r="E555" s="4">
        <f ca="1">D555*IF(RESULTADOS!$C$17="Normal",RESULTADOS!$C$16,0)</f>
        <v>0</v>
      </c>
      <c r="F555" s="4">
        <f ca="1">IFERROR(IF(RESULTADOS!$C$17="Normal",D555,C555)*RESULTADOS!$C$18,0)</f>
        <v>0</v>
      </c>
      <c r="G555" s="4">
        <f ca="1">IFERROR(IF(RESULTADOS!$C$17="Normal",0,D555)*IF(RESULTADOS!$C$17="Normal",RESULTADOS!$C$18,RESULTADOS!$C$16),0)</f>
        <v>0</v>
      </c>
      <c r="H555" s="4">
        <f ca="1">IF(RESULTADOS!$C$17="Normal",E555,0)</f>
        <v>0</v>
      </c>
      <c r="I555" s="4">
        <f ca="1">(E555+H555+G555)*PREMISSAS!$C$60</f>
        <v>0</v>
      </c>
      <c r="J555" s="4">
        <f ca="1">D555*IF(RESULTADOS!$C$17="Normal",PREMISSAS!$C$62,0)</f>
        <v>0</v>
      </c>
      <c r="K555" s="116">
        <f ca="1">IFERROR(K554*(1+PREMISSAS!$C$18)+(E555+H555-IF(RESULTADOS!$C$17="Normal",I555,0)-J555)*IF(MONTH(B555)=12,2,1),0)</f>
        <v>0</v>
      </c>
      <c r="L555" s="116">
        <f ca="1">IFERROR((L554+G555-IF(RESULTADOS!$C$17="Normal",0,I555))*(1+PREMISSAS!$C$18)+F555,0)</f>
        <v>0</v>
      </c>
      <c r="N555" s="73">
        <f t="shared" ca="1" si="73"/>
        <v>0</v>
      </c>
      <c r="P555" s="164" t="str">
        <f t="shared" ca="1" si="74"/>
        <v/>
      </c>
      <c r="Q555" s="140" t="str">
        <f ca="1">IF(C555="","",Q554+(E555+H555-IF(RESULTADOS!$C$17="Normal",I555,0)-J555)/2+(F555+G555-IF(RESULTADOS!$C$17="Normal",0,I555)))</f>
        <v/>
      </c>
      <c r="R555" s="140" t="str">
        <f ca="1">IF(C555="","",R554+(E555+H555-IF(RESULTADOS!$C$17="Normal",I555,0)-J555)/2)</f>
        <v/>
      </c>
      <c r="S555" s="140">
        <f t="shared" ca="1" si="75"/>
        <v>0</v>
      </c>
      <c r="U555" s="164" t="str">
        <f t="shared" ca="1" si="76"/>
        <v/>
      </c>
      <c r="V555" s="164" t="str">
        <f t="shared" ca="1" si="77"/>
        <v/>
      </c>
      <c r="W555" s="140">
        <f ca="1">IF(OR((W554-13/12*Z554)*(1+PREMISSAS!$C$16)&lt;0,W554=""),0,(W554-13/12*Z554)*(1+PREMISSAS!$C$16))</f>
        <v>0</v>
      </c>
      <c r="X555" s="140">
        <f ca="1">IF(OR((X554-13/12*AA554)*(1+PREMISSAS!$C$16)&lt;0,X554=""),0,(X554-13/12*AA554)*(1+PREMISSAS!$C$16))</f>
        <v>0</v>
      </c>
      <c r="Y555" s="140">
        <f t="shared" ca="1" si="78"/>
        <v>0</v>
      </c>
      <c r="Z555" s="167">
        <f t="shared" ca="1" si="79"/>
        <v>0</v>
      </c>
      <c r="AA555" s="167">
        <f t="shared" ca="1" si="72"/>
        <v>0</v>
      </c>
    </row>
    <row r="556" spans="2:27" x14ac:dyDescent="0.25">
      <c r="B556" s="21" t="str">
        <f ca="1">IF(B555="","",IF(EOMONTH(B555,1)&gt;EOMONTH(ELEGIBILIDADE!$J$17,0),"",EOMONTH(B555,1)))</f>
        <v/>
      </c>
      <c r="C556" s="22" t="str">
        <f ca="1">IF(B556="","",IF(MONTH(B556)=1,C555*(1+PREMISSAS!$C$57),C555))</f>
        <v/>
      </c>
      <c r="D556" s="22">
        <f ca="1">IF(RESULTADOS!$C$17="Normal",IFERROR(MAX(C556-PREMISSAS!$C$13,0),0),IF(Painel!$I$23=0,0,MAX(10*PREMISSAS!$C$38,RESULTADOS!$F$17)))</f>
        <v>0</v>
      </c>
      <c r="E556" s="4">
        <f ca="1">D556*IF(RESULTADOS!$C$17="Normal",RESULTADOS!$C$16,0)</f>
        <v>0</v>
      </c>
      <c r="F556" s="4">
        <f ca="1">IFERROR(IF(RESULTADOS!$C$17="Normal",D556,C556)*RESULTADOS!$C$18,0)</f>
        <v>0</v>
      </c>
      <c r="G556" s="4">
        <f ca="1">IFERROR(IF(RESULTADOS!$C$17="Normal",0,D556)*IF(RESULTADOS!$C$17="Normal",RESULTADOS!$C$18,RESULTADOS!$C$16),0)</f>
        <v>0</v>
      </c>
      <c r="H556" s="4">
        <f ca="1">IF(RESULTADOS!$C$17="Normal",E556,0)</f>
        <v>0</v>
      </c>
      <c r="I556" s="4">
        <f ca="1">(E556+H556+G556)*PREMISSAS!$C$60</f>
        <v>0</v>
      </c>
      <c r="J556" s="4">
        <f ca="1">D556*IF(RESULTADOS!$C$17="Normal",PREMISSAS!$C$62,0)</f>
        <v>0</v>
      </c>
      <c r="K556" s="116">
        <f ca="1">IFERROR(K555*(1+PREMISSAS!$C$18)+(E556+H556-IF(RESULTADOS!$C$17="Normal",I556,0)-J556)*IF(MONTH(B556)=12,2,1),0)</f>
        <v>0</v>
      </c>
      <c r="L556" s="116">
        <f ca="1">IFERROR((L555+G556-IF(RESULTADOS!$C$17="Normal",0,I556))*(1+PREMISSAS!$C$18)+F556,0)</f>
        <v>0</v>
      </c>
      <c r="N556" s="73">
        <f t="shared" ca="1" si="73"/>
        <v>0</v>
      </c>
      <c r="P556" s="164" t="str">
        <f t="shared" ca="1" si="74"/>
        <v/>
      </c>
      <c r="Q556" s="140" t="str">
        <f ca="1">IF(C556="","",Q555+(E556+H556-IF(RESULTADOS!$C$17="Normal",I556,0)-J556)/2+(F556+G556-IF(RESULTADOS!$C$17="Normal",0,I556)))</f>
        <v/>
      </c>
      <c r="R556" s="140" t="str">
        <f ca="1">IF(C556="","",R555+(E556+H556-IF(RESULTADOS!$C$17="Normal",I556,0)-J556)/2)</f>
        <v/>
      </c>
      <c r="S556" s="140">
        <f t="shared" ca="1" si="75"/>
        <v>0</v>
      </c>
      <c r="U556" s="164" t="str">
        <f t="shared" ca="1" si="76"/>
        <v/>
      </c>
      <c r="V556" s="164" t="str">
        <f t="shared" ca="1" si="77"/>
        <v/>
      </c>
      <c r="W556" s="140">
        <f ca="1">IF(OR((W555-13/12*Z555)*(1+PREMISSAS!$C$16)&lt;0,W555=""),0,(W555-13/12*Z555)*(1+PREMISSAS!$C$16))</f>
        <v>0</v>
      </c>
      <c r="X556" s="140">
        <f ca="1">IF(OR((X555-13/12*AA555)*(1+PREMISSAS!$C$16)&lt;0,X555=""),0,(X555-13/12*AA555)*(1+PREMISSAS!$C$16))</f>
        <v>0</v>
      </c>
      <c r="Y556" s="140">
        <f t="shared" ca="1" si="78"/>
        <v>0</v>
      </c>
      <c r="Z556" s="167">
        <f t="shared" ca="1" si="79"/>
        <v>0</v>
      </c>
      <c r="AA556" s="167">
        <f t="shared" ca="1" si="72"/>
        <v>0</v>
      </c>
    </row>
    <row r="557" spans="2:27" x14ac:dyDescent="0.25">
      <c r="B557" s="21" t="str">
        <f ca="1">IF(B556="","",IF(EOMONTH(B556,1)&gt;EOMONTH(ELEGIBILIDADE!$J$17,0),"",EOMONTH(B556,1)))</f>
        <v/>
      </c>
      <c r="C557" s="22" t="str">
        <f ca="1">IF(B557="","",IF(MONTH(B557)=1,C556*(1+PREMISSAS!$C$57),C556))</f>
        <v/>
      </c>
      <c r="D557" s="22">
        <f ca="1">IF(RESULTADOS!$C$17="Normal",IFERROR(MAX(C557-PREMISSAS!$C$13,0),0),IF(Painel!$I$23=0,0,MAX(10*PREMISSAS!$C$38,RESULTADOS!$F$17)))</f>
        <v>0</v>
      </c>
      <c r="E557" s="4">
        <f ca="1">D557*IF(RESULTADOS!$C$17="Normal",RESULTADOS!$C$16,0)</f>
        <v>0</v>
      </c>
      <c r="F557" s="4">
        <f ca="1">IFERROR(IF(RESULTADOS!$C$17="Normal",D557,C557)*RESULTADOS!$C$18,0)</f>
        <v>0</v>
      </c>
      <c r="G557" s="4">
        <f ca="1">IFERROR(IF(RESULTADOS!$C$17="Normal",0,D557)*IF(RESULTADOS!$C$17="Normal",RESULTADOS!$C$18,RESULTADOS!$C$16),0)</f>
        <v>0</v>
      </c>
      <c r="H557" s="4">
        <f ca="1">IF(RESULTADOS!$C$17="Normal",E557,0)</f>
        <v>0</v>
      </c>
      <c r="I557" s="4">
        <f ca="1">(E557+H557+G557)*PREMISSAS!$C$60</f>
        <v>0</v>
      </c>
      <c r="J557" s="4">
        <f ca="1">D557*IF(RESULTADOS!$C$17="Normal",PREMISSAS!$C$62,0)</f>
        <v>0</v>
      </c>
      <c r="K557" s="116">
        <f ca="1">IFERROR(K556*(1+PREMISSAS!$C$18)+(E557+H557-IF(RESULTADOS!$C$17="Normal",I557,0)-J557)*IF(MONTH(B557)=12,2,1),0)</f>
        <v>0</v>
      </c>
      <c r="L557" s="116">
        <f ca="1">IFERROR((L556+G557-IF(RESULTADOS!$C$17="Normal",0,I557))*(1+PREMISSAS!$C$18)+F557,0)</f>
        <v>0</v>
      </c>
      <c r="N557" s="73">
        <f t="shared" ca="1" si="73"/>
        <v>0</v>
      </c>
      <c r="P557" s="164" t="str">
        <f t="shared" ca="1" si="74"/>
        <v/>
      </c>
      <c r="Q557" s="140" t="str">
        <f ca="1">IF(C557="","",Q556+(E557+H557-IF(RESULTADOS!$C$17="Normal",I557,0)-J557)/2+(F557+G557-IF(RESULTADOS!$C$17="Normal",0,I557)))</f>
        <v/>
      </c>
      <c r="R557" s="140" t="str">
        <f ca="1">IF(C557="","",R556+(E557+H557-IF(RESULTADOS!$C$17="Normal",I557,0)-J557)/2)</f>
        <v/>
      </c>
      <c r="S557" s="140">
        <f t="shared" ca="1" si="75"/>
        <v>0</v>
      </c>
      <c r="U557" s="164" t="str">
        <f t="shared" ca="1" si="76"/>
        <v/>
      </c>
      <c r="V557" s="164" t="str">
        <f t="shared" ca="1" si="77"/>
        <v/>
      </c>
      <c r="W557" s="140">
        <f ca="1">IF(OR((W556-13/12*Z556)*(1+PREMISSAS!$C$16)&lt;0,W556=""),0,(W556-13/12*Z556)*(1+PREMISSAS!$C$16))</f>
        <v>0</v>
      </c>
      <c r="X557" s="140">
        <f ca="1">IF(OR((X556-13/12*AA556)*(1+PREMISSAS!$C$16)&lt;0,X556=""),0,(X556-13/12*AA556)*(1+PREMISSAS!$C$16))</f>
        <v>0</v>
      </c>
      <c r="Y557" s="140">
        <f t="shared" ca="1" si="78"/>
        <v>0</v>
      </c>
      <c r="Z557" s="167">
        <f t="shared" ca="1" si="79"/>
        <v>0</v>
      </c>
      <c r="AA557" s="167">
        <f t="shared" ca="1" si="72"/>
        <v>0</v>
      </c>
    </row>
    <row r="558" spans="2:27" x14ac:dyDescent="0.25">
      <c r="B558" s="21" t="str">
        <f ca="1">IF(B557="","",IF(EOMONTH(B557,1)&gt;EOMONTH(ELEGIBILIDADE!$J$17,0),"",EOMONTH(B557,1)))</f>
        <v/>
      </c>
      <c r="C558" s="22" t="str">
        <f ca="1">IF(B558="","",IF(MONTH(B558)=1,C557*(1+PREMISSAS!$C$57),C557))</f>
        <v/>
      </c>
      <c r="D558" s="22">
        <f ca="1">IF(RESULTADOS!$C$17="Normal",IFERROR(MAX(C558-PREMISSAS!$C$13,0),0),IF(Painel!$I$23=0,0,MAX(10*PREMISSAS!$C$38,RESULTADOS!$F$17)))</f>
        <v>0</v>
      </c>
      <c r="E558" s="4">
        <f ca="1">D558*IF(RESULTADOS!$C$17="Normal",RESULTADOS!$C$16,0)</f>
        <v>0</v>
      </c>
      <c r="F558" s="4">
        <f ca="1">IFERROR(IF(RESULTADOS!$C$17="Normal",D558,C558)*RESULTADOS!$C$18,0)</f>
        <v>0</v>
      </c>
      <c r="G558" s="4">
        <f ca="1">IFERROR(IF(RESULTADOS!$C$17="Normal",0,D558)*IF(RESULTADOS!$C$17="Normal",RESULTADOS!$C$18,RESULTADOS!$C$16),0)</f>
        <v>0</v>
      </c>
      <c r="H558" s="4">
        <f ca="1">IF(RESULTADOS!$C$17="Normal",E558,0)</f>
        <v>0</v>
      </c>
      <c r="I558" s="4">
        <f ca="1">(E558+H558+G558)*PREMISSAS!$C$60</f>
        <v>0</v>
      </c>
      <c r="J558" s="4">
        <f ca="1">D558*IF(RESULTADOS!$C$17="Normal",PREMISSAS!$C$62,0)</f>
        <v>0</v>
      </c>
      <c r="K558" s="116">
        <f ca="1">IFERROR(K557*(1+PREMISSAS!$C$18)+(E558+H558-IF(RESULTADOS!$C$17="Normal",I558,0)-J558)*IF(MONTH(B558)=12,2,1),0)</f>
        <v>0</v>
      </c>
      <c r="L558" s="116">
        <f ca="1">IFERROR((L557+G558-IF(RESULTADOS!$C$17="Normal",0,I558))*(1+PREMISSAS!$C$18)+F558,0)</f>
        <v>0</v>
      </c>
      <c r="N558" s="73">
        <f t="shared" ca="1" si="73"/>
        <v>0</v>
      </c>
      <c r="P558" s="164" t="str">
        <f t="shared" ca="1" si="74"/>
        <v/>
      </c>
      <c r="Q558" s="140" t="str">
        <f ca="1">IF(C558="","",Q557+(E558+H558-IF(RESULTADOS!$C$17="Normal",I558,0)-J558)/2+(F558+G558-IF(RESULTADOS!$C$17="Normal",0,I558)))</f>
        <v/>
      </c>
      <c r="R558" s="140" t="str">
        <f ca="1">IF(C558="","",R557+(E558+H558-IF(RESULTADOS!$C$17="Normal",I558,0)-J558)/2)</f>
        <v/>
      </c>
      <c r="S558" s="140">
        <f t="shared" ca="1" si="75"/>
        <v>0</v>
      </c>
      <c r="U558" s="164" t="str">
        <f t="shared" ca="1" si="76"/>
        <v/>
      </c>
      <c r="V558" s="164" t="str">
        <f t="shared" ca="1" si="77"/>
        <v/>
      </c>
      <c r="W558" s="140">
        <f ca="1">IF(OR((W557-13/12*Z557)*(1+PREMISSAS!$C$16)&lt;0,W557=""),0,(W557-13/12*Z557)*(1+PREMISSAS!$C$16))</f>
        <v>0</v>
      </c>
      <c r="X558" s="140">
        <f ca="1">IF(OR((X557-13/12*AA557)*(1+PREMISSAS!$C$16)&lt;0,X557=""),0,(X557-13/12*AA557)*(1+PREMISSAS!$C$16))</f>
        <v>0</v>
      </c>
      <c r="Y558" s="140">
        <f t="shared" ca="1" si="78"/>
        <v>0</v>
      </c>
      <c r="Z558" s="167">
        <f t="shared" ca="1" si="79"/>
        <v>0</v>
      </c>
      <c r="AA558" s="167">
        <f t="shared" ca="1" si="72"/>
        <v>0</v>
      </c>
    </row>
    <row r="559" spans="2:27" x14ac:dyDescent="0.25">
      <c r="B559" s="21" t="str">
        <f ca="1">IF(B558="","",IF(EOMONTH(B558,1)&gt;EOMONTH(ELEGIBILIDADE!$J$17,0),"",EOMONTH(B558,1)))</f>
        <v/>
      </c>
      <c r="C559" s="22" t="str">
        <f ca="1">IF(B559="","",IF(MONTH(B559)=1,C558*(1+PREMISSAS!$C$57),C558))</f>
        <v/>
      </c>
      <c r="D559" s="22">
        <f ca="1">IF(RESULTADOS!$C$17="Normal",IFERROR(MAX(C559-PREMISSAS!$C$13,0),0),IF(Painel!$I$23=0,0,MAX(10*PREMISSAS!$C$38,RESULTADOS!$F$17)))</f>
        <v>0</v>
      </c>
      <c r="E559" s="4">
        <f ca="1">D559*IF(RESULTADOS!$C$17="Normal",RESULTADOS!$C$16,0)</f>
        <v>0</v>
      </c>
      <c r="F559" s="4">
        <f ca="1">IFERROR(IF(RESULTADOS!$C$17="Normal",D559,C559)*RESULTADOS!$C$18,0)</f>
        <v>0</v>
      </c>
      <c r="G559" s="4">
        <f ca="1">IFERROR(IF(RESULTADOS!$C$17="Normal",0,D559)*IF(RESULTADOS!$C$17="Normal",RESULTADOS!$C$18,RESULTADOS!$C$16),0)</f>
        <v>0</v>
      </c>
      <c r="H559" s="4">
        <f ca="1">IF(RESULTADOS!$C$17="Normal",E559,0)</f>
        <v>0</v>
      </c>
      <c r="I559" s="4">
        <f ca="1">(E559+H559+G559)*PREMISSAS!$C$60</f>
        <v>0</v>
      </c>
      <c r="J559" s="4">
        <f ca="1">D559*IF(RESULTADOS!$C$17="Normal",PREMISSAS!$C$62,0)</f>
        <v>0</v>
      </c>
      <c r="K559" s="116">
        <f ca="1">IFERROR(K558*(1+PREMISSAS!$C$18)+(E559+H559-IF(RESULTADOS!$C$17="Normal",I559,0)-J559)*IF(MONTH(B559)=12,2,1),0)</f>
        <v>0</v>
      </c>
      <c r="L559" s="116">
        <f ca="1">IFERROR((L558+G559-IF(RESULTADOS!$C$17="Normal",0,I559))*(1+PREMISSAS!$C$18)+F559,0)</f>
        <v>0</v>
      </c>
      <c r="N559" s="73">
        <f t="shared" ca="1" si="73"/>
        <v>0</v>
      </c>
      <c r="P559" s="164" t="str">
        <f t="shared" ca="1" si="74"/>
        <v/>
      </c>
      <c r="Q559" s="140" t="str">
        <f ca="1">IF(C559="","",Q558+(E559+H559-IF(RESULTADOS!$C$17="Normal",I559,0)-J559)/2+(F559+G559-IF(RESULTADOS!$C$17="Normal",0,I559)))</f>
        <v/>
      </c>
      <c r="R559" s="140" t="str">
        <f ca="1">IF(C559="","",R558+(E559+H559-IF(RESULTADOS!$C$17="Normal",I559,0)-J559)/2)</f>
        <v/>
      </c>
      <c r="S559" s="140">
        <f t="shared" ca="1" si="75"/>
        <v>0</v>
      </c>
      <c r="U559" s="164" t="str">
        <f t="shared" ca="1" si="76"/>
        <v/>
      </c>
      <c r="V559" s="164" t="str">
        <f t="shared" ca="1" si="77"/>
        <v/>
      </c>
      <c r="W559" s="140">
        <f ca="1">IF(OR((W558-13/12*Z558)*(1+PREMISSAS!$C$16)&lt;0,W558=""),0,(W558-13/12*Z558)*(1+PREMISSAS!$C$16))</f>
        <v>0</v>
      </c>
      <c r="X559" s="140">
        <f ca="1">IF(OR((X558-13/12*AA558)*(1+PREMISSAS!$C$16)&lt;0,X558=""),0,(X558-13/12*AA558)*(1+PREMISSAS!$C$16))</f>
        <v>0</v>
      </c>
      <c r="Y559" s="140">
        <f t="shared" ca="1" si="78"/>
        <v>0</v>
      </c>
      <c r="Z559" s="167">
        <f t="shared" ca="1" si="79"/>
        <v>0</v>
      </c>
      <c r="AA559" s="167">
        <f t="shared" ca="1" si="72"/>
        <v>0</v>
      </c>
    </row>
    <row r="560" spans="2:27" x14ac:dyDescent="0.25">
      <c r="B560" s="21" t="str">
        <f ca="1">IF(B559="","",IF(EOMONTH(B559,1)&gt;EOMONTH(ELEGIBILIDADE!$J$17,0),"",EOMONTH(B559,1)))</f>
        <v/>
      </c>
      <c r="C560" s="22" t="str">
        <f ca="1">IF(B560="","",IF(MONTH(B560)=1,C559*(1+PREMISSAS!$C$57),C559))</f>
        <v/>
      </c>
      <c r="D560" s="22">
        <f ca="1">IF(RESULTADOS!$C$17="Normal",IFERROR(MAX(C560-PREMISSAS!$C$13,0),0),IF(Painel!$I$23=0,0,MAX(10*PREMISSAS!$C$38,RESULTADOS!$F$17)))</f>
        <v>0</v>
      </c>
      <c r="E560" s="4">
        <f ca="1">D560*IF(RESULTADOS!$C$17="Normal",RESULTADOS!$C$16,0)</f>
        <v>0</v>
      </c>
      <c r="F560" s="4">
        <f ca="1">IFERROR(IF(RESULTADOS!$C$17="Normal",D560,C560)*RESULTADOS!$C$18,0)</f>
        <v>0</v>
      </c>
      <c r="G560" s="4">
        <f ca="1">IFERROR(IF(RESULTADOS!$C$17="Normal",0,D560)*IF(RESULTADOS!$C$17="Normal",RESULTADOS!$C$18,RESULTADOS!$C$16),0)</f>
        <v>0</v>
      </c>
      <c r="H560" s="4">
        <f ca="1">IF(RESULTADOS!$C$17="Normal",E560,0)</f>
        <v>0</v>
      </c>
      <c r="I560" s="4">
        <f ca="1">(E560+H560+G560)*PREMISSAS!$C$60</f>
        <v>0</v>
      </c>
      <c r="J560" s="4">
        <f ca="1">D560*IF(RESULTADOS!$C$17="Normal",PREMISSAS!$C$62,0)</f>
        <v>0</v>
      </c>
      <c r="K560" s="116">
        <f ca="1">IFERROR(K559*(1+PREMISSAS!$C$18)+(E560+H560-IF(RESULTADOS!$C$17="Normal",I560,0)-J560)*IF(MONTH(B560)=12,2,1),0)</f>
        <v>0</v>
      </c>
      <c r="L560" s="116">
        <f ca="1">IFERROR((L559+G560-IF(RESULTADOS!$C$17="Normal",0,I560))*(1+PREMISSAS!$C$18)+F560,0)</f>
        <v>0</v>
      </c>
      <c r="N560" s="73">
        <f t="shared" ca="1" si="73"/>
        <v>0</v>
      </c>
      <c r="P560" s="164" t="str">
        <f t="shared" ca="1" si="74"/>
        <v/>
      </c>
      <c r="Q560" s="140" t="str">
        <f ca="1">IF(C560="","",Q559+(E560+H560-IF(RESULTADOS!$C$17="Normal",I560,0)-J560)/2+(F560+G560-IF(RESULTADOS!$C$17="Normal",0,I560)))</f>
        <v/>
      </c>
      <c r="R560" s="140" t="str">
        <f ca="1">IF(C560="","",R559+(E560+H560-IF(RESULTADOS!$C$17="Normal",I560,0)-J560)/2)</f>
        <v/>
      </c>
      <c r="S560" s="140">
        <f t="shared" ca="1" si="75"/>
        <v>0</v>
      </c>
      <c r="U560" s="164" t="str">
        <f t="shared" ca="1" si="76"/>
        <v/>
      </c>
      <c r="V560" s="164" t="str">
        <f t="shared" ca="1" si="77"/>
        <v/>
      </c>
      <c r="W560" s="140">
        <f ca="1">IF(OR((W559-13/12*Z559)*(1+PREMISSAS!$C$16)&lt;0,W559=""),0,(W559-13/12*Z559)*(1+PREMISSAS!$C$16))</f>
        <v>0</v>
      </c>
      <c r="X560" s="140">
        <f ca="1">IF(OR((X559-13/12*AA559)*(1+PREMISSAS!$C$16)&lt;0,X559=""),0,(X559-13/12*AA559)*(1+PREMISSAS!$C$16))</f>
        <v>0</v>
      </c>
      <c r="Y560" s="140">
        <f t="shared" ca="1" si="78"/>
        <v>0</v>
      </c>
      <c r="Z560" s="167">
        <f t="shared" ca="1" si="79"/>
        <v>0</v>
      </c>
      <c r="AA560" s="167">
        <f t="shared" ca="1" si="72"/>
        <v>0</v>
      </c>
    </row>
    <row r="561" spans="2:27" x14ac:dyDescent="0.25">
      <c r="B561" s="21" t="str">
        <f ca="1">IF(B560="","",IF(EOMONTH(B560,1)&gt;EOMONTH(ELEGIBILIDADE!$J$17,0),"",EOMONTH(B560,1)))</f>
        <v/>
      </c>
      <c r="C561" s="22" t="str">
        <f ca="1">IF(B561="","",IF(MONTH(B561)=1,C560*(1+PREMISSAS!$C$57),C560))</f>
        <v/>
      </c>
      <c r="D561" s="22">
        <f ca="1">IF(RESULTADOS!$C$17="Normal",IFERROR(MAX(C561-PREMISSAS!$C$13,0),0),IF(Painel!$I$23=0,0,MAX(10*PREMISSAS!$C$38,RESULTADOS!$F$17)))</f>
        <v>0</v>
      </c>
      <c r="E561" s="4">
        <f ca="1">D561*IF(RESULTADOS!$C$17="Normal",RESULTADOS!$C$16,0)</f>
        <v>0</v>
      </c>
      <c r="F561" s="4">
        <f ca="1">IFERROR(IF(RESULTADOS!$C$17="Normal",D561,C561)*RESULTADOS!$C$18,0)</f>
        <v>0</v>
      </c>
      <c r="G561" s="4">
        <f ca="1">IFERROR(IF(RESULTADOS!$C$17="Normal",0,D561)*IF(RESULTADOS!$C$17="Normal",RESULTADOS!$C$18,RESULTADOS!$C$16),0)</f>
        <v>0</v>
      </c>
      <c r="H561" s="4">
        <f ca="1">IF(RESULTADOS!$C$17="Normal",E561,0)</f>
        <v>0</v>
      </c>
      <c r="I561" s="4">
        <f ca="1">(E561+H561+G561)*PREMISSAS!$C$60</f>
        <v>0</v>
      </c>
      <c r="J561" s="4">
        <f ca="1">D561*IF(RESULTADOS!$C$17="Normal",PREMISSAS!$C$62,0)</f>
        <v>0</v>
      </c>
      <c r="K561" s="116">
        <f ca="1">IFERROR(K560*(1+PREMISSAS!$C$18)+(E561+H561-IF(RESULTADOS!$C$17="Normal",I561,0)-J561)*IF(MONTH(B561)=12,2,1),0)</f>
        <v>0</v>
      </c>
      <c r="L561" s="116">
        <f ca="1">IFERROR((L560+G561-IF(RESULTADOS!$C$17="Normal",0,I561))*(1+PREMISSAS!$C$18)+F561,0)</f>
        <v>0</v>
      </c>
      <c r="N561" s="73">
        <f t="shared" ca="1" si="73"/>
        <v>0</v>
      </c>
      <c r="P561" s="164" t="str">
        <f t="shared" ca="1" si="74"/>
        <v/>
      </c>
      <c r="Q561" s="140" t="str">
        <f ca="1">IF(C561="","",Q560+(E561+H561-IF(RESULTADOS!$C$17="Normal",I561,0)-J561)/2+(F561+G561-IF(RESULTADOS!$C$17="Normal",0,I561)))</f>
        <v/>
      </c>
      <c r="R561" s="140" t="str">
        <f ca="1">IF(C561="","",R560+(E561+H561-IF(RESULTADOS!$C$17="Normal",I561,0)-J561)/2)</f>
        <v/>
      </c>
      <c r="S561" s="140">
        <f t="shared" ca="1" si="75"/>
        <v>0</v>
      </c>
      <c r="U561" s="164" t="str">
        <f t="shared" ca="1" si="76"/>
        <v/>
      </c>
      <c r="V561" s="164" t="str">
        <f t="shared" ca="1" si="77"/>
        <v/>
      </c>
      <c r="W561" s="140">
        <f ca="1">IF(OR((W560-13/12*Z560)*(1+PREMISSAS!$C$16)&lt;0,W560=""),0,(W560-13/12*Z560)*(1+PREMISSAS!$C$16))</f>
        <v>0</v>
      </c>
      <c r="X561" s="140">
        <f ca="1">IF(OR((X560-13/12*AA560)*(1+PREMISSAS!$C$16)&lt;0,X560=""),0,(X560-13/12*AA560)*(1+PREMISSAS!$C$16))</f>
        <v>0</v>
      </c>
      <c r="Y561" s="140">
        <f t="shared" ca="1" si="78"/>
        <v>0</v>
      </c>
      <c r="Z561" s="167">
        <f t="shared" ca="1" si="79"/>
        <v>0</v>
      </c>
      <c r="AA561" s="167">
        <f t="shared" ca="1" si="72"/>
        <v>0</v>
      </c>
    </row>
    <row r="562" spans="2:27" x14ac:dyDescent="0.25">
      <c r="B562" s="21" t="str">
        <f ca="1">IF(B561="","",IF(EOMONTH(B561,1)&gt;EOMONTH(ELEGIBILIDADE!$J$17,0),"",EOMONTH(B561,1)))</f>
        <v/>
      </c>
      <c r="C562" s="22" t="str">
        <f ca="1">IF(B562="","",IF(MONTH(B562)=1,C561*(1+PREMISSAS!$C$57),C561))</f>
        <v/>
      </c>
      <c r="D562" s="22">
        <f ca="1">IF(RESULTADOS!$C$17="Normal",IFERROR(MAX(C562-PREMISSAS!$C$13,0),0),IF(Painel!$I$23=0,0,MAX(10*PREMISSAS!$C$38,RESULTADOS!$F$17)))</f>
        <v>0</v>
      </c>
      <c r="E562" s="4">
        <f ca="1">D562*IF(RESULTADOS!$C$17="Normal",RESULTADOS!$C$16,0)</f>
        <v>0</v>
      </c>
      <c r="F562" s="4">
        <f ca="1">IFERROR(IF(RESULTADOS!$C$17="Normal",D562,C562)*RESULTADOS!$C$18,0)</f>
        <v>0</v>
      </c>
      <c r="G562" s="4">
        <f ca="1">IFERROR(IF(RESULTADOS!$C$17="Normal",0,D562)*IF(RESULTADOS!$C$17="Normal",RESULTADOS!$C$18,RESULTADOS!$C$16),0)</f>
        <v>0</v>
      </c>
      <c r="H562" s="4">
        <f ca="1">IF(RESULTADOS!$C$17="Normal",E562,0)</f>
        <v>0</v>
      </c>
      <c r="I562" s="4">
        <f ca="1">(E562+H562+G562)*PREMISSAS!$C$60</f>
        <v>0</v>
      </c>
      <c r="J562" s="4">
        <f ca="1">D562*IF(RESULTADOS!$C$17="Normal",PREMISSAS!$C$62,0)</f>
        <v>0</v>
      </c>
      <c r="K562" s="116">
        <f ca="1">IFERROR(K561*(1+PREMISSAS!$C$18)+(E562+H562-IF(RESULTADOS!$C$17="Normal",I562,0)-J562)*IF(MONTH(B562)=12,2,1),0)</f>
        <v>0</v>
      </c>
      <c r="L562" s="116">
        <f ca="1">IFERROR((L561+G562-IF(RESULTADOS!$C$17="Normal",0,I562))*(1+PREMISSAS!$C$18)+F562,0)</f>
        <v>0</v>
      </c>
      <c r="N562" s="73">
        <f t="shared" ca="1" si="73"/>
        <v>0</v>
      </c>
      <c r="P562" s="164" t="str">
        <f t="shared" ca="1" si="74"/>
        <v/>
      </c>
      <c r="Q562" s="140" t="str">
        <f ca="1">IF(C562="","",Q561+(E562+H562-IF(RESULTADOS!$C$17="Normal",I562,0)-J562)/2+(F562+G562-IF(RESULTADOS!$C$17="Normal",0,I562)))</f>
        <v/>
      </c>
      <c r="R562" s="140" t="str">
        <f ca="1">IF(C562="","",R561+(E562+H562-IF(RESULTADOS!$C$17="Normal",I562,0)-J562)/2)</f>
        <v/>
      </c>
      <c r="S562" s="140">
        <f t="shared" ca="1" si="75"/>
        <v>0</v>
      </c>
      <c r="U562" s="164" t="str">
        <f t="shared" ca="1" si="76"/>
        <v/>
      </c>
      <c r="V562" s="164" t="str">
        <f t="shared" ca="1" si="77"/>
        <v/>
      </c>
      <c r="W562" s="140">
        <f ca="1">IF(OR((W561-13/12*Z561)*(1+PREMISSAS!$C$16)&lt;0,W561=""),0,(W561-13/12*Z561)*(1+PREMISSAS!$C$16))</f>
        <v>0</v>
      </c>
      <c r="X562" s="140">
        <f ca="1">IF(OR((X561-13/12*AA561)*(1+PREMISSAS!$C$16)&lt;0,X561=""),0,(X561-13/12*AA561)*(1+PREMISSAS!$C$16))</f>
        <v>0</v>
      </c>
      <c r="Y562" s="140">
        <f t="shared" ca="1" si="78"/>
        <v>0</v>
      </c>
      <c r="Z562" s="167">
        <f t="shared" ca="1" si="79"/>
        <v>0</v>
      </c>
      <c r="AA562" s="167">
        <f t="shared" ca="1" si="72"/>
        <v>0</v>
      </c>
    </row>
    <row r="563" spans="2:27" x14ac:dyDescent="0.25">
      <c r="B563" s="21" t="str">
        <f ca="1">IF(B562="","",IF(EOMONTH(B562,1)&gt;EOMONTH(ELEGIBILIDADE!$J$17,0),"",EOMONTH(B562,1)))</f>
        <v/>
      </c>
      <c r="C563" s="22" t="str">
        <f ca="1">IF(B563="","",IF(MONTH(B563)=1,C562*(1+PREMISSAS!$C$57),C562))</f>
        <v/>
      </c>
      <c r="D563" s="22">
        <f ca="1">IF(RESULTADOS!$C$17="Normal",IFERROR(MAX(C563-PREMISSAS!$C$13,0),0),IF(Painel!$I$23=0,0,MAX(10*PREMISSAS!$C$38,RESULTADOS!$F$17)))</f>
        <v>0</v>
      </c>
      <c r="E563" s="4">
        <f ca="1">D563*IF(RESULTADOS!$C$17="Normal",RESULTADOS!$C$16,0)</f>
        <v>0</v>
      </c>
      <c r="F563" s="4">
        <f ca="1">IFERROR(IF(RESULTADOS!$C$17="Normal",D563,C563)*RESULTADOS!$C$18,0)</f>
        <v>0</v>
      </c>
      <c r="G563" s="4">
        <f ca="1">IFERROR(IF(RESULTADOS!$C$17="Normal",0,D563)*IF(RESULTADOS!$C$17="Normal",RESULTADOS!$C$18,RESULTADOS!$C$16),0)</f>
        <v>0</v>
      </c>
      <c r="H563" s="4">
        <f ca="1">IF(RESULTADOS!$C$17="Normal",E563,0)</f>
        <v>0</v>
      </c>
      <c r="I563" s="4">
        <f ca="1">(E563+H563+G563)*PREMISSAS!$C$60</f>
        <v>0</v>
      </c>
      <c r="J563" s="4">
        <f ca="1">D563*IF(RESULTADOS!$C$17="Normal",PREMISSAS!$C$62,0)</f>
        <v>0</v>
      </c>
      <c r="K563" s="116">
        <f ca="1">IFERROR(K562*(1+PREMISSAS!$C$18)+(E563+H563-IF(RESULTADOS!$C$17="Normal",I563,0)-J563)*IF(MONTH(B563)=12,2,1),0)</f>
        <v>0</v>
      </c>
      <c r="L563" s="116">
        <f ca="1">IFERROR((L562+G563-IF(RESULTADOS!$C$17="Normal",0,I563))*(1+PREMISSAS!$C$18)+F563,0)</f>
        <v>0</v>
      </c>
      <c r="N563" s="73">
        <f t="shared" ca="1" si="73"/>
        <v>0</v>
      </c>
      <c r="P563" s="164" t="str">
        <f t="shared" ca="1" si="74"/>
        <v/>
      </c>
      <c r="Q563" s="140" t="str">
        <f ca="1">IF(C563="","",Q562+(E563+H563-IF(RESULTADOS!$C$17="Normal",I563,0)-J563)/2+(F563+G563-IF(RESULTADOS!$C$17="Normal",0,I563)))</f>
        <v/>
      </c>
      <c r="R563" s="140" t="str">
        <f ca="1">IF(C563="","",R562+(E563+H563-IF(RESULTADOS!$C$17="Normal",I563,0)-J563)/2)</f>
        <v/>
      </c>
      <c r="S563" s="140">
        <f t="shared" ca="1" si="75"/>
        <v>0</v>
      </c>
      <c r="U563" s="164" t="str">
        <f t="shared" ca="1" si="76"/>
        <v/>
      </c>
      <c r="V563" s="164" t="str">
        <f t="shared" ca="1" si="77"/>
        <v/>
      </c>
      <c r="W563" s="140">
        <f ca="1">IF(OR((W562-13/12*Z562)*(1+PREMISSAS!$C$16)&lt;0,W562=""),0,(W562-13/12*Z562)*(1+PREMISSAS!$C$16))</f>
        <v>0</v>
      </c>
      <c r="X563" s="140">
        <f ca="1">IF(OR((X562-13/12*AA562)*(1+PREMISSAS!$C$16)&lt;0,X562=""),0,(X562-13/12*AA562)*(1+PREMISSAS!$C$16))</f>
        <v>0</v>
      </c>
      <c r="Y563" s="140">
        <f t="shared" ca="1" si="78"/>
        <v>0</v>
      </c>
      <c r="Z563" s="167">
        <f t="shared" ca="1" si="79"/>
        <v>0</v>
      </c>
      <c r="AA563" s="167">
        <f t="shared" ca="1" si="72"/>
        <v>0</v>
      </c>
    </row>
    <row r="564" spans="2:27" x14ac:dyDescent="0.25">
      <c r="B564" s="21" t="str">
        <f ca="1">IF(B563="","",IF(EOMONTH(B563,1)&gt;EOMONTH(ELEGIBILIDADE!$J$17,0),"",EOMONTH(B563,1)))</f>
        <v/>
      </c>
      <c r="C564" s="22" t="str">
        <f ca="1">IF(B564="","",IF(MONTH(B564)=1,C563*(1+PREMISSAS!$C$57),C563))</f>
        <v/>
      </c>
      <c r="D564" s="22">
        <f ca="1">IF(RESULTADOS!$C$17="Normal",IFERROR(MAX(C564-PREMISSAS!$C$13,0),0),IF(Painel!$I$23=0,0,MAX(10*PREMISSAS!$C$38,RESULTADOS!$F$17)))</f>
        <v>0</v>
      </c>
      <c r="E564" s="4">
        <f ca="1">D564*IF(RESULTADOS!$C$17="Normal",RESULTADOS!$C$16,0)</f>
        <v>0</v>
      </c>
      <c r="F564" s="4">
        <f ca="1">IFERROR(IF(RESULTADOS!$C$17="Normal",D564,C564)*RESULTADOS!$C$18,0)</f>
        <v>0</v>
      </c>
      <c r="G564" s="4">
        <f ca="1">IFERROR(IF(RESULTADOS!$C$17="Normal",0,D564)*IF(RESULTADOS!$C$17="Normal",RESULTADOS!$C$18,RESULTADOS!$C$16),0)</f>
        <v>0</v>
      </c>
      <c r="H564" s="4">
        <f ca="1">IF(RESULTADOS!$C$17="Normal",E564,0)</f>
        <v>0</v>
      </c>
      <c r="I564" s="4">
        <f ca="1">(E564+H564+G564)*PREMISSAS!$C$60</f>
        <v>0</v>
      </c>
      <c r="J564" s="4">
        <f ca="1">D564*IF(RESULTADOS!$C$17="Normal",PREMISSAS!$C$62,0)</f>
        <v>0</v>
      </c>
      <c r="K564" s="116">
        <f ca="1">IFERROR(K563*(1+PREMISSAS!$C$18)+(E564+H564-IF(RESULTADOS!$C$17="Normal",I564,0)-J564)*IF(MONTH(B564)=12,2,1),0)</f>
        <v>0</v>
      </c>
      <c r="L564" s="116">
        <f ca="1">IFERROR((L563+G564-IF(RESULTADOS!$C$17="Normal",0,I564))*(1+PREMISSAS!$C$18)+F564,0)</f>
        <v>0</v>
      </c>
      <c r="N564" s="73">
        <f t="shared" ca="1" si="73"/>
        <v>0</v>
      </c>
      <c r="P564" s="164" t="str">
        <f t="shared" ca="1" si="74"/>
        <v/>
      </c>
      <c r="Q564" s="140" t="str">
        <f ca="1">IF(C564="","",Q563+(E564+H564-IF(RESULTADOS!$C$17="Normal",I564,0)-J564)/2+(F564+G564-IF(RESULTADOS!$C$17="Normal",0,I564)))</f>
        <v/>
      </c>
      <c r="R564" s="140" t="str">
        <f ca="1">IF(C564="","",R563+(E564+H564-IF(RESULTADOS!$C$17="Normal",I564,0)-J564)/2)</f>
        <v/>
      </c>
      <c r="S564" s="140">
        <f t="shared" ca="1" si="75"/>
        <v>0</v>
      </c>
      <c r="U564" s="164" t="str">
        <f t="shared" ca="1" si="76"/>
        <v/>
      </c>
      <c r="V564" s="164" t="str">
        <f t="shared" ca="1" si="77"/>
        <v/>
      </c>
      <c r="W564" s="140">
        <f ca="1">IF(OR((W563-13/12*Z563)*(1+PREMISSAS!$C$16)&lt;0,W563=""),0,(W563-13/12*Z563)*(1+PREMISSAS!$C$16))</f>
        <v>0</v>
      </c>
      <c r="X564" s="140">
        <f ca="1">IF(OR((X563-13/12*AA563)*(1+PREMISSAS!$C$16)&lt;0,X563=""),0,(X563-13/12*AA563)*(1+PREMISSAS!$C$16))</f>
        <v>0</v>
      </c>
      <c r="Y564" s="140">
        <f t="shared" ca="1" si="78"/>
        <v>0</v>
      </c>
      <c r="Z564" s="167">
        <f t="shared" ca="1" si="79"/>
        <v>0</v>
      </c>
      <c r="AA564" s="167">
        <f t="shared" ca="1" si="72"/>
        <v>0</v>
      </c>
    </row>
    <row r="565" spans="2:27" x14ac:dyDescent="0.25">
      <c r="B565" s="21" t="str">
        <f ca="1">IF(B564="","",IF(EOMONTH(B564,1)&gt;EOMONTH(ELEGIBILIDADE!$J$17,0),"",EOMONTH(B564,1)))</f>
        <v/>
      </c>
      <c r="C565" s="22" t="str">
        <f ca="1">IF(B565="","",IF(MONTH(B565)=1,C564*(1+PREMISSAS!$C$57),C564))</f>
        <v/>
      </c>
      <c r="D565" s="22">
        <f ca="1">IF(RESULTADOS!$C$17="Normal",IFERROR(MAX(C565-PREMISSAS!$C$13,0),0),IF(Painel!$I$23=0,0,MAX(10*PREMISSAS!$C$38,RESULTADOS!$F$17)))</f>
        <v>0</v>
      </c>
      <c r="E565" s="4">
        <f ca="1">D565*IF(RESULTADOS!$C$17="Normal",RESULTADOS!$C$16,0)</f>
        <v>0</v>
      </c>
      <c r="F565" s="4">
        <f ca="1">IFERROR(IF(RESULTADOS!$C$17="Normal",D565,C565)*RESULTADOS!$C$18,0)</f>
        <v>0</v>
      </c>
      <c r="G565" s="4">
        <f ca="1">IFERROR(IF(RESULTADOS!$C$17="Normal",0,D565)*IF(RESULTADOS!$C$17="Normal",RESULTADOS!$C$18,RESULTADOS!$C$16),0)</f>
        <v>0</v>
      </c>
      <c r="H565" s="4">
        <f ca="1">IF(RESULTADOS!$C$17="Normal",E565,0)</f>
        <v>0</v>
      </c>
      <c r="I565" s="4">
        <f ca="1">(E565+H565+G565)*PREMISSAS!$C$60</f>
        <v>0</v>
      </c>
      <c r="J565" s="4">
        <f ca="1">D565*IF(RESULTADOS!$C$17="Normal",PREMISSAS!$C$62,0)</f>
        <v>0</v>
      </c>
      <c r="K565" s="116">
        <f ca="1">IFERROR(K564*(1+PREMISSAS!$C$18)+(E565+H565-IF(RESULTADOS!$C$17="Normal",I565,0)-J565)*IF(MONTH(B565)=12,2,1),0)</f>
        <v>0</v>
      </c>
      <c r="L565" s="116">
        <f ca="1">IFERROR((L564+G565-IF(RESULTADOS!$C$17="Normal",0,I565))*(1+PREMISSAS!$C$18)+F565,0)</f>
        <v>0</v>
      </c>
      <c r="N565" s="73">
        <f t="shared" ca="1" si="73"/>
        <v>0</v>
      </c>
      <c r="P565" s="164" t="str">
        <f t="shared" ca="1" si="74"/>
        <v/>
      </c>
      <c r="Q565" s="140" t="str">
        <f ca="1">IF(C565="","",Q564+(E565+H565-IF(RESULTADOS!$C$17="Normal",I565,0)-J565)/2+(F565+G565-IF(RESULTADOS!$C$17="Normal",0,I565)))</f>
        <v/>
      </c>
      <c r="R565" s="140" t="str">
        <f ca="1">IF(C565="","",R564+(E565+H565-IF(RESULTADOS!$C$17="Normal",I565,0)-J565)/2)</f>
        <v/>
      </c>
      <c r="S565" s="140">
        <f t="shared" ca="1" si="75"/>
        <v>0</v>
      </c>
      <c r="U565" s="164" t="str">
        <f t="shared" ca="1" si="76"/>
        <v/>
      </c>
      <c r="V565" s="164" t="str">
        <f t="shared" ca="1" si="77"/>
        <v/>
      </c>
      <c r="W565" s="140">
        <f ca="1">IF(OR((W564-13/12*Z564)*(1+PREMISSAS!$C$16)&lt;0,W564=""),0,(W564-13/12*Z564)*(1+PREMISSAS!$C$16))</f>
        <v>0</v>
      </c>
      <c r="X565" s="140">
        <f ca="1">IF(OR((X564-13/12*AA564)*(1+PREMISSAS!$C$16)&lt;0,X564=""),0,(X564-13/12*AA564)*(1+PREMISSAS!$C$16))</f>
        <v>0</v>
      </c>
      <c r="Y565" s="140">
        <f t="shared" ca="1" si="78"/>
        <v>0</v>
      </c>
      <c r="Z565" s="167">
        <f t="shared" ca="1" si="79"/>
        <v>0</v>
      </c>
      <c r="AA565" s="167">
        <f t="shared" ca="1" si="72"/>
        <v>0</v>
      </c>
    </row>
    <row r="566" spans="2:27" x14ac:dyDescent="0.25">
      <c r="B566" s="21" t="str">
        <f ca="1">IF(B565="","",IF(EOMONTH(B565,1)&gt;EOMONTH(ELEGIBILIDADE!$J$17,0),"",EOMONTH(B565,1)))</f>
        <v/>
      </c>
      <c r="C566" s="22" t="str">
        <f ca="1">IF(B566="","",IF(MONTH(B566)=1,C565*(1+PREMISSAS!$C$57),C565))</f>
        <v/>
      </c>
      <c r="D566" s="22">
        <f ca="1">IF(RESULTADOS!$C$17="Normal",IFERROR(MAX(C566-PREMISSAS!$C$13,0),0),IF(Painel!$I$23=0,0,MAX(10*PREMISSAS!$C$38,RESULTADOS!$F$17)))</f>
        <v>0</v>
      </c>
      <c r="E566" s="4">
        <f ca="1">D566*IF(RESULTADOS!$C$17="Normal",RESULTADOS!$C$16,0)</f>
        <v>0</v>
      </c>
      <c r="F566" s="4">
        <f ca="1">IFERROR(IF(RESULTADOS!$C$17="Normal",D566,C566)*RESULTADOS!$C$18,0)</f>
        <v>0</v>
      </c>
      <c r="G566" s="4">
        <f ca="1">IFERROR(IF(RESULTADOS!$C$17="Normal",0,D566)*IF(RESULTADOS!$C$17="Normal",RESULTADOS!$C$18,RESULTADOS!$C$16),0)</f>
        <v>0</v>
      </c>
      <c r="H566" s="4">
        <f ca="1">IF(RESULTADOS!$C$17="Normal",E566,0)</f>
        <v>0</v>
      </c>
      <c r="I566" s="4">
        <f ca="1">(E566+H566+G566)*PREMISSAS!$C$60</f>
        <v>0</v>
      </c>
      <c r="J566" s="4">
        <f ca="1">D566*IF(RESULTADOS!$C$17="Normal",PREMISSAS!$C$62,0)</f>
        <v>0</v>
      </c>
      <c r="K566" s="116">
        <f ca="1">IFERROR(K565*(1+PREMISSAS!$C$18)+(E566+H566-IF(RESULTADOS!$C$17="Normal",I566,0)-J566)*IF(MONTH(B566)=12,2,1),0)</f>
        <v>0</v>
      </c>
      <c r="L566" s="116">
        <f ca="1">IFERROR((L565+G566-IF(RESULTADOS!$C$17="Normal",0,I566))*(1+PREMISSAS!$C$18)+F566,0)</f>
        <v>0</v>
      </c>
      <c r="N566" s="73">
        <f t="shared" ca="1" si="73"/>
        <v>0</v>
      </c>
      <c r="P566" s="164" t="str">
        <f t="shared" ca="1" si="74"/>
        <v/>
      </c>
      <c r="Q566" s="140" t="str">
        <f ca="1">IF(C566="","",Q565+(E566+H566-IF(RESULTADOS!$C$17="Normal",I566,0)-J566)/2+(F566+G566-IF(RESULTADOS!$C$17="Normal",0,I566)))</f>
        <v/>
      </c>
      <c r="R566" s="140" t="str">
        <f ca="1">IF(C566="","",R565+(E566+H566-IF(RESULTADOS!$C$17="Normal",I566,0)-J566)/2)</f>
        <v/>
      </c>
      <c r="S566" s="140">
        <f t="shared" ca="1" si="75"/>
        <v>0</v>
      </c>
      <c r="U566" s="164" t="str">
        <f t="shared" ca="1" si="76"/>
        <v/>
      </c>
      <c r="V566" s="164" t="str">
        <f t="shared" ca="1" si="77"/>
        <v/>
      </c>
      <c r="W566" s="140">
        <f ca="1">IF(OR((W565-13/12*Z565)*(1+PREMISSAS!$C$16)&lt;0,W565=""),0,(W565-13/12*Z565)*(1+PREMISSAS!$C$16))</f>
        <v>0</v>
      </c>
      <c r="X566" s="140">
        <f ca="1">IF(OR((X565-13/12*AA565)*(1+PREMISSAS!$C$16)&lt;0,X565=""),0,(X565-13/12*AA565)*(1+PREMISSAS!$C$16))</f>
        <v>0</v>
      </c>
      <c r="Y566" s="140">
        <f t="shared" ca="1" si="78"/>
        <v>0</v>
      </c>
      <c r="Z566" s="167">
        <f t="shared" ca="1" si="79"/>
        <v>0</v>
      </c>
      <c r="AA566" s="167">
        <f t="shared" ca="1" si="72"/>
        <v>0</v>
      </c>
    </row>
    <row r="567" spans="2:27" x14ac:dyDescent="0.25">
      <c r="B567" s="21" t="str">
        <f ca="1">IF(B566="","",IF(EOMONTH(B566,1)&gt;EOMONTH(ELEGIBILIDADE!$J$17,0),"",EOMONTH(B566,1)))</f>
        <v/>
      </c>
      <c r="C567" s="22" t="str">
        <f ca="1">IF(B567="","",IF(MONTH(B567)=1,C566*(1+PREMISSAS!$C$57),C566))</f>
        <v/>
      </c>
      <c r="D567" s="22">
        <f ca="1">IF(RESULTADOS!$C$17="Normal",IFERROR(MAX(C567-PREMISSAS!$C$13,0),0),IF(Painel!$I$23=0,0,MAX(10*PREMISSAS!$C$38,RESULTADOS!$F$17)))</f>
        <v>0</v>
      </c>
      <c r="E567" s="4">
        <f ca="1">D567*IF(RESULTADOS!$C$17="Normal",RESULTADOS!$C$16,0)</f>
        <v>0</v>
      </c>
      <c r="F567" s="4">
        <f ca="1">IFERROR(IF(RESULTADOS!$C$17="Normal",D567,C567)*RESULTADOS!$C$18,0)</f>
        <v>0</v>
      </c>
      <c r="G567" s="4">
        <f ca="1">IFERROR(IF(RESULTADOS!$C$17="Normal",0,D567)*IF(RESULTADOS!$C$17="Normal",RESULTADOS!$C$18,RESULTADOS!$C$16),0)</f>
        <v>0</v>
      </c>
      <c r="H567" s="4">
        <f ca="1">IF(RESULTADOS!$C$17="Normal",E567,0)</f>
        <v>0</v>
      </c>
      <c r="I567" s="4">
        <f ca="1">(E567+H567+G567)*PREMISSAS!$C$60</f>
        <v>0</v>
      </c>
      <c r="J567" s="4">
        <f ca="1">D567*IF(RESULTADOS!$C$17="Normal",PREMISSAS!$C$62,0)</f>
        <v>0</v>
      </c>
      <c r="K567" s="116">
        <f ca="1">IFERROR(K566*(1+PREMISSAS!$C$18)+(E567+H567-IF(RESULTADOS!$C$17="Normal",I567,0)-J567)*IF(MONTH(B567)=12,2,1),0)</f>
        <v>0</v>
      </c>
      <c r="L567" s="116">
        <f ca="1">IFERROR((L566+G567-IF(RESULTADOS!$C$17="Normal",0,I567))*(1+PREMISSAS!$C$18)+F567,0)</f>
        <v>0</v>
      </c>
      <c r="N567" s="73">
        <f t="shared" ca="1" si="73"/>
        <v>0</v>
      </c>
      <c r="P567" s="164" t="str">
        <f t="shared" ca="1" si="74"/>
        <v/>
      </c>
      <c r="Q567" s="140" t="str">
        <f ca="1">IF(C567="","",Q566+(E567+H567-IF(RESULTADOS!$C$17="Normal",I567,0)-J567)/2+(F567+G567-IF(RESULTADOS!$C$17="Normal",0,I567)))</f>
        <v/>
      </c>
      <c r="R567" s="140" t="str">
        <f ca="1">IF(C567="","",R566+(E567+H567-IF(RESULTADOS!$C$17="Normal",I567,0)-J567)/2)</f>
        <v/>
      </c>
      <c r="S567" s="140">
        <f t="shared" ca="1" si="75"/>
        <v>0</v>
      </c>
      <c r="U567" s="164" t="str">
        <f t="shared" ca="1" si="76"/>
        <v/>
      </c>
      <c r="V567" s="164" t="str">
        <f t="shared" ca="1" si="77"/>
        <v/>
      </c>
      <c r="W567" s="140">
        <f ca="1">IF(OR((W566-13/12*Z566)*(1+PREMISSAS!$C$16)&lt;0,W566=""),0,(W566-13/12*Z566)*(1+PREMISSAS!$C$16))</f>
        <v>0</v>
      </c>
      <c r="X567" s="140">
        <f ca="1">IF(OR((X566-13/12*AA566)*(1+PREMISSAS!$C$16)&lt;0,X566=""),0,(X566-13/12*AA566)*(1+PREMISSAS!$C$16))</f>
        <v>0</v>
      </c>
      <c r="Y567" s="140">
        <f t="shared" ca="1" si="78"/>
        <v>0</v>
      </c>
      <c r="Z567" s="167">
        <f t="shared" ca="1" si="79"/>
        <v>0</v>
      </c>
      <c r="AA567" s="167">
        <f t="shared" ca="1" si="72"/>
        <v>0</v>
      </c>
    </row>
    <row r="568" spans="2:27" x14ac:dyDescent="0.25">
      <c r="B568" s="21" t="str">
        <f ca="1">IF(B567="","",IF(EOMONTH(B567,1)&gt;EOMONTH(ELEGIBILIDADE!$J$17,0),"",EOMONTH(B567,1)))</f>
        <v/>
      </c>
      <c r="C568" s="22" t="str">
        <f ca="1">IF(B568="","",IF(MONTH(B568)=1,C567*(1+PREMISSAS!$C$57),C567))</f>
        <v/>
      </c>
      <c r="D568" s="22">
        <f ca="1">IF(RESULTADOS!$C$17="Normal",IFERROR(MAX(C568-PREMISSAS!$C$13,0),0),IF(Painel!$I$23=0,0,MAX(10*PREMISSAS!$C$38,RESULTADOS!$F$17)))</f>
        <v>0</v>
      </c>
      <c r="E568" s="4">
        <f ca="1">D568*IF(RESULTADOS!$C$17="Normal",RESULTADOS!$C$16,0)</f>
        <v>0</v>
      </c>
      <c r="F568" s="4">
        <f ca="1">IFERROR(IF(RESULTADOS!$C$17="Normal",D568,C568)*RESULTADOS!$C$18,0)</f>
        <v>0</v>
      </c>
      <c r="G568" s="4">
        <f ca="1">IFERROR(IF(RESULTADOS!$C$17="Normal",0,D568)*IF(RESULTADOS!$C$17="Normal",RESULTADOS!$C$18,RESULTADOS!$C$16),0)</f>
        <v>0</v>
      </c>
      <c r="H568" s="4">
        <f ca="1">IF(RESULTADOS!$C$17="Normal",E568,0)</f>
        <v>0</v>
      </c>
      <c r="I568" s="4">
        <f ca="1">(E568+H568+G568)*PREMISSAS!$C$60</f>
        <v>0</v>
      </c>
      <c r="J568" s="4">
        <f ca="1">D568*IF(RESULTADOS!$C$17="Normal",PREMISSAS!$C$62,0)</f>
        <v>0</v>
      </c>
      <c r="K568" s="116">
        <f ca="1">IFERROR(K567*(1+PREMISSAS!$C$18)+(E568+H568-IF(RESULTADOS!$C$17="Normal",I568,0)-J568)*IF(MONTH(B568)=12,2,1),0)</f>
        <v>0</v>
      </c>
      <c r="L568" s="116">
        <f ca="1">IFERROR((L567+G568-IF(RESULTADOS!$C$17="Normal",0,I568))*(1+PREMISSAS!$C$18)+F568,0)</f>
        <v>0</v>
      </c>
      <c r="N568" s="73">
        <f t="shared" ca="1" si="73"/>
        <v>0</v>
      </c>
      <c r="P568" s="164" t="str">
        <f t="shared" ca="1" si="74"/>
        <v/>
      </c>
      <c r="Q568" s="140" t="str">
        <f ca="1">IF(C568="","",Q567+(E568+H568-IF(RESULTADOS!$C$17="Normal",I568,0)-J568)/2+(F568+G568-IF(RESULTADOS!$C$17="Normal",0,I568)))</f>
        <v/>
      </c>
      <c r="R568" s="140" t="str">
        <f ca="1">IF(C568="","",R567+(E568+H568-IF(RESULTADOS!$C$17="Normal",I568,0)-J568)/2)</f>
        <v/>
      </c>
      <c r="S568" s="140">
        <f t="shared" ca="1" si="75"/>
        <v>0</v>
      </c>
      <c r="U568" s="164" t="str">
        <f t="shared" ca="1" si="76"/>
        <v/>
      </c>
      <c r="V568" s="164" t="str">
        <f t="shared" ca="1" si="77"/>
        <v/>
      </c>
      <c r="W568" s="140">
        <f ca="1">IF(OR((W567-13/12*Z567)*(1+PREMISSAS!$C$16)&lt;0,W567=""),0,(W567-13/12*Z567)*(1+PREMISSAS!$C$16))</f>
        <v>0</v>
      </c>
      <c r="X568" s="140">
        <f ca="1">IF(OR((X567-13/12*AA567)*(1+PREMISSAS!$C$16)&lt;0,X567=""),0,(X567-13/12*AA567)*(1+PREMISSAS!$C$16))</f>
        <v>0</v>
      </c>
      <c r="Y568" s="140">
        <f t="shared" ca="1" si="78"/>
        <v>0</v>
      </c>
      <c r="Z568" s="167">
        <f t="shared" ca="1" si="79"/>
        <v>0</v>
      </c>
      <c r="AA568" s="167">
        <f t="shared" ca="1" si="72"/>
        <v>0</v>
      </c>
    </row>
    <row r="569" spans="2:27" x14ac:dyDescent="0.25">
      <c r="B569" s="21" t="str">
        <f ca="1">IF(B568="","",IF(EOMONTH(B568,1)&gt;EOMONTH(ELEGIBILIDADE!$J$17,0),"",EOMONTH(B568,1)))</f>
        <v/>
      </c>
      <c r="C569" s="22" t="str">
        <f ca="1">IF(B569="","",IF(MONTH(B569)=1,C568*(1+PREMISSAS!$C$57),C568))</f>
        <v/>
      </c>
      <c r="D569" s="22">
        <f ca="1">IF(RESULTADOS!$C$17="Normal",IFERROR(MAX(C569-PREMISSAS!$C$13,0),0),IF(Painel!$I$23=0,0,MAX(10*PREMISSAS!$C$38,RESULTADOS!$F$17)))</f>
        <v>0</v>
      </c>
      <c r="E569" s="4">
        <f ca="1">D569*IF(RESULTADOS!$C$17="Normal",RESULTADOS!$C$16,0)</f>
        <v>0</v>
      </c>
      <c r="F569" s="4">
        <f ca="1">IFERROR(IF(RESULTADOS!$C$17="Normal",D569,C569)*RESULTADOS!$C$18,0)</f>
        <v>0</v>
      </c>
      <c r="G569" s="4">
        <f ca="1">IFERROR(IF(RESULTADOS!$C$17="Normal",0,D569)*IF(RESULTADOS!$C$17="Normal",RESULTADOS!$C$18,RESULTADOS!$C$16),0)</f>
        <v>0</v>
      </c>
      <c r="H569" s="4">
        <f ca="1">IF(RESULTADOS!$C$17="Normal",E569,0)</f>
        <v>0</v>
      </c>
      <c r="I569" s="4">
        <f ca="1">(E569+H569+G569)*PREMISSAS!$C$60</f>
        <v>0</v>
      </c>
      <c r="J569" s="4">
        <f ca="1">D569*IF(RESULTADOS!$C$17="Normal",PREMISSAS!$C$62,0)</f>
        <v>0</v>
      </c>
      <c r="K569" s="116">
        <f ca="1">IFERROR(K568*(1+PREMISSAS!$C$18)+(E569+H569-IF(RESULTADOS!$C$17="Normal",I569,0)-J569)*IF(MONTH(B569)=12,2,1),0)</f>
        <v>0</v>
      </c>
      <c r="L569" s="116">
        <f ca="1">IFERROR((L568+G569-IF(RESULTADOS!$C$17="Normal",0,I569))*(1+PREMISSAS!$C$18)+F569,0)</f>
        <v>0</v>
      </c>
      <c r="N569" s="73">
        <f t="shared" ca="1" si="73"/>
        <v>0</v>
      </c>
      <c r="P569" s="164" t="str">
        <f t="shared" ca="1" si="74"/>
        <v/>
      </c>
      <c r="Q569" s="140" t="str">
        <f ca="1">IF(C569="","",Q568+(E569+H569-IF(RESULTADOS!$C$17="Normal",I569,0)-J569)/2+(F569+G569-IF(RESULTADOS!$C$17="Normal",0,I569)))</f>
        <v/>
      </c>
      <c r="R569" s="140" t="str">
        <f ca="1">IF(C569="","",R568+(E569+H569-IF(RESULTADOS!$C$17="Normal",I569,0)-J569)/2)</f>
        <v/>
      </c>
      <c r="S569" s="140">
        <f t="shared" ca="1" si="75"/>
        <v>0</v>
      </c>
      <c r="U569" s="164" t="str">
        <f t="shared" ca="1" si="76"/>
        <v/>
      </c>
      <c r="V569" s="164" t="str">
        <f t="shared" ca="1" si="77"/>
        <v/>
      </c>
      <c r="W569" s="140">
        <f ca="1">IF(OR((W568-13/12*Z568)*(1+PREMISSAS!$C$16)&lt;0,W568=""),0,(W568-13/12*Z568)*(1+PREMISSAS!$C$16))</f>
        <v>0</v>
      </c>
      <c r="X569" s="140">
        <f ca="1">IF(OR((X568-13/12*AA568)*(1+PREMISSAS!$C$16)&lt;0,X568=""),0,(X568-13/12*AA568)*(1+PREMISSAS!$C$16))</f>
        <v>0</v>
      </c>
      <c r="Y569" s="140">
        <f t="shared" ca="1" si="78"/>
        <v>0</v>
      </c>
      <c r="Z569" s="167">
        <f t="shared" ca="1" si="79"/>
        <v>0</v>
      </c>
      <c r="AA569" s="167">
        <f t="shared" ca="1" si="72"/>
        <v>0</v>
      </c>
    </row>
    <row r="570" spans="2:27" x14ac:dyDescent="0.25">
      <c r="B570" s="21" t="str">
        <f ca="1">IF(B569="","",IF(EOMONTH(B569,1)&gt;EOMONTH(ELEGIBILIDADE!$J$17,0),"",EOMONTH(B569,1)))</f>
        <v/>
      </c>
      <c r="C570" s="22" t="str">
        <f ca="1">IF(B570="","",IF(MONTH(B570)=1,C569*(1+PREMISSAS!$C$57),C569))</f>
        <v/>
      </c>
      <c r="D570" s="22">
        <f ca="1">IF(RESULTADOS!$C$17="Normal",IFERROR(MAX(C570-PREMISSAS!$C$13,0),0),IF(Painel!$I$23=0,0,MAX(10*PREMISSAS!$C$38,RESULTADOS!$F$17)))</f>
        <v>0</v>
      </c>
      <c r="E570" s="4">
        <f ca="1">D570*IF(RESULTADOS!$C$17="Normal",RESULTADOS!$C$16,0)</f>
        <v>0</v>
      </c>
      <c r="F570" s="4">
        <f ca="1">IFERROR(IF(RESULTADOS!$C$17="Normal",D570,C570)*RESULTADOS!$C$18,0)</f>
        <v>0</v>
      </c>
      <c r="G570" s="4">
        <f ca="1">IFERROR(IF(RESULTADOS!$C$17="Normal",0,D570)*IF(RESULTADOS!$C$17="Normal",RESULTADOS!$C$18,RESULTADOS!$C$16),0)</f>
        <v>0</v>
      </c>
      <c r="H570" s="4">
        <f ca="1">IF(RESULTADOS!$C$17="Normal",E570,0)</f>
        <v>0</v>
      </c>
      <c r="I570" s="4">
        <f ca="1">(E570+H570+G570)*PREMISSAS!$C$60</f>
        <v>0</v>
      </c>
      <c r="J570" s="4">
        <f ca="1">D570*IF(RESULTADOS!$C$17="Normal",PREMISSAS!$C$62,0)</f>
        <v>0</v>
      </c>
      <c r="K570" s="116">
        <f ca="1">IFERROR(K569*(1+PREMISSAS!$C$18)+(E570+H570-IF(RESULTADOS!$C$17="Normal",I570,0)-J570)*IF(MONTH(B570)=12,2,1),0)</f>
        <v>0</v>
      </c>
      <c r="L570" s="116">
        <f ca="1">IFERROR((L569+G570-IF(RESULTADOS!$C$17="Normal",0,I570))*(1+PREMISSAS!$C$18)+F570,0)</f>
        <v>0</v>
      </c>
      <c r="N570" s="73">
        <f t="shared" ca="1" si="73"/>
        <v>0</v>
      </c>
      <c r="P570" s="164" t="str">
        <f t="shared" ca="1" si="74"/>
        <v/>
      </c>
      <c r="Q570" s="140" t="str">
        <f ca="1">IF(C570="","",Q569+(E570+H570-IF(RESULTADOS!$C$17="Normal",I570,0)-J570)/2+(F570+G570-IF(RESULTADOS!$C$17="Normal",0,I570)))</f>
        <v/>
      </c>
      <c r="R570" s="140" t="str">
        <f ca="1">IF(C570="","",R569+(E570+H570-IF(RESULTADOS!$C$17="Normal",I570,0)-J570)/2)</f>
        <v/>
      </c>
      <c r="S570" s="140">
        <f t="shared" ca="1" si="75"/>
        <v>0</v>
      </c>
      <c r="U570" s="164" t="str">
        <f t="shared" ca="1" si="76"/>
        <v/>
      </c>
      <c r="V570" s="164" t="str">
        <f t="shared" ca="1" si="77"/>
        <v/>
      </c>
      <c r="W570" s="140">
        <f ca="1">IF(OR((W569-13/12*Z569)*(1+PREMISSAS!$C$16)&lt;0,W569=""),0,(W569-13/12*Z569)*(1+PREMISSAS!$C$16))</f>
        <v>0</v>
      </c>
      <c r="X570" s="140">
        <f ca="1">IF(OR((X569-13/12*AA569)*(1+PREMISSAS!$C$16)&lt;0,X569=""),0,(X569-13/12*AA569)*(1+PREMISSAS!$C$16))</f>
        <v>0</v>
      </c>
      <c r="Y570" s="140">
        <f t="shared" ca="1" si="78"/>
        <v>0</v>
      </c>
      <c r="Z570" s="167">
        <f t="shared" ca="1" si="79"/>
        <v>0</v>
      </c>
      <c r="AA570" s="167">
        <f t="shared" ca="1" si="72"/>
        <v>0</v>
      </c>
    </row>
    <row r="571" spans="2:27" x14ac:dyDescent="0.25">
      <c r="B571" s="21" t="str">
        <f ca="1">IF(B570="","",IF(EOMONTH(B570,1)&gt;EOMONTH(ELEGIBILIDADE!$J$17,0),"",EOMONTH(B570,1)))</f>
        <v/>
      </c>
      <c r="C571" s="22" t="str">
        <f ca="1">IF(B571="","",IF(MONTH(B571)=1,C570*(1+PREMISSAS!$C$57),C570))</f>
        <v/>
      </c>
      <c r="D571" s="22">
        <f ca="1">IF(RESULTADOS!$C$17="Normal",IFERROR(MAX(C571-PREMISSAS!$C$13,0),0),IF(Painel!$I$23=0,0,MAX(10*PREMISSAS!$C$38,RESULTADOS!$F$17)))</f>
        <v>0</v>
      </c>
      <c r="E571" s="4">
        <f ca="1">D571*IF(RESULTADOS!$C$17="Normal",RESULTADOS!$C$16,0)</f>
        <v>0</v>
      </c>
      <c r="F571" s="4">
        <f ca="1">IFERROR(IF(RESULTADOS!$C$17="Normal",D571,C571)*RESULTADOS!$C$18,0)</f>
        <v>0</v>
      </c>
      <c r="G571" s="4">
        <f ca="1">IFERROR(IF(RESULTADOS!$C$17="Normal",0,D571)*IF(RESULTADOS!$C$17="Normal",RESULTADOS!$C$18,RESULTADOS!$C$16),0)</f>
        <v>0</v>
      </c>
      <c r="H571" s="4">
        <f ca="1">IF(RESULTADOS!$C$17="Normal",E571,0)</f>
        <v>0</v>
      </c>
      <c r="I571" s="4">
        <f ca="1">(E571+H571+G571)*PREMISSAS!$C$60</f>
        <v>0</v>
      </c>
      <c r="J571" s="4">
        <f ca="1">D571*IF(RESULTADOS!$C$17="Normal",PREMISSAS!$C$62,0)</f>
        <v>0</v>
      </c>
      <c r="K571" s="116">
        <f ca="1">IFERROR(K570*(1+PREMISSAS!$C$18)+(E571+H571-IF(RESULTADOS!$C$17="Normal",I571,0)-J571)*IF(MONTH(B571)=12,2,1),0)</f>
        <v>0</v>
      </c>
      <c r="L571" s="116">
        <f ca="1">IFERROR((L570+G571-IF(RESULTADOS!$C$17="Normal",0,I571))*(1+PREMISSAS!$C$18)+F571,0)</f>
        <v>0</v>
      </c>
      <c r="N571" s="73">
        <f t="shared" ca="1" si="73"/>
        <v>0</v>
      </c>
      <c r="P571" s="164" t="str">
        <f t="shared" ca="1" si="74"/>
        <v/>
      </c>
      <c r="Q571" s="140" t="str">
        <f ca="1">IF(C571="","",Q570+(E571+H571-IF(RESULTADOS!$C$17="Normal",I571,0)-J571)/2+(F571+G571-IF(RESULTADOS!$C$17="Normal",0,I571)))</f>
        <v/>
      </c>
      <c r="R571" s="140" t="str">
        <f ca="1">IF(C571="","",R570+(E571+H571-IF(RESULTADOS!$C$17="Normal",I571,0)-J571)/2)</f>
        <v/>
      </c>
      <c r="S571" s="140">
        <f t="shared" ca="1" si="75"/>
        <v>0</v>
      </c>
      <c r="U571" s="164" t="str">
        <f t="shared" ca="1" si="76"/>
        <v/>
      </c>
      <c r="V571" s="164" t="str">
        <f t="shared" ca="1" si="77"/>
        <v/>
      </c>
      <c r="W571" s="140">
        <f ca="1">IF(OR((W570-13/12*Z570)*(1+PREMISSAS!$C$16)&lt;0,W570=""),0,(W570-13/12*Z570)*(1+PREMISSAS!$C$16))</f>
        <v>0</v>
      </c>
      <c r="X571" s="140">
        <f ca="1">IF(OR((X570-13/12*AA570)*(1+PREMISSAS!$C$16)&lt;0,X570=""),0,(X570-13/12*AA570)*(1+PREMISSAS!$C$16))</f>
        <v>0</v>
      </c>
      <c r="Y571" s="140">
        <f t="shared" ca="1" si="78"/>
        <v>0</v>
      </c>
      <c r="Z571" s="167">
        <f t="shared" ca="1" si="79"/>
        <v>0</v>
      </c>
      <c r="AA571" s="167">
        <f t="shared" ca="1" si="72"/>
        <v>0</v>
      </c>
    </row>
    <row r="572" spans="2:27" x14ac:dyDescent="0.25">
      <c r="B572" s="21" t="str">
        <f ca="1">IF(B571="","",IF(EOMONTH(B571,1)&gt;EOMONTH(ELEGIBILIDADE!$J$17,0),"",EOMONTH(B571,1)))</f>
        <v/>
      </c>
      <c r="C572" s="22" t="str">
        <f ca="1">IF(B572="","",IF(MONTH(B572)=1,C571*(1+PREMISSAS!$C$57),C571))</f>
        <v/>
      </c>
      <c r="D572" s="22">
        <f ca="1">IF(RESULTADOS!$C$17="Normal",IFERROR(MAX(C572-PREMISSAS!$C$13,0),0),IF(Painel!$I$23=0,0,MAX(10*PREMISSAS!$C$38,RESULTADOS!$F$17)))</f>
        <v>0</v>
      </c>
      <c r="E572" s="4">
        <f ca="1">D572*IF(RESULTADOS!$C$17="Normal",RESULTADOS!$C$16,0)</f>
        <v>0</v>
      </c>
      <c r="F572" s="4">
        <f ca="1">IFERROR(IF(RESULTADOS!$C$17="Normal",D572,C572)*RESULTADOS!$C$18,0)</f>
        <v>0</v>
      </c>
      <c r="G572" s="4">
        <f ca="1">IFERROR(IF(RESULTADOS!$C$17="Normal",0,D572)*IF(RESULTADOS!$C$17="Normal",RESULTADOS!$C$18,RESULTADOS!$C$16),0)</f>
        <v>0</v>
      </c>
      <c r="H572" s="4">
        <f ca="1">IF(RESULTADOS!$C$17="Normal",E572,0)</f>
        <v>0</v>
      </c>
      <c r="I572" s="4">
        <f ca="1">(E572+H572+G572)*PREMISSAS!$C$60</f>
        <v>0</v>
      </c>
      <c r="J572" s="4">
        <f ca="1">D572*IF(RESULTADOS!$C$17="Normal",PREMISSAS!$C$62,0)</f>
        <v>0</v>
      </c>
      <c r="K572" s="116">
        <f ca="1">IFERROR(K571*(1+PREMISSAS!$C$18)+(E572+H572-IF(RESULTADOS!$C$17="Normal",I572,0)-J572)*IF(MONTH(B572)=12,2,1),0)</f>
        <v>0</v>
      </c>
      <c r="L572" s="116">
        <f ca="1">IFERROR((L571+G572-IF(RESULTADOS!$C$17="Normal",0,I572))*(1+PREMISSAS!$C$18)+F572,0)</f>
        <v>0</v>
      </c>
      <c r="N572" s="73">
        <f t="shared" ca="1" si="73"/>
        <v>0</v>
      </c>
      <c r="P572" s="164" t="str">
        <f t="shared" ca="1" si="74"/>
        <v/>
      </c>
      <c r="Q572" s="140" t="str">
        <f ca="1">IF(C572="","",Q571+(E572+H572-IF(RESULTADOS!$C$17="Normal",I572,0)-J572)/2+(F572+G572-IF(RESULTADOS!$C$17="Normal",0,I572)))</f>
        <v/>
      </c>
      <c r="R572" s="140" t="str">
        <f ca="1">IF(C572="","",R571+(E572+H572-IF(RESULTADOS!$C$17="Normal",I572,0)-J572)/2)</f>
        <v/>
      </c>
      <c r="S572" s="140">
        <f t="shared" ca="1" si="75"/>
        <v>0</v>
      </c>
      <c r="U572" s="164" t="str">
        <f t="shared" ca="1" si="76"/>
        <v/>
      </c>
      <c r="V572" s="164" t="str">
        <f t="shared" ca="1" si="77"/>
        <v/>
      </c>
      <c r="W572" s="140">
        <f ca="1">IF(OR((W571-13/12*Z571)*(1+PREMISSAS!$C$16)&lt;0,W571=""),0,(W571-13/12*Z571)*(1+PREMISSAS!$C$16))</f>
        <v>0</v>
      </c>
      <c r="X572" s="140">
        <f ca="1">IF(OR((X571-13/12*AA571)*(1+PREMISSAS!$C$16)&lt;0,X571=""),0,(X571-13/12*AA571)*(1+PREMISSAS!$C$16))</f>
        <v>0</v>
      </c>
      <c r="Y572" s="140">
        <f t="shared" ca="1" si="78"/>
        <v>0</v>
      </c>
      <c r="Z572" s="167">
        <f t="shared" ca="1" si="79"/>
        <v>0</v>
      </c>
      <c r="AA572" s="167">
        <f t="shared" ca="1" si="72"/>
        <v>0</v>
      </c>
    </row>
    <row r="573" spans="2:27" x14ac:dyDescent="0.25">
      <c r="B573" s="21" t="str">
        <f ca="1">IF(B572="","",IF(EOMONTH(B572,1)&gt;EOMONTH(ELEGIBILIDADE!$J$17,0),"",EOMONTH(B572,1)))</f>
        <v/>
      </c>
      <c r="C573" s="22" t="str">
        <f ca="1">IF(B573="","",IF(MONTH(B573)=1,C572*(1+PREMISSAS!$C$57),C572))</f>
        <v/>
      </c>
      <c r="D573" s="22">
        <f ca="1">IF(RESULTADOS!$C$17="Normal",IFERROR(MAX(C573-PREMISSAS!$C$13,0),0),IF(Painel!$I$23=0,0,MAX(10*PREMISSAS!$C$38,RESULTADOS!$F$17)))</f>
        <v>0</v>
      </c>
      <c r="E573" s="4">
        <f ca="1">D573*IF(RESULTADOS!$C$17="Normal",RESULTADOS!$C$16,0)</f>
        <v>0</v>
      </c>
      <c r="F573" s="4">
        <f ca="1">IFERROR(IF(RESULTADOS!$C$17="Normal",D573,C573)*RESULTADOS!$C$18,0)</f>
        <v>0</v>
      </c>
      <c r="G573" s="4">
        <f ca="1">IFERROR(IF(RESULTADOS!$C$17="Normal",0,D573)*IF(RESULTADOS!$C$17="Normal",RESULTADOS!$C$18,RESULTADOS!$C$16),0)</f>
        <v>0</v>
      </c>
      <c r="H573" s="4">
        <f ca="1">IF(RESULTADOS!$C$17="Normal",E573,0)</f>
        <v>0</v>
      </c>
      <c r="I573" s="4">
        <f ca="1">(E573+H573+G573)*PREMISSAS!$C$60</f>
        <v>0</v>
      </c>
      <c r="J573" s="4">
        <f ca="1">D573*IF(RESULTADOS!$C$17="Normal",PREMISSAS!$C$62,0)</f>
        <v>0</v>
      </c>
      <c r="K573" s="116">
        <f ca="1">IFERROR(K572*(1+PREMISSAS!$C$18)+(E573+H573-IF(RESULTADOS!$C$17="Normal",I573,0)-J573)*IF(MONTH(B573)=12,2,1),0)</f>
        <v>0</v>
      </c>
      <c r="L573" s="116">
        <f ca="1">IFERROR((L572+G573-IF(RESULTADOS!$C$17="Normal",0,I573))*(1+PREMISSAS!$C$18)+F573,0)</f>
        <v>0</v>
      </c>
      <c r="N573" s="73">
        <f t="shared" ca="1" si="73"/>
        <v>0</v>
      </c>
      <c r="P573" s="164" t="str">
        <f t="shared" ca="1" si="74"/>
        <v/>
      </c>
      <c r="Q573" s="140" t="str">
        <f ca="1">IF(C573="","",Q572+(E573+H573-IF(RESULTADOS!$C$17="Normal",I573,0)-J573)/2+(F573+G573-IF(RESULTADOS!$C$17="Normal",0,I573)))</f>
        <v/>
      </c>
      <c r="R573" s="140" t="str">
        <f ca="1">IF(C573="","",R572+(E573+H573-IF(RESULTADOS!$C$17="Normal",I573,0)-J573)/2)</f>
        <v/>
      </c>
      <c r="S573" s="140">
        <f t="shared" ca="1" si="75"/>
        <v>0</v>
      </c>
      <c r="U573" s="164" t="str">
        <f t="shared" ca="1" si="76"/>
        <v/>
      </c>
      <c r="V573" s="164" t="str">
        <f t="shared" ca="1" si="77"/>
        <v/>
      </c>
      <c r="W573" s="140">
        <f ca="1">IF(OR((W572-13/12*Z572)*(1+PREMISSAS!$C$16)&lt;0,W572=""),0,(W572-13/12*Z572)*(1+PREMISSAS!$C$16))</f>
        <v>0</v>
      </c>
      <c r="X573" s="140">
        <f ca="1">IF(OR((X572-13/12*AA572)*(1+PREMISSAS!$C$16)&lt;0,X572=""),0,(X572-13/12*AA572)*(1+PREMISSAS!$C$16))</f>
        <v>0</v>
      </c>
      <c r="Y573" s="140">
        <f t="shared" ca="1" si="78"/>
        <v>0</v>
      </c>
      <c r="Z573" s="167">
        <f t="shared" ca="1" si="79"/>
        <v>0</v>
      </c>
      <c r="AA573" s="167">
        <f t="shared" ca="1" si="72"/>
        <v>0</v>
      </c>
    </row>
    <row r="574" spans="2:27" x14ac:dyDescent="0.25">
      <c r="B574" s="21" t="str">
        <f ca="1">IF(B573="","",IF(EOMONTH(B573,1)&gt;EOMONTH(ELEGIBILIDADE!$J$17,0),"",EOMONTH(B573,1)))</f>
        <v/>
      </c>
      <c r="C574" s="22" t="str">
        <f ca="1">IF(B574="","",IF(MONTH(B574)=1,C573*(1+PREMISSAS!$C$57),C573))</f>
        <v/>
      </c>
      <c r="D574" s="22">
        <f ca="1">IF(RESULTADOS!$C$17="Normal",IFERROR(MAX(C574-PREMISSAS!$C$13,0),0),IF(Painel!$I$23=0,0,MAX(10*PREMISSAS!$C$38,RESULTADOS!$F$17)))</f>
        <v>0</v>
      </c>
      <c r="E574" s="4">
        <f ca="1">D574*IF(RESULTADOS!$C$17="Normal",RESULTADOS!$C$16,0)</f>
        <v>0</v>
      </c>
      <c r="F574" s="4">
        <f ca="1">IFERROR(IF(RESULTADOS!$C$17="Normal",D574,C574)*RESULTADOS!$C$18,0)</f>
        <v>0</v>
      </c>
      <c r="G574" s="4">
        <f ca="1">IFERROR(IF(RESULTADOS!$C$17="Normal",0,D574)*IF(RESULTADOS!$C$17="Normal",RESULTADOS!$C$18,RESULTADOS!$C$16),0)</f>
        <v>0</v>
      </c>
      <c r="H574" s="4">
        <f ca="1">IF(RESULTADOS!$C$17="Normal",E574,0)</f>
        <v>0</v>
      </c>
      <c r="I574" s="4">
        <f ca="1">(E574+H574+G574)*PREMISSAS!$C$60</f>
        <v>0</v>
      </c>
      <c r="J574" s="4">
        <f ca="1">D574*IF(RESULTADOS!$C$17="Normal",PREMISSAS!$C$62,0)</f>
        <v>0</v>
      </c>
      <c r="K574" s="116">
        <f ca="1">IFERROR(K573*(1+PREMISSAS!$C$18)+(E574+H574-IF(RESULTADOS!$C$17="Normal",I574,0)-J574)*IF(MONTH(B574)=12,2,1),0)</f>
        <v>0</v>
      </c>
      <c r="L574" s="116">
        <f ca="1">IFERROR((L573+G574-IF(RESULTADOS!$C$17="Normal",0,I574))*(1+PREMISSAS!$C$18)+F574,0)</f>
        <v>0</v>
      </c>
      <c r="N574" s="73">
        <f t="shared" ca="1" si="73"/>
        <v>0</v>
      </c>
      <c r="P574" s="164" t="str">
        <f t="shared" ca="1" si="74"/>
        <v/>
      </c>
      <c r="Q574" s="140" t="str">
        <f ca="1">IF(C574="","",Q573+(E574+H574-IF(RESULTADOS!$C$17="Normal",I574,0)-J574)/2+(F574+G574-IF(RESULTADOS!$C$17="Normal",0,I574)))</f>
        <v/>
      </c>
      <c r="R574" s="140" t="str">
        <f ca="1">IF(C574="","",R573+(E574+H574-IF(RESULTADOS!$C$17="Normal",I574,0)-J574)/2)</f>
        <v/>
      </c>
      <c r="S574" s="140">
        <f t="shared" ca="1" si="75"/>
        <v>0</v>
      </c>
      <c r="U574" s="164" t="str">
        <f t="shared" ca="1" si="76"/>
        <v/>
      </c>
      <c r="V574" s="164" t="str">
        <f t="shared" ca="1" si="77"/>
        <v/>
      </c>
      <c r="W574" s="140">
        <f ca="1">IF(OR((W573-13/12*Z573)*(1+PREMISSAS!$C$16)&lt;0,W573=""),0,(W573-13/12*Z573)*(1+PREMISSAS!$C$16))</f>
        <v>0</v>
      </c>
      <c r="X574" s="140">
        <f ca="1">IF(OR((X573-13/12*AA573)*(1+PREMISSAS!$C$16)&lt;0,X573=""),0,(X573-13/12*AA573)*(1+PREMISSAS!$C$16))</f>
        <v>0</v>
      </c>
      <c r="Y574" s="140">
        <f t="shared" ca="1" si="78"/>
        <v>0</v>
      </c>
      <c r="Z574" s="167">
        <f t="shared" ca="1" si="79"/>
        <v>0</v>
      </c>
      <c r="AA574" s="167">
        <f t="shared" ca="1" si="72"/>
        <v>0</v>
      </c>
    </row>
    <row r="575" spans="2:27" x14ac:dyDescent="0.25">
      <c r="B575" s="21" t="str">
        <f ca="1">IF(B574="","",IF(EOMONTH(B574,1)&gt;EOMONTH(ELEGIBILIDADE!$J$17,0),"",EOMONTH(B574,1)))</f>
        <v/>
      </c>
      <c r="C575" s="22" t="str">
        <f ca="1">IF(B575="","",IF(MONTH(B575)=1,C574*(1+PREMISSAS!$C$57),C574))</f>
        <v/>
      </c>
      <c r="D575" s="22">
        <f ca="1">IF(RESULTADOS!$C$17="Normal",IFERROR(MAX(C575-PREMISSAS!$C$13,0),0),IF(Painel!$I$23=0,0,MAX(10*PREMISSAS!$C$38,RESULTADOS!$F$17)))</f>
        <v>0</v>
      </c>
      <c r="E575" s="4">
        <f ca="1">D575*IF(RESULTADOS!$C$17="Normal",RESULTADOS!$C$16,0)</f>
        <v>0</v>
      </c>
      <c r="F575" s="4">
        <f ca="1">IFERROR(IF(RESULTADOS!$C$17="Normal",D575,C575)*RESULTADOS!$C$18,0)</f>
        <v>0</v>
      </c>
      <c r="G575" s="4">
        <f ca="1">IFERROR(IF(RESULTADOS!$C$17="Normal",0,D575)*IF(RESULTADOS!$C$17="Normal",RESULTADOS!$C$18,RESULTADOS!$C$16),0)</f>
        <v>0</v>
      </c>
      <c r="H575" s="4">
        <f ca="1">IF(RESULTADOS!$C$17="Normal",E575,0)</f>
        <v>0</v>
      </c>
      <c r="I575" s="4">
        <f ca="1">(E575+H575+G575)*PREMISSAS!$C$60</f>
        <v>0</v>
      </c>
      <c r="J575" s="4">
        <f ca="1">D575*IF(RESULTADOS!$C$17="Normal",PREMISSAS!$C$62,0)</f>
        <v>0</v>
      </c>
      <c r="K575" s="116">
        <f ca="1">IFERROR(K574*(1+PREMISSAS!$C$18)+(E575+H575-IF(RESULTADOS!$C$17="Normal",I575,0)-J575)*IF(MONTH(B575)=12,2,1),0)</f>
        <v>0</v>
      </c>
      <c r="L575" s="116">
        <f ca="1">IFERROR((L574+G575-IF(RESULTADOS!$C$17="Normal",0,I575))*(1+PREMISSAS!$C$18)+F575,0)</f>
        <v>0</v>
      </c>
      <c r="N575" s="73">
        <f t="shared" ca="1" si="73"/>
        <v>0</v>
      </c>
      <c r="P575" s="164" t="str">
        <f t="shared" ca="1" si="74"/>
        <v/>
      </c>
      <c r="Q575" s="140" t="str">
        <f ca="1">IF(C575="","",Q574+(E575+H575-IF(RESULTADOS!$C$17="Normal",I575,0)-J575)/2+(F575+G575-IF(RESULTADOS!$C$17="Normal",0,I575)))</f>
        <v/>
      </c>
      <c r="R575" s="140" t="str">
        <f ca="1">IF(C575="","",R574+(E575+H575-IF(RESULTADOS!$C$17="Normal",I575,0)-J575)/2)</f>
        <v/>
      </c>
      <c r="S575" s="140">
        <f t="shared" ca="1" si="75"/>
        <v>0</v>
      </c>
      <c r="U575" s="164" t="str">
        <f t="shared" ca="1" si="76"/>
        <v/>
      </c>
      <c r="V575" s="164" t="str">
        <f t="shared" ca="1" si="77"/>
        <v/>
      </c>
      <c r="W575" s="140">
        <f ca="1">IF(OR((W574-13/12*Z574)*(1+PREMISSAS!$C$16)&lt;0,W574=""),0,(W574-13/12*Z574)*(1+PREMISSAS!$C$16))</f>
        <v>0</v>
      </c>
      <c r="X575" s="140">
        <f ca="1">IF(OR((X574-13/12*AA574)*(1+PREMISSAS!$C$16)&lt;0,X574=""),0,(X574-13/12*AA574)*(1+PREMISSAS!$C$16))</f>
        <v>0</v>
      </c>
      <c r="Y575" s="140">
        <f t="shared" ca="1" si="78"/>
        <v>0</v>
      </c>
      <c r="Z575" s="167">
        <f t="shared" ca="1" si="79"/>
        <v>0</v>
      </c>
      <c r="AA575" s="167">
        <f t="shared" ca="1" si="72"/>
        <v>0</v>
      </c>
    </row>
    <row r="576" spans="2:27" x14ac:dyDescent="0.25">
      <c r="B576" s="21" t="str">
        <f ca="1">IF(B575="","",IF(EOMONTH(B575,1)&gt;EOMONTH(ELEGIBILIDADE!$J$17,0),"",EOMONTH(B575,1)))</f>
        <v/>
      </c>
      <c r="C576" s="22" t="str">
        <f ca="1">IF(B576="","",IF(MONTH(B576)=1,C575*(1+PREMISSAS!$C$57),C575))</f>
        <v/>
      </c>
      <c r="D576" s="22">
        <f ca="1">IF(RESULTADOS!$C$17="Normal",IFERROR(MAX(C576-PREMISSAS!$C$13,0),0),IF(Painel!$I$23=0,0,MAX(10*PREMISSAS!$C$38,RESULTADOS!$F$17)))</f>
        <v>0</v>
      </c>
      <c r="E576" s="4">
        <f ca="1">D576*IF(RESULTADOS!$C$17="Normal",RESULTADOS!$C$16,0)</f>
        <v>0</v>
      </c>
      <c r="F576" s="4">
        <f ca="1">IFERROR(IF(RESULTADOS!$C$17="Normal",D576,C576)*RESULTADOS!$C$18,0)</f>
        <v>0</v>
      </c>
      <c r="G576" s="4">
        <f ca="1">IFERROR(IF(RESULTADOS!$C$17="Normal",0,D576)*IF(RESULTADOS!$C$17="Normal",RESULTADOS!$C$18,RESULTADOS!$C$16),0)</f>
        <v>0</v>
      </c>
      <c r="H576" s="4">
        <f ca="1">IF(RESULTADOS!$C$17="Normal",E576,0)</f>
        <v>0</v>
      </c>
      <c r="I576" s="4">
        <f ca="1">(E576+H576+G576)*PREMISSAS!$C$60</f>
        <v>0</v>
      </c>
      <c r="J576" s="4">
        <f ca="1">D576*IF(RESULTADOS!$C$17="Normal",PREMISSAS!$C$62,0)</f>
        <v>0</v>
      </c>
      <c r="K576" s="116">
        <f ca="1">IFERROR(K575*(1+PREMISSAS!$C$18)+(E576+H576-IF(RESULTADOS!$C$17="Normal",I576,0)-J576)*IF(MONTH(B576)=12,2,1),0)</f>
        <v>0</v>
      </c>
      <c r="L576" s="116">
        <f ca="1">IFERROR((L575+G576-IF(RESULTADOS!$C$17="Normal",0,I576))*(1+PREMISSAS!$C$18)+F576,0)</f>
        <v>0</v>
      </c>
      <c r="N576" s="73">
        <f t="shared" ca="1" si="73"/>
        <v>0</v>
      </c>
      <c r="P576" s="164" t="str">
        <f t="shared" ca="1" si="74"/>
        <v/>
      </c>
      <c r="Q576" s="140" t="str">
        <f ca="1">IF(C576="","",Q575+(E576+H576-IF(RESULTADOS!$C$17="Normal",I576,0)-J576)/2+(F576+G576-IF(RESULTADOS!$C$17="Normal",0,I576)))</f>
        <v/>
      </c>
      <c r="R576" s="140" t="str">
        <f ca="1">IF(C576="","",R575+(E576+H576-IF(RESULTADOS!$C$17="Normal",I576,0)-J576)/2)</f>
        <v/>
      </c>
      <c r="S576" s="140">
        <f t="shared" ca="1" si="75"/>
        <v>0</v>
      </c>
      <c r="U576" s="164" t="str">
        <f t="shared" ca="1" si="76"/>
        <v/>
      </c>
      <c r="V576" s="164" t="str">
        <f t="shared" ca="1" si="77"/>
        <v/>
      </c>
      <c r="W576" s="140">
        <f ca="1">IF(OR((W575-13/12*Z575)*(1+PREMISSAS!$C$16)&lt;0,W575=""),0,(W575-13/12*Z575)*(1+PREMISSAS!$C$16))</f>
        <v>0</v>
      </c>
      <c r="X576" s="140">
        <f ca="1">IF(OR((X575-13/12*AA575)*(1+PREMISSAS!$C$16)&lt;0,X575=""),0,(X575-13/12*AA575)*(1+PREMISSAS!$C$16))</f>
        <v>0</v>
      </c>
      <c r="Y576" s="140">
        <f t="shared" ca="1" si="78"/>
        <v>0</v>
      </c>
      <c r="Z576" s="167">
        <f t="shared" ca="1" si="79"/>
        <v>0</v>
      </c>
      <c r="AA576" s="167">
        <f t="shared" ca="1" si="72"/>
        <v>0</v>
      </c>
    </row>
    <row r="577" spans="2:27" x14ac:dyDescent="0.25">
      <c r="B577" s="21" t="str">
        <f ca="1">IF(B576="","",IF(EOMONTH(B576,1)&gt;EOMONTH(ELEGIBILIDADE!$J$17,0),"",EOMONTH(B576,1)))</f>
        <v/>
      </c>
      <c r="C577" s="22" t="str">
        <f ca="1">IF(B577="","",IF(MONTH(B577)=1,C576*(1+PREMISSAS!$C$57),C576))</f>
        <v/>
      </c>
      <c r="D577" s="22">
        <f ca="1">IF(RESULTADOS!$C$17="Normal",IFERROR(MAX(C577-PREMISSAS!$C$13,0),0),IF(Painel!$I$23=0,0,MAX(10*PREMISSAS!$C$38,RESULTADOS!$F$17)))</f>
        <v>0</v>
      </c>
      <c r="E577" s="4">
        <f ca="1">D577*IF(RESULTADOS!$C$17="Normal",RESULTADOS!$C$16,0)</f>
        <v>0</v>
      </c>
      <c r="F577" s="4">
        <f ca="1">IFERROR(IF(RESULTADOS!$C$17="Normal",D577,C577)*RESULTADOS!$C$18,0)</f>
        <v>0</v>
      </c>
      <c r="G577" s="4">
        <f ca="1">IFERROR(IF(RESULTADOS!$C$17="Normal",0,D577)*IF(RESULTADOS!$C$17="Normal",RESULTADOS!$C$18,RESULTADOS!$C$16),0)</f>
        <v>0</v>
      </c>
      <c r="H577" s="4">
        <f ca="1">IF(RESULTADOS!$C$17="Normal",E577,0)</f>
        <v>0</v>
      </c>
      <c r="I577" s="4">
        <f ca="1">(E577+H577+G577)*PREMISSAS!$C$60</f>
        <v>0</v>
      </c>
      <c r="J577" s="4">
        <f ca="1">D577*IF(RESULTADOS!$C$17="Normal",PREMISSAS!$C$62,0)</f>
        <v>0</v>
      </c>
      <c r="K577" s="116">
        <f ca="1">IFERROR(K576*(1+PREMISSAS!$C$18)+(E577+H577-IF(RESULTADOS!$C$17="Normal",I577,0)-J577)*IF(MONTH(B577)=12,2,1),0)</f>
        <v>0</v>
      </c>
      <c r="L577" s="116">
        <f ca="1">IFERROR((L576+G577-IF(RESULTADOS!$C$17="Normal",0,I577))*(1+PREMISSAS!$C$18)+F577,0)</f>
        <v>0</v>
      </c>
      <c r="N577" s="73">
        <f t="shared" ca="1" si="73"/>
        <v>0</v>
      </c>
      <c r="P577" s="164" t="str">
        <f t="shared" ca="1" si="74"/>
        <v/>
      </c>
      <c r="Q577" s="140" t="str">
        <f ca="1">IF(C577="","",Q576+(E577+H577-IF(RESULTADOS!$C$17="Normal",I577,0)-J577)/2+(F577+G577-IF(RESULTADOS!$C$17="Normal",0,I577)))</f>
        <v/>
      </c>
      <c r="R577" s="140" t="str">
        <f ca="1">IF(C577="","",R576+(E577+H577-IF(RESULTADOS!$C$17="Normal",I577,0)-J577)/2)</f>
        <v/>
      </c>
      <c r="S577" s="140">
        <f t="shared" ca="1" si="75"/>
        <v>0</v>
      </c>
      <c r="U577" s="164" t="str">
        <f t="shared" ca="1" si="76"/>
        <v/>
      </c>
      <c r="V577" s="164" t="str">
        <f t="shared" ca="1" si="77"/>
        <v/>
      </c>
      <c r="W577" s="140">
        <f ca="1">IF(OR((W576-13/12*Z576)*(1+PREMISSAS!$C$16)&lt;0,W576=""),0,(W576-13/12*Z576)*(1+PREMISSAS!$C$16))</f>
        <v>0</v>
      </c>
      <c r="X577" s="140">
        <f ca="1">IF(OR((X576-13/12*AA576)*(1+PREMISSAS!$C$16)&lt;0,X576=""),0,(X576-13/12*AA576)*(1+PREMISSAS!$C$16))</f>
        <v>0</v>
      </c>
      <c r="Y577" s="140">
        <f t="shared" ca="1" si="78"/>
        <v>0</v>
      </c>
      <c r="Z577" s="167">
        <f t="shared" ca="1" si="79"/>
        <v>0</v>
      </c>
      <c r="AA577" s="167">
        <f t="shared" ca="1" si="72"/>
        <v>0</v>
      </c>
    </row>
    <row r="578" spans="2:27" x14ac:dyDescent="0.25">
      <c r="B578" s="21" t="str">
        <f ca="1">IF(B577="","",IF(EOMONTH(B577,1)&gt;EOMONTH(ELEGIBILIDADE!$J$17,0),"",EOMONTH(B577,1)))</f>
        <v/>
      </c>
      <c r="C578" s="22" t="str">
        <f ca="1">IF(B578="","",IF(MONTH(B578)=1,C577*(1+PREMISSAS!$C$57),C577))</f>
        <v/>
      </c>
      <c r="D578" s="22">
        <f ca="1">IF(RESULTADOS!$C$17="Normal",IFERROR(MAX(C578-PREMISSAS!$C$13,0),0),IF(Painel!$I$23=0,0,MAX(10*PREMISSAS!$C$38,RESULTADOS!$F$17)))</f>
        <v>0</v>
      </c>
      <c r="E578" s="4">
        <f ca="1">D578*IF(RESULTADOS!$C$17="Normal",RESULTADOS!$C$16,0)</f>
        <v>0</v>
      </c>
      <c r="F578" s="4">
        <f ca="1">IFERROR(IF(RESULTADOS!$C$17="Normal",D578,C578)*RESULTADOS!$C$18,0)</f>
        <v>0</v>
      </c>
      <c r="G578" s="4">
        <f ca="1">IFERROR(IF(RESULTADOS!$C$17="Normal",0,D578)*IF(RESULTADOS!$C$17="Normal",RESULTADOS!$C$18,RESULTADOS!$C$16),0)</f>
        <v>0</v>
      </c>
      <c r="H578" s="4">
        <f ca="1">IF(RESULTADOS!$C$17="Normal",E578,0)</f>
        <v>0</v>
      </c>
      <c r="I578" s="4">
        <f ca="1">(E578+H578+G578)*PREMISSAS!$C$60</f>
        <v>0</v>
      </c>
      <c r="J578" s="4">
        <f ca="1">D578*IF(RESULTADOS!$C$17="Normal",PREMISSAS!$C$62,0)</f>
        <v>0</v>
      </c>
      <c r="K578" s="116">
        <f ca="1">IFERROR(K577*(1+PREMISSAS!$C$18)+(E578+H578-IF(RESULTADOS!$C$17="Normal",I578,0)-J578)*IF(MONTH(B578)=12,2,1),0)</f>
        <v>0</v>
      </c>
      <c r="L578" s="116">
        <f ca="1">IFERROR((L577+G578-IF(RESULTADOS!$C$17="Normal",0,I578))*(1+PREMISSAS!$C$18)+F578,0)</f>
        <v>0</v>
      </c>
      <c r="N578" s="73">
        <f t="shared" ca="1" si="73"/>
        <v>0</v>
      </c>
      <c r="P578" s="164" t="str">
        <f t="shared" ca="1" si="74"/>
        <v/>
      </c>
      <c r="Q578" s="140" t="str">
        <f ca="1">IF(C578="","",Q577+(E578+H578-IF(RESULTADOS!$C$17="Normal",I578,0)-J578)/2+(F578+G578-IF(RESULTADOS!$C$17="Normal",0,I578)))</f>
        <v/>
      </c>
      <c r="R578" s="140" t="str">
        <f ca="1">IF(C578="","",R577+(E578+H578-IF(RESULTADOS!$C$17="Normal",I578,0)-J578)/2)</f>
        <v/>
      </c>
      <c r="S578" s="140">
        <f t="shared" ca="1" si="75"/>
        <v>0</v>
      </c>
      <c r="U578" s="164" t="str">
        <f t="shared" ca="1" si="76"/>
        <v/>
      </c>
      <c r="V578" s="164" t="str">
        <f t="shared" ca="1" si="77"/>
        <v/>
      </c>
      <c r="W578" s="140">
        <f ca="1">IF(OR((W577-13/12*Z577)*(1+PREMISSAS!$C$16)&lt;0,W577=""),0,(W577-13/12*Z577)*(1+PREMISSAS!$C$16))</f>
        <v>0</v>
      </c>
      <c r="X578" s="140">
        <f ca="1">IF(OR((X577-13/12*AA577)*(1+PREMISSAS!$C$16)&lt;0,X577=""),0,(X577-13/12*AA577)*(1+PREMISSAS!$C$16))</f>
        <v>0</v>
      </c>
      <c r="Y578" s="140">
        <f t="shared" ca="1" si="78"/>
        <v>0</v>
      </c>
      <c r="Z578" s="167">
        <f t="shared" ca="1" si="79"/>
        <v>0</v>
      </c>
      <c r="AA578" s="167">
        <f t="shared" ca="1" si="72"/>
        <v>0</v>
      </c>
    </row>
    <row r="579" spans="2:27" x14ac:dyDescent="0.25">
      <c r="B579" s="21" t="str">
        <f ca="1">IF(B578="","",IF(EOMONTH(B578,1)&gt;EOMONTH(ELEGIBILIDADE!$J$17,0),"",EOMONTH(B578,1)))</f>
        <v/>
      </c>
      <c r="C579" s="22" t="str">
        <f ca="1">IF(B579="","",IF(MONTH(B579)=1,C578*(1+PREMISSAS!$C$57),C578))</f>
        <v/>
      </c>
      <c r="D579" s="22">
        <f ca="1">IF(RESULTADOS!$C$17="Normal",IFERROR(MAX(C579-PREMISSAS!$C$13,0),0),IF(Painel!$I$23=0,0,MAX(10*PREMISSAS!$C$38,RESULTADOS!$F$17)))</f>
        <v>0</v>
      </c>
      <c r="E579" s="4">
        <f ca="1">D579*IF(RESULTADOS!$C$17="Normal",RESULTADOS!$C$16,0)</f>
        <v>0</v>
      </c>
      <c r="F579" s="4">
        <f ca="1">IFERROR(IF(RESULTADOS!$C$17="Normal",D579,C579)*RESULTADOS!$C$18,0)</f>
        <v>0</v>
      </c>
      <c r="G579" s="4">
        <f ca="1">IFERROR(IF(RESULTADOS!$C$17="Normal",0,D579)*IF(RESULTADOS!$C$17="Normal",RESULTADOS!$C$18,RESULTADOS!$C$16),0)</f>
        <v>0</v>
      </c>
      <c r="H579" s="4">
        <f ca="1">IF(RESULTADOS!$C$17="Normal",E579,0)</f>
        <v>0</v>
      </c>
      <c r="I579" s="4">
        <f ca="1">(E579+H579+G579)*PREMISSAS!$C$60</f>
        <v>0</v>
      </c>
      <c r="J579" s="4">
        <f ca="1">D579*IF(RESULTADOS!$C$17="Normal",PREMISSAS!$C$62,0)</f>
        <v>0</v>
      </c>
      <c r="K579" s="116">
        <f ca="1">IFERROR(K578*(1+PREMISSAS!$C$18)+(E579+H579-IF(RESULTADOS!$C$17="Normal",I579,0)-J579)*IF(MONTH(B579)=12,2,1),0)</f>
        <v>0</v>
      </c>
      <c r="L579" s="116">
        <f ca="1">IFERROR((L578+G579-IF(RESULTADOS!$C$17="Normal",0,I579))*(1+PREMISSAS!$C$18)+F579,0)</f>
        <v>0</v>
      </c>
      <c r="N579" s="73">
        <f t="shared" ca="1" si="73"/>
        <v>0</v>
      </c>
      <c r="P579" s="164" t="str">
        <f t="shared" ca="1" si="74"/>
        <v/>
      </c>
      <c r="Q579" s="140" t="str">
        <f ca="1">IF(C579="","",Q578+(E579+H579-IF(RESULTADOS!$C$17="Normal",I579,0)-J579)/2+(F579+G579-IF(RESULTADOS!$C$17="Normal",0,I579)))</f>
        <v/>
      </c>
      <c r="R579" s="140" t="str">
        <f ca="1">IF(C579="","",R578+(E579+H579-IF(RESULTADOS!$C$17="Normal",I579,0)-J579)/2)</f>
        <v/>
      </c>
      <c r="S579" s="140">
        <f t="shared" ca="1" si="75"/>
        <v>0</v>
      </c>
      <c r="U579" s="164" t="str">
        <f t="shared" ca="1" si="76"/>
        <v/>
      </c>
      <c r="V579" s="164" t="str">
        <f t="shared" ca="1" si="77"/>
        <v/>
      </c>
      <c r="W579" s="140">
        <f ca="1">IF(OR((W578-13/12*Z578)*(1+PREMISSAS!$C$16)&lt;0,W578=""),0,(W578-13/12*Z578)*(1+PREMISSAS!$C$16))</f>
        <v>0</v>
      </c>
      <c r="X579" s="140">
        <f ca="1">IF(OR((X578-13/12*AA578)*(1+PREMISSAS!$C$16)&lt;0,X578=""),0,(X578-13/12*AA578)*(1+PREMISSAS!$C$16))</f>
        <v>0</v>
      </c>
      <c r="Y579" s="140">
        <f t="shared" ca="1" si="78"/>
        <v>0</v>
      </c>
      <c r="Z579" s="167">
        <f t="shared" ca="1" si="79"/>
        <v>0</v>
      </c>
      <c r="AA579" s="167">
        <f t="shared" ca="1" si="72"/>
        <v>0</v>
      </c>
    </row>
    <row r="580" spans="2:27" x14ac:dyDescent="0.25">
      <c r="B580" s="21" t="str">
        <f ca="1">IF(B579="","",IF(EOMONTH(B579,1)&gt;EOMONTH(ELEGIBILIDADE!$J$17,0),"",EOMONTH(B579,1)))</f>
        <v/>
      </c>
      <c r="C580" s="22" t="str">
        <f ca="1">IF(B580="","",IF(MONTH(B580)=1,C579*(1+PREMISSAS!$C$57),C579))</f>
        <v/>
      </c>
      <c r="D580" s="22">
        <f ca="1">IF(RESULTADOS!$C$17="Normal",IFERROR(MAX(C580-PREMISSAS!$C$13,0),0),IF(Painel!$I$23=0,0,MAX(10*PREMISSAS!$C$38,RESULTADOS!$F$17)))</f>
        <v>0</v>
      </c>
      <c r="E580" s="4">
        <f ca="1">D580*IF(RESULTADOS!$C$17="Normal",RESULTADOS!$C$16,0)</f>
        <v>0</v>
      </c>
      <c r="F580" s="4">
        <f ca="1">IFERROR(IF(RESULTADOS!$C$17="Normal",D580,C580)*RESULTADOS!$C$18,0)</f>
        <v>0</v>
      </c>
      <c r="G580" s="4">
        <f ca="1">IFERROR(IF(RESULTADOS!$C$17="Normal",0,D580)*IF(RESULTADOS!$C$17="Normal",RESULTADOS!$C$18,RESULTADOS!$C$16),0)</f>
        <v>0</v>
      </c>
      <c r="H580" s="4">
        <f ca="1">IF(RESULTADOS!$C$17="Normal",E580,0)</f>
        <v>0</v>
      </c>
      <c r="I580" s="4">
        <f ca="1">(E580+H580+G580)*PREMISSAS!$C$60</f>
        <v>0</v>
      </c>
      <c r="J580" s="4">
        <f ca="1">D580*IF(RESULTADOS!$C$17="Normal",PREMISSAS!$C$62,0)</f>
        <v>0</v>
      </c>
      <c r="K580" s="116">
        <f ca="1">IFERROR(K579*(1+PREMISSAS!$C$18)+(E580+H580-IF(RESULTADOS!$C$17="Normal",I580,0)-J580)*IF(MONTH(B580)=12,2,1),0)</f>
        <v>0</v>
      </c>
      <c r="L580" s="116">
        <f ca="1">IFERROR((L579+G580-IF(RESULTADOS!$C$17="Normal",0,I580))*(1+PREMISSAS!$C$18)+F580,0)</f>
        <v>0</v>
      </c>
      <c r="N580" s="73">
        <f t="shared" ca="1" si="73"/>
        <v>0</v>
      </c>
      <c r="P580" s="164" t="str">
        <f t="shared" ca="1" si="74"/>
        <v/>
      </c>
      <c r="Q580" s="140" t="str">
        <f ca="1">IF(C580="","",Q579+(E580+H580-IF(RESULTADOS!$C$17="Normal",I580,0)-J580)/2+(F580+G580-IF(RESULTADOS!$C$17="Normal",0,I580)))</f>
        <v/>
      </c>
      <c r="R580" s="140" t="str">
        <f ca="1">IF(C580="","",R579+(E580+H580-IF(RESULTADOS!$C$17="Normal",I580,0)-J580)/2)</f>
        <v/>
      </c>
      <c r="S580" s="140">
        <f t="shared" ca="1" si="75"/>
        <v>0</v>
      </c>
      <c r="U580" s="164" t="str">
        <f t="shared" ca="1" si="76"/>
        <v/>
      </c>
      <c r="V580" s="164" t="str">
        <f t="shared" ca="1" si="77"/>
        <v/>
      </c>
      <c r="W580" s="140">
        <f ca="1">IF(OR((W579-13/12*Z579)*(1+PREMISSAS!$C$16)&lt;0,W579=""),0,(W579-13/12*Z579)*(1+PREMISSAS!$C$16))</f>
        <v>0</v>
      </c>
      <c r="X580" s="140">
        <f ca="1">IF(OR((X579-13/12*AA579)*(1+PREMISSAS!$C$16)&lt;0,X579=""),0,(X579-13/12*AA579)*(1+PREMISSAS!$C$16))</f>
        <v>0</v>
      </c>
      <c r="Y580" s="140">
        <f t="shared" ca="1" si="78"/>
        <v>0</v>
      </c>
      <c r="Z580" s="167">
        <f t="shared" ca="1" si="79"/>
        <v>0</v>
      </c>
      <c r="AA580" s="167">
        <f t="shared" ca="1" si="72"/>
        <v>0</v>
      </c>
    </row>
    <row r="581" spans="2:27" x14ac:dyDescent="0.25">
      <c r="B581" s="21" t="str">
        <f ca="1">IF(B580="","",IF(EOMONTH(B580,1)&gt;EOMONTH(ELEGIBILIDADE!$J$17,0),"",EOMONTH(B580,1)))</f>
        <v/>
      </c>
      <c r="C581" s="22" t="str">
        <f ca="1">IF(B581="","",IF(MONTH(B581)=1,C580*(1+PREMISSAS!$C$57),C580))</f>
        <v/>
      </c>
      <c r="D581" s="22">
        <f ca="1">IF(RESULTADOS!$C$17="Normal",IFERROR(MAX(C581-PREMISSAS!$C$13,0),0),IF(Painel!$I$23=0,0,MAX(10*PREMISSAS!$C$38,RESULTADOS!$F$17)))</f>
        <v>0</v>
      </c>
      <c r="E581" s="4">
        <f ca="1">D581*IF(RESULTADOS!$C$17="Normal",RESULTADOS!$C$16,0)</f>
        <v>0</v>
      </c>
      <c r="F581" s="4">
        <f ca="1">IFERROR(IF(RESULTADOS!$C$17="Normal",D581,C581)*RESULTADOS!$C$18,0)</f>
        <v>0</v>
      </c>
      <c r="G581" s="4">
        <f ca="1">IFERROR(IF(RESULTADOS!$C$17="Normal",0,D581)*IF(RESULTADOS!$C$17="Normal",RESULTADOS!$C$18,RESULTADOS!$C$16),0)</f>
        <v>0</v>
      </c>
      <c r="H581" s="4">
        <f ca="1">IF(RESULTADOS!$C$17="Normal",E581,0)</f>
        <v>0</v>
      </c>
      <c r="I581" s="4">
        <f ca="1">(E581+H581+G581)*PREMISSAS!$C$60</f>
        <v>0</v>
      </c>
      <c r="J581" s="4">
        <f ca="1">D581*IF(RESULTADOS!$C$17="Normal",PREMISSAS!$C$62,0)</f>
        <v>0</v>
      </c>
      <c r="K581" s="116">
        <f ca="1">IFERROR(K580*(1+PREMISSAS!$C$18)+(E581+H581-IF(RESULTADOS!$C$17="Normal",I581,0)-J581)*IF(MONTH(B581)=12,2,1),0)</f>
        <v>0</v>
      </c>
      <c r="L581" s="116">
        <f ca="1">IFERROR((L580+G581-IF(RESULTADOS!$C$17="Normal",0,I581))*(1+PREMISSAS!$C$18)+F581,0)</f>
        <v>0</v>
      </c>
      <c r="N581" s="73">
        <f t="shared" ca="1" si="73"/>
        <v>0</v>
      </c>
      <c r="P581" s="164" t="str">
        <f t="shared" ca="1" si="74"/>
        <v/>
      </c>
      <c r="Q581" s="140" t="str">
        <f ca="1">IF(C581="","",Q580+(E581+H581-IF(RESULTADOS!$C$17="Normal",I581,0)-J581)/2+(F581+G581-IF(RESULTADOS!$C$17="Normal",0,I581)))</f>
        <v/>
      </c>
      <c r="R581" s="140" t="str">
        <f ca="1">IF(C581="","",R580+(E581+H581-IF(RESULTADOS!$C$17="Normal",I581,0)-J581)/2)</f>
        <v/>
      </c>
      <c r="S581" s="140">
        <f t="shared" ca="1" si="75"/>
        <v>0</v>
      </c>
      <c r="U581" s="164" t="str">
        <f t="shared" ca="1" si="76"/>
        <v/>
      </c>
      <c r="V581" s="164" t="str">
        <f t="shared" ca="1" si="77"/>
        <v/>
      </c>
      <c r="W581" s="140">
        <f ca="1">IF(OR((W580-13/12*Z580)*(1+PREMISSAS!$C$16)&lt;0,W580=""),0,(W580-13/12*Z580)*(1+PREMISSAS!$C$16))</f>
        <v>0</v>
      </c>
      <c r="X581" s="140">
        <f ca="1">IF(OR((X580-13/12*AA580)*(1+PREMISSAS!$C$16)&lt;0,X580=""),0,(X580-13/12*AA580)*(1+PREMISSAS!$C$16))</f>
        <v>0</v>
      </c>
      <c r="Y581" s="140">
        <f t="shared" ca="1" si="78"/>
        <v>0</v>
      </c>
      <c r="Z581" s="167">
        <f t="shared" ca="1" si="79"/>
        <v>0</v>
      </c>
      <c r="AA581" s="167">
        <f t="shared" ca="1" si="72"/>
        <v>0</v>
      </c>
    </row>
    <row r="582" spans="2:27" x14ac:dyDescent="0.25">
      <c r="B582" s="21" t="str">
        <f ca="1">IF(B581="","",IF(EOMONTH(B581,1)&gt;EOMONTH(ELEGIBILIDADE!$J$17,0),"",EOMONTH(B581,1)))</f>
        <v/>
      </c>
      <c r="C582" s="22" t="str">
        <f ca="1">IF(B582="","",IF(MONTH(B582)=1,C581*(1+PREMISSAS!$C$57),C581))</f>
        <v/>
      </c>
      <c r="D582" s="22">
        <f ca="1">IF(RESULTADOS!$C$17="Normal",IFERROR(MAX(C582-PREMISSAS!$C$13,0),0),IF(Painel!$I$23=0,0,MAX(10*PREMISSAS!$C$38,RESULTADOS!$F$17)))</f>
        <v>0</v>
      </c>
      <c r="E582" s="4">
        <f ca="1">D582*IF(RESULTADOS!$C$17="Normal",RESULTADOS!$C$16,0)</f>
        <v>0</v>
      </c>
      <c r="F582" s="4">
        <f ca="1">IFERROR(IF(RESULTADOS!$C$17="Normal",D582,C582)*RESULTADOS!$C$18,0)</f>
        <v>0</v>
      </c>
      <c r="G582" s="4">
        <f ca="1">IFERROR(IF(RESULTADOS!$C$17="Normal",0,D582)*IF(RESULTADOS!$C$17="Normal",RESULTADOS!$C$18,RESULTADOS!$C$16),0)</f>
        <v>0</v>
      </c>
      <c r="H582" s="4">
        <f ca="1">IF(RESULTADOS!$C$17="Normal",E582,0)</f>
        <v>0</v>
      </c>
      <c r="I582" s="4">
        <f ca="1">(E582+H582+G582)*PREMISSAS!$C$60</f>
        <v>0</v>
      </c>
      <c r="J582" s="4">
        <f ca="1">D582*IF(RESULTADOS!$C$17="Normal",PREMISSAS!$C$62,0)</f>
        <v>0</v>
      </c>
      <c r="K582" s="116">
        <f ca="1">IFERROR(K581*(1+PREMISSAS!$C$18)+(E582+H582-IF(RESULTADOS!$C$17="Normal",I582,0)-J582)*IF(MONTH(B582)=12,2,1),0)</f>
        <v>0</v>
      </c>
      <c r="L582" s="116">
        <f ca="1">IFERROR((L581+G582-IF(RESULTADOS!$C$17="Normal",0,I582))*(1+PREMISSAS!$C$18)+F582,0)</f>
        <v>0</v>
      </c>
      <c r="N582" s="73">
        <f t="shared" ca="1" si="73"/>
        <v>0</v>
      </c>
      <c r="P582" s="164" t="str">
        <f t="shared" ca="1" si="74"/>
        <v/>
      </c>
      <c r="Q582" s="140" t="str">
        <f ca="1">IF(C582="","",Q581+(E582+H582-IF(RESULTADOS!$C$17="Normal",I582,0)-J582)/2+(F582+G582-IF(RESULTADOS!$C$17="Normal",0,I582)))</f>
        <v/>
      </c>
      <c r="R582" s="140" t="str">
        <f ca="1">IF(C582="","",R581+(E582+H582-IF(RESULTADOS!$C$17="Normal",I582,0)-J582)/2)</f>
        <v/>
      </c>
      <c r="S582" s="140">
        <f t="shared" ca="1" si="75"/>
        <v>0</v>
      </c>
      <c r="U582" s="164" t="str">
        <f t="shared" ca="1" si="76"/>
        <v/>
      </c>
      <c r="V582" s="164" t="str">
        <f t="shared" ca="1" si="77"/>
        <v/>
      </c>
      <c r="W582" s="140">
        <f ca="1">IF(OR((W581-13/12*Z581)*(1+PREMISSAS!$C$16)&lt;0,W581=""),0,(W581-13/12*Z581)*(1+PREMISSAS!$C$16))</f>
        <v>0</v>
      </c>
      <c r="X582" s="140">
        <f ca="1">IF(OR((X581-13/12*AA581)*(1+PREMISSAS!$C$16)&lt;0,X581=""),0,(X581-13/12*AA581)*(1+PREMISSAS!$C$16))</f>
        <v>0</v>
      </c>
      <c r="Y582" s="140">
        <f t="shared" ca="1" si="78"/>
        <v>0</v>
      </c>
      <c r="Z582" s="167">
        <f t="shared" ca="1" si="79"/>
        <v>0</v>
      </c>
      <c r="AA582" s="167">
        <f t="shared" ca="1" si="72"/>
        <v>0</v>
      </c>
    </row>
    <row r="583" spans="2:27" x14ac:dyDescent="0.25">
      <c r="B583" s="21" t="str">
        <f ca="1">IF(B582="","",IF(EOMONTH(B582,1)&gt;EOMONTH(ELEGIBILIDADE!$J$17,0),"",EOMONTH(B582,1)))</f>
        <v/>
      </c>
      <c r="C583" s="22" t="str">
        <f ca="1">IF(B583="","",IF(MONTH(B583)=1,C582*(1+PREMISSAS!$C$57),C582))</f>
        <v/>
      </c>
      <c r="D583" s="22">
        <f ca="1">IF(RESULTADOS!$C$17="Normal",IFERROR(MAX(C583-PREMISSAS!$C$13,0),0),IF(Painel!$I$23=0,0,MAX(10*PREMISSAS!$C$38,RESULTADOS!$F$17)))</f>
        <v>0</v>
      </c>
      <c r="E583" s="4">
        <f ca="1">D583*IF(RESULTADOS!$C$17="Normal",RESULTADOS!$C$16,0)</f>
        <v>0</v>
      </c>
      <c r="F583" s="4">
        <f ca="1">IFERROR(IF(RESULTADOS!$C$17="Normal",D583,C583)*RESULTADOS!$C$18,0)</f>
        <v>0</v>
      </c>
      <c r="G583" s="4">
        <f ca="1">IFERROR(IF(RESULTADOS!$C$17="Normal",0,D583)*IF(RESULTADOS!$C$17="Normal",RESULTADOS!$C$18,RESULTADOS!$C$16),0)</f>
        <v>0</v>
      </c>
      <c r="H583" s="4">
        <f ca="1">IF(RESULTADOS!$C$17="Normal",E583,0)</f>
        <v>0</v>
      </c>
      <c r="I583" s="4">
        <f ca="1">(E583+H583+G583)*PREMISSAS!$C$60</f>
        <v>0</v>
      </c>
      <c r="J583" s="4">
        <f ca="1">D583*IF(RESULTADOS!$C$17="Normal",PREMISSAS!$C$62,0)</f>
        <v>0</v>
      </c>
      <c r="K583" s="116">
        <f ca="1">IFERROR(K582*(1+PREMISSAS!$C$18)+(E583+H583-IF(RESULTADOS!$C$17="Normal",I583,0)-J583)*IF(MONTH(B583)=12,2,1),0)</f>
        <v>0</v>
      </c>
      <c r="L583" s="116">
        <f ca="1">IFERROR((L582+G583-IF(RESULTADOS!$C$17="Normal",0,I583))*(1+PREMISSAS!$C$18)+F583,0)</f>
        <v>0</v>
      </c>
      <c r="N583" s="73">
        <f t="shared" ca="1" si="73"/>
        <v>0</v>
      </c>
      <c r="P583" s="164" t="str">
        <f t="shared" ca="1" si="74"/>
        <v/>
      </c>
      <c r="Q583" s="140" t="str">
        <f ca="1">IF(C583="","",Q582+(E583+H583-IF(RESULTADOS!$C$17="Normal",I583,0)-J583)/2+(F583+G583-IF(RESULTADOS!$C$17="Normal",0,I583)))</f>
        <v/>
      </c>
      <c r="R583" s="140" t="str">
        <f ca="1">IF(C583="","",R582+(E583+H583-IF(RESULTADOS!$C$17="Normal",I583,0)-J583)/2)</f>
        <v/>
      </c>
      <c r="S583" s="140">
        <f t="shared" ca="1" si="75"/>
        <v>0</v>
      </c>
      <c r="U583" s="164" t="str">
        <f t="shared" ca="1" si="76"/>
        <v/>
      </c>
      <c r="V583" s="164" t="str">
        <f t="shared" ca="1" si="77"/>
        <v/>
      </c>
      <c r="W583" s="140">
        <f ca="1">IF(OR((W582-13/12*Z582)*(1+PREMISSAS!$C$16)&lt;0,W582=""),0,(W582-13/12*Z582)*(1+PREMISSAS!$C$16))</f>
        <v>0</v>
      </c>
      <c r="X583" s="140">
        <f ca="1">IF(OR((X582-13/12*AA582)*(1+PREMISSAS!$C$16)&lt;0,X582=""),0,(X582-13/12*AA582)*(1+PREMISSAS!$C$16))</f>
        <v>0</v>
      </c>
      <c r="Y583" s="140">
        <f t="shared" ca="1" si="78"/>
        <v>0</v>
      </c>
      <c r="Z583" s="167">
        <f t="shared" ca="1" si="79"/>
        <v>0</v>
      </c>
      <c r="AA583" s="167">
        <f t="shared" ref="AA583:AA646" ca="1" si="80">IF(X583&lt;&gt;0,AA582,0)</f>
        <v>0</v>
      </c>
    </row>
    <row r="584" spans="2:27" x14ac:dyDescent="0.25">
      <c r="B584" s="21" t="str">
        <f ca="1">IF(B583="","",IF(EOMONTH(B583,1)&gt;EOMONTH(ELEGIBILIDADE!$J$17,0),"",EOMONTH(B583,1)))</f>
        <v/>
      </c>
      <c r="C584" s="22" t="str">
        <f ca="1">IF(B584="","",IF(MONTH(B584)=1,C583*(1+PREMISSAS!$C$57),C583))</f>
        <v/>
      </c>
      <c r="D584" s="22">
        <f ca="1">IF(RESULTADOS!$C$17="Normal",IFERROR(MAX(C584-PREMISSAS!$C$13,0),0),IF(Painel!$I$23=0,0,MAX(10*PREMISSAS!$C$38,RESULTADOS!$F$17)))</f>
        <v>0</v>
      </c>
      <c r="E584" s="4">
        <f ca="1">D584*IF(RESULTADOS!$C$17="Normal",RESULTADOS!$C$16,0)</f>
        <v>0</v>
      </c>
      <c r="F584" s="4">
        <f ca="1">IFERROR(IF(RESULTADOS!$C$17="Normal",D584,C584)*RESULTADOS!$C$18,0)</f>
        <v>0</v>
      </c>
      <c r="G584" s="4">
        <f ca="1">IFERROR(IF(RESULTADOS!$C$17="Normal",0,D584)*IF(RESULTADOS!$C$17="Normal",RESULTADOS!$C$18,RESULTADOS!$C$16),0)</f>
        <v>0</v>
      </c>
      <c r="H584" s="4">
        <f ca="1">IF(RESULTADOS!$C$17="Normal",E584,0)</f>
        <v>0</v>
      </c>
      <c r="I584" s="4">
        <f ca="1">(E584+H584+G584)*PREMISSAS!$C$60</f>
        <v>0</v>
      </c>
      <c r="J584" s="4">
        <f ca="1">D584*IF(RESULTADOS!$C$17="Normal",PREMISSAS!$C$62,0)</f>
        <v>0</v>
      </c>
      <c r="K584" s="116">
        <f ca="1">IFERROR(K583*(1+PREMISSAS!$C$18)+(E584+H584-IF(RESULTADOS!$C$17="Normal",I584,0)-J584)*IF(MONTH(B584)=12,2,1),0)</f>
        <v>0</v>
      </c>
      <c r="L584" s="116">
        <f ca="1">IFERROR((L583+G584-IF(RESULTADOS!$C$17="Normal",0,I584))*(1+PREMISSAS!$C$18)+F584,0)</f>
        <v>0</v>
      </c>
      <c r="N584" s="73">
        <f t="shared" ca="1" si="73"/>
        <v>0</v>
      </c>
      <c r="P584" s="164" t="str">
        <f t="shared" ca="1" si="74"/>
        <v/>
      </c>
      <c r="Q584" s="140" t="str">
        <f ca="1">IF(C584="","",Q583+(E584+H584-IF(RESULTADOS!$C$17="Normal",I584,0)-J584)/2+(F584+G584-IF(RESULTADOS!$C$17="Normal",0,I584)))</f>
        <v/>
      </c>
      <c r="R584" s="140" t="str">
        <f ca="1">IF(C584="","",R583+(E584+H584-IF(RESULTADOS!$C$17="Normal",I584,0)-J584)/2)</f>
        <v/>
      </c>
      <c r="S584" s="140">
        <f t="shared" ca="1" si="75"/>
        <v>0</v>
      </c>
      <c r="U584" s="164" t="str">
        <f t="shared" ca="1" si="76"/>
        <v/>
      </c>
      <c r="V584" s="164" t="str">
        <f t="shared" ca="1" si="77"/>
        <v/>
      </c>
      <c r="W584" s="140">
        <f ca="1">IF(OR((W583-13/12*Z583)*(1+PREMISSAS!$C$16)&lt;0,W583=""),0,(W583-13/12*Z583)*(1+PREMISSAS!$C$16))</f>
        <v>0</v>
      </c>
      <c r="X584" s="140">
        <f ca="1">IF(OR((X583-13/12*AA583)*(1+PREMISSAS!$C$16)&lt;0,X583=""),0,(X583-13/12*AA583)*(1+PREMISSAS!$C$16))</f>
        <v>0</v>
      </c>
      <c r="Y584" s="140">
        <f t="shared" ca="1" si="78"/>
        <v>0</v>
      </c>
      <c r="Z584" s="167">
        <f t="shared" ca="1" si="79"/>
        <v>0</v>
      </c>
      <c r="AA584" s="167">
        <f t="shared" ca="1" si="80"/>
        <v>0</v>
      </c>
    </row>
    <row r="585" spans="2:27" x14ac:dyDescent="0.25">
      <c r="B585" s="21" t="str">
        <f ca="1">IF(B584="","",IF(EOMONTH(B584,1)&gt;EOMONTH(ELEGIBILIDADE!$J$17,0),"",EOMONTH(B584,1)))</f>
        <v/>
      </c>
      <c r="C585" s="22" t="str">
        <f ca="1">IF(B585="","",IF(MONTH(B585)=1,C584*(1+PREMISSAS!$C$57),C584))</f>
        <v/>
      </c>
      <c r="D585" s="22">
        <f ca="1">IF(RESULTADOS!$C$17="Normal",IFERROR(MAX(C585-PREMISSAS!$C$13,0),0),IF(Painel!$I$23=0,0,MAX(10*PREMISSAS!$C$38,RESULTADOS!$F$17)))</f>
        <v>0</v>
      </c>
      <c r="E585" s="4">
        <f ca="1">D585*IF(RESULTADOS!$C$17="Normal",RESULTADOS!$C$16,0)</f>
        <v>0</v>
      </c>
      <c r="F585" s="4">
        <f ca="1">IFERROR(IF(RESULTADOS!$C$17="Normal",D585,C585)*RESULTADOS!$C$18,0)</f>
        <v>0</v>
      </c>
      <c r="G585" s="4">
        <f ca="1">IFERROR(IF(RESULTADOS!$C$17="Normal",0,D585)*IF(RESULTADOS!$C$17="Normal",RESULTADOS!$C$18,RESULTADOS!$C$16),0)</f>
        <v>0</v>
      </c>
      <c r="H585" s="4">
        <f ca="1">IF(RESULTADOS!$C$17="Normal",E585,0)</f>
        <v>0</v>
      </c>
      <c r="I585" s="4">
        <f ca="1">(E585+H585+G585)*PREMISSAS!$C$60</f>
        <v>0</v>
      </c>
      <c r="J585" s="4">
        <f ca="1">D585*IF(RESULTADOS!$C$17="Normal",PREMISSAS!$C$62,0)</f>
        <v>0</v>
      </c>
      <c r="K585" s="116">
        <f ca="1">IFERROR(K584*(1+PREMISSAS!$C$18)+(E585+H585-IF(RESULTADOS!$C$17="Normal",I585,0)-J585)*IF(MONTH(B585)=12,2,1),0)</f>
        <v>0</v>
      </c>
      <c r="L585" s="116">
        <f ca="1">IFERROR((L584+G585-IF(RESULTADOS!$C$17="Normal",0,I585))*(1+PREMISSAS!$C$18)+F585,0)</f>
        <v>0</v>
      </c>
      <c r="N585" s="73">
        <f t="shared" ca="1" si="73"/>
        <v>0</v>
      </c>
      <c r="P585" s="164" t="str">
        <f t="shared" ca="1" si="74"/>
        <v/>
      </c>
      <c r="Q585" s="140" t="str">
        <f ca="1">IF(C585="","",Q584+(E585+H585-IF(RESULTADOS!$C$17="Normal",I585,0)-J585)/2+(F585+G585-IF(RESULTADOS!$C$17="Normal",0,I585)))</f>
        <v/>
      </c>
      <c r="R585" s="140" t="str">
        <f ca="1">IF(C585="","",R584+(E585+H585-IF(RESULTADOS!$C$17="Normal",I585,0)-J585)/2)</f>
        <v/>
      </c>
      <c r="S585" s="140">
        <f t="shared" ca="1" si="75"/>
        <v>0</v>
      </c>
      <c r="U585" s="164" t="str">
        <f t="shared" ca="1" si="76"/>
        <v/>
      </c>
      <c r="V585" s="164" t="str">
        <f t="shared" ca="1" si="77"/>
        <v/>
      </c>
      <c r="W585" s="140">
        <f ca="1">IF(OR((W584-13/12*Z584)*(1+PREMISSAS!$C$16)&lt;0,W584=""),0,(W584-13/12*Z584)*(1+PREMISSAS!$C$16))</f>
        <v>0</v>
      </c>
      <c r="X585" s="140">
        <f ca="1">IF(OR((X584-13/12*AA584)*(1+PREMISSAS!$C$16)&lt;0,X584=""),0,(X584-13/12*AA584)*(1+PREMISSAS!$C$16))</f>
        <v>0</v>
      </c>
      <c r="Y585" s="140">
        <f t="shared" ca="1" si="78"/>
        <v>0</v>
      </c>
      <c r="Z585" s="167">
        <f t="shared" ca="1" si="79"/>
        <v>0</v>
      </c>
      <c r="AA585" s="167">
        <f t="shared" ca="1" si="80"/>
        <v>0</v>
      </c>
    </row>
    <row r="586" spans="2:27" x14ac:dyDescent="0.25">
      <c r="B586" s="21" t="str">
        <f ca="1">IF(B585="","",IF(EOMONTH(B585,1)&gt;EOMONTH(ELEGIBILIDADE!$J$17,0),"",EOMONTH(B585,1)))</f>
        <v/>
      </c>
      <c r="C586" s="22" t="str">
        <f ca="1">IF(B586="","",IF(MONTH(B586)=1,C585*(1+PREMISSAS!$C$57),C585))</f>
        <v/>
      </c>
      <c r="D586" s="22">
        <f ca="1">IF(RESULTADOS!$C$17="Normal",IFERROR(MAX(C586-PREMISSAS!$C$13,0),0),IF(Painel!$I$23=0,0,MAX(10*PREMISSAS!$C$38,RESULTADOS!$F$17)))</f>
        <v>0</v>
      </c>
      <c r="E586" s="4">
        <f ca="1">D586*IF(RESULTADOS!$C$17="Normal",RESULTADOS!$C$16,0)</f>
        <v>0</v>
      </c>
      <c r="F586" s="4">
        <f ca="1">IFERROR(IF(RESULTADOS!$C$17="Normal",D586,C586)*RESULTADOS!$C$18,0)</f>
        <v>0</v>
      </c>
      <c r="G586" s="4">
        <f ca="1">IFERROR(IF(RESULTADOS!$C$17="Normal",0,D586)*IF(RESULTADOS!$C$17="Normal",RESULTADOS!$C$18,RESULTADOS!$C$16),0)</f>
        <v>0</v>
      </c>
      <c r="H586" s="4">
        <f ca="1">IF(RESULTADOS!$C$17="Normal",E586,0)</f>
        <v>0</v>
      </c>
      <c r="I586" s="4">
        <f ca="1">(E586+H586+G586)*PREMISSAS!$C$60</f>
        <v>0</v>
      </c>
      <c r="J586" s="4">
        <f ca="1">D586*IF(RESULTADOS!$C$17="Normal",PREMISSAS!$C$62,0)</f>
        <v>0</v>
      </c>
      <c r="K586" s="116">
        <f ca="1">IFERROR(K585*(1+PREMISSAS!$C$18)+(E586+H586-IF(RESULTADOS!$C$17="Normal",I586,0)-J586)*IF(MONTH(B586)=12,2,1),0)</f>
        <v>0</v>
      </c>
      <c r="L586" s="116">
        <f ca="1">IFERROR((L585+G586-IF(RESULTADOS!$C$17="Normal",0,I586))*(1+PREMISSAS!$C$18)+F586,0)</f>
        <v>0</v>
      </c>
      <c r="N586" s="73">
        <f t="shared" ca="1" si="73"/>
        <v>0</v>
      </c>
      <c r="P586" s="164" t="str">
        <f t="shared" ca="1" si="74"/>
        <v/>
      </c>
      <c r="Q586" s="140" t="str">
        <f ca="1">IF(C586="","",Q585+(E586+H586-IF(RESULTADOS!$C$17="Normal",I586,0)-J586)/2+(F586+G586-IF(RESULTADOS!$C$17="Normal",0,I586)))</f>
        <v/>
      </c>
      <c r="R586" s="140" t="str">
        <f ca="1">IF(C586="","",R585+(E586+H586-IF(RESULTADOS!$C$17="Normal",I586,0)-J586)/2)</f>
        <v/>
      </c>
      <c r="S586" s="140">
        <f t="shared" ca="1" si="75"/>
        <v>0</v>
      </c>
      <c r="U586" s="164" t="str">
        <f t="shared" ca="1" si="76"/>
        <v/>
      </c>
      <c r="V586" s="164" t="str">
        <f t="shared" ca="1" si="77"/>
        <v/>
      </c>
      <c r="W586" s="140">
        <f ca="1">IF(OR((W585-13/12*Z585)*(1+PREMISSAS!$C$16)&lt;0,W585=""),0,(W585-13/12*Z585)*(1+PREMISSAS!$C$16))</f>
        <v>0</v>
      </c>
      <c r="X586" s="140">
        <f ca="1">IF(OR((X585-13/12*AA585)*(1+PREMISSAS!$C$16)&lt;0,X585=""),0,(X585-13/12*AA585)*(1+PREMISSAS!$C$16))</f>
        <v>0</v>
      </c>
      <c r="Y586" s="140">
        <f t="shared" ca="1" si="78"/>
        <v>0</v>
      </c>
      <c r="Z586" s="167">
        <f t="shared" ca="1" si="79"/>
        <v>0</v>
      </c>
      <c r="AA586" s="167">
        <f t="shared" ca="1" si="80"/>
        <v>0</v>
      </c>
    </row>
    <row r="587" spans="2:27" x14ac:dyDescent="0.25">
      <c r="B587" s="21" t="str">
        <f ca="1">IF(B586="","",IF(EOMONTH(B586,1)&gt;EOMONTH(ELEGIBILIDADE!$J$17,0),"",EOMONTH(B586,1)))</f>
        <v/>
      </c>
      <c r="C587" s="22" t="str">
        <f ca="1">IF(B587="","",IF(MONTH(B587)=1,C586*(1+PREMISSAS!$C$57),C586))</f>
        <v/>
      </c>
      <c r="D587" s="22">
        <f ca="1">IF(RESULTADOS!$C$17="Normal",IFERROR(MAX(C587-PREMISSAS!$C$13,0),0),IF(Painel!$I$23=0,0,MAX(10*PREMISSAS!$C$38,RESULTADOS!$F$17)))</f>
        <v>0</v>
      </c>
      <c r="E587" s="4">
        <f ca="1">D587*IF(RESULTADOS!$C$17="Normal",RESULTADOS!$C$16,0)</f>
        <v>0</v>
      </c>
      <c r="F587" s="4">
        <f ca="1">IFERROR(IF(RESULTADOS!$C$17="Normal",D587,C587)*RESULTADOS!$C$18,0)</f>
        <v>0</v>
      </c>
      <c r="G587" s="4">
        <f ca="1">IFERROR(IF(RESULTADOS!$C$17="Normal",0,D587)*IF(RESULTADOS!$C$17="Normal",RESULTADOS!$C$18,RESULTADOS!$C$16),0)</f>
        <v>0</v>
      </c>
      <c r="H587" s="4">
        <f ca="1">IF(RESULTADOS!$C$17="Normal",E587,0)</f>
        <v>0</v>
      </c>
      <c r="I587" s="4">
        <f ca="1">(E587+H587+G587)*PREMISSAS!$C$60</f>
        <v>0</v>
      </c>
      <c r="J587" s="4">
        <f ca="1">D587*IF(RESULTADOS!$C$17="Normal",PREMISSAS!$C$62,0)</f>
        <v>0</v>
      </c>
      <c r="K587" s="116">
        <f ca="1">IFERROR(K586*(1+PREMISSAS!$C$18)+(E587+H587-IF(RESULTADOS!$C$17="Normal",I587,0)-J587)*IF(MONTH(B587)=12,2,1),0)</f>
        <v>0</v>
      </c>
      <c r="L587" s="116">
        <f ca="1">IFERROR((L586+G587-IF(RESULTADOS!$C$17="Normal",0,I587))*(1+PREMISSAS!$C$18)+F587,0)</f>
        <v>0</v>
      </c>
      <c r="N587" s="73">
        <f t="shared" ca="1" si="73"/>
        <v>0</v>
      </c>
      <c r="P587" s="164" t="str">
        <f t="shared" ca="1" si="74"/>
        <v/>
      </c>
      <c r="Q587" s="140" t="str">
        <f ca="1">IF(C587="","",Q586+(E587+H587-IF(RESULTADOS!$C$17="Normal",I587,0)-J587)/2+(F587+G587-IF(RESULTADOS!$C$17="Normal",0,I587)))</f>
        <v/>
      </c>
      <c r="R587" s="140" t="str">
        <f ca="1">IF(C587="","",R586+(E587+H587-IF(RESULTADOS!$C$17="Normal",I587,0)-J587)/2)</f>
        <v/>
      </c>
      <c r="S587" s="140">
        <f t="shared" ca="1" si="75"/>
        <v>0</v>
      </c>
      <c r="U587" s="164" t="str">
        <f t="shared" ca="1" si="76"/>
        <v/>
      </c>
      <c r="V587" s="164" t="str">
        <f t="shared" ca="1" si="77"/>
        <v/>
      </c>
      <c r="W587" s="140">
        <f ca="1">IF(OR((W586-13/12*Z586)*(1+PREMISSAS!$C$16)&lt;0,W586=""),0,(W586-13/12*Z586)*(1+PREMISSAS!$C$16))</f>
        <v>0</v>
      </c>
      <c r="X587" s="140">
        <f ca="1">IF(OR((X586-13/12*AA586)*(1+PREMISSAS!$C$16)&lt;0,X586=""),0,(X586-13/12*AA586)*(1+PREMISSAS!$C$16))</f>
        <v>0</v>
      </c>
      <c r="Y587" s="140">
        <f t="shared" ca="1" si="78"/>
        <v>0</v>
      </c>
      <c r="Z587" s="167">
        <f t="shared" ca="1" si="79"/>
        <v>0</v>
      </c>
      <c r="AA587" s="167">
        <f t="shared" ca="1" si="80"/>
        <v>0</v>
      </c>
    </row>
    <row r="588" spans="2:27" x14ac:dyDescent="0.25">
      <c r="B588" s="21" t="str">
        <f ca="1">IF(B587="","",IF(EOMONTH(B587,1)&gt;EOMONTH(ELEGIBILIDADE!$J$17,0),"",EOMONTH(B587,1)))</f>
        <v/>
      </c>
      <c r="C588" s="22" t="str">
        <f ca="1">IF(B588="","",IF(MONTH(B588)=1,C587*(1+PREMISSAS!$C$57),C587))</f>
        <v/>
      </c>
      <c r="D588" s="22">
        <f ca="1">IF(RESULTADOS!$C$17="Normal",IFERROR(MAX(C588-PREMISSAS!$C$13,0),0),IF(Painel!$I$23=0,0,MAX(10*PREMISSAS!$C$38,RESULTADOS!$F$17)))</f>
        <v>0</v>
      </c>
      <c r="E588" s="4">
        <f ca="1">D588*IF(RESULTADOS!$C$17="Normal",RESULTADOS!$C$16,0)</f>
        <v>0</v>
      </c>
      <c r="F588" s="4">
        <f ca="1">IFERROR(IF(RESULTADOS!$C$17="Normal",D588,C588)*RESULTADOS!$C$18,0)</f>
        <v>0</v>
      </c>
      <c r="G588" s="4">
        <f ca="1">IFERROR(IF(RESULTADOS!$C$17="Normal",0,D588)*IF(RESULTADOS!$C$17="Normal",RESULTADOS!$C$18,RESULTADOS!$C$16),0)</f>
        <v>0</v>
      </c>
      <c r="H588" s="4">
        <f ca="1">IF(RESULTADOS!$C$17="Normal",E588,0)</f>
        <v>0</v>
      </c>
      <c r="I588" s="4">
        <f ca="1">(E588+H588+G588)*PREMISSAS!$C$60</f>
        <v>0</v>
      </c>
      <c r="J588" s="4">
        <f ca="1">D588*IF(RESULTADOS!$C$17="Normal",PREMISSAS!$C$62,0)</f>
        <v>0</v>
      </c>
      <c r="K588" s="116">
        <f ca="1">IFERROR(K587*(1+PREMISSAS!$C$18)+(E588+H588-IF(RESULTADOS!$C$17="Normal",I588,0)-J588)*IF(MONTH(B588)=12,2,1),0)</f>
        <v>0</v>
      </c>
      <c r="L588" s="116">
        <f ca="1">IFERROR((L587+G588-IF(RESULTADOS!$C$17="Normal",0,I588))*(1+PREMISSAS!$C$18)+F588,0)</f>
        <v>0</v>
      </c>
      <c r="N588" s="73">
        <f t="shared" ca="1" si="73"/>
        <v>0</v>
      </c>
      <c r="P588" s="164" t="str">
        <f t="shared" ca="1" si="74"/>
        <v/>
      </c>
      <c r="Q588" s="140" t="str">
        <f ca="1">IF(C588="","",Q587+(E588+H588-IF(RESULTADOS!$C$17="Normal",I588,0)-J588)/2+(F588+G588-IF(RESULTADOS!$C$17="Normal",0,I588)))</f>
        <v/>
      </c>
      <c r="R588" s="140" t="str">
        <f ca="1">IF(C588="","",R587+(E588+H588-IF(RESULTADOS!$C$17="Normal",I588,0)-J588)/2)</f>
        <v/>
      </c>
      <c r="S588" s="140">
        <f t="shared" ca="1" si="75"/>
        <v>0</v>
      </c>
      <c r="U588" s="164" t="str">
        <f t="shared" ca="1" si="76"/>
        <v/>
      </c>
      <c r="V588" s="164" t="str">
        <f t="shared" ca="1" si="77"/>
        <v/>
      </c>
      <c r="W588" s="140">
        <f ca="1">IF(OR((W587-13/12*Z587)*(1+PREMISSAS!$C$16)&lt;0,W587=""),0,(W587-13/12*Z587)*(1+PREMISSAS!$C$16))</f>
        <v>0</v>
      </c>
      <c r="X588" s="140">
        <f ca="1">IF(OR((X587-13/12*AA587)*(1+PREMISSAS!$C$16)&lt;0,X587=""),0,(X587-13/12*AA587)*(1+PREMISSAS!$C$16))</f>
        <v>0</v>
      </c>
      <c r="Y588" s="140">
        <f t="shared" ca="1" si="78"/>
        <v>0</v>
      </c>
      <c r="Z588" s="167">
        <f t="shared" ca="1" si="79"/>
        <v>0</v>
      </c>
      <c r="AA588" s="167">
        <f t="shared" ca="1" si="80"/>
        <v>0</v>
      </c>
    </row>
    <row r="589" spans="2:27" x14ac:dyDescent="0.25">
      <c r="B589" s="21" t="str">
        <f ca="1">IF(B588="","",IF(EOMONTH(B588,1)&gt;EOMONTH(ELEGIBILIDADE!$J$17,0),"",EOMONTH(B588,1)))</f>
        <v/>
      </c>
      <c r="C589" s="22" t="str">
        <f ca="1">IF(B589="","",IF(MONTH(B589)=1,C588*(1+PREMISSAS!$C$57),C588))</f>
        <v/>
      </c>
      <c r="D589" s="22">
        <f ca="1">IF(RESULTADOS!$C$17="Normal",IFERROR(MAX(C589-PREMISSAS!$C$13,0),0),IF(Painel!$I$23=0,0,MAX(10*PREMISSAS!$C$38,RESULTADOS!$F$17)))</f>
        <v>0</v>
      </c>
      <c r="E589" s="4">
        <f ca="1">D589*IF(RESULTADOS!$C$17="Normal",RESULTADOS!$C$16,0)</f>
        <v>0</v>
      </c>
      <c r="F589" s="4">
        <f ca="1">IFERROR(IF(RESULTADOS!$C$17="Normal",D589,C589)*RESULTADOS!$C$18,0)</f>
        <v>0</v>
      </c>
      <c r="G589" s="4">
        <f ca="1">IFERROR(IF(RESULTADOS!$C$17="Normal",0,D589)*IF(RESULTADOS!$C$17="Normal",RESULTADOS!$C$18,RESULTADOS!$C$16),0)</f>
        <v>0</v>
      </c>
      <c r="H589" s="4">
        <f ca="1">IF(RESULTADOS!$C$17="Normal",E589,0)</f>
        <v>0</v>
      </c>
      <c r="I589" s="4">
        <f ca="1">(E589+H589+G589)*PREMISSAS!$C$60</f>
        <v>0</v>
      </c>
      <c r="J589" s="4">
        <f ca="1">D589*IF(RESULTADOS!$C$17="Normal",PREMISSAS!$C$62,0)</f>
        <v>0</v>
      </c>
      <c r="K589" s="116">
        <f ca="1">IFERROR(K588*(1+PREMISSAS!$C$18)+(E589+H589-IF(RESULTADOS!$C$17="Normal",I589,0)-J589)*IF(MONTH(B589)=12,2,1),0)</f>
        <v>0</v>
      </c>
      <c r="L589" s="116">
        <f ca="1">IFERROR((L588+G589-IF(RESULTADOS!$C$17="Normal",0,I589))*(1+PREMISSAS!$C$18)+F589,0)</f>
        <v>0</v>
      </c>
      <c r="N589" s="73">
        <f t="shared" ca="1" si="73"/>
        <v>0</v>
      </c>
      <c r="P589" s="164" t="str">
        <f t="shared" ca="1" si="74"/>
        <v/>
      </c>
      <c r="Q589" s="140" t="str">
        <f ca="1">IF(C589="","",Q588+(E589+H589-IF(RESULTADOS!$C$17="Normal",I589,0)-J589)/2+(F589+G589-IF(RESULTADOS!$C$17="Normal",0,I589)))</f>
        <v/>
      </c>
      <c r="R589" s="140" t="str">
        <f ca="1">IF(C589="","",R588+(E589+H589-IF(RESULTADOS!$C$17="Normal",I589,0)-J589)/2)</f>
        <v/>
      </c>
      <c r="S589" s="140">
        <f t="shared" ca="1" si="75"/>
        <v>0</v>
      </c>
      <c r="U589" s="164" t="str">
        <f t="shared" ca="1" si="76"/>
        <v/>
      </c>
      <c r="V589" s="164" t="str">
        <f t="shared" ca="1" si="77"/>
        <v/>
      </c>
      <c r="W589" s="140">
        <f ca="1">IF(OR((W588-13/12*Z588)*(1+PREMISSAS!$C$16)&lt;0,W588=""),0,(W588-13/12*Z588)*(1+PREMISSAS!$C$16))</f>
        <v>0</v>
      </c>
      <c r="X589" s="140">
        <f ca="1">IF(OR((X588-13/12*AA588)*(1+PREMISSAS!$C$16)&lt;0,X588=""),0,(X588-13/12*AA588)*(1+PREMISSAS!$C$16))</f>
        <v>0</v>
      </c>
      <c r="Y589" s="140">
        <f t="shared" ca="1" si="78"/>
        <v>0</v>
      </c>
      <c r="Z589" s="167">
        <f t="shared" ca="1" si="79"/>
        <v>0</v>
      </c>
      <c r="AA589" s="167">
        <f t="shared" ca="1" si="80"/>
        <v>0</v>
      </c>
    </row>
    <row r="590" spans="2:27" x14ac:dyDescent="0.25">
      <c r="B590" s="21" t="str">
        <f ca="1">IF(B589="","",IF(EOMONTH(B589,1)&gt;EOMONTH(ELEGIBILIDADE!$J$17,0),"",EOMONTH(B589,1)))</f>
        <v/>
      </c>
      <c r="C590" s="22" t="str">
        <f ca="1">IF(B590="","",IF(MONTH(B590)=1,C589*(1+PREMISSAS!$C$57),C589))</f>
        <v/>
      </c>
      <c r="D590" s="22">
        <f ca="1">IF(RESULTADOS!$C$17="Normal",IFERROR(MAX(C590-PREMISSAS!$C$13,0),0),IF(Painel!$I$23=0,0,MAX(10*PREMISSAS!$C$38,RESULTADOS!$F$17)))</f>
        <v>0</v>
      </c>
      <c r="E590" s="4">
        <f ca="1">D590*IF(RESULTADOS!$C$17="Normal",RESULTADOS!$C$16,0)</f>
        <v>0</v>
      </c>
      <c r="F590" s="4">
        <f ca="1">IFERROR(IF(RESULTADOS!$C$17="Normal",D590,C590)*RESULTADOS!$C$18,0)</f>
        <v>0</v>
      </c>
      <c r="G590" s="4">
        <f ca="1">IFERROR(IF(RESULTADOS!$C$17="Normal",0,D590)*IF(RESULTADOS!$C$17="Normal",RESULTADOS!$C$18,RESULTADOS!$C$16),0)</f>
        <v>0</v>
      </c>
      <c r="H590" s="4">
        <f ca="1">IF(RESULTADOS!$C$17="Normal",E590,0)</f>
        <v>0</v>
      </c>
      <c r="I590" s="4">
        <f ca="1">(E590+H590+G590)*PREMISSAS!$C$60</f>
        <v>0</v>
      </c>
      <c r="J590" s="4">
        <f ca="1">D590*IF(RESULTADOS!$C$17="Normal",PREMISSAS!$C$62,0)</f>
        <v>0</v>
      </c>
      <c r="K590" s="116">
        <f ca="1">IFERROR(K589*(1+PREMISSAS!$C$18)+(E590+H590-IF(RESULTADOS!$C$17="Normal",I590,0)-J590)*IF(MONTH(B590)=12,2,1),0)</f>
        <v>0</v>
      </c>
      <c r="L590" s="116">
        <f ca="1">IFERROR((L589+G590-IF(RESULTADOS!$C$17="Normal",0,I590))*(1+PREMISSAS!$C$18)+F590,0)</f>
        <v>0</v>
      </c>
      <c r="N590" s="73">
        <f t="shared" ca="1" si="73"/>
        <v>0</v>
      </c>
      <c r="P590" s="164" t="str">
        <f t="shared" ca="1" si="74"/>
        <v/>
      </c>
      <c r="Q590" s="140" t="str">
        <f ca="1">IF(C590="","",Q589+(E590+H590-IF(RESULTADOS!$C$17="Normal",I590,0)-J590)/2+(F590+G590-IF(RESULTADOS!$C$17="Normal",0,I590)))</f>
        <v/>
      </c>
      <c r="R590" s="140" t="str">
        <f ca="1">IF(C590="","",R589+(E590+H590-IF(RESULTADOS!$C$17="Normal",I590,0)-J590)/2)</f>
        <v/>
      </c>
      <c r="S590" s="140">
        <f t="shared" ca="1" si="75"/>
        <v>0</v>
      </c>
      <c r="U590" s="164" t="str">
        <f t="shared" ca="1" si="76"/>
        <v/>
      </c>
      <c r="V590" s="164" t="str">
        <f t="shared" ca="1" si="77"/>
        <v/>
      </c>
      <c r="W590" s="140">
        <f ca="1">IF(OR((W589-13/12*Z589)*(1+PREMISSAS!$C$16)&lt;0,W589=""),0,(W589-13/12*Z589)*(1+PREMISSAS!$C$16))</f>
        <v>0</v>
      </c>
      <c r="X590" s="140">
        <f ca="1">IF(OR((X589-13/12*AA589)*(1+PREMISSAS!$C$16)&lt;0,X589=""),0,(X589-13/12*AA589)*(1+PREMISSAS!$C$16))</f>
        <v>0</v>
      </c>
      <c r="Y590" s="140">
        <f t="shared" ca="1" si="78"/>
        <v>0</v>
      </c>
      <c r="Z590" s="167">
        <f t="shared" ca="1" si="79"/>
        <v>0</v>
      </c>
      <c r="AA590" s="167">
        <f t="shared" ca="1" si="80"/>
        <v>0</v>
      </c>
    </row>
    <row r="591" spans="2:27" x14ac:dyDescent="0.25">
      <c r="B591" s="21" t="str">
        <f ca="1">IF(B590="","",IF(EOMONTH(B590,1)&gt;EOMONTH(ELEGIBILIDADE!$J$17,0),"",EOMONTH(B590,1)))</f>
        <v/>
      </c>
      <c r="C591" s="22" t="str">
        <f ca="1">IF(B591="","",IF(MONTH(B591)=1,C590*(1+PREMISSAS!$C$57),C590))</f>
        <v/>
      </c>
      <c r="D591" s="22">
        <f ca="1">IF(RESULTADOS!$C$17="Normal",IFERROR(MAX(C591-PREMISSAS!$C$13,0),0),IF(Painel!$I$23=0,0,MAX(10*PREMISSAS!$C$38,RESULTADOS!$F$17)))</f>
        <v>0</v>
      </c>
      <c r="E591" s="4">
        <f ca="1">D591*IF(RESULTADOS!$C$17="Normal",RESULTADOS!$C$16,0)</f>
        <v>0</v>
      </c>
      <c r="F591" s="4">
        <f ca="1">IFERROR(IF(RESULTADOS!$C$17="Normal",D591,C591)*RESULTADOS!$C$18,0)</f>
        <v>0</v>
      </c>
      <c r="G591" s="4">
        <f ca="1">IFERROR(IF(RESULTADOS!$C$17="Normal",0,D591)*IF(RESULTADOS!$C$17="Normal",RESULTADOS!$C$18,RESULTADOS!$C$16),0)</f>
        <v>0</v>
      </c>
      <c r="H591" s="4">
        <f ca="1">IF(RESULTADOS!$C$17="Normal",E591,0)</f>
        <v>0</v>
      </c>
      <c r="I591" s="4">
        <f ca="1">(E591+H591+G591)*PREMISSAS!$C$60</f>
        <v>0</v>
      </c>
      <c r="J591" s="4">
        <f ca="1">D591*IF(RESULTADOS!$C$17="Normal",PREMISSAS!$C$62,0)</f>
        <v>0</v>
      </c>
      <c r="K591" s="116">
        <f ca="1">IFERROR(K590*(1+PREMISSAS!$C$18)+(E591+H591-IF(RESULTADOS!$C$17="Normal",I591,0)-J591)*IF(MONTH(B591)=12,2,1),0)</f>
        <v>0</v>
      </c>
      <c r="L591" s="116">
        <f ca="1">IFERROR((L590+G591-IF(RESULTADOS!$C$17="Normal",0,I591))*(1+PREMISSAS!$C$18)+F591,0)</f>
        <v>0</v>
      </c>
      <c r="N591" s="73">
        <f t="shared" ca="1" si="73"/>
        <v>0</v>
      </c>
      <c r="P591" s="164" t="str">
        <f t="shared" ca="1" si="74"/>
        <v/>
      </c>
      <c r="Q591" s="140" t="str">
        <f ca="1">IF(C591="","",Q590+(E591+H591-IF(RESULTADOS!$C$17="Normal",I591,0)-J591)/2+(F591+G591-IF(RESULTADOS!$C$17="Normal",0,I591)))</f>
        <v/>
      </c>
      <c r="R591" s="140" t="str">
        <f ca="1">IF(C591="","",R590+(E591+H591-IF(RESULTADOS!$C$17="Normal",I591,0)-J591)/2)</f>
        <v/>
      </c>
      <c r="S591" s="140">
        <f t="shared" ca="1" si="75"/>
        <v>0</v>
      </c>
      <c r="U591" s="164" t="str">
        <f t="shared" ca="1" si="76"/>
        <v/>
      </c>
      <c r="V591" s="164" t="str">
        <f t="shared" ca="1" si="77"/>
        <v/>
      </c>
      <c r="W591" s="140">
        <f ca="1">IF(OR((W590-13/12*Z590)*(1+PREMISSAS!$C$16)&lt;0,W590=""),0,(W590-13/12*Z590)*(1+PREMISSAS!$C$16))</f>
        <v>0</v>
      </c>
      <c r="X591" s="140">
        <f ca="1">IF(OR((X590-13/12*AA590)*(1+PREMISSAS!$C$16)&lt;0,X590=""),0,(X590-13/12*AA590)*(1+PREMISSAS!$C$16))</f>
        <v>0</v>
      </c>
      <c r="Y591" s="140">
        <f t="shared" ca="1" si="78"/>
        <v>0</v>
      </c>
      <c r="Z591" s="167">
        <f t="shared" ca="1" si="79"/>
        <v>0</v>
      </c>
      <c r="AA591" s="167">
        <f t="shared" ca="1" si="80"/>
        <v>0</v>
      </c>
    </row>
    <row r="592" spans="2:27" x14ac:dyDescent="0.25">
      <c r="B592" s="21" t="str">
        <f ca="1">IF(B591="","",IF(EOMONTH(B591,1)&gt;EOMONTH(ELEGIBILIDADE!$J$17,0),"",EOMONTH(B591,1)))</f>
        <v/>
      </c>
      <c r="C592" s="22" t="str">
        <f ca="1">IF(B592="","",IF(MONTH(B592)=1,C591*(1+PREMISSAS!$C$57),C591))</f>
        <v/>
      </c>
      <c r="D592" s="22">
        <f ca="1">IF(RESULTADOS!$C$17="Normal",IFERROR(MAX(C592-PREMISSAS!$C$13,0),0),IF(Painel!$I$23=0,0,MAX(10*PREMISSAS!$C$38,RESULTADOS!$F$17)))</f>
        <v>0</v>
      </c>
      <c r="E592" s="4">
        <f ca="1">D592*IF(RESULTADOS!$C$17="Normal",RESULTADOS!$C$16,0)</f>
        <v>0</v>
      </c>
      <c r="F592" s="4">
        <f ca="1">IFERROR(IF(RESULTADOS!$C$17="Normal",D592,C592)*RESULTADOS!$C$18,0)</f>
        <v>0</v>
      </c>
      <c r="G592" s="4">
        <f ca="1">IFERROR(IF(RESULTADOS!$C$17="Normal",0,D592)*IF(RESULTADOS!$C$17="Normal",RESULTADOS!$C$18,RESULTADOS!$C$16),0)</f>
        <v>0</v>
      </c>
      <c r="H592" s="4">
        <f ca="1">IF(RESULTADOS!$C$17="Normal",E592,0)</f>
        <v>0</v>
      </c>
      <c r="I592" s="4">
        <f ca="1">(E592+H592+G592)*PREMISSAS!$C$60</f>
        <v>0</v>
      </c>
      <c r="J592" s="4">
        <f ca="1">D592*IF(RESULTADOS!$C$17="Normal",PREMISSAS!$C$62,0)</f>
        <v>0</v>
      </c>
      <c r="K592" s="116">
        <f ca="1">IFERROR(K591*(1+PREMISSAS!$C$18)+(E592+H592-IF(RESULTADOS!$C$17="Normal",I592,0)-J592)*IF(MONTH(B592)=12,2,1),0)</f>
        <v>0</v>
      </c>
      <c r="L592" s="116">
        <f ca="1">IFERROR((L591+G592-IF(RESULTADOS!$C$17="Normal",0,I592))*(1+PREMISSAS!$C$18)+F592,0)</f>
        <v>0</v>
      </c>
      <c r="N592" s="73">
        <f t="shared" ref="N592:N633" ca="1" si="81">IFERROR((E592+F592+G592)/C592,0)</f>
        <v>0</v>
      </c>
      <c r="P592" s="164" t="str">
        <f t="shared" ref="P592:P633" ca="1" si="82">IF(C592="","",B592)</f>
        <v/>
      </c>
      <c r="Q592" s="140" t="str">
        <f ca="1">IF(C592="","",Q591+(E592+H592-IF(RESULTADOS!$C$17="Normal",I592,0)-J592)/2+(F592+G592-IF(RESULTADOS!$C$17="Normal",0,I592)))</f>
        <v/>
      </c>
      <c r="R592" s="140" t="str">
        <f ca="1">IF(C592="","",R591+(E592+H592-IF(RESULTADOS!$C$17="Normal",I592,0)-J592)/2)</f>
        <v/>
      </c>
      <c r="S592" s="140">
        <f t="shared" ref="S592:S633" ca="1" si="83">SUM(K592:L592)-SUM(Q592:R592)</f>
        <v>0</v>
      </c>
      <c r="U592" s="164" t="str">
        <f t="shared" ref="U592:U633" ca="1" si="84">IF(Y592=0,"",EOMONTH(U591,1))</f>
        <v/>
      </c>
      <c r="V592" s="164" t="str">
        <f t="shared" ref="V592:V633" ca="1" si="85">IF(AA592&lt;&gt;"",U592,"")</f>
        <v/>
      </c>
      <c r="W592" s="140">
        <f ca="1">IF(OR((W591-13/12*Z591)*(1+PREMISSAS!$C$16)&lt;0,W591=""),0,(W591-13/12*Z591)*(1+PREMISSAS!$C$16))</f>
        <v>0</v>
      </c>
      <c r="X592" s="140">
        <f ca="1">IF(OR((X591-13/12*AA591)*(1+PREMISSAS!$C$16)&lt;0,X591=""),0,(X591-13/12*AA591)*(1+PREMISSAS!$C$16))</f>
        <v>0</v>
      </c>
      <c r="Y592" s="140">
        <f t="shared" ref="Y592:Y633" ca="1" si="86">SUM(W592:X592)</f>
        <v>0</v>
      </c>
      <c r="Z592" s="167">
        <f t="shared" ref="Z592:Z633" ca="1" si="87">IF(W592&lt;&gt;0,Z591,0)</f>
        <v>0</v>
      </c>
      <c r="AA592" s="167">
        <f t="shared" ca="1" si="80"/>
        <v>0</v>
      </c>
    </row>
    <row r="593" spans="2:27" x14ac:dyDescent="0.25">
      <c r="B593" s="21" t="str">
        <f ca="1">IF(B592="","",IF(EOMONTH(B592,1)&gt;EOMONTH(ELEGIBILIDADE!$J$17,0),"",EOMONTH(B592,1)))</f>
        <v/>
      </c>
      <c r="C593" s="22" t="str">
        <f ca="1">IF(B593="","",IF(MONTH(B593)=1,C592*(1+PREMISSAS!$C$57),C592))</f>
        <v/>
      </c>
      <c r="D593" s="22">
        <f ca="1">IF(RESULTADOS!$C$17="Normal",IFERROR(MAX(C593-PREMISSAS!$C$13,0),0),IF(Painel!$I$23=0,0,MAX(10*PREMISSAS!$C$38,RESULTADOS!$F$17)))</f>
        <v>0</v>
      </c>
      <c r="E593" s="4">
        <f ca="1">D593*IF(RESULTADOS!$C$17="Normal",RESULTADOS!$C$16,0)</f>
        <v>0</v>
      </c>
      <c r="F593" s="4">
        <f ca="1">IFERROR(IF(RESULTADOS!$C$17="Normal",D593,C593)*RESULTADOS!$C$18,0)</f>
        <v>0</v>
      </c>
      <c r="G593" s="4">
        <f ca="1">IFERROR(IF(RESULTADOS!$C$17="Normal",0,D593)*IF(RESULTADOS!$C$17="Normal",RESULTADOS!$C$18,RESULTADOS!$C$16),0)</f>
        <v>0</v>
      </c>
      <c r="H593" s="4">
        <f ca="1">IF(RESULTADOS!$C$17="Normal",E593,0)</f>
        <v>0</v>
      </c>
      <c r="I593" s="4">
        <f ca="1">(E593+H593+G593)*PREMISSAS!$C$60</f>
        <v>0</v>
      </c>
      <c r="J593" s="4">
        <f ca="1">D593*IF(RESULTADOS!$C$17="Normal",PREMISSAS!$C$62,0)</f>
        <v>0</v>
      </c>
      <c r="K593" s="116">
        <f ca="1">IFERROR(K592*(1+PREMISSAS!$C$18)+(E593+H593-IF(RESULTADOS!$C$17="Normal",I593,0)-J593)*IF(MONTH(B593)=12,2,1),0)</f>
        <v>0</v>
      </c>
      <c r="L593" s="116">
        <f ca="1">IFERROR((L592+G593-IF(RESULTADOS!$C$17="Normal",0,I593))*(1+PREMISSAS!$C$18)+F593,0)</f>
        <v>0</v>
      </c>
      <c r="N593" s="73">
        <f t="shared" ca="1" si="81"/>
        <v>0</v>
      </c>
      <c r="P593" s="164" t="str">
        <f t="shared" ca="1" si="82"/>
        <v/>
      </c>
      <c r="Q593" s="140" t="str">
        <f ca="1">IF(C593="","",Q592+(E593+H593-IF(RESULTADOS!$C$17="Normal",I593,0)-J593)/2+(F593+G593-IF(RESULTADOS!$C$17="Normal",0,I593)))</f>
        <v/>
      </c>
      <c r="R593" s="140" t="str">
        <f ca="1">IF(C593="","",R592+(E593+H593-IF(RESULTADOS!$C$17="Normal",I593,0)-J593)/2)</f>
        <v/>
      </c>
      <c r="S593" s="140">
        <f t="shared" ca="1" si="83"/>
        <v>0</v>
      </c>
      <c r="U593" s="164" t="str">
        <f t="shared" ca="1" si="84"/>
        <v/>
      </c>
      <c r="V593" s="164" t="str">
        <f t="shared" ca="1" si="85"/>
        <v/>
      </c>
      <c r="W593" s="140">
        <f ca="1">IF(OR((W592-13/12*Z592)*(1+PREMISSAS!$C$16)&lt;0,W592=""),0,(W592-13/12*Z592)*(1+PREMISSAS!$C$16))</f>
        <v>0</v>
      </c>
      <c r="X593" s="140">
        <f ca="1">IF(OR((X592-13/12*AA592)*(1+PREMISSAS!$C$16)&lt;0,X592=""),0,(X592-13/12*AA592)*(1+PREMISSAS!$C$16))</f>
        <v>0</v>
      </c>
      <c r="Y593" s="140">
        <f t="shared" ca="1" si="86"/>
        <v>0</v>
      </c>
      <c r="Z593" s="167">
        <f t="shared" ca="1" si="87"/>
        <v>0</v>
      </c>
      <c r="AA593" s="167">
        <f t="shared" ca="1" si="80"/>
        <v>0</v>
      </c>
    </row>
    <row r="594" spans="2:27" x14ac:dyDescent="0.25">
      <c r="B594" s="21" t="str">
        <f ca="1">IF(B593="","",IF(EOMONTH(B593,1)&gt;EOMONTH(ELEGIBILIDADE!$J$17,0),"",EOMONTH(B593,1)))</f>
        <v/>
      </c>
      <c r="C594" s="22" t="str">
        <f ca="1">IF(B594="","",IF(MONTH(B594)=1,C593*(1+PREMISSAS!$C$57),C593))</f>
        <v/>
      </c>
      <c r="D594" s="22">
        <f ca="1">IF(RESULTADOS!$C$17="Normal",IFERROR(MAX(C594-PREMISSAS!$C$13,0),0),IF(Painel!$I$23=0,0,MAX(10*PREMISSAS!$C$38,RESULTADOS!$F$17)))</f>
        <v>0</v>
      </c>
      <c r="E594" s="4">
        <f ca="1">D594*IF(RESULTADOS!$C$17="Normal",RESULTADOS!$C$16,0)</f>
        <v>0</v>
      </c>
      <c r="F594" s="4">
        <f ca="1">IFERROR(IF(RESULTADOS!$C$17="Normal",D594,C594)*RESULTADOS!$C$18,0)</f>
        <v>0</v>
      </c>
      <c r="G594" s="4">
        <f ca="1">IFERROR(IF(RESULTADOS!$C$17="Normal",0,D594)*IF(RESULTADOS!$C$17="Normal",RESULTADOS!$C$18,RESULTADOS!$C$16),0)</f>
        <v>0</v>
      </c>
      <c r="H594" s="4">
        <f ca="1">IF(RESULTADOS!$C$17="Normal",E594,0)</f>
        <v>0</v>
      </c>
      <c r="I594" s="4">
        <f ca="1">(E594+H594+G594)*PREMISSAS!$C$60</f>
        <v>0</v>
      </c>
      <c r="J594" s="4">
        <f ca="1">D594*IF(RESULTADOS!$C$17="Normal",PREMISSAS!$C$62,0)</f>
        <v>0</v>
      </c>
      <c r="K594" s="116">
        <f ca="1">IFERROR(K593*(1+PREMISSAS!$C$18)+(E594+H594-IF(RESULTADOS!$C$17="Normal",I594,0)-J594)*IF(MONTH(B594)=12,2,1),0)</f>
        <v>0</v>
      </c>
      <c r="L594" s="116">
        <f ca="1">IFERROR((L593+G594-IF(RESULTADOS!$C$17="Normal",0,I594))*(1+PREMISSAS!$C$18)+F594,0)</f>
        <v>0</v>
      </c>
      <c r="N594" s="73">
        <f t="shared" ca="1" si="81"/>
        <v>0</v>
      </c>
      <c r="P594" s="164" t="str">
        <f t="shared" ca="1" si="82"/>
        <v/>
      </c>
      <c r="Q594" s="140" t="str">
        <f ca="1">IF(C594="","",Q593+(E594+H594-IF(RESULTADOS!$C$17="Normal",I594,0)-J594)/2+(F594+G594-IF(RESULTADOS!$C$17="Normal",0,I594)))</f>
        <v/>
      </c>
      <c r="R594" s="140" t="str">
        <f ca="1">IF(C594="","",R593+(E594+H594-IF(RESULTADOS!$C$17="Normal",I594,0)-J594)/2)</f>
        <v/>
      </c>
      <c r="S594" s="140">
        <f t="shared" ca="1" si="83"/>
        <v>0</v>
      </c>
      <c r="U594" s="164" t="str">
        <f t="shared" ca="1" si="84"/>
        <v/>
      </c>
      <c r="V594" s="164" t="str">
        <f t="shared" ca="1" si="85"/>
        <v/>
      </c>
      <c r="W594" s="140">
        <f ca="1">IF(OR((W593-13/12*Z593)*(1+PREMISSAS!$C$16)&lt;0,W593=""),0,(W593-13/12*Z593)*(1+PREMISSAS!$C$16))</f>
        <v>0</v>
      </c>
      <c r="X594" s="140">
        <f ca="1">IF(OR((X593-13/12*AA593)*(1+PREMISSAS!$C$16)&lt;0,X593=""),0,(X593-13/12*AA593)*(1+PREMISSAS!$C$16))</f>
        <v>0</v>
      </c>
      <c r="Y594" s="140">
        <f t="shared" ca="1" si="86"/>
        <v>0</v>
      </c>
      <c r="Z594" s="167">
        <f t="shared" ca="1" si="87"/>
        <v>0</v>
      </c>
      <c r="AA594" s="167">
        <f t="shared" ca="1" si="80"/>
        <v>0</v>
      </c>
    </row>
    <row r="595" spans="2:27" x14ac:dyDescent="0.25">
      <c r="B595" s="21" t="str">
        <f ca="1">IF(B594="","",IF(EOMONTH(B594,1)&gt;EOMONTH(ELEGIBILIDADE!$J$17,0),"",EOMONTH(B594,1)))</f>
        <v/>
      </c>
      <c r="C595" s="22" t="str">
        <f ca="1">IF(B595="","",IF(MONTH(B595)=1,C594*(1+PREMISSAS!$C$57),C594))</f>
        <v/>
      </c>
      <c r="D595" s="22">
        <f ca="1">IF(RESULTADOS!$C$17="Normal",IFERROR(MAX(C595-PREMISSAS!$C$13,0),0),IF(Painel!$I$23=0,0,MAX(10*PREMISSAS!$C$38,RESULTADOS!$F$17)))</f>
        <v>0</v>
      </c>
      <c r="E595" s="4">
        <f ca="1">D595*IF(RESULTADOS!$C$17="Normal",RESULTADOS!$C$16,0)</f>
        <v>0</v>
      </c>
      <c r="F595" s="4">
        <f ca="1">IFERROR(IF(RESULTADOS!$C$17="Normal",D595,C595)*RESULTADOS!$C$18,0)</f>
        <v>0</v>
      </c>
      <c r="G595" s="4">
        <f ca="1">IFERROR(IF(RESULTADOS!$C$17="Normal",0,D595)*IF(RESULTADOS!$C$17="Normal",RESULTADOS!$C$18,RESULTADOS!$C$16),0)</f>
        <v>0</v>
      </c>
      <c r="H595" s="4">
        <f ca="1">IF(RESULTADOS!$C$17="Normal",E595,0)</f>
        <v>0</v>
      </c>
      <c r="I595" s="4">
        <f ca="1">(E595+H595+G595)*PREMISSAS!$C$60</f>
        <v>0</v>
      </c>
      <c r="J595" s="4">
        <f ca="1">D595*IF(RESULTADOS!$C$17="Normal",PREMISSAS!$C$62,0)</f>
        <v>0</v>
      </c>
      <c r="K595" s="116">
        <f ca="1">IFERROR(K594*(1+PREMISSAS!$C$18)+(E595+H595-IF(RESULTADOS!$C$17="Normal",I595,0)-J595)*IF(MONTH(B595)=12,2,1),0)</f>
        <v>0</v>
      </c>
      <c r="L595" s="116">
        <f ca="1">IFERROR((L594+G595-IF(RESULTADOS!$C$17="Normal",0,I595))*(1+PREMISSAS!$C$18)+F595,0)</f>
        <v>0</v>
      </c>
      <c r="N595" s="73">
        <f t="shared" ca="1" si="81"/>
        <v>0</v>
      </c>
      <c r="P595" s="164" t="str">
        <f t="shared" ca="1" si="82"/>
        <v/>
      </c>
      <c r="Q595" s="140" t="str">
        <f ca="1">IF(C595="","",Q594+(E595+H595-IF(RESULTADOS!$C$17="Normal",I595,0)-J595)/2+(F595+G595-IF(RESULTADOS!$C$17="Normal",0,I595)))</f>
        <v/>
      </c>
      <c r="R595" s="140" t="str">
        <f ca="1">IF(C595="","",R594+(E595+H595-IF(RESULTADOS!$C$17="Normal",I595,0)-J595)/2)</f>
        <v/>
      </c>
      <c r="S595" s="140">
        <f t="shared" ca="1" si="83"/>
        <v>0</v>
      </c>
      <c r="U595" s="164" t="str">
        <f t="shared" ca="1" si="84"/>
        <v/>
      </c>
      <c r="V595" s="164" t="str">
        <f t="shared" ca="1" si="85"/>
        <v/>
      </c>
      <c r="W595" s="140">
        <f ca="1">IF(OR((W594-13/12*Z594)*(1+PREMISSAS!$C$16)&lt;0,W594=""),0,(W594-13/12*Z594)*(1+PREMISSAS!$C$16))</f>
        <v>0</v>
      </c>
      <c r="X595" s="140">
        <f ca="1">IF(OR((X594-13/12*AA594)*(1+PREMISSAS!$C$16)&lt;0,X594=""),0,(X594-13/12*AA594)*(1+PREMISSAS!$C$16))</f>
        <v>0</v>
      </c>
      <c r="Y595" s="140">
        <f t="shared" ca="1" si="86"/>
        <v>0</v>
      </c>
      <c r="Z595" s="167">
        <f t="shared" ca="1" si="87"/>
        <v>0</v>
      </c>
      <c r="AA595" s="167">
        <f t="shared" ca="1" si="80"/>
        <v>0</v>
      </c>
    </row>
    <row r="596" spans="2:27" x14ac:dyDescent="0.25">
      <c r="B596" s="21" t="str">
        <f ca="1">IF(B595="","",IF(EOMONTH(B595,1)&gt;EOMONTH(ELEGIBILIDADE!$J$17,0),"",EOMONTH(B595,1)))</f>
        <v/>
      </c>
      <c r="C596" s="22" t="str">
        <f ca="1">IF(B596="","",IF(MONTH(B596)=1,C595*(1+PREMISSAS!$C$57),C595))</f>
        <v/>
      </c>
      <c r="D596" s="22">
        <f ca="1">IF(RESULTADOS!$C$17="Normal",IFERROR(MAX(C596-PREMISSAS!$C$13,0),0),IF(Painel!$I$23=0,0,MAX(10*PREMISSAS!$C$38,RESULTADOS!$F$17)))</f>
        <v>0</v>
      </c>
      <c r="E596" s="4">
        <f ca="1">D596*IF(RESULTADOS!$C$17="Normal",RESULTADOS!$C$16,0)</f>
        <v>0</v>
      </c>
      <c r="F596" s="4">
        <f ca="1">IFERROR(IF(RESULTADOS!$C$17="Normal",D596,C596)*RESULTADOS!$C$18,0)</f>
        <v>0</v>
      </c>
      <c r="G596" s="4">
        <f ca="1">IFERROR(IF(RESULTADOS!$C$17="Normal",0,D596)*IF(RESULTADOS!$C$17="Normal",RESULTADOS!$C$18,RESULTADOS!$C$16),0)</f>
        <v>0</v>
      </c>
      <c r="H596" s="4">
        <f ca="1">IF(RESULTADOS!$C$17="Normal",E596,0)</f>
        <v>0</v>
      </c>
      <c r="I596" s="4">
        <f ca="1">(E596+H596+G596)*PREMISSAS!$C$60</f>
        <v>0</v>
      </c>
      <c r="J596" s="4">
        <f ca="1">D596*IF(RESULTADOS!$C$17="Normal",PREMISSAS!$C$62,0)</f>
        <v>0</v>
      </c>
      <c r="K596" s="116">
        <f ca="1">IFERROR(K595*(1+PREMISSAS!$C$18)+(E596+H596-IF(RESULTADOS!$C$17="Normal",I596,0)-J596)*IF(MONTH(B596)=12,2,1),0)</f>
        <v>0</v>
      </c>
      <c r="L596" s="116">
        <f ca="1">IFERROR((L595+G596-IF(RESULTADOS!$C$17="Normal",0,I596))*(1+PREMISSAS!$C$18)+F596,0)</f>
        <v>0</v>
      </c>
      <c r="N596" s="73">
        <f t="shared" ca="1" si="81"/>
        <v>0</v>
      </c>
      <c r="P596" s="164" t="str">
        <f t="shared" ca="1" si="82"/>
        <v/>
      </c>
      <c r="Q596" s="140" t="str">
        <f ca="1">IF(C596="","",Q595+(E596+H596-IF(RESULTADOS!$C$17="Normal",I596,0)-J596)/2+(F596+G596-IF(RESULTADOS!$C$17="Normal",0,I596)))</f>
        <v/>
      </c>
      <c r="R596" s="140" t="str">
        <f ca="1">IF(C596="","",R595+(E596+H596-IF(RESULTADOS!$C$17="Normal",I596,0)-J596)/2)</f>
        <v/>
      </c>
      <c r="S596" s="140">
        <f t="shared" ca="1" si="83"/>
        <v>0</v>
      </c>
      <c r="U596" s="164" t="str">
        <f t="shared" ca="1" si="84"/>
        <v/>
      </c>
      <c r="V596" s="164" t="str">
        <f t="shared" ca="1" si="85"/>
        <v/>
      </c>
      <c r="W596" s="140">
        <f ca="1">IF(OR((W595-13/12*Z595)*(1+PREMISSAS!$C$16)&lt;0,W595=""),0,(W595-13/12*Z595)*(1+PREMISSAS!$C$16))</f>
        <v>0</v>
      </c>
      <c r="X596" s="140">
        <f ca="1">IF(OR((X595-13/12*AA595)*(1+PREMISSAS!$C$16)&lt;0,X595=""),0,(X595-13/12*AA595)*(1+PREMISSAS!$C$16))</f>
        <v>0</v>
      </c>
      <c r="Y596" s="140">
        <f t="shared" ca="1" si="86"/>
        <v>0</v>
      </c>
      <c r="Z596" s="167">
        <f t="shared" ca="1" si="87"/>
        <v>0</v>
      </c>
      <c r="AA596" s="167">
        <f t="shared" ca="1" si="80"/>
        <v>0</v>
      </c>
    </row>
    <row r="597" spans="2:27" x14ac:dyDescent="0.25">
      <c r="B597" s="21" t="str">
        <f ca="1">IF(B596="","",IF(EOMONTH(B596,1)&gt;EOMONTH(ELEGIBILIDADE!$J$17,0),"",EOMONTH(B596,1)))</f>
        <v/>
      </c>
      <c r="C597" s="22" t="str">
        <f ca="1">IF(B597="","",IF(MONTH(B597)=1,C596*(1+PREMISSAS!$C$57),C596))</f>
        <v/>
      </c>
      <c r="D597" s="22">
        <f ca="1">IF(RESULTADOS!$C$17="Normal",IFERROR(MAX(C597-PREMISSAS!$C$13,0),0),IF(Painel!$I$23=0,0,MAX(10*PREMISSAS!$C$38,RESULTADOS!$F$17)))</f>
        <v>0</v>
      </c>
      <c r="E597" s="4">
        <f ca="1">D597*IF(RESULTADOS!$C$17="Normal",RESULTADOS!$C$16,0)</f>
        <v>0</v>
      </c>
      <c r="F597" s="4">
        <f ca="1">IFERROR(IF(RESULTADOS!$C$17="Normal",D597,C597)*RESULTADOS!$C$18,0)</f>
        <v>0</v>
      </c>
      <c r="G597" s="4">
        <f ca="1">IFERROR(IF(RESULTADOS!$C$17="Normal",0,D597)*IF(RESULTADOS!$C$17="Normal",RESULTADOS!$C$18,RESULTADOS!$C$16),0)</f>
        <v>0</v>
      </c>
      <c r="H597" s="4">
        <f ca="1">IF(RESULTADOS!$C$17="Normal",E597,0)</f>
        <v>0</v>
      </c>
      <c r="I597" s="4">
        <f ca="1">(E597+H597+G597)*PREMISSAS!$C$60</f>
        <v>0</v>
      </c>
      <c r="J597" s="4">
        <f ca="1">D597*IF(RESULTADOS!$C$17="Normal",PREMISSAS!$C$62,0)</f>
        <v>0</v>
      </c>
      <c r="K597" s="116">
        <f ca="1">IFERROR(K596*(1+PREMISSAS!$C$18)+(E597+H597-IF(RESULTADOS!$C$17="Normal",I597,0)-J597)*IF(MONTH(B597)=12,2,1),0)</f>
        <v>0</v>
      </c>
      <c r="L597" s="116">
        <f ca="1">IFERROR((L596+G597-IF(RESULTADOS!$C$17="Normal",0,I597))*(1+PREMISSAS!$C$18)+F597,0)</f>
        <v>0</v>
      </c>
      <c r="N597" s="73">
        <f t="shared" ca="1" si="81"/>
        <v>0</v>
      </c>
      <c r="P597" s="164" t="str">
        <f t="shared" ca="1" si="82"/>
        <v/>
      </c>
      <c r="Q597" s="140" t="str">
        <f ca="1">IF(C597="","",Q596+(E597+H597-IF(RESULTADOS!$C$17="Normal",I597,0)-J597)/2+(F597+G597-IF(RESULTADOS!$C$17="Normal",0,I597)))</f>
        <v/>
      </c>
      <c r="R597" s="140" t="str">
        <f ca="1">IF(C597="","",R596+(E597+H597-IF(RESULTADOS!$C$17="Normal",I597,0)-J597)/2)</f>
        <v/>
      </c>
      <c r="S597" s="140">
        <f t="shared" ca="1" si="83"/>
        <v>0</v>
      </c>
      <c r="U597" s="164" t="str">
        <f t="shared" ca="1" si="84"/>
        <v/>
      </c>
      <c r="V597" s="164" t="str">
        <f t="shared" ca="1" si="85"/>
        <v/>
      </c>
      <c r="W597" s="140">
        <f ca="1">IF(OR((W596-13/12*Z596)*(1+PREMISSAS!$C$16)&lt;0,W596=""),0,(W596-13/12*Z596)*(1+PREMISSAS!$C$16))</f>
        <v>0</v>
      </c>
      <c r="X597" s="140">
        <f ca="1">IF(OR((X596-13/12*AA596)*(1+PREMISSAS!$C$16)&lt;0,X596=""),0,(X596-13/12*AA596)*(1+PREMISSAS!$C$16))</f>
        <v>0</v>
      </c>
      <c r="Y597" s="140">
        <f t="shared" ca="1" si="86"/>
        <v>0</v>
      </c>
      <c r="Z597" s="167">
        <f t="shared" ca="1" si="87"/>
        <v>0</v>
      </c>
      <c r="AA597" s="167">
        <f t="shared" ca="1" si="80"/>
        <v>0</v>
      </c>
    </row>
    <row r="598" spans="2:27" x14ac:dyDescent="0.25">
      <c r="B598" s="21" t="str">
        <f ca="1">IF(B597="","",IF(EOMONTH(B597,1)&gt;EOMONTH(ELEGIBILIDADE!$J$17,0),"",EOMONTH(B597,1)))</f>
        <v/>
      </c>
      <c r="C598" s="22" t="str">
        <f ca="1">IF(B598="","",IF(MONTH(B598)=1,C597*(1+PREMISSAS!$C$57),C597))</f>
        <v/>
      </c>
      <c r="D598" s="22">
        <f ca="1">IF(RESULTADOS!$C$17="Normal",IFERROR(MAX(C598-PREMISSAS!$C$13,0),0),IF(Painel!$I$23=0,0,MAX(10*PREMISSAS!$C$38,RESULTADOS!$F$17)))</f>
        <v>0</v>
      </c>
      <c r="E598" s="4">
        <f ca="1">D598*IF(RESULTADOS!$C$17="Normal",RESULTADOS!$C$16,0)</f>
        <v>0</v>
      </c>
      <c r="F598" s="4">
        <f ca="1">IFERROR(IF(RESULTADOS!$C$17="Normal",D598,C598)*RESULTADOS!$C$18,0)</f>
        <v>0</v>
      </c>
      <c r="G598" s="4">
        <f ca="1">IFERROR(IF(RESULTADOS!$C$17="Normal",0,D598)*IF(RESULTADOS!$C$17="Normal",RESULTADOS!$C$18,RESULTADOS!$C$16),0)</f>
        <v>0</v>
      </c>
      <c r="H598" s="4">
        <f ca="1">IF(RESULTADOS!$C$17="Normal",E598,0)</f>
        <v>0</v>
      </c>
      <c r="I598" s="4">
        <f ca="1">(E598+H598+G598)*PREMISSAS!$C$60</f>
        <v>0</v>
      </c>
      <c r="J598" s="4">
        <f ca="1">D598*IF(RESULTADOS!$C$17="Normal",PREMISSAS!$C$62,0)</f>
        <v>0</v>
      </c>
      <c r="K598" s="116">
        <f ca="1">IFERROR(K597*(1+PREMISSAS!$C$18)+(E598+H598-IF(RESULTADOS!$C$17="Normal",I598,0)-J598)*IF(MONTH(B598)=12,2,1),0)</f>
        <v>0</v>
      </c>
      <c r="L598" s="116">
        <f ca="1">IFERROR((L597+G598-IF(RESULTADOS!$C$17="Normal",0,I598))*(1+PREMISSAS!$C$18)+F598,0)</f>
        <v>0</v>
      </c>
      <c r="N598" s="73">
        <f t="shared" ca="1" si="81"/>
        <v>0</v>
      </c>
      <c r="P598" s="164" t="str">
        <f t="shared" ca="1" si="82"/>
        <v/>
      </c>
      <c r="Q598" s="140" t="str">
        <f ca="1">IF(C598="","",Q597+(E598+H598-IF(RESULTADOS!$C$17="Normal",I598,0)-J598)/2+(F598+G598-IF(RESULTADOS!$C$17="Normal",0,I598)))</f>
        <v/>
      </c>
      <c r="R598" s="140" t="str">
        <f ca="1">IF(C598="","",R597+(E598+H598-IF(RESULTADOS!$C$17="Normal",I598,0)-J598)/2)</f>
        <v/>
      </c>
      <c r="S598" s="140">
        <f t="shared" ca="1" si="83"/>
        <v>0</v>
      </c>
      <c r="U598" s="164" t="str">
        <f t="shared" ca="1" si="84"/>
        <v/>
      </c>
      <c r="V598" s="164" t="str">
        <f t="shared" ca="1" si="85"/>
        <v/>
      </c>
      <c r="W598" s="140">
        <f ca="1">IF(OR((W597-13/12*Z597)*(1+PREMISSAS!$C$16)&lt;0,W597=""),0,(W597-13/12*Z597)*(1+PREMISSAS!$C$16))</f>
        <v>0</v>
      </c>
      <c r="X598" s="140">
        <f ca="1">IF(OR((X597-13/12*AA597)*(1+PREMISSAS!$C$16)&lt;0,X597=""),0,(X597-13/12*AA597)*(1+PREMISSAS!$C$16))</f>
        <v>0</v>
      </c>
      <c r="Y598" s="140">
        <f t="shared" ca="1" si="86"/>
        <v>0</v>
      </c>
      <c r="Z598" s="167">
        <f t="shared" ca="1" si="87"/>
        <v>0</v>
      </c>
      <c r="AA598" s="167">
        <f t="shared" ca="1" si="80"/>
        <v>0</v>
      </c>
    </row>
    <row r="599" spans="2:27" x14ac:dyDescent="0.25">
      <c r="B599" s="21" t="str">
        <f ca="1">IF(B598="","",IF(EOMONTH(B598,1)&gt;EOMONTH(ELEGIBILIDADE!$J$17,0),"",EOMONTH(B598,1)))</f>
        <v/>
      </c>
      <c r="C599" s="22" t="str">
        <f ca="1">IF(B599="","",IF(MONTH(B599)=1,C598*(1+PREMISSAS!$C$57),C598))</f>
        <v/>
      </c>
      <c r="D599" s="22">
        <f ca="1">IF(RESULTADOS!$C$17="Normal",IFERROR(MAX(C599-PREMISSAS!$C$13,0),0),IF(Painel!$I$23=0,0,MAX(10*PREMISSAS!$C$38,RESULTADOS!$F$17)))</f>
        <v>0</v>
      </c>
      <c r="E599" s="4">
        <f ca="1">D599*IF(RESULTADOS!$C$17="Normal",RESULTADOS!$C$16,0)</f>
        <v>0</v>
      </c>
      <c r="F599" s="4">
        <f ca="1">IFERROR(IF(RESULTADOS!$C$17="Normal",D599,C599)*RESULTADOS!$C$18,0)</f>
        <v>0</v>
      </c>
      <c r="G599" s="4">
        <f ca="1">IFERROR(IF(RESULTADOS!$C$17="Normal",0,D599)*IF(RESULTADOS!$C$17="Normal",RESULTADOS!$C$18,RESULTADOS!$C$16),0)</f>
        <v>0</v>
      </c>
      <c r="H599" s="4">
        <f ca="1">IF(RESULTADOS!$C$17="Normal",E599,0)</f>
        <v>0</v>
      </c>
      <c r="I599" s="4">
        <f ca="1">(E599+H599+G599)*PREMISSAS!$C$60</f>
        <v>0</v>
      </c>
      <c r="J599" s="4">
        <f ca="1">D599*IF(RESULTADOS!$C$17="Normal",PREMISSAS!$C$62,0)</f>
        <v>0</v>
      </c>
      <c r="K599" s="116">
        <f ca="1">IFERROR(K598*(1+PREMISSAS!$C$18)+(E599+H599-IF(RESULTADOS!$C$17="Normal",I599,0)-J599)*IF(MONTH(B599)=12,2,1),0)</f>
        <v>0</v>
      </c>
      <c r="L599" s="116">
        <f ca="1">IFERROR((L598+G599-IF(RESULTADOS!$C$17="Normal",0,I599))*(1+PREMISSAS!$C$18)+F599,0)</f>
        <v>0</v>
      </c>
      <c r="N599" s="73">
        <f t="shared" ca="1" si="81"/>
        <v>0</v>
      </c>
      <c r="P599" s="164" t="str">
        <f t="shared" ca="1" si="82"/>
        <v/>
      </c>
      <c r="Q599" s="140" t="str">
        <f ca="1">IF(C599="","",Q598+(E599+H599-IF(RESULTADOS!$C$17="Normal",I599,0)-J599)/2+(F599+G599-IF(RESULTADOS!$C$17="Normal",0,I599)))</f>
        <v/>
      </c>
      <c r="R599" s="140" t="str">
        <f ca="1">IF(C599="","",R598+(E599+H599-IF(RESULTADOS!$C$17="Normal",I599,0)-J599)/2)</f>
        <v/>
      </c>
      <c r="S599" s="140">
        <f t="shared" ca="1" si="83"/>
        <v>0</v>
      </c>
      <c r="U599" s="164" t="str">
        <f t="shared" ca="1" si="84"/>
        <v/>
      </c>
      <c r="V599" s="164" t="str">
        <f t="shared" ca="1" si="85"/>
        <v/>
      </c>
      <c r="W599" s="140">
        <f ca="1">IF(OR((W598-13/12*Z598)*(1+PREMISSAS!$C$16)&lt;0,W598=""),0,(W598-13/12*Z598)*(1+PREMISSAS!$C$16))</f>
        <v>0</v>
      </c>
      <c r="X599" s="140">
        <f ca="1">IF(OR((X598-13/12*AA598)*(1+PREMISSAS!$C$16)&lt;0,X598=""),0,(X598-13/12*AA598)*(1+PREMISSAS!$C$16))</f>
        <v>0</v>
      </c>
      <c r="Y599" s="140">
        <f t="shared" ca="1" si="86"/>
        <v>0</v>
      </c>
      <c r="Z599" s="167">
        <f t="shared" ca="1" si="87"/>
        <v>0</v>
      </c>
      <c r="AA599" s="167">
        <f t="shared" ca="1" si="80"/>
        <v>0</v>
      </c>
    </row>
    <row r="600" spans="2:27" x14ac:dyDescent="0.25">
      <c r="B600" s="21" t="str">
        <f ca="1">IF(B599="","",IF(EOMONTH(B599,1)&gt;EOMONTH(ELEGIBILIDADE!$J$17,0),"",EOMONTH(B599,1)))</f>
        <v/>
      </c>
      <c r="C600" s="22" t="str">
        <f ca="1">IF(B600="","",IF(MONTH(B600)=1,C599*(1+PREMISSAS!$C$57),C599))</f>
        <v/>
      </c>
      <c r="D600" s="22">
        <f ca="1">IF(RESULTADOS!$C$17="Normal",IFERROR(MAX(C600-PREMISSAS!$C$13,0),0),IF(Painel!$I$23=0,0,MAX(10*PREMISSAS!$C$38,RESULTADOS!$F$17)))</f>
        <v>0</v>
      </c>
      <c r="E600" s="4">
        <f ca="1">D600*IF(RESULTADOS!$C$17="Normal",RESULTADOS!$C$16,0)</f>
        <v>0</v>
      </c>
      <c r="F600" s="4">
        <f ca="1">IFERROR(IF(RESULTADOS!$C$17="Normal",D600,C600)*RESULTADOS!$C$18,0)</f>
        <v>0</v>
      </c>
      <c r="G600" s="4">
        <f ca="1">IFERROR(IF(RESULTADOS!$C$17="Normal",0,D600)*IF(RESULTADOS!$C$17="Normal",RESULTADOS!$C$18,RESULTADOS!$C$16),0)</f>
        <v>0</v>
      </c>
      <c r="H600" s="4">
        <f ca="1">IF(RESULTADOS!$C$17="Normal",E600,0)</f>
        <v>0</v>
      </c>
      <c r="I600" s="4">
        <f ca="1">(E600+H600+G600)*PREMISSAS!$C$60</f>
        <v>0</v>
      </c>
      <c r="J600" s="4">
        <f ca="1">D600*IF(RESULTADOS!$C$17="Normal",PREMISSAS!$C$62,0)</f>
        <v>0</v>
      </c>
      <c r="K600" s="116">
        <f ca="1">IFERROR(K599*(1+PREMISSAS!$C$18)+(E600+H600-IF(RESULTADOS!$C$17="Normal",I600,0)-J600)*IF(MONTH(B600)=12,2,1),0)</f>
        <v>0</v>
      </c>
      <c r="L600" s="116">
        <f ca="1">IFERROR((L599+G600-IF(RESULTADOS!$C$17="Normal",0,I600))*(1+PREMISSAS!$C$18)+F600,0)</f>
        <v>0</v>
      </c>
      <c r="N600" s="73">
        <f t="shared" ca="1" si="81"/>
        <v>0</v>
      </c>
      <c r="P600" s="164" t="str">
        <f t="shared" ca="1" si="82"/>
        <v/>
      </c>
      <c r="Q600" s="140" t="str">
        <f ca="1">IF(C600="","",Q599+(E600+H600-IF(RESULTADOS!$C$17="Normal",I600,0)-J600)/2+(F600+G600-IF(RESULTADOS!$C$17="Normal",0,I600)))</f>
        <v/>
      </c>
      <c r="R600" s="140" t="str">
        <f ca="1">IF(C600="","",R599+(E600+H600-IF(RESULTADOS!$C$17="Normal",I600,0)-J600)/2)</f>
        <v/>
      </c>
      <c r="S600" s="140">
        <f t="shared" ca="1" si="83"/>
        <v>0</v>
      </c>
      <c r="U600" s="164" t="str">
        <f t="shared" ca="1" si="84"/>
        <v/>
      </c>
      <c r="V600" s="164" t="str">
        <f t="shared" ca="1" si="85"/>
        <v/>
      </c>
      <c r="W600" s="140">
        <f ca="1">IF(OR((W599-13/12*Z599)*(1+PREMISSAS!$C$16)&lt;0,W599=""),0,(W599-13/12*Z599)*(1+PREMISSAS!$C$16))</f>
        <v>0</v>
      </c>
      <c r="X600" s="140">
        <f ca="1">IF(OR((X599-13/12*AA599)*(1+PREMISSAS!$C$16)&lt;0,X599=""),0,(X599-13/12*AA599)*(1+PREMISSAS!$C$16))</f>
        <v>0</v>
      </c>
      <c r="Y600" s="140">
        <f t="shared" ca="1" si="86"/>
        <v>0</v>
      </c>
      <c r="Z600" s="167">
        <f t="shared" ca="1" si="87"/>
        <v>0</v>
      </c>
      <c r="AA600" s="167">
        <f t="shared" ca="1" si="80"/>
        <v>0</v>
      </c>
    </row>
    <row r="601" spans="2:27" x14ac:dyDescent="0.25">
      <c r="B601" s="21" t="str">
        <f ca="1">IF(B600="","",IF(EOMONTH(B600,1)&gt;EOMONTH(ELEGIBILIDADE!$J$17,0),"",EOMONTH(B600,1)))</f>
        <v/>
      </c>
      <c r="C601" s="22" t="str">
        <f ca="1">IF(B601="","",IF(MONTH(B601)=1,C600*(1+PREMISSAS!$C$57),C600))</f>
        <v/>
      </c>
      <c r="D601" s="22">
        <f ca="1">IF(RESULTADOS!$C$17="Normal",IFERROR(MAX(C601-PREMISSAS!$C$13,0),0),IF(Painel!$I$23=0,0,MAX(10*PREMISSAS!$C$38,RESULTADOS!$F$17)))</f>
        <v>0</v>
      </c>
      <c r="E601" s="4">
        <f ca="1">D601*IF(RESULTADOS!$C$17="Normal",RESULTADOS!$C$16,0)</f>
        <v>0</v>
      </c>
      <c r="F601" s="4">
        <f ca="1">IFERROR(IF(RESULTADOS!$C$17="Normal",D601,C601)*RESULTADOS!$C$18,0)</f>
        <v>0</v>
      </c>
      <c r="G601" s="4">
        <f ca="1">IFERROR(IF(RESULTADOS!$C$17="Normal",0,D601)*IF(RESULTADOS!$C$17="Normal",RESULTADOS!$C$18,RESULTADOS!$C$16),0)</f>
        <v>0</v>
      </c>
      <c r="H601" s="4">
        <f ca="1">IF(RESULTADOS!$C$17="Normal",E601,0)</f>
        <v>0</v>
      </c>
      <c r="I601" s="4">
        <f ca="1">(E601+H601+G601)*PREMISSAS!$C$60</f>
        <v>0</v>
      </c>
      <c r="J601" s="4">
        <f ca="1">D601*IF(RESULTADOS!$C$17="Normal",PREMISSAS!$C$62,0)</f>
        <v>0</v>
      </c>
      <c r="K601" s="116">
        <f ca="1">IFERROR(K600*(1+PREMISSAS!$C$18)+(E601+H601-IF(RESULTADOS!$C$17="Normal",I601,0)-J601)*IF(MONTH(B601)=12,2,1),0)</f>
        <v>0</v>
      </c>
      <c r="L601" s="116">
        <f ca="1">IFERROR((L600+G601-IF(RESULTADOS!$C$17="Normal",0,I601))*(1+PREMISSAS!$C$18)+F601,0)</f>
        <v>0</v>
      </c>
      <c r="N601" s="73">
        <f t="shared" ca="1" si="81"/>
        <v>0</v>
      </c>
      <c r="P601" s="164" t="str">
        <f t="shared" ca="1" si="82"/>
        <v/>
      </c>
      <c r="Q601" s="140" t="str">
        <f ca="1">IF(C601="","",Q600+(E601+H601-IF(RESULTADOS!$C$17="Normal",I601,0)-J601)/2+(F601+G601-IF(RESULTADOS!$C$17="Normal",0,I601)))</f>
        <v/>
      </c>
      <c r="R601" s="140" t="str">
        <f ca="1">IF(C601="","",R600+(E601+H601-IF(RESULTADOS!$C$17="Normal",I601,0)-J601)/2)</f>
        <v/>
      </c>
      <c r="S601" s="140">
        <f t="shared" ca="1" si="83"/>
        <v>0</v>
      </c>
      <c r="U601" s="164" t="str">
        <f t="shared" ca="1" si="84"/>
        <v/>
      </c>
      <c r="V601" s="164" t="str">
        <f t="shared" ca="1" si="85"/>
        <v/>
      </c>
      <c r="W601" s="140">
        <f ca="1">IF(OR((W600-13/12*Z600)*(1+PREMISSAS!$C$16)&lt;0,W600=""),0,(W600-13/12*Z600)*(1+PREMISSAS!$C$16))</f>
        <v>0</v>
      </c>
      <c r="X601" s="140">
        <f ca="1">IF(OR((X600-13/12*AA600)*(1+PREMISSAS!$C$16)&lt;0,X600=""),0,(X600-13/12*AA600)*(1+PREMISSAS!$C$16))</f>
        <v>0</v>
      </c>
      <c r="Y601" s="140">
        <f t="shared" ca="1" si="86"/>
        <v>0</v>
      </c>
      <c r="Z601" s="167">
        <f t="shared" ca="1" si="87"/>
        <v>0</v>
      </c>
      <c r="AA601" s="167">
        <f t="shared" ca="1" si="80"/>
        <v>0</v>
      </c>
    </row>
    <row r="602" spans="2:27" x14ac:dyDescent="0.25">
      <c r="B602" s="21" t="str">
        <f ca="1">IF(B601="","",IF(EOMONTH(B601,1)&gt;EOMONTH(ELEGIBILIDADE!$J$17,0),"",EOMONTH(B601,1)))</f>
        <v/>
      </c>
      <c r="C602" s="22" t="str">
        <f ca="1">IF(B602="","",IF(MONTH(B602)=1,C601*(1+PREMISSAS!$C$57),C601))</f>
        <v/>
      </c>
      <c r="D602" s="22">
        <f ca="1">IF(RESULTADOS!$C$17="Normal",IFERROR(MAX(C602-PREMISSAS!$C$13,0),0),IF(Painel!$I$23=0,0,MAX(10*PREMISSAS!$C$38,RESULTADOS!$F$17)))</f>
        <v>0</v>
      </c>
      <c r="E602" s="4">
        <f ca="1">D602*IF(RESULTADOS!$C$17="Normal",RESULTADOS!$C$16,0)</f>
        <v>0</v>
      </c>
      <c r="F602" s="4">
        <f ca="1">IFERROR(IF(RESULTADOS!$C$17="Normal",D602,C602)*RESULTADOS!$C$18,0)</f>
        <v>0</v>
      </c>
      <c r="G602" s="4">
        <f ca="1">IFERROR(IF(RESULTADOS!$C$17="Normal",0,D602)*IF(RESULTADOS!$C$17="Normal",RESULTADOS!$C$18,RESULTADOS!$C$16),0)</f>
        <v>0</v>
      </c>
      <c r="H602" s="4">
        <f ca="1">IF(RESULTADOS!$C$17="Normal",E602,0)</f>
        <v>0</v>
      </c>
      <c r="I602" s="4">
        <f ca="1">(E602+H602+G602)*PREMISSAS!$C$60</f>
        <v>0</v>
      </c>
      <c r="J602" s="4">
        <f ca="1">D602*IF(RESULTADOS!$C$17="Normal",PREMISSAS!$C$62,0)</f>
        <v>0</v>
      </c>
      <c r="K602" s="116">
        <f ca="1">IFERROR(K601*(1+PREMISSAS!$C$18)+(E602+H602-IF(RESULTADOS!$C$17="Normal",I602,0)-J602)*IF(MONTH(B602)=12,2,1),0)</f>
        <v>0</v>
      </c>
      <c r="L602" s="116">
        <f ca="1">IFERROR((L601+G602-IF(RESULTADOS!$C$17="Normal",0,I602))*(1+PREMISSAS!$C$18)+F602,0)</f>
        <v>0</v>
      </c>
      <c r="N602" s="73">
        <f t="shared" ca="1" si="81"/>
        <v>0</v>
      </c>
      <c r="P602" s="164" t="str">
        <f t="shared" ca="1" si="82"/>
        <v/>
      </c>
      <c r="Q602" s="140" t="str">
        <f ca="1">IF(C602="","",Q601+(E602+H602-IF(RESULTADOS!$C$17="Normal",I602,0)-J602)/2+(F602+G602-IF(RESULTADOS!$C$17="Normal",0,I602)))</f>
        <v/>
      </c>
      <c r="R602" s="140" t="str">
        <f ca="1">IF(C602="","",R601+(E602+H602-IF(RESULTADOS!$C$17="Normal",I602,0)-J602)/2)</f>
        <v/>
      </c>
      <c r="S602" s="140">
        <f t="shared" ca="1" si="83"/>
        <v>0</v>
      </c>
      <c r="U602" s="164" t="str">
        <f t="shared" ca="1" si="84"/>
        <v/>
      </c>
      <c r="V602" s="164" t="str">
        <f t="shared" ca="1" si="85"/>
        <v/>
      </c>
      <c r="W602" s="140">
        <f ca="1">IF(OR((W601-13/12*Z601)*(1+PREMISSAS!$C$16)&lt;0,W601=""),0,(W601-13/12*Z601)*(1+PREMISSAS!$C$16))</f>
        <v>0</v>
      </c>
      <c r="X602" s="140">
        <f ca="1">IF(OR((X601-13/12*AA601)*(1+PREMISSAS!$C$16)&lt;0,X601=""),0,(X601-13/12*AA601)*(1+PREMISSAS!$C$16))</f>
        <v>0</v>
      </c>
      <c r="Y602" s="140">
        <f t="shared" ca="1" si="86"/>
        <v>0</v>
      </c>
      <c r="Z602" s="167">
        <f t="shared" ca="1" si="87"/>
        <v>0</v>
      </c>
      <c r="AA602" s="167">
        <f t="shared" ca="1" si="80"/>
        <v>0</v>
      </c>
    </row>
    <row r="603" spans="2:27" x14ac:dyDescent="0.25">
      <c r="B603" s="21" t="str">
        <f ca="1">IF(B602="","",IF(EOMONTH(B602,1)&gt;EOMONTH(ELEGIBILIDADE!$J$17,0),"",EOMONTH(B602,1)))</f>
        <v/>
      </c>
      <c r="C603" s="22" t="str">
        <f ca="1">IF(B603="","",IF(MONTH(B603)=1,C602*(1+PREMISSAS!$C$57),C602))</f>
        <v/>
      </c>
      <c r="D603" s="22">
        <f ca="1">IF(RESULTADOS!$C$17="Normal",IFERROR(MAX(C603-PREMISSAS!$C$13,0),0),IF(Painel!$I$23=0,0,MAX(10*PREMISSAS!$C$38,RESULTADOS!$F$17)))</f>
        <v>0</v>
      </c>
      <c r="E603" s="4">
        <f ca="1">D603*IF(RESULTADOS!$C$17="Normal",RESULTADOS!$C$16,0)</f>
        <v>0</v>
      </c>
      <c r="F603" s="4">
        <f ca="1">IFERROR(IF(RESULTADOS!$C$17="Normal",D603,C603)*RESULTADOS!$C$18,0)</f>
        <v>0</v>
      </c>
      <c r="G603" s="4">
        <f ca="1">IFERROR(IF(RESULTADOS!$C$17="Normal",0,D603)*IF(RESULTADOS!$C$17="Normal",RESULTADOS!$C$18,RESULTADOS!$C$16),0)</f>
        <v>0</v>
      </c>
      <c r="H603" s="4">
        <f ca="1">IF(RESULTADOS!$C$17="Normal",E603,0)</f>
        <v>0</v>
      </c>
      <c r="I603" s="4">
        <f ca="1">(E603+H603+G603)*PREMISSAS!$C$60</f>
        <v>0</v>
      </c>
      <c r="J603" s="4">
        <f ca="1">D603*IF(RESULTADOS!$C$17="Normal",PREMISSAS!$C$62,0)</f>
        <v>0</v>
      </c>
      <c r="K603" s="116">
        <f ca="1">IFERROR(K602*(1+PREMISSAS!$C$18)+(E603+H603-IF(RESULTADOS!$C$17="Normal",I603,0)-J603)*IF(MONTH(B603)=12,2,1),0)</f>
        <v>0</v>
      </c>
      <c r="L603" s="116">
        <f ca="1">IFERROR((L602+G603-IF(RESULTADOS!$C$17="Normal",0,I603))*(1+PREMISSAS!$C$18)+F603,0)</f>
        <v>0</v>
      </c>
      <c r="N603" s="73">
        <f t="shared" ca="1" si="81"/>
        <v>0</v>
      </c>
      <c r="P603" s="164" t="str">
        <f t="shared" ca="1" si="82"/>
        <v/>
      </c>
      <c r="Q603" s="140" t="str">
        <f ca="1">IF(C603="","",Q602+(E603+H603-IF(RESULTADOS!$C$17="Normal",I603,0)-J603)/2+(F603+G603-IF(RESULTADOS!$C$17="Normal",0,I603)))</f>
        <v/>
      </c>
      <c r="R603" s="140" t="str">
        <f ca="1">IF(C603="","",R602+(E603+H603-IF(RESULTADOS!$C$17="Normal",I603,0)-J603)/2)</f>
        <v/>
      </c>
      <c r="S603" s="140">
        <f t="shared" ca="1" si="83"/>
        <v>0</v>
      </c>
      <c r="U603" s="164" t="str">
        <f t="shared" ca="1" si="84"/>
        <v/>
      </c>
      <c r="V603" s="164" t="str">
        <f t="shared" ca="1" si="85"/>
        <v/>
      </c>
      <c r="W603" s="140">
        <f ca="1">IF(OR((W602-13/12*Z602)*(1+PREMISSAS!$C$16)&lt;0,W602=""),0,(W602-13/12*Z602)*(1+PREMISSAS!$C$16))</f>
        <v>0</v>
      </c>
      <c r="X603" s="140">
        <f ca="1">IF(OR((X602-13/12*AA602)*(1+PREMISSAS!$C$16)&lt;0,X602=""),0,(X602-13/12*AA602)*(1+PREMISSAS!$C$16))</f>
        <v>0</v>
      </c>
      <c r="Y603" s="140">
        <f t="shared" ca="1" si="86"/>
        <v>0</v>
      </c>
      <c r="Z603" s="167">
        <f t="shared" ca="1" si="87"/>
        <v>0</v>
      </c>
      <c r="AA603" s="167">
        <f t="shared" ca="1" si="80"/>
        <v>0</v>
      </c>
    </row>
    <row r="604" spans="2:27" x14ac:dyDescent="0.25">
      <c r="B604" s="21" t="str">
        <f ca="1">IF(B603="","",IF(EOMONTH(B603,1)&gt;EOMONTH(ELEGIBILIDADE!$J$17,0),"",EOMONTH(B603,1)))</f>
        <v/>
      </c>
      <c r="C604" s="22" t="str">
        <f ca="1">IF(B604="","",IF(MONTH(B604)=1,C603*(1+PREMISSAS!$C$57),C603))</f>
        <v/>
      </c>
      <c r="D604" s="22">
        <f ca="1">IF(RESULTADOS!$C$17="Normal",IFERROR(MAX(C604-PREMISSAS!$C$13,0),0),IF(Painel!$I$23=0,0,MAX(10*PREMISSAS!$C$38,RESULTADOS!$F$17)))</f>
        <v>0</v>
      </c>
      <c r="E604" s="4">
        <f ca="1">D604*IF(RESULTADOS!$C$17="Normal",RESULTADOS!$C$16,0)</f>
        <v>0</v>
      </c>
      <c r="F604" s="4">
        <f ca="1">IFERROR(IF(RESULTADOS!$C$17="Normal",D604,C604)*RESULTADOS!$C$18,0)</f>
        <v>0</v>
      </c>
      <c r="G604" s="4">
        <f ca="1">IFERROR(IF(RESULTADOS!$C$17="Normal",0,D604)*IF(RESULTADOS!$C$17="Normal",RESULTADOS!$C$18,RESULTADOS!$C$16),0)</f>
        <v>0</v>
      </c>
      <c r="H604" s="4">
        <f ca="1">IF(RESULTADOS!$C$17="Normal",E604,0)</f>
        <v>0</v>
      </c>
      <c r="I604" s="4">
        <f ca="1">(E604+H604+G604)*PREMISSAS!$C$60</f>
        <v>0</v>
      </c>
      <c r="J604" s="4">
        <f ca="1">D604*IF(RESULTADOS!$C$17="Normal",PREMISSAS!$C$62,0)</f>
        <v>0</v>
      </c>
      <c r="K604" s="116">
        <f ca="1">IFERROR(K603*(1+PREMISSAS!$C$18)+(E604+H604-IF(RESULTADOS!$C$17="Normal",I604,0)-J604)*IF(MONTH(B604)=12,2,1),0)</f>
        <v>0</v>
      </c>
      <c r="L604" s="116">
        <f ca="1">IFERROR((L603+G604-IF(RESULTADOS!$C$17="Normal",0,I604))*(1+PREMISSAS!$C$18)+F604,0)</f>
        <v>0</v>
      </c>
      <c r="N604" s="73">
        <f t="shared" ca="1" si="81"/>
        <v>0</v>
      </c>
      <c r="P604" s="164" t="str">
        <f t="shared" ca="1" si="82"/>
        <v/>
      </c>
      <c r="Q604" s="140" t="str">
        <f ca="1">IF(C604="","",Q603+(E604+H604-IF(RESULTADOS!$C$17="Normal",I604,0)-J604)/2+(F604+G604-IF(RESULTADOS!$C$17="Normal",0,I604)))</f>
        <v/>
      </c>
      <c r="R604" s="140" t="str">
        <f ca="1">IF(C604="","",R603+(E604+H604-IF(RESULTADOS!$C$17="Normal",I604,0)-J604)/2)</f>
        <v/>
      </c>
      <c r="S604" s="140">
        <f t="shared" ca="1" si="83"/>
        <v>0</v>
      </c>
      <c r="U604" s="164" t="str">
        <f t="shared" ca="1" si="84"/>
        <v/>
      </c>
      <c r="V604" s="164" t="str">
        <f t="shared" ca="1" si="85"/>
        <v/>
      </c>
      <c r="W604" s="140">
        <f ca="1">IF(OR((W603-13/12*Z603)*(1+PREMISSAS!$C$16)&lt;0,W603=""),0,(W603-13/12*Z603)*(1+PREMISSAS!$C$16))</f>
        <v>0</v>
      </c>
      <c r="X604" s="140">
        <f ca="1">IF(OR((X603-13/12*AA603)*(1+PREMISSAS!$C$16)&lt;0,X603=""),0,(X603-13/12*AA603)*(1+PREMISSAS!$C$16))</f>
        <v>0</v>
      </c>
      <c r="Y604" s="140">
        <f t="shared" ca="1" si="86"/>
        <v>0</v>
      </c>
      <c r="Z604" s="167">
        <f t="shared" ca="1" si="87"/>
        <v>0</v>
      </c>
      <c r="AA604" s="167">
        <f t="shared" ca="1" si="80"/>
        <v>0</v>
      </c>
    </row>
    <row r="605" spans="2:27" x14ac:dyDescent="0.25">
      <c r="B605" s="21" t="str">
        <f ca="1">IF(B604="","",IF(EOMONTH(B604,1)&gt;EOMONTH(ELEGIBILIDADE!$J$17,0),"",EOMONTH(B604,1)))</f>
        <v/>
      </c>
      <c r="C605" s="22" t="str">
        <f ca="1">IF(B605="","",IF(MONTH(B605)=1,C604*(1+PREMISSAS!$C$57),C604))</f>
        <v/>
      </c>
      <c r="D605" s="22">
        <f ca="1">IF(RESULTADOS!$C$17="Normal",IFERROR(MAX(C605-PREMISSAS!$C$13,0),0),IF(Painel!$I$23=0,0,MAX(10*PREMISSAS!$C$38,RESULTADOS!$F$17)))</f>
        <v>0</v>
      </c>
      <c r="E605" s="4">
        <f ca="1">D605*IF(RESULTADOS!$C$17="Normal",RESULTADOS!$C$16,0)</f>
        <v>0</v>
      </c>
      <c r="F605" s="4">
        <f ca="1">IFERROR(IF(RESULTADOS!$C$17="Normal",D605,C605)*RESULTADOS!$C$18,0)</f>
        <v>0</v>
      </c>
      <c r="G605" s="4">
        <f ca="1">IFERROR(IF(RESULTADOS!$C$17="Normal",0,D605)*IF(RESULTADOS!$C$17="Normal",RESULTADOS!$C$18,RESULTADOS!$C$16),0)</f>
        <v>0</v>
      </c>
      <c r="H605" s="4">
        <f ca="1">IF(RESULTADOS!$C$17="Normal",E605,0)</f>
        <v>0</v>
      </c>
      <c r="I605" s="4">
        <f ca="1">(E605+H605+G605)*PREMISSAS!$C$60</f>
        <v>0</v>
      </c>
      <c r="J605" s="4">
        <f ca="1">D605*IF(RESULTADOS!$C$17="Normal",PREMISSAS!$C$62,0)</f>
        <v>0</v>
      </c>
      <c r="K605" s="116">
        <f ca="1">IFERROR(K604*(1+PREMISSAS!$C$18)+(E605+H605-IF(RESULTADOS!$C$17="Normal",I605,0)-J605)*IF(MONTH(B605)=12,2,1),0)</f>
        <v>0</v>
      </c>
      <c r="L605" s="116">
        <f ca="1">IFERROR((L604+G605-IF(RESULTADOS!$C$17="Normal",0,I605))*(1+PREMISSAS!$C$18)+F605,0)</f>
        <v>0</v>
      </c>
      <c r="N605" s="73">
        <f t="shared" ca="1" si="81"/>
        <v>0</v>
      </c>
      <c r="P605" s="164" t="str">
        <f t="shared" ca="1" si="82"/>
        <v/>
      </c>
      <c r="Q605" s="140" t="str">
        <f ca="1">IF(C605="","",Q604+(E605+H605-IF(RESULTADOS!$C$17="Normal",I605,0)-J605)/2+(F605+G605-IF(RESULTADOS!$C$17="Normal",0,I605)))</f>
        <v/>
      </c>
      <c r="R605" s="140" t="str">
        <f ca="1">IF(C605="","",R604+(E605+H605-IF(RESULTADOS!$C$17="Normal",I605,0)-J605)/2)</f>
        <v/>
      </c>
      <c r="S605" s="140">
        <f t="shared" ca="1" si="83"/>
        <v>0</v>
      </c>
      <c r="U605" s="164" t="str">
        <f t="shared" ca="1" si="84"/>
        <v/>
      </c>
      <c r="V605" s="164" t="str">
        <f t="shared" ca="1" si="85"/>
        <v/>
      </c>
      <c r="W605" s="140">
        <f ca="1">IF(OR((W604-13/12*Z604)*(1+PREMISSAS!$C$16)&lt;0,W604=""),0,(W604-13/12*Z604)*(1+PREMISSAS!$C$16))</f>
        <v>0</v>
      </c>
      <c r="X605" s="140">
        <f ca="1">IF(OR((X604-13/12*AA604)*(1+PREMISSAS!$C$16)&lt;0,X604=""),0,(X604-13/12*AA604)*(1+PREMISSAS!$C$16))</f>
        <v>0</v>
      </c>
      <c r="Y605" s="140">
        <f t="shared" ca="1" si="86"/>
        <v>0</v>
      </c>
      <c r="Z605" s="167">
        <f t="shared" ca="1" si="87"/>
        <v>0</v>
      </c>
      <c r="AA605" s="167">
        <f t="shared" ca="1" si="80"/>
        <v>0</v>
      </c>
    </row>
    <row r="606" spans="2:27" x14ac:dyDescent="0.25">
      <c r="B606" s="21" t="str">
        <f ca="1">IF(B605="","",IF(EOMONTH(B605,1)&gt;EOMONTH(ELEGIBILIDADE!$J$17,0),"",EOMONTH(B605,1)))</f>
        <v/>
      </c>
      <c r="C606" s="22" t="str">
        <f ca="1">IF(B606="","",IF(MONTH(B606)=1,C605*(1+PREMISSAS!$C$57),C605))</f>
        <v/>
      </c>
      <c r="D606" s="22">
        <f ca="1">IF(RESULTADOS!$C$17="Normal",IFERROR(MAX(C606-PREMISSAS!$C$13,0),0),IF(Painel!$I$23=0,0,MAX(10*PREMISSAS!$C$38,RESULTADOS!$F$17)))</f>
        <v>0</v>
      </c>
      <c r="E606" s="4">
        <f ca="1">D606*IF(RESULTADOS!$C$17="Normal",RESULTADOS!$C$16,0)</f>
        <v>0</v>
      </c>
      <c r="F606" s="4">
        <f ca="1">IFERROR(IF(RESULTADOS!$C$17="Normal",D606,C606)*RESULTADOS!$C$18,0)</f>
        <v>0</v>
      </c>
      <c r="G606" s="4">
        <f ca="1">IFERROR(IF(RESULTADOS!$C$17="Normal",0,D606)*IF(RESULTADOS!$C$17="Normal",RESULTADOS!$C$18,RESULTADOS!$C$16),0)</f>
        <v>0</v>
      </c>
      <c r="H606" s="4">
        <f ca="1">IF(RESULTADOS!$C$17="Normal",E606,0)</f>
        <v>0</v>
      </c>
      <c r="I606" s="4">
        <f ca="1">(E606+H606+G606)*PREMISSAS!$C$60</f>
        <v>0</v>
      </c>
      <c r="J606" s="4">
        <f ca="1">D606*IF(RESULTADOS!$C$17="Normal",PREMISSAS!$C$62,0)</f>
        <v>0</v>
      </c>
      <c r="K606" s="116">
        <f ca="1">IFERROR(K605*(1+PREMISSAS!$C$18)+(E606+H606-IF(RESULTADOS!$C$17="Normal",I606,0)-J606)*IF(MONTH(B606)=12,2,1),0)</f>
        <v>0</v>
      </c>
      <c r="L606" s="116">
        <f ca="1">IFERROR((L605+G606-IF(RESULTADOS!$C$17="Normal",0,I606))*(1+PREMISSAS!$C$18)+F606,0)</f>
        <v>0</v>
      </c>
      <c r="N606" s="73">
        <f t="shared" ca="1" si="81"/>
        <v>0</v>
      </c>
      <c r="P606" s="164" t="str">
        <f t="shared" ca="1" si="82"/>
        <v/>
      </c>
      <c r="Q606" s="140" t="str">
        <f ca="1">IF(C606="","",Q605+(E606+H606-IF(RESULTADOS!$C$17="Normal",I606,0)-J606)/2+(F606+G606-IF(RESULTADOS!$C$17="Normal",0,I606)))</f>
        <v/>
      </c>
      <c r="R606" s="140" t="str">
        <f ca="1">IF(C606="","",R605+(E606+H606-IF(RESULTADOS!$C$17="Normal",I606,0)-J606)/2)</f>
        <v/>
      </c>
      <c r="S606" s="140">
        <f t="shared" ca="1" si="83"/>
        <v>0</v>
      </c>
      <c r="U606" s="164" t="str">
        <f t="shared" ca="1" si="84"/>
        <v/>
      </c>
      <c r="V606" s="164" t="str">
        <f t="shared" ca="1" si="85"/>
        <v/>
      </c>
      <c r="W606" s="140">
        <f ca="1">IF(OR((W605-13/12*Z605)*(1+PREMISSAS!$C$16)&lt;0,W605=""),0,(W605-13/12*Z605)*(1+PREMISSAS!$C$16))</f>
        <v>0</v>
      </c>
      <c r="X606" s="140">
        <f ca="1">IF(OR((X605-13/12*AA605)*(1+PREMISSAS!$C$16)&lt;0,X605=""),0,(X605-13/12*AA605)*(1+PREMISSAS!$C$16))</f>
        <v>0</v>
      </c>
      <c r="Y606" s="140">
        <f t="shared" ca="1" si="86"/>
        <v>0</v>
      </c>
      <c r="Z606" s="167">
        <f t="shared" ca="1" si="87"/>
        <v>0</v>
      </c>
      <c r="AA606" s="167">
        <f t="shared" ca="1" si="80"/>
        <v>0</v>
      </c>
    </row>
    <row r="607" spans="2:27" x14ac:dyDescent="0.25">
      <c r="B607" s="21" t="str">
        <f ca="1">IF(B606="","",IF(EOMONTH(B606,1)&gt;EOMONTH(ELEGIBILIDADE!$J$17,0),"",EOMONTH(B606,1)))</f>
        <v/>
      </c>
      <c r="C607" s="22" t="str">
        <f ca="1">IF(B607="","",IF(MONTH(B607)=1,C606*(1+PREMISSAS!$C$57),C606))</f>
        <v/>
      </c>
      <c r="D607" s="22">
        <f ca="1">IF(RESULTADOS!$C$17="Normal",IFERROR(MAX(C607-PREMISSAS!$C$13,0),0),IF(Painel!$I$23=0,0,MAX(10*PREMISSAS!$C$38,RESULTADOS!$F$17)))</f>
        <v>0</v>
      </c>
      <c r="E607" s="4">
        <f ca="1">D607*IF(RESULTADOS!$C$17="Normal",RESULTADOS!$C$16,0)</f>
        <v>0</v>
      </c>
      <c r="F607" s="4">
        <f ca="1">IFERROR(IF(RESULTADOS!$C$17="Normal",D607,C607)*RESULTADOS!$C$18,0)</f>
        <v>0</v>
      </c>
      <c r="G607" s="4">
        <f ca="1">IFERROR(IF(RESULTADOS!$C$17="Normal",0,D607)*IF(RESULTADOS!$C$17="Normal",RESULTADOS!$C$18,RESULTADOS!$C$16),0)</f>
        <v>0</v>
      </c>
      <c r="H607" s="4">
        <f ca="1">IF(RESULTADOS!$C$17="Normal",E607,0)</f>
        <v>0</v>
      </c>
      <c r="I607" s="4">
        <f ca="1">(E607+H607+G607)*PREMISSAS!$C$60</f>
        <v>0</v>
      </c>
      <c r="J607" s="4">
        <f ca="1">D607*IF(RESULTADOS!$C$17="Normal",PREMISSAS!$C$62,0)</f>
        <v>0</v>
      </c>
      <c r="K607" s="116">
        <f ca="1">IFERROR(K606*(1+PREMISSAS!$C$18)+(E607+H607-IF(RESULTADOS!$C$17="Normal",I607,0)-J607)*IF(MONTH(B607)=12,2,1),0)</f>
        <v>0</v>
      </c>
      <c r="L607" s="116">
        <f ca="1">IFERROR((L606+G607-IF(RESULTADOS!$C$17="Normal",0,I607))*(1+PREMISSAS!$C$18)+F607,0)</f>
        <v>0</v>
      </c>
      <c r="N607" s="73">
        <f t="shared" ca="1" si="81"/>
        <v>0</v>
      </c>
      <c r="P607" s="164" t="str">
        <f t="shared" ca="1" si="82"/>
        <v/>
      </c>
      <c r="Q607" s="140" t="str">
        <f ca="1">IF(C607="","",Q606+(E607+H607-IF(RESULTADOS!$C$17="Normal",I607,0)-J607)/2+(F607+G607-IF(RESULTADOS!$C$17="Normal",0,I607)))</f>
        <v/>
      </c>
      <c r="R607" s="140" t="str">
        <f ca="1">IF(C607="","",R606+(E607+H607-IF(RESULTADOS!$C$17="Normal",I607,0)-J607)/2)</f>
        <v/>
      </c>
      <c r="S607" s="140">
        <f t="shared" ca="1" si="83"/>
        <v>0</v>
      </c>
      <c r="U607" s="164" t="str">
        <f t="shared" ca="1" si="84"/>
        <v/>
      </c>
      <c r="V607" s="164" t="str">
        <f t="shared" ca="1" si="85"/>
        <v/>
      </c>
      <c r="W607" s="140">
        <f ca="1">IF(OR((W606-13/12*Z606)*(1+PREMISSAS!$C$16)&lt;0,W606=""),0,(W606-13/12*Z606)*(1+PREMISSAS!$C$16))</f>
        <v>0</v>
      </c>
      <c r="X607" s="140">
        <f ca="1">IF(OR((X606-13/12*AA606)*(1+PREMISSAS!$C$16)&lt;0,X606=""),0,(X606-13/12*AA606)*(1+PREMISSAS!$C$16))</f>
        <v>0</v>
      </c>
      <c r="Y607" s="140">
        <f t="shared" ca="1" si="86"/>
        <v>0</v>
      </c>
      <c r="Z607" s="167">
        <f t="shared" ca="1" si="87"/>
        <v>0</v>
      </c>
      <c r="AA607" s="167">
        <f t="shared" ca="1" si="80"/>
        <v>0</v>
      </c>
    </row>
    <row r="608" spans="2:27" x14ac:dyDescent="0.25">
      <c r="B608" s="21" t="str">
        <f ca="1">IF(B607="","",IF(EOMONTH(B607,1)&gt;EOMONTH(ELEGIBILIDADE!$J$17,0),"",EOMONTH(B607,1)))</f>
        <v/>
      </c>
      <c r="C608" s="22" t="str">
        <f ca="1">IF(B608="","",IF(MONTH(B608)=1,C607*(1+PREMISSAS!$C$57),C607))</f>
        <v/>
      </c>
      <c r="D608" s="22">
        <f ca="1">IF(RESULTADOS!$C$17="Normal",IFERROR(MAX(C608-PREMISSAS!$C$13,0),0),IF(Painel!$I$23=0,0,MAX(10*PREMISSAS!$C$38,RESULTADOS!$F$17)))</f>
        <v>0</v>
      </c>
      <c r="E608" s="4">
        <f ca="1">D608*IF(RESULTADOS!$C$17="Normal",RESULTADOS!$C$16,0)</f>
        <v>0</v>
      </c>
      <c r="F608" s="4">
        <f ca="1">IFERROR(IF(RESULTADOS!$C$17="Normal",D608,C608)*RESULTADOS!$C$18,0)</f>
        <v>0</v>
      </c>
      <c r="G608" s="4">
        <f ca="1">IFERROR(IF(RESULTADOS!$C$17="Normal",0,D608)*IF(RESULTADOS!$C$17="Normal",RESULTADOS!$C$18,RESULTADOS!$C$16),0)</f>
        <v>0</v>
      </c>
      <c r="H608" s="4">
        <f ca="1">IF(RESULTADOS!$C$17="Normal",E608,0)</f>
        <v>0</v>
      </c>
      <c r="I608" s="4">
        <f ca="1">(E608+H608+G608)*PREMISSAS!$C$60</f>
        <v>0</v>
      </c>
      <c r="J608" s="4">
        <f ca="1">D608*IF(RESULTADOS!$C$17="Normal",PREMISSAS!$C$62,0)</f>
        <v>0</v>
      </c>
      <c r="K608" s="116">
        <f ca="1">IFERROR(K607*(1+PREMISSAS!$C$18)+(E608+H608-IF(RESULTADOS!$C$17="Normal",I608,0)-J608)*IF(MONTH(B608)=12,2,1),0)</f>
        <v>0</v>
      </c>
      <c r="L608" s="116">
        <f ca="1">IFERROR((L607+G608-IF(RESULTADOS!$C$17="Normal",0,I608))*(1+PREMISSAS!$C$18)+F608,0)</f>
        <v>0</v>
      </c>
      <c r="N608" s="73">
        <f t="shared" ca="1" si="81"/>
        <v>0</v>
      </c>
      <c r="P608" s="164" t="str">
        <f t="shared" ca="1" si="82"/>
        <v/>
      </c>
      <c r="Q608" s="140" t="str">
        <f ca="1">IF(C608="","",Q607+(E608+H608-IF(RESULTADOS!$C$17="Normal",I608,0)-J608)/2+(F608+G608-IF(RESULTADOS!$C$17="Normal",0,I608)))</f>
        <v/>
      </c>
      <c r="R608" s="140" t="str">
        <f ca="1">IF(C608="","",R607+(E608+H608-IF(RESULTADOS!$C$17="Normal",I608,0)-J608)/2)</f>
        <v/>
      </c>
      <c r="S608" s="140">
        <f t="shared" ca="1" si="83"/>
        <v>0</v>
      </c>
      <c r="U608" s="164" t="str">
        <f t="shared" ca="1" si="84"/>
        <v/>
      </c>
      <c r="V608" s="164" t="str">
        <f t="shared" ca="1" si="85"/>
        <v/>
      </c>
      <c r="W608" s="140">
        <f ca="1">IF(OR((W607-13/12*Z607)*(1+PREMISSAS!$C$16)&lt;0,W607=""),0,(W607-13/12*Z607)*(1+PREMISSAS!$C$16))</f>
        <v>0</v>
      </c>
      <c r="X608" s="140">
        <f ca="1">IF(OR((X607-13/12*AA607)*(1+PREMISSAS!$C$16)&lt;0,X607=""),0,(X607-13/12*AA607)*(1+PREMISSAS!$C$16))</f>
        <v>0</v>
      </c>
      <c r="Y608" s="140">
        <f t="shared" ca="1" si="86"/>
        <v>0</v>
      </c>
      <c r="Z608" s="167">
        <f t="shared" ca="1" si="87"/>
        <v>0</v>
      </c>
      <c r="AA608" s="167">
        <f t="shared" ca="1" si="80"/>
        <v>0</v>
      </c>
    </row>
    <row r="609" spans="2:27" x14ac:dyDescent="0.25">
      <c r="B609" s="21" t="str">
        <f ca="1">IF(B608="","",IF(EOMONTH(B608,1)&gt;EOMONTH(ELEGIBILIDADE!$J$17,0),"",EOMONTH(B608,1)))</f>
        <v/>
      </c>
      <c r="C609" s="22" t="str">
        <f ca="1">IF(B609="","",IF(MONTH(B609)=1,C608*(1+PREMISSAS!$C$57),C608))</f>
        <v/>
      </c>
      <c r="D609" s="22">
        <f ca="1">IF(RESULTADOS!$C$17="Normal",IFERROR(MAX(C609-PREMISSAS!$C$13,0),0),IF(Painel!$I$23=0,0,MAX(10*PREMISSAS!$C$38,RESULTADOS!$F$17)))</f>
        <v>0</v>
      </c>
      <c r="E609" s="4">
        <f ca="1">D609*IF(RESULTADOS!$C$17="Normal",RESULTADOS!$C$16,0)</f>
        <v>0</v>
      </c>
      <c r="F609" s="4">
        <f ca="1">IFERROR(IF(RESULTADOS!$C$17="Normal",D609,C609)*RESULTADOS!$C$18,0)</f>
        <v>0</v>
      </c>
      <c r="G609" s="4">
        <f ca="1">IFERROR(IF(RESULTADOS!$C$17="Normal",0,D609)*IF(RESULTADOS!$C$17="Normal",RESULTADOS!$C$18,RESULTADOS!$C$16),0)</f>
        <v>0</v>
      </c>
      <c r="H609" s="4">
        <f ca="1">IF(RESULTADOS!$C$17="Normal",E609,0)</f>
        <v>0</v>
      </c>
      <c r="I609" s="4">
        <f ca="1">(E609+H609+G609)*PREMISSAS!$C$60</f>
        <v>0</v>
      </c>
      <c r="J609" s="4">
        <f ca="1">D609*IF(RESULTADOS!$C$17="Normal",PREMISSAS!$C$62,0)</f>
        <v>0</v>
      </c>
      <c r="K609" s="116">
        <f ca="1">IFERROR(K608*(1+PREMISSAS!$C$18)+(E609+H609-IF(RESULTADOS!$C$17="Normal",I609,0)-J609)*IF(MONTH(B609)=12,2,1),0)</f>
        <v>0</v>
      </c>
      <c r="L609" s="116">
        <f ca="1">IFERROR((L608+G609-IF(RESULTADOS!$C$17="Normal",0,I609))*(1+PREMISSAS!$C$18)+F609,0)</f>
        <v>0</v>
      </c>
      <c r="N609" s="73">
        <f t="shared" ca="1" si="81"/>
        <v>0</v>
      </c>
      <c r="P609" s="164" t="str">
        <f t="shared" ca="1" si="82"/>
        <v/>
      </c>
      <c r="Q609" s="140" t="str">
        <f ca="1">IF(C609="","",Q608+(E609+H609-IF(RESULTADOS!$C$17="Normal",I609,0)-J609)/2+(F609+G609-IF(RESULTADOS!$C$17="Normal",0,I609)))</f>
        <v/>
      </c>
      <c r="R609" s="140" t="str">
        <f ca="1">IF(C609="","",R608+(E609+H609-IF(RESULTADOS!$C$17="Normal",I609,0)-J609)/2)</f>
        <v/>
      </c>
      <c r="S609" s="140">
        <f t="shared" ca="1" si="83"/>
        <v>0</v>
      </c>
      <c r="U609" s="164" t="str">
        <f t="shared" ca="1" si="84"/>
        <v/>
      </c>
      <c r="V609" s="164" t="str">
        <f t="shared" ca="1" si="85"/>
        <v/>
      </c>
      <c r="W609" s="140">
        <f ca="1">IF(OR((W608-13/12*Z608)*(1+PREMISSAS!$C$16)&lt;0,W608=""),0,(W608-13/12*Z608)*(1+PREMISSAS!$C$16))</f>
        <v>0</v>
      </c>
      <c r="X609" s="140">
        <f ca="1">IF(OR((X608-13/12*AA608)*(1+PREMISSAS!$C$16)&lt;0,X608=""),0,(X608-13/12*AA608)*(1+PREMISSAS!$C$16))</f>
        <v>0</v>
      </c>
      <c r="Y609" s="140">
        <f t="shared" ca="1" si="86"/>
        <v>0</v>
      </c>
      <c r="Z609" s="167">
        <f t="shared" ca="1" si="87"/>
        <v>0</v>
      </c>
      <c r="AA609" s="167">
        <f t="shared" ca="1" si="80"/>
        <v>0</v>
      </c>
    </row>
    <row r="610" spans="2:27" x14ac:dyDescent="0.25">
      <c r="B610" s="21" t="str">
        <f ca="1">IF(B609="","",IF(EOMONTH(B609,1)&gt;EOMONTH(ELEGIBILIDADE!$J$17,0),"",EOMONTH(B609,1)))</f>
        <v/>
      </c>
      <c r="C610" s="22" t="str">
        <f ca="1">IF(B610="","",IF(MONTH(B610)=1,C609*(1+PREMISSAS!$C$57),C609))</f>
        <v/>
      </c>
      <c r="D610" s="22">
        <f ca="1">IF(RESULTADOS!$C$17="Normal",IFERROR(MAX(C610-PREMISSAS!$C$13,0),0),IF(Painel!$I$23=0,0,MAX(10*PREMISSAS!$C$38,RESULTADOS!$F$17)))</f>
        <v>0</v>
      </c>
      <c r="E610" s="4">
        <f ca="1">D610*IF(RESULTADOS!$C$17="Normal",RESULTADOS!$C$16,0)</f>
        <v>0</v>
      </c>
      <c r="F610" s="4">
        <f ca="1">IFERROR(IF(RESULTADOS!$C$17="Normal",D610,C610)*RESULTADOS!$C$18,0)</f>
        <v>0</v>
      </c>
      <c r="G610" s="4">
        <f ca="1">IFERROR(IF(RESULTADOS!$C$17="Normal",0,D610)*IF(RESULTADOS!$C$17="Normal",RESULTADOS!$C$18,RESULTADOS!$C$16),0)</f>
        <v>0</v>
      </c>
      <c r="H610" s="4">
        <f ca="1">IF(RESULTADOS!$C$17="Normal",E610,0)</f>
        <v>0</v>
      </c>
      <c r="I610" s="4">
        <f ca="1">(E610+H610+G610)*PREMISSAS!$C$60</f>
        <v>0</v>
      </c>
      <c r="J610" s="4">
        <f ca="1">D610*IF(RESULTADOS!$C$17="Normal",PREMISSAS!$C$62,0)</f>
        <v>0</v>
      </c>
      <c r="K610" s="116">
        <f ca="1">IFERROR(K609*(1+PREMISSAS!$C$18)+(E610+H610-IF(RESULTADOS!$C$17="Normal",I610,0)-J610)*IF(MONTH(B610)=12,2,1),0)</f>
        <v>0</v>
      </c>
      <c r="L610" s="116">
        <f ca="1">IFERROR((L609+G610-IF(RESULTADOS!$C$17="Normal",0,I610))*(1+PREMISSAS!$C$18)+F610,0)</f>
        <v>0</v>
      </c>
      <c r="N610" s="73">
        <f t="shared" ca="1" si="81"/>
        <v>0</v>
      </c>
      <c r="P610" s="164" t="str">
        <f t="shared" ca="1" si="82"/>
        <v/>
      </c>
      <c r="Q610" s="140" t="str">
        <f ca="1">IF(C610="","",Q609+(E610+H610-IF(RESULTADOS!$C$17="Normal",I610,0)-J610)/2+(F610+G610-IF(RESULTADOS!$C$17="Normal",0,I610)))</f>
        <v/>
      </c>
      <c r="R610" s="140" t="str">
        <f ca="1">IF(C610="","",R609+(E610+H610-IF(RESULTADOS!$C$17="Normal",I610,0)-J610)/2)</f>
        <v/>
      </c>
      <c r="S610" s="140">
        <f t="shared" ca="1" si="83"/>
        <v>0</v>
      </c>
      <c r="U610" s="164" t="str">
        <f t="shared" ca="1" si="84"/>
        <v/>
      </c>
      <c r="V610" s="164" t="str">
        <f t="shared" ca="1" si="85"/>
        <v/>
      </c>
      <c r="W610" s="140">
        <f ca="1">IF(OR((W609-13/12*Z609)*(1+PREMISSAS!$C$16)&lt;0,W609=""),0,(W609-13/12*Z609)*(1+PREMISSAS!$C$16))</f>
        <v>0</v>
      </c>
      <c r="X610" s="140">
        <f ca="1">IF(OR((X609-13/12*AA609)*(1+PREMISSAS!$C$16)&lt;0,X609=""),0,(X609-13/12*AA609)*(1+PREMISSAS!$C$16))</f>
        <v>0</v>
      </c>
      <c r="Y610" s="140">
        <f t="shared" ca="1" si="86"/>
        <v>0</v>
      </c>
      <c r="Z610" s="167">
        <f t="shared" ca="1" si="87"/>
        <v>0</v>
      </c>
      <c r="AA610" s="167">
        <f t="shared" ca="1" si="80"/>
        <v>0</v>
      </c>
    </row>
    <row r="611" spans="2:27" x14ac:dyDescent="0.25">
      <c r="B611" s="21" t="str">
        <f ca="1">IF(B610="","",IF(EOMONTH(B610,1)&gt;EOMONTH(ELEGIBILIDADE!$J$17,0),"",EOMONTH(B610,1)))</f>
        <v/>
      </c>
      <c r="C611" s="22" t="str">
        <f ca="1">IF(B611="","",IF(MONTH(B611)=1,C610*(1+PREMISSAS!$C$57),C610))</f>
        <v/>
      </c>
      <c r="D611" s="22">
        <f ca="1">IF(RESULTADOS!$C$17="Normal",IFERROR(MAX(C611-PREMISSAS!$C$13,0),0),IF(Painel!$I$23=0,0,MAX(10*PREMISSAS!$C$38,RESULTADOS!$F$17)))</f>
        <v>0</v>
      </c>
      <c r="E611" s="4">
        <f ca="1">D611*IF(RESULTADOS!$C$17="Normal",RESULTADOS!$C$16,0)</f>
        <v>0</v>
      </c>
      <c r="F611" s="4">
        <f ca="1">IFERROR(IF(RESULTADOS!$C$17="Normal",D611,C611)*RESULTADOS!$C$18,0)</f>
        <v>0</v>
      </c>
      <c r="G611" s="4">
        <f ca="1">IFERROR(IF(RESULTADOS!$C$17="Normal",0,D611)*IF(RESULTADOS!$C$17="Normal",RESULTADOS!$C$18,RESULTADOS!$C$16),0)</f>
        <v>0</v>
      </c>
      <c r="H611" s="4">
        <f ca="1">IF(RESULTADOS!$C$17="Normal",E611,0)</f>
        <v>0</v>
      </c>
      <c r="I611" s="4">
        <f ca="1">(E611+H611+G611)*PREMISSAS!$C$60</f>
        <v>0</v>
      </c>
      <c r="J611" s="4">
        <f ca="1">D611*IF(RESULTADOS!$C$17="Normal",PREMISSAS!$C$62,0)</f>
        <v>0</v>
      </c>
      <c r="K611" s="116">
        <f ca="1">IFERROR(K610*(1+PREMISSAS!$C$18)+(E611+H611-IF(RESULTADOS!$C$17="Normal",I611,0)-J611)*IF(MONTH(B611)=12,2,1),0)</f>
        <v>0</v>
      </c>
      <c r="L611" s="116">
        <f ca="1">IFERROR((L610+G611-IF(RESULTADOS!$C$17="Normal",0,I611))*(1+PREMISSAS!$C$18)+F611,0)</f>
        <v>0</v>
      </c>
      <c r="N611" s="73">
        <f t="shared" ca="1" si="81"/>
        <v>0</v>
      </c>
      <c r="P611" s="164" t="str">
        <f t="shared" ca="1" si="82"/>
        <v/>
      </c>
      <c r="Q611" s="140" t="str">
        <f ca="1">IF(C611="","",Q610+(E611+H611-IF(RESULTADOS!$C$17="Normal",I611,0)-J611)/2+(F611+G611-IF(RESULTADOS!$C$17="Normal",0,I611)))</f>
        <v/>
      </c>
      <c r="R611" s="140" t="str">
        <f ca="1">IF(C611="","",R610+(E611+H611-IF(RESULTADOS!$C$17="Normal",I611,0)-J611)/2)</f>
        <v/>
      </c>
      <c r="S611" s="140">
        <f t="shared" ca="1" si="83"/>
        <v>0</v>
      </c>
      <c r="U611" s="164" t="str">
        <f t="shared" ca="1" si="84"/>
        <v/>
      </c>
      <c r="V611" s="164" t="str">
        <f t="shared" ca="1" si="85"/>
        <v/>
      </c>
      <c r="W611" s="140">
        <f ca="1">IF(OR((W610-13/12*Z610)*(1+PREMISSAS!$C$16)&lt;0,W610=""),0,(W610-13/12*Z610)*(1+PREMISSAS!$C$16))</f>
        <v>0</v>
      </c>
      <c r="X611" s="140">
        <f ca="1">IF(OR((X610-13/12*AA610)*(1+PREMISSAS!$C$16)&lt;0,X610=""),0,(X610-13/12*AA610)*(1+PREMISSAS!$C$16))</f>
        <v>0</v>
      </c>
      <c r="Y611" s="140">
        <f t="shared" ca="1" si="86"/>
        <v>0</v>
      </c>
      <c r="Z611" s="167">
        <f t="shared" ca="1" si="87"/>
        <v>0</v>
      </c>
      <c r="AA611" s="167">
        <f t="shared" ca="1" si="80"/>
        <v>0</v>
      </c>
    </row>
    <row r="612" spans="2:27" x14ac:dyDescent="0.25">
      <c r="B612" s="21" t="str">
        <f ca="1">IF(B611="","",IF(EOMONTH(B611,1)&gt;EOMONTH(ELEGIBILIDADE!$J$17,0),"",EOMONTH(B611,1)))</f>
        <v/>
      </c>
      <c r="C612" s="22" t="str">
        <f ca="1">IF(B612="","",IF(MONTH(B612)=1,C611*(1+PREMISSAS!$C$57),C611))</f>
        <v/>
      </c>
      <c r="D612" s="22">
        <f ca="1">IF(RESULTADOS!$C$17="Normal",IFERROR(MAX(C612-PREMISSAS!$C$13,0),0),IF(Painel!$I$23=0,0,MAX(10*PREMISSAS!$C$38,RESULTADOS!$F$17)))</f>
        <v>0</v>
      </c>
      <c r="E612" s="4">
        <f ca="1">D612*IF(RESULTADOS!$C$17="Normal",RESULTADOS!$C$16,0)</f>
        <v>0</v>
      </c>
      <c r="F612" s="4">
        <f ca="1">IFERROR(IF(RESULTADOS!$C$17="Normal",D612,C612)*RESULTADOS!$C$18,0)</f>
        <v>0</v>
      </c>
      <c r="G612" s="4">
        <f ca="1">IFERROR(IF(RESULTADOS!$C$17="Normal",0,D612)*IF(RESULTADOS!$C$17="Normal",RESULTADOS!$C$18,RESULTADOS!$C$16),0)</f>
        <v>0</v>
      </c>
      <c r="H612" s="4">
        <f ca="1">IF(RESULTADOS!$C$17="Normal",E612,0)</f>
        <v>0</v>
      </c>
      <c r="I612" s="4">
        <f ca="1">(E612+H612+G612)*PREMISSAS!$C$60</f>
        <v>0</v>
      </c>
      <c r="J612" s="4">
        <f ca="1">D612*IF(RESULTADOS!$C$17="Normal",PREMISSAS!$C$62,0)</f>
        <v>0</v>
      </c>
      <c r="K612" s="116">
        <f ca="1">IFERROR(K611*(1+PREMISSAS!$C$18)+(E612+H612-IF(RESULTADOS!$C$17="Normal",I612,0)-J612)*IF(MONTH(B612)=12,2,1),0)</f>
        <v>0</v>
      </c>
      <c r="L612" s="116">
        <f ca="1">IFERROR((L611+G612-IF(RESULTADOS!$C$17="Normal",0,I612))*(1+PREMISSAS!$C$18)+F612,0)</f>
        <v>0</v>
      </c>
      <c r="N612" s="73">
        <f t="shared" ca="1" si="81"/>
        <v>0</v>
      </c>
      <c r="P612" s="164" t="str">
        <f t="shared" ca="1" si="82"/>
        <v/>
      </c>
      <c r="Q612" s="140" t="str">
        <f ca="1">IF(C612="","",Q611+(E612+H612-IF(RESULTADOS!$C$17="Normal",I612,0)-J612)/2+(F612+G612-IF(RESULTADOS!$C$17="Normal",0,I612)))</f>
        <v/>
      </c>
      <c r="R612" s="140" t="str">
        <f ca="1">IF(C612="","",R611+(E612+H612-IF(RESULTADOS!$C$17="Normal",I612,0)-J612)/2)</f>
        <v/>
      </c>
      <c r="S612" s="140">
        <f t="shared" ca="1" si="83"/>
        <v>0</v>
      </c>
      <c r="U612" s="164" t="str">
        <f t="shared" ca="1" si="84"/>
        <v/>
      </c>
      <c r="V612" s="164" t="str">
        <f t="shared" ca="1" si="85"/>
        <v/>
      </c>
      <c r="W612" s="140">
        <f ca="1">IF(OR((W611-13/12*Z611)*(1+PREMISSAS!$C$16)&lt;0,W611=""),0,(W611-13/12*Z611)*(1+PREMISSAS!$C$16))</f>
        <v>0</v>
      </c>
      <c r="X612" s="140">
        <f ca="1">IF(OR((X611-13/12*AA611)*(1+PREMISSAS!$C$16)&lt;0,X611=""),0,(X611-13/12*AA611)*(1+PREMISSAS!$C$16))</f>
        <v>0</v>
      </c>
      <c r="Y612" s="140">
        <f t="shared" ca="1" si="86"/>
        <v>0</v>
      </c>
      <c r="Z612" s="167">
        <f t="shared" ca="1" si="87"/>
        <v>0</v>
      </c>
      <c r="AA612" s="167">
        <f t="shared" ca="1" si="80"/>
        <v>0</v>
      </c>
    </row>
    <row r="613" spans="2:27" x14ac:dyDescent="0.25">
      <c r="B613" s="21" t="str">
        <f ca="1">IF(B612="","",IF(EOMONTH(B612,1)&gt;EOMONTH(ELEGIBILIDADE!$J$17,0),"",EOMONTH(B612,1)))</f>
        <v/>
      </c>
      <c r="C613" s="22" t="str">
        <f ca="1">IF(B613="","",IF(MONTH(B613)=1,C612*(1+PREMISSAS!$C$57),C612))</f>
        <v/>
      </c>
      <c r="D613" s="22">
        <f ca="1">IF(RESULTADOS!$C$17="Normal",IFERROR(MAX(C613-PREMISSAS!$C$13,0),0),IF(Painel!$I$23=0,0,MAX(10*PREMISSAS!$C$38,RESULTADOS!$F$17)))</f>
        <v>0</v>
      </c>
      <c r="E613" s="4">
        <f ca="1">D613*IF(RESULTADOS!$C$17="Normal",RESULTADOS!$C$16,0)</f>
        <v>0</v>
      </c>
      <c r="F613" s="4">
        <f ca="1">IFERROR(IF(RESULTADOS!$C$17="Normal",D613,C613)*RESULTADOS!$C$18,0)</f>
        <v>0</v>
      </c>
      <c r="G613" s="4">
        <f ca="1">IFERROR(IF(RESULTADOS!$C$17="Normal",0,D613)*IF(RESULTADOS!$C$17="Normal",RESULTADOS!$C$18,RESULTADOS!$C$16),0)</f>
        <v>0</v>
      </c>
      <c r="H613" s="4">
        <f ca="1">IF(RESULTADOS!$C$17="Normal",E613,0)</f>
        <v>0</v>
      </c>
      <c r="I613" s="4">
        <f ca="1">(E613+H613+G613)*PREMISSAS!$C$60</f>
        <v>0</v>
      </c>
      <c r="J613" s="4">
        <f ca="1">D613*IF(RESULTADOS!$C$17="Normal",PREMISSAS!$C$62,0)</f>
        <v>0</v>
      </c>
      <c r="K613" s="116">
        <f ca="1">IFERROR(K612*(1+PREMISSAS!$C$18)+(E613+H613-IF(RESULTADOS!$C$17="Normal",I613,0)-J613)*IF(MONTH(B613)=12,2,1),0)</f>
        <v>0</v>
      </c>
      <c r="L613" s="116">
        <f ca="1">IFERROR((L612+G613-IF(RESULTADOS!$C$17="Normal",0,I613))*(1+PREMISSAS!$C$18)+F613,0)</f>
        <v>0</v>
      </c>
      <c r="N613" s="73">
        <f t="shared" ca="1" si="81"/>
        <v>0</v>
      </c>
      <c r="P613" s="164" t="str">
        <f t="shared" ca="1" si="82"/>
        <v/>
      </c>
      <c r="Q613" s="140" t="str">
        <f ca="1">IF(C613="","",Q612+(E613+H613-IF(RESULTADOS!$C$17="Normal",I613,0)-J613)/2+(F613+G613-IF(RESULTADOS!$C$17="Normal",0,I613)))</f>
        <v/>
      </c>
      <c r="R613" s="140" t="str">
        <f ca="1">IF(C613="","",R612+(E613+H613-IF(RESULTADOS!$C$17="Normal",I613,0)-J613)/2)</f>
        <v/>
      </c>
      <c r="S613" s="140">
        <f t="shared" ca="1" si="83"/>
        <v>0</v>
      </c>
      <c r="U613" s="164" t="str">
        <f t="shared" ca="1" si="84"/>
        <v/>
      </c>
      <c r="V613" s="164" t="str">
        <f t="shared" ca="1" si="85"/>
        <v/>
      </c>
      <c r="W613" s="140">
        <f ca="1">IF(OR((W612-13/12*Z612)*(1+PREMISSAS!$C$16)&lt;0,W612=""),0,(W612-13/12*Z612)*(1+PREMISSAS!$C$16))</f>
        <v>0</v>
      </c>
      <c r="X613" s="140">
        <f ca="1">IF(OR((X612-13/12*AA612)*(1+PREMISSAS!$C$16)&lt;0,X612=""),0,(X612-13/12*AA612)*(1+PREMISSAS!$C$16))</f>
        <v>0</v>
      </c>
      <c r="Y613" s="140">
        <f t="shared" ca="1" si="86"/>
        <v>0</v>
      </c>
      <c r="Z613" s="167">
        <f t="shared" ca="1" si="87"/>
        <v>0</v>
      </c>
      <c r="AA613" s="167">
        <f t="shared" ca="1" si="80"/>
        <v>0</v>
      </c>
    </row>
    <row r="614" spans="2:27" x14ac:dyDescent="0.25">
      <c r="B614" s="21" t="str">
        <f ca="1">IF(B613="","",IF(EOMONTH(B613,1)&gt;EOMONTH(ELEGIBILIDADE!$J$17,0),"",EOMONTH(B613,1)))</f>
        <v/>
      </c>
      <c r="C614" s="22" t="str">
        <f ca="1">IF(B614="","",IF(MONTH(B614)=1,C613*(1+PREMISSAS!$C$57),C613))</f>
        <v/>
      </c>
      <c r="D614" s="22">
        <f ca="1">IF(RESULTADOS!$C$17="Normal",IFERROR(MAX(C614-PREMISSAS!$C$13,0),0),IF(Painel!$I$23=0,0,MAX(10*PREMISSAS!$C$38,RESULTADOS!$F$17)))</f>
        <v>0</v>
      </c>
      <c r="E614" s="4">
        <f ca="1">D614*IF(RESULTADOS!$C$17="Normal",RESULTADOS!$C$16,0)</f>
        <v>0</v>
      </c>
      <c r="F614" s="4">
        <f ca="1">IFERROR(IF(RESULTADOS!$C$17="Normal",D614,C614)*RESULTADOS!$C$18,0)</f>
        <v>0</v>
      </c>
      <c r="G614" s="4">
        <f ca="1">IFERROR(IF(RESULTADOS!$C$17="Normal",0,D614)*IF(RESULTADOS!$C$17="Normal",RESULTADOS!$C$18,RESULTADOS!$C$16),0)</f>
        <v>0</v>
      </c>
      <c r="H614" s="4">
        <f ca="1">IF(RESULTADOS!$C$17="Normal",E614,0)</f>
        <v>0</v>
      </c>
      <c r="I614" s="4">
        <f ca="1">(E614+H614+G614)*PREMISSAS!$C$60</f>
        <v>0</v>
      </c>
      <c r="J614" s="4">
        <f ca="1">D614*IF(RESULTADOS!$C$17="Normal",PREMISSAS!$C$62,0)</f>
        <v>0</v>
      </c>
      <c r="K614" s="116">
        <f ca="1">IFERROR(K613*(1+PREMISSAS!$C$18)+(E614+H614-IF(RESULTADOS!$C$17="Normal",I614,0)-J614)*IF(MONTH(B614)=12,2,1),0)</f>
        <v>0</v>
      </c>
      <c r="L614" s="116">
        <f ca="1">IFERROR((L613+G614-IF(RESULTADOS!$C$17="Normal",0,I614))*(1+PREMISSAS!$C$18)+F614,0)</f>
        <v>0</v>
      </c>
      <c r="N614" s="73">
        <f t="shared" ca="1" si="81"/>
        <v>0</v>
      </c>
      <c r="P614" s="164" t="str">
        <f t="shared" ca="1" si="82"/>
        <v/>
      </c>
      <c r="Q614" s="140" t="str">
        <f ca="1">IF(C614="","",Q613+(E614+H614-IF(RESULTADOS!$C$17="Normal",I614,0)-J614)/2+(F614+G614-IF(RESULTADOS!$C$17="Normal",0,I614)))</f>
        <v/>
      </c>
      <c r="R614" s="140" t="str">
        <f ca="1">IF(C614="","",R613+(E614+H614-IF(RESULTADOS!$C$17="Normal",I614,0)-J614)/2)</f>
        <v/>
      </c>
      <c r="S614" s="140">
        <f t="shared" ca="1" si="83"/>
        <v>0</v>
      </c>
      <c r="U614" s="164" t="str">
        <f t="shared" ca="1" si="84"/>
        <v/>
      </c>
      <c r="V614" s="164" t="str">
        <f t="shared" ca="1" si="85"/>
        <v/>
      </c>
      <c r="W614" s="140">
        <f ca="1">IF(OR((W613-13/12*Z613)*(1+PREMISSAS!$C$16)&lt;0,W613=""),0,(W613-13/12*Z613)*(1+PREMISSAS!$C$16))</f>
        <v>0</v>
      </c>
      <c r="X614" s="140">
        <f ca="1">IF(OR((X613-13/12*AA613)*(1+PREMISSAS!$C$16)&lt;0,X613=""),0,(X613-13/12*AA613)*(1+PREMISSAS!$C$16))</f>
        <v>0</v>
      </c>
      <c r="Y614" s="140">
        <f t="shared" ca="1" si="86"/>
        <v>0</v>
      </c>
      <c r="Z614" s="167">
        <f t="shared" ca="1" si="87"/>
        <v>0</v>
      </c>
      <c r="AA614" s="167">
        <f t="shared" ca="1" si="80"/>
        <v>0</v>
      </c>
    </row>
    <row r="615" spans="2:27" x14ac:dyDescent="0.25">
      <c r="B615" s="21" t="str">
        <f ca="1">IF(B614="","",IF(EOMONTH(B614,1)&gt;EOMONTH(ELEGIBILIDADE!$J$17,0),"",EOMONTH(B614,1)))</f>
        <v/>
      </c>
      <c r="C615" s="22" t="str">
        <f ca="1">IF(B615="","",IF(MONTH(B615)=1,C614*(1+PREMISSAS!$C$57),C614))</f>
        <v/>
      </c>
      <c r="D615" s="22">
        <f ca="1">IF(RESULTADOS!$C$17="Normal",IFERROR(MAX(C615-PREMISSAS!$C$13,0),0),IF(Painel!$I$23=0,0,MAX(10*PREMISSAS!$C$38,RESULTADOS!$F$17)))</f>
        <v>0</v>
      </c>
      <c r="E615" s="4">
        <f ca="1">D615*IF(RESULTADOS!$C$17="Normal",RESULTADOS!$C$16,0)</f>
        <v>0</v>
      </c>
      <c r="F615" s="4">
        <f ca="1">IFERROR(IF(RESULTADOS!$C$17="Normal",D615,C615)*RESULTADOS!$C$18,0)</f>
        <v>0</v>
      </c>
      <c r="G615" s="4">
        <f ca="1">IFERROR(IF(RESULTADOS!$C$17="Normal",0,D615)*IF(RESULTADOS!$C$17="Normal",RESULTADOS!$C$18,RESULTADOS!$C$16),0)</f>
        <v>0</v>
      </c>
      <c r="H615" s="4">
        <f ca="1">IF(RESULTADOS!$C$17="Normal",E615,0)</f>
        <v>0</v>
      </c>
      <c r="I615" s="4">
        <f ca="1">(E615+H615+G615)*PREMISSAS!$C$60</f>
        <v>0</v>
      </c>
      <c r="J615" s="4">
        <f ca="1">D615*IF(RESULTADOS!$C$17="Normal",PREMISSAS!$C$62,0)</f>
        <v>0</v>
      </c>
      <c r="K615" s="116">
        <f ca="1">IFERROR(K614*(1+PREMISSAS!$C$18)+(E615+H615-IF(RESULTADOS!$C$17="Normal",I615,0)-J615)*IF(MONTH(B615)=12,2,1),0)</f>
        <v>0</v>
      </c>
      <c r="L615" s="116">
        <f ca="1">IFERROR((L614+G615-IF(RESULTADOS!$C$17="Normal",0,I615))*(1+PREMISSAS!$C$18)+F615,0)</f>
        <v>0</v>
      </c>
      <c r="N615" s="73">
        <f t="shared" ca="1" si="81"/>
        <v>0</v>
      </c>
      <c r="P615" s="164" t="str">
        <f t="shared" ca="1" si="82"/>
        <v/>
      </c>
      <c r="Q615" s="140" t="str">
        <f ca="1">IF(C615="","",Q614+(E615+H615-IF(RESULTADOS!$C$17="Normal",I615,0)-J615)/2+(F615+G615-IF(RESULTADOS!$C$17="Normal",0,I615)))</f>
        <v/>
      </c>
      <c r="R615" s="140" t="str">
        <f ca="1">IF(C615="","",R614+(E615+H615-IF(RESULTADOS!$C$17="Normal",I615,0)-J615)/2)</f>
        <v/>
      </c>
      <c r="S615" s="140">
        <f t="shared" ca="1" si="83"/>
        <v>0</v>
      </c>
      <c r="U615" s="164" t="str">
        <f t="shared" ca="1" si="84"/>
        <v/>
      </c>
      <c r="V615" s="164" t="str">
        <f t="shared" ca="1" si="85"/>
        <v/>
      </c>
      <c r="W615" s="140">
        <f ca="1">IF(OR((W614-13/12*Z614)*(1+PREMISSAS!$C$16)&lt;0,W614=""),0,(W614-13/12*Z614)*(1+PREMISSAS!$C$16))</f>
        <v>0</v>
      </c>
      <c r="X615" s="140">
        <f ca="1">IF(OR((X614-13/12*AA614)*(1+PREMISSAS!$C$16)&lt;0,X614=""),0,(X614-13/12*AA614)*(1+PREMISSAS!$C$16))</f>
        <v>0</v>
      </c>
      <c r="Y615" s="140">
        <f t="shared" ca="1" si="86"/>
        <v>0</v>
      </c>
      <c r="Z615" s="167">
        <f t="shared" ca="1" si="87"/>
        <v>0</v>
      </c>
      <c r="AA615" s="167">
        <f t="shared" ca="1" si="80"/>
        <v>0</v>
      </c>
    </row>
    <row r="616" spans="2:27" x14ac:dyDescent="0.25">
      <c r="B616" s="21" t="str">
        <f ca="1">IF(B615="","",IF(EOMONTH(B615,1)&gt;EOMONTH(ELEGIBILIDADE!$J$17,0),"",EOMONTH(B615,1)))</f>
        <v/>
      </c>
      <c r="C616" s="22" t="str">
        <f ca="1">IF(B616="","",IF(MONTH(B616)=1,C615*(1+PREMISSAS!$C$57),C615))</f>
        <v/>
      </c>
      <c r="D616" s="22">
        <f ca="1">IF(RESULTADOS!$C$17="Normal",IFERROR(MAX(C616-PREMISSAS!$C$13,0),0),IF(Painel!$I$23=0,0,MAX(10*PREMISSAS!$C$38,RESULTADOS!$F$17)))</f>
        <v>0</v>
      </c>
      <c r="E616" s="4">
        <f ca="1">D616*IF(RESULTADOS!$C$17="Normal",RESULTADOS!$C$16,0)</f>
        <v>0</v>
      </c>
      <c r="F616" s="4">
        <f ca="1">IFERROR(IF(RESULTADOS!$C$17="Normal",D616,C616)*RESULTADOS!$C$18,0)</f>
        <v>0</v>
      </c>
      <c r="G616" s="4">
        <f ca="1">IFERROR(IF(RESULTADOS!$C$17="Normal",0,D616)*IF(RESULTADOS!$C$17="Normal",RESULTADOS!$C$18,RESULTADOS!$C$16),0)</f>
        <v>0</v>
      </c>
      <c r="H616" s="4">
        <f ca="1">IF(RESULTADOS!$C$17="Normal",E616,0)</f>
        <v>0</v>
      </c>
      <c r="I616" s="4">
        <f ca="1">(E616+H616+G616)*PREMISSAS!$C$60</f>
        <v>0</v>
      </c>
      <c r="J616" s="4">
        <f ca="1">D616*IF(RESULTADOS!$C$17="Normal",PREMISSAS!$C$62,0)</f>
        <v>0</v>
      </c>
      <c r="K616" s="116">
        <f ca="1">IFERROR(K615*(1+PREMISSAS!$C$18)+(E616+H616-IF(RESULTADOS!$C$17="Normal",I616,0)-J616)*IF(MONTH(B616)=12,2,1),0)</f>
        <v>0</v>
      </c>
      <c r="L616" s="116">
        <f ca="1">IFERROR((L615+G616-IF(RESULTADOS!$C$17="Normal",0,I616))*(1+PREMISSAS!$C$18)+F616,0)</f>
        <v>0</v>
      </c>
      <c r="N616" s="73">
        <f t="shared" ca="1" si="81"/>
        <v>0</v>
      </c>
      <c r="P616" s="164" t="str">
        <f t="shared" ca="1" si="82"/>
        <v/>
      </c>
      <c r="Q616" s="140" t="str">
        <f ca="1">IF(C616="","",Q615+(E616+H616-IF(RESULTADOS!$C$17="Normal",I616,0)-J616)/2+(F616+G616-IF(RESULTADOS!$C$17="Normal",0,I616)))</f>
        <v/>
      </c>
      <c r="R616" s="140" t="str">
        <f ca="1">IF(C616="","",R615+(E616+H616-IF(RESULTADOS!$C$17="Normal",I616,0)-J616)/2)</f>
        <v/>
      </c>
      <c r="S616" s="140">
        <f t="shared" ca="1" si="83"/>
        <v>0</v>
      </c>
      <c r="U616" s="164" t="str">
        <f t="shared" ca="1" si="84"/>
        <v/>
      </c>
      <c r="V616" s="164" t="str">
        <f t="shared" ca="1" si="85"/>
        <v/>
      </c>
      <c r="W616" s="140">
        <f ca="1">IF(OR((W615-13/12*Z615)*(1+PREMISSAS!$C$16)&lt;0,W615=""),0,(W615-13/12*Z615)*(1+PREMISSAS!$C$16))</f>
        <v>0</v>
      </c>
      <c r="X616" s="140">
        <f ca="1">IF(OR((X615-13/12*AA615)*(1+PREMISSAS!$C$16)&lt;0,X615=""),0,(X615-13/12*AA615)*(1+PREMISSAS!$C$16))</f>
        <v>0</v>
      </c>
      <c r="Y616" s="140">
        <f t="shared" ca="1" si="86"/>
        <v>0</v>
      </c>
      <c r="Z616" s="167">
        <f t="shared" ca="1" si="87"/>
        <v>0</v>
      </c>
      <c r="AA616" s="167">
        <f t="shared" ca="1" si="80"/>
        <v>0</v>
      </c>
    </row>
    <row r="617" spans="2:27" x14ac:dyDescent="0.25">
      <c r="B617" s="21" t="str">
        <f ca="1">IF(B616="","",IF(EOMONTH(B616,1)&gt;EOMONTH(ELEGIBILIDADE!$J$17,0),"",EOMONTH(B616,1)))</f>
        <v/>
      </c>
      <c r="C617" s="22" t="str">
        <f ca="1">IF(B617="","",IF(MONTH(B617)=1,C616*(1+PREMISSAS!$C$57),C616))</f>
        <v/>
      </c>
      <c r="D617" s="22">
        <f ca="1">IF(RESULTADOS!$C$17="Normal",IFERROR(MAX(C617-PREMISSAS!$C$13,0),0),IF(Painel!$I$23=0,0,MAX(10*PREMISSAS!$C$38,RESULTADOS!$F$17)))</f>
        <v>0</v>
      </c>
      <c r="E617" s="4">
        <f ca="1">D617*IF(RESULTADOS!$C$17="Normal",RESULTADOS!$C$16,0)</f>
        <v>0</v>
      </c>
      <c r="F617" s="4">
        <f ca="1">IFERROR(IF(RESULTADOS!$C$17="Normal",D617,C617)*RESULTADOS!$C$18,0)</f>
        <v>0</v>
      </c>
      <c r="G617" s="4">
        <f ca="1">IFERROR(IF(RESULTADOS!$C$17="Normal",0,D617)*IF(RESULTADOS!$C$17="Normal",RESULTADOS!$C$18,RESULTADOS!$C$16),0)</f>
        <v>0</v>
      </c>
      <c r="H617" s="4">
        <f ca="1">IF(RESULTADOS!$C$17="Normal",E617,0)</f>
        <v>0</v>
      </c>
      <c r="I617" s="4">
        <f ca="1">(E617+H617+G617)*PREMISSAS!$C$60</f>
        <v>0</v>
      </c>
      <c r="J617" s="4">
        <f ca="1">D617*IF(RESULTADOS!$C$17="Normal",PREMISSAS!$C$62,0)</f>
        <v>0</v>
      </c>
      <c r="K617" s="116">
        <f ca="1">IFERROR(K616*(1+PREMISSAS!$C$18)+(E617+H617-IF(RESULTADOS!$C$17="Normal",I617,0)-J617)*IF(MONTH(B617)=12,2,1),0)</f>
        <v>0</v>
      </c>
      <c r="L617" s="116">
        <f ca="1">IFERROR((L616+G617-IF(RESULTADOS!$C$17="Normal",0,I617))*(1+PREMISSAS!$C$18)+F617,0)</f>
        <v>0</v>
      </c>
      <c r="N617" s="73">
        <f t="shared" ca="1" si="81"/>
        <v>0</v>
      </c>
      <c r="P617" s="164" t="str">
        <f t="shared" ca="1" si="82"/>
        <v/>
      </c>
      <c r="Q617" s="140" t="str">
        <f ca="1">IF(C617="","",Q616+(E617+H617-IF(RESULTADOS!$C$17="Normal",I617,0)-J617)/2+(F617+G617-IF(RESULTADOS!$C$17="Normal",0,I617)))</f>
        <v/>
      </c>
      <c r="R617" s="140" t="str">
        <f ca="1">IF(C617="","",R616+(E617+H617-IF(RESULTADOS!$C$17="Normal",I617,0)-J617)/2)</f>
        <v/>
      </c>
      <c r="S617" s="140">
        <f t="shared" ca="1" si="83"/>
        <v>0</v>
      </c>
      <c r="U617" s="164" t="str">
        <f t="shared" ca="1" si="84"/>
        <v/>
      </c>
      <c r="V617" s="164" t="str">
        <f t="shared" ca="1" si="85"/>
        <v/>
      </c>
      <c r="W617" s="140">
        <f ca="1">IF(OR((W616-13/12*Z616)*(1+PREMISSAS!$C$16)&lt;0,W616=""),0,(W616-13/12*Z616)*(1+PREMISSAS!$C$16))</f>
        <v>0</v>
      </c>
      <c r="X617" s="140">
        <f ca="1">IF(OR((X616-13/12*AA616)*(1+PREMISSAS!$C$16)&lt;0,X616=""),0,(X616-13/12*AA616)*(1+PREMISSAS!$C$16))</f>
        <v>0</v>
      </c>
      <c r="Y617" s="140">
        <f t="shared" ca="1" si="86"/>
        <v>0</v>
      </c>
      <c r="Z617" s="167">
        <f t="shared" ca="1" si="87"/>
        <v>0</v>
      </c>
      <c r="AA617" s="167">
        <f t="shared" ca="1" si="80"/>
        <v>0</v>
      </c>
    </row>
    <row r="618" spans="2:27" x14ac:dyDescent="0.25">
      <c r="B618" s="21" t="str">
        <f ca="1">IF(B617="","",IF(EOMONTH(B617,1)&gt;EOMONTH(ELEGIBILIDADE!$J$17,0),"",EOMONTH(B617,1)))</f>
        <v/>
      </c>
      <c r="C618" s="22" t="str">
        <f ca="1">IF(B618="","",IF(MONTH(B618)=1,C617*(1+PREMISSAS!$C$57),C617))</f>
        <v/>
      </c>
      <c r="D618" s="22">
        <f ca="1">IF(RESULTADOS!$C$17="Normal",IFERROR(MAX(C618-PREMISSAS!$C$13,0),0),IF(Painel!$I$23=0,0,MAX(10*PREMISSAS!$C$38,RESULTADOS!$F$17)))</f>
        <v>0</v>
      </c>
      <c r="E618" s="4">
        <f ca="1">D618*IF(RESULTADOS!$C$17="Normal",RESULTADOS!$C$16,0)</f>
        <v>0</v>
      </c>
      <c r="F618" s="4">
        <f ca="1">IFERROR(IF(RESULTADOS!$C$17="Normal",D618,C618)*RESULTADOS!$C$18,0)</f>
        <v>0</v>
      </c>
      <c r="G618" s="4">
        <f ca="1">IFERROR(IF(RESULTADOS!$C$17="Normal",0,D618)*IF(RESULTADOS!$C$17="Normal",RESULTADOS!$C$18,RESULTADOS!$C$16),0)</f>
        <v>0</v>
      </c>
      <c r="H618" s="4">
        <f ca="1">IF(RESULTADOS!$C$17="Normal",E618,0)</f>
        <v>0</v>
      </c>
      <c r="I618" s="4">
        <f ca="1">(E618+H618+G618)*PREMISSAS!$C$60</f>
        <v>0</v>
      </c>
      <c r="J618" s="4">
        <f ca="1">D618*IF(RESULTADOS!$C$17="Normal",PREMISSAS!$C$62,0)</f>
        <v>0</v>
      </c>
      <c r="K618" s="116">
        <f ca="1">IFERROR(K617*(1+PREMISSAS!$C$18)+(E618+H618-IF(RESULTADOS!$C$17="Normal",I618,0)-J618)*IF(MONTH(B618)=12,2,1),0)</f>
        <v>0</v>
      </c>
      <c r="L618" s="116">
        <f ca="1">IFERROR((L617+G618-IF(RESULTADOS!$C$17="Normal",0,I618))*(1+PREMISSAS!$C$18)+F618,0)</f>
        <v>0</v>
      </c>
      <c r="N618" s="73">
        <f t="shared" ca="1" si="81"/>
        <v>0</v>
      </c>
      <c r="P618" s="164" t="str">
        <f t="shared" ca="1" si="82"/>
        <v/>
      </c>
      <c r="Q618" s="140" t="str">
        <f ca="1">IF(C618="","",Q617+(E618+H618-IF(RESULTADOS!$C$17="Normal",I618,0)-J618)/2+(F618+G618-IF(RESULTADOS!$C$17="Normal",0,I618)))</f>
        <v/>
      </c>
      <c r="R618" s="140" t="str">
        <f ca="1">IF(C618="","",R617+(E618+H618-IF(RESULTADOS!$C$17="Normal",I618,0)-J618)/2)</f>
        <v/>
      </c>
      <c r="S618" s="140">
        <f t="shared" ca="1" si="83"/>
        <v>0</v>
      </c>
      <c r="U618" s="164" t="str">
        <f t="shared" ca="1" si="84"/>
        <v/>
      </c>
      <c r="V618" s="164" t="str">
        <f t="shared" ca="1" si="85"/>
        <v/>
      </c>
      <c r="W618" s="140">
        <f ca="1">IF(OR((W617-13/12*Z617)*(1+PREMISSAS!$C$16)&lt;0,W617=""),0,(W617-13/12*Z617)*(1+PREMISSAS!$C$16))</f>
        <v>0</v>
      </c>
      <c r="X618" s="140">
        <f ca="1">IF(OR((X617-13/12*AA617)*(1+PREMISSAS!$C$16)&lt;0,X617=""),0,(X617-13/12*AA617)*(1+PREMISSAS!$C$16))</f>
        <v>0</v>
      </c>
      <c r="Y618" s="140">
        <f t="shared" ca="1" si="86"/>
        <v>0</v>
      </c>
      <c r="Z618" s="167">
        <f t="shared" ca="1" si="87"/>
        <v>0</v>
      </c>
      <c r="AA618" s="167">
        <f t="shared" ca="1" si="80"/>
        <v>0</v>
      </c>
    </row>
    <row r="619" spans="2:27" x14ac:dyDescent="0.25">
      <c r="B619" s="21" t="str">
        <f ca="1">IF(B618="","",IF(EOMONTH(B618,1)&gt;EOMONTH(ELEGIBILIDADE!$J$17,0),"",EOMONTH(B618,1)))</f>
        <v/>
      </c>
      <c r="C619" s="22" t="str">
        <f ca="1">IF(B619="","",IF(MONTH(B619)=1,C618*(1+PREMISSAS!$C$57),C618))</f>
        <v/>
      </c>
      <c r="D619" s="22">
        <f ca="1">IF(RESULTADOS!$C$17="Normal",IFERROR(MAX(C619-PREMISSAS!$C$13,0),0),IF(Painel!$I$23=0,0,MAX(10*PREMISSAS!$C$38,RESULTADOS!$F$17)))</f>
        <v>0</v>
      </c>
      <c r="E619" s="4">
        <f ca="1">D619*IF(RESULTADOS!$C$17="Normal",RESULTADOS!$C$16,0)</f>
        <v>0</v>
      </c>
      <c r="F619" s="4">
        <f ca="1">IFERROR(IF(RESULTADOS!$C$17="Normal",D619,C619)*RESULTADOS!$C$18,0)</f>
        <v>0</v>
      </c>
      <c r="G619" s="4">
        <f ca="1">IFERROR(IF(RESULTADOS!$C$17="Normal",0,D619)*IF(RESULTADOS!$C$17="Normal",RESULTADOS!$C$18,RESULTADOS!$C$16),0)</f>
        <v>0</v>
      </c>
      <c r="H619" s="4">
        <f ca="1">IF(RESULTADOS!$C$17="Normal",E619,0)</f>
        <v>0</v>
      </c>
      <c r="I619" s="4">
        <f ca="1">(E619+H619+G619)*PREMISSAS!$C$60</f>
        <v>0</v>
      </c>
      <c r="J619" s="4">
        <f ca="1">D619*IF(RESULTADOS!$C$17="Normal",PREMISSAS!$C$62,0)</f>
        <v>0</v>
      </c>
      <c r="K619" s="116">
        <f ca="1">IFERROR(K618*(1+PREMISSAS!$C$18)+(E619+H619-IF(RESULTADOS!$C$17="Normal",I619,0)-J619)*IF(MONTH(B619)=12,2,1),0)</f>
        <v>0</v>
      </c>
      <c r="L619" s="116">
        <f ca="1">IFERROR((L618+G619-IF(RESULTADOS!$C$17="Normal",0,I619))*(1+PREMISSAS!$C$18)+F619,0)</f>
        <v>0</v>
      </c>
      <c r="N619" s="73">
        <f t="shared" ca="1" si="81"/>
        <v>0</v>
      </c>
      <c r="P619" s="164" t="str">
        <f t="shared" ca="1" si="82"/>
        <v/>
      </c>
      <c r="Q619" s="140" t="str">
        <f ca="1">IF(C619="","",Q618+(E619+H619-IF(RESULTADOS!$C$17="Normal",I619,0)-J619)/2+(F619+G619-IF(RESULTADOS!$C$17="Normal",0,I619)))</f>
        <v/>
      </c>
      <c r="R619" s="140" t="str">
        <f ca="1">IF(C619="","",R618+(E619+H619-IF(RESULTADOS!$C$17="Normal",I619,0)-J619)/2)</f>
        <v/>
      </c>
      <c r="S619" s="140">
        <f t="shared" ca="1" si="83"/>
        <v>0</v>
      </c>
      <c r="U619" s="164" t="str">
        <f t="shared" ca="1" si="84"/>
        <v/>
      </c>
      <c r="V619" s="164" t="str">
        <f t="shared" ca="1" si="85"/>
        <v/>
      </c>
      <c r="W619" s="140">
        <f ca="1">IF(OR((W618-13/12*Z618)*(1+PREMISSAS!$C$16)&lt;0,W618=""),0,(W618-13/12*Z618)*(1+PREMISSAS!$C$16))</f>
        <v>0</v>
      </c>
      <c r="X619" s="140">
        <f ca="1">IF(OR((X618-13/12*AA618)*(1+PREMISSAS!$C$16)&lt;0,X618=""),0,(X618-13/12*AA618)*(1+PREMISSAS!$C$16))</f>
        <v>0</v>
      </c>
      <c r="Y619" s="140">
        <f t="shared" ca="1" si="86"/>
        <v>0</v>
      </c>
      <c r="Z619" s="167">
        <f t="shared" ca="1" si="87"/>
        <v>0</v>
      </c>
      <c r="AA619" s="167">
        <f t="shared" ca="1" si="80"/>
        <v>0</v>
      </c>
    </row>
    <row r="620" spans="2:27" x14ac:dyDescent="0.25">
      <c r="B620" s="21" t="str">
        <f ca="1">IF(B619="","",IF(EOMONTH(B619,1)&gt;EOMONTH(ELEGIBILIDADE!$J$17,0),"",EOMONTH(B619,1)))</f>
        <v/>
      </c>
      <c r="C620" s="22" t="str">
        <f ca="1">IF(B620="","",IF(MONTH(B620)=1,C619*(1+PREMISSAS!$C$57),C619))</f>
        <v/>
      </c>
      <c r="D620" s="22">
        <f ca="1">IF(RESULTADOS!$C$17="Normal",IFERROR(MAX(C620-PREMISSAS!$C$13,0),0),IF(Painel!$I$23=0,0,MAX(10*PREMISSAS!$C$38,RESULTADOS!$F$17)))</f>
        <v>0</v>
      </c>
      <c r="E620" s="4">
        <f ca="1">D620*IF(RESULTADOS!$C$17="Normal",RESULTADOS!$C$16,0)</f>
        <v>0</v>
      </c>
      <c r="F620" s="4">
        <f ca="1">IFERROR(IF(RESULTADOS!$C$17="Normal",D620,C620)*RESULTADOS!$C$18,0)</f>
        <v>0</v>
      </c>
      <c r="G620" s="4">
        <f ca="1">IFERROR(IF(RESULTADOS!$C$17="Normal",0,D620)*IF(RESULTADOS!$C$17="Normal",RESULTADOS!$C$18,RESULTADOS!$C$16),0)</f>
        <v>0</v>
      </c>
      <c r="H620" s="4">
        <f ca="1">IF(RESULTADOS!$C$17="Normal",E620,0)</f>
        <v>0</v>
      </c>
      <c r="I620" s="4">
        <f ca="1">(E620+H620+G620)*PREMISSAS!$C$60</f>
        <v>0</v>
      </c>
      <c r="J620" s="4">
        <f ca="1">D620*IF(RESULTADOS!$C$17="Normal",PREMISSAS!$C$62,0)</f>
        <v>0</v>
      </c>
      <c r="K620" s="116">
        <f ca="1">IFERROR(K619*(1+PREMISSAS!$C$18)+(E620+H620-IF(RESULTADOS!$C$17="Normal",I620,0)-J620)*IF(MONTH(B620)=12,2,1),0)</f>
        <v>0</v>
      </c>
      <c r="L620" s="116">
        <f ca="1">IFERROR((L619+G620-IF(RESULTADOS!$C$17="Normal",0,I620))*(1+PREMISSAS!$C$18)+F620,0)</f>
        <v>0</v>
      </c>
      <c r="N620" s="73">
        <f t="shared" ca="1" si="81"/>
        <v>0</v>
      </c>
      <c r="P620" s="164" t="str">
        <f t="shared" ca="1" si="82"/>
        <v/>
      </c>
      <c r="Q620" s="140" t="str">
        <f ca="1">IF(C620="","",Q619+(E620+H620-IF(RESULTADOS!$C$17="Normal",I620,0)-J620)/2+(F620+G620-IF(RESULTADOS!$C$17="Normal",0,I620)))</f>
        <v/>
      </c>
      <c r="R620" s="140" t="str">
        <f ca="1">IF(C620="","",R619+(E620+H620-IF(RESULTADOS!$C$17="Normal",I620,0)-J620)/2)</f>
        <v/>
      </c>
      <c r="S620" s="140">
        <f t="shared" ca="1" si="83"/>
        <v>0</v>
      </c>
      <c r="U620" s="164" t="str">
        <f t="shared" ca="1" si="84"/>
        <v/>
      </c>
      <c r="V620" s="164" t="str">
        <f t="shared" ca="1" si="85"/>
        <v/>
      </c>
      <c r="W620" s="140">
        <f ca="1">IF(OR((W619-13/12*Z619)*(1+PREMISSAS!$C$16)&lt;0,W619=""),0,(W619-13/12*Z619)*(1+PREMISSAS!$C$16))</f>
        <v>0</v>
      </c>
      <c r="X620" s="140">
        <f ca="1">IF(OR((X619-13/12*AA619)*(1+PREMISSAS!$C$16)&lt;0,X619=""),0,(X619-13/12*AA619)*(1+PREMISSAS!$C$16))</f>
        <v>0</v>
      </c>
      <c r="Y620" s="140">
        <f t="shared" ca="1" si="86"/>
        <v>0</v>
      </c>
      <c r="Z620" s="167">
        <f t="shared" ca="1" si="87"/>
        <v>0</v>
      </c>
      <c r="AA620" s="167">
        <f t="shared" ca="1" si="80"/>
        <v>0</v>
      </c>
    </row>
    <row r="621" spans="2:27" x14ac:dyDescent="0.25">
      <c r="B621" s="21" t="str">
        <f ca="1">IF(B620="","",IF(EOMONTH(B620,1)&gt;EOMONTH(ELEGIBILIDADE!$J$17,0),"",EOMONTH(B620,1)))</f>
        <v/>
      </c>
      <c r="C621" s="22" t="str">
        <f ca="1">IF(B621="","",IF(MONTH(B621)=1,C620*(1+PREMISSAS!$C$57),C620))</f>
        <v/>
      </c>
      <c r="D621" s="22">
        <f ca="1">IF(RESULTADOS!$C$17="Normal",IFERROR(MAX(C621-PREMISSAS!$C$13,0),0),IF(Painel!$I$23=0,0,MAX(10*PREMISSAS!$C$38,RESULTADOS!$F$17)))</f>
        <v>0</v>
      </c>
      <c r="E621" s="4">
        <f ca="1">D621*IF(RESULTADOS!$C$17="Normal",RESULTADOS!$C$16,0)</f>
        <v>0</v>
      </c>
      <c r="F621" s="4">
        <f ca="1">IFERROR(IF(RESULTADOS!$C$17="Normal",D621,C621)*RESULTADOS!$C$18,0)</f>
        <v>0</v>
      </c>
      <c r="G621" s="4">
        <f ca="1">IFERROR(IF(RESULTADOS!$C$17="Normal",0,D621)*IF(RESULTADOS!$C$17="Normal",RESULTADOS!$C$18,RESULTADOS!$C$16),0)</f>
        <v>0</v>
      </c>
      <c r="H621" s="4">
        <f ca="1">IF(RESULTADOS!$C$17="Normal",E621,0)</f>
        <v>0</v>
      </c>
      <c r="I621" s="4">
        <f ca="1">(E621+H621+G621)*PREMISSAS!$C$60</f>
        <v>0</v>
      </c>
      <c r="J621" s="4">
        <f ca="1">D621*IF(RESULTADOS!$C$17="Normal",PREMISSAS!$C$62,0)</f>
        <v>0</v>
      </c>
      <c r="K621" s="116">
        <f ca="1">IFERROR(K620*(1+PREMISSAS!$C$18)+(E621+H621-IF(RESULTADOS!$C$17="Normal",I621,0)-J621)*IF(MONTH(B621)=12,2,1),0)</f>
        <v>0</v>
      </c>
      <c r="L621" s="116">
        <f ca="1">IFERROR((L620+G621-IF(RESULTADOS!$C$17="Normal",0,I621))*(1+PREMISSAS!$C$18)+F621,0)</f>
        <v>0</v>
      </c>
      <c r="N621" s="73">
        <f t="shared" ca="1" si="81"/>
        <v>0</v>
      </c>
      <c r="P621" s="164" t="str">
        <f t="shared" ca="1" si="82"/>
        <v/>
      </c>
      <c r="Q621" s="140" t="str">
        <f ca="1">IF(C621="","",Q620+(E621+H621-IF(RESULTADOS!$C$17="Normal",I621,0)-J621)/2+(F621+G621-IF(RESULTADOS!$C$17="Normal",0,I621)))</f>
        <v/>
      </c>
      <c r="R621" s="140" t="str">
        <f ca="1">IF(C621="","",R620+(E621+H621-IF(RESULTADOS!$C$17="Normal",I621,0)-J621)/2)</f>
        <v/>
      </c>
      <c r="S621" s="140">
        <f t="shared" ca="1" si="83"/>
        <v>0</v>
      </c>
      <c r="U621" s="164" t="str">
        <f t="shared" ca="1" si="84"/>
        <v/>
      </c>
      <c r="V621" s="164" t="str">
        <f t="shared" ca="1" si="85"/>
        <v/>
      </c>
      <c r="W621" s="140">
        <f ca="1">IF(OR((W620-13/12*Z620)*(1+PREMISSAS!$C$16)&lt;0,W620=""),0,(W620-13/12*Z620)*(1+PREMISSAS!$C$16))</f>
        <v>0</v>
      </c>
      <c r="X621" s="140">
        <f ca="1">IF(OR((X620-13/12*AA620)*(1+PREMISSAS!$C$16)&lt;0,X620=""),0,(X620-13/12*AA620)*(1+PREMISSAS!$C$16))</f>
        <v>0</v>
      </c>
      <c r="Y621" s="140">
        <f t="shared" ca="1" si="86"/>
        <v>0</v>
      </c>
      <c r="Z621" s="167">
        <f t="shared" ca="1" si="87"/>
        <v>0</v>
      </c>
      <c r="AA621" s="167">
        <f t="shared" ca="1" si="80"/>
        <v>0</v>
      </c>
    </row>
    <row r="622" spans="2:27" x14ac:dyDescent="0.25">
      <c r="B622" s="21" t="str">
        <f ca="1">IF(B621="","",IF(EOMONTH(B621,1)&gt;EOMONTH(ELEGIBILIDADE!$J$17,0),"",EOMONTH(B621,1)))</f>
        <v/>
      </c>
      <c r="C622" s="22" t="str">
        <f ca="1">IF(B622="","",IF(MONTH(B622)=1,C621*(1+PREMISSAS!$C$57),C621))</f>
        <v/>
      </c>
      <c r="D622" s="22">
        <f ca="1">IF(RESULTADOS!$C$17="Normal",IFERROR(MAX(C622-PREMISSAS!$C$13,0),0),IF(Painel!$I$23=0,0,MAX(10*PREMISSAS!$C$38,RESULTADOS!$F$17)))</f>
        <v>0</v>
      </c>
      <c r="E622" s="4">
        <f ca="1">D622*IF(RESULTADOS!$C$17="Normal",RESULTADOS!$C$16,0)</f>
        <v>0</v>
      </c>
      <c r="F622" s="4">
        <f ca="1">IFERROR(IF(RESULTADOS!$C$17="Normal",D622,C622)*RESULTADOS!$C$18,0)</f>
        <v>0</v>
      </c>
      <c r="G622" s="4">
        <f ca="1">IFERROR(IF(RESULTADOS!$C$17="Normal",0,D622)*IF(RESULTADOS!$C$17="Normal",RESULTADOS!$C$18,RESULTADOS!$C$16),0)</f>
        <v>0</v>
      </c>
      <c r="H622" s="4">
        <f ca="1">IF(RESULTADOS!$C$17="Normal",E622,0)</f>
        <v>0</v>
      </c>
      <c r="I622" s="4">
        <f ca="1">(E622+H622+G622)*PREMISSAS!$C$60</f>
        <v>0</v>
      </c>
      <c r="J622" s="4">
        <f ca="1">D622*IF(RESULTADOS!$C$17="Normal",PREMISSAS!$C$62,0)</f>
        <v>0</v>
      </c>
      <c r="K622" s="116">
        <f ca="1">IFERROR(K621*(1+PREMISSAS!$C$18)+(E622+H622-IF(RESULTADOS!$C$17="Normal",I622,0)-J622)*IF(MONTH(B622)=12,2,1),0)</f>
        <v>0</v>
      </c>
      <c r="L622" s="116">
        <f ca="1">IFERROR((L621+G622-IF(RESULTADOS!$C$17="Normal",0,I622))*(1+PREMISSAS!$C$18)+F622,0)</f>
        <v>0</v>
      </c>
      <c r="N622" s="73">
        <f t="shared" ca="1" si="81"/>
        <v>0</v>
      </c>
      <c r="P622" s="164" t="str">
        <f t="shared" ca="1" si="82"/>
        <v/>
      </c>
      <c r="Q622" s="140" t="str">
        <f ca="1">IF(C622="","",Q621+(E622+H622-IF(RESULTADOS!$C$17="Normal",I622,0)-J622)/2+(F622+G622-IF(RESULTADOS!$C$17="Normal",0,I622)))</f>
        <v/>
      </c>
      <c r="R622" s="140" t="str">
        <f ca="1">IF(C622="","",R621+(E622+H622-IF(RESULTADOS!$C$17="Normal",I622,0)-J622)/2)</f>
        <v/>
      </c>
      <c r="S622" s="140">
        <f t="shared" ca="1" si="83"/>
        <v>0</v>
      </c>
      <c r="U622" s="164" t="str">
        <f t="shared" ca="1" si="84"/>
        <v/>
      </c>
      <c r="V622" s="164" t="str">
        <f t="shared" ca="1" si="85"/>
        <v/>
      </c>
      <c r="W622" s="140">
        <f ca="1">IF(OR((W621-13/12*Z621)*(1+PREMISSAS!$C$16)&lt;0,W621=""),0,(W621-13/12*Z621)*(1+PREMISSAS!$C$16))</f>
        <v>0</v>
      </c>
      <c r="X622" s="140">
        <f ca="1">IF(OR((X621-13/12*AA621)*(1+PREMISSAS!$C$16)&lt;0,X621=""),0,(X621-13/12*AA621)*(1+PREMISSAS!$C$16))</f>
        <v>0</v>
      </c>
      <c r="Y622" s="140">
        <f t="shared" ca="1" si="86"/>
        <v>0</v>
      </c>
      <c r="Z622" s="167">
        <f t="shared" ca="1" si="87"/>
        <v>0</v>
      </c>
      <c r="AA622" s="167">
        <f t="shared" ca="1" si="80"/>
        <v>0</v>
      </c>
    </row>
    <row r="623" spans="2:27" x14ac:dyDescent="0.25">
      <c r="B623" s="21" t="str">
        <f ca="1">IF(B622="","",IF(EOMONTH(B622,1)&gt;EOMONTH(ELEGIBILIDADE!$J$17,0),"",EOMONTH(B622,1)))</f>
        <v/>
      </c>
      <c r="C623" s="22" t="str">
        <f ca="1">IF(B623="","",IF(MONTH(B623)=1,C622*(1+PREMISSAS!$C$57),C622))</f>
        <v/>
      </c>
      <c r="D623" s="22">
        <f ca="1">IF(RESULTADOS!$C$17="Normal",IFERROR(MAX(C623-PREMISSAS!$C$13,0),0),IF(Painel!$I$23=0,0,MAX(10*PREMISSAS!$C$38,RESULTADOS!$F$17)))</f>
        <v>0</v>
      </c>
      <c r="E623" s="4">
        <f ca="1">D623*IF(RESULTADOS!$C$17="Normal",RESULTADOS!$C$16,0)</f>
        <v>0</v>
      </c>
      <c r="F623" s="4">
        <f ca="1">IFERROR(IF(RESULTADOS!$C$17="Normal",D623,C623)*RESULTADOS!$C$18,0)</f>
        <v>0</v>
      </c>
      <c r="G623" s="4">
        <f ca="1">IFERROR(IF(RESULTADOS!$C$17="Normal",0,D623)*IF(RESULTADOS!$C$17="Normal",RESULTADOS!$C$18,RESULTADOS!$C$16),0)</f>
        <v>0</v>
      </c>
      <c r="H623" s="4">
        <f ca="1">IF(RESULTADOS!$C$17="Normal",E623,0)</f>
        <v>0</v>
      </c>
      <c r="I623" s="4">
        <f ca="1">(E623+H623+G623)*PREMISSAS!$C$60</f>
        <v>0</v>
      </c>
      <c r="J623" s="4">
        <f ca="1">D623*IF(RESULTADOS!$C$17="Normal",PREMISSAS!$C$62,0)</f>
        <v>0</v>
      </c>
      <c r="K623" s="116">
        <f ca="1">IFERROR(K622*(1+PREMISSAS!$C$18)+(E623+H623-IF(RESULTADOS!$C$17="Normal",I623,0)-J623)*IF(MONTH(B623)=12,2,1),0)</f>
        <v>0</v>
      </c>
      <c r="L623" s="116">
        <f ca="1">IFERROR((L622+G623-IF(RESULTADOS!$C$17="Normal",0,I623))*(1+PREMISSAS!$C$18)+F623,0)</f>
        <v>0</v>
      </c>
      <c r="N623" s="73">
        <f t="shared" ca="1" si="81"/>
        <v>0</v>
      </c>
      <c r="P623" s="164" t="str">
        <f t="shared" ca="1" si="82"/>
        <v/>
      </c>
      <c r="Q623" s="140" t="str">
        <f ca="1">IF(C623="","",Q622+(E623+H623-IF(RESULTADOS!$C$17="Normal",I623,0)-J623)/2+(F623+G623-IF(RESULTADOS!$C$17="Normal",0,I623)))</f>
        <v/>
      </c>
      <c r="R623" s="140" t="str">
        <f ca="1">IF(C623="","",R622+(E623+H623-IF(RESULTADOS!$C$17="Normal",I623,0)-J623)/2)</f>
        <v/>
      </c>
      <c r="S623" s="140">
        <f t="shared" ca="1" si="83"/>
        <v>0</v>
      </c>
      <c r="U623" s="164" t="str">
        <f t="shared" ca="1" si="84"/>
        <v/>
      </c>
      <c r="V623" s="164" t="str">
        <f t="shared" ca="1" si="85"/>
        <v/>
      </c>
      <c r="W623" s="140">
        <f ca="1">IF(OR((W622-13/12*Z622)*(1+PREMISSAS!$C$16)&lt;0,W622=""),0,(W622-13/12*Z622)*(1+PREMISSAS!$C$16))</f>
        <v>0</v>
      </c>
      <c r="X623" s="140">
        <f ca="1">IF(OR((X622-13/12*AA622)*(1+PREMISSAS!$C$16)&lt;0,X622=""),0,(X622-13/12*AA622)*(1+PREMISSAS!$C$16))</f>
        <v>0</v>
      </c>
      <c r="Y623" s="140">
        <f t="shared" ca="1" si="86"/>
        <v>0</v>
      </c>
      <c r="Z623" s="167">
        <f t="shared" ca="1" si="87"/>
        <v>0</v>
      </c>
      <c r="AA623" s="167">
        <f t="shared" ca="1" si="80"/>
        <v>0</v>
      </c>
    </row>
    <row r="624" spans="2:27" x14ac:dyDescent="0.25">
      <c r="B624" s="21" t="str">
        <f ca="1">IF(B623="","",IF(EOMONTH(B623,1)&gt;EOMONTH(ELEGIBILIDADE!$J$17,0),"",EOMONTH(B623,1)))</f>
        <v/>
      </c>
      <c r="C624" s="22" t="str">
        <f ca="1">IF(B624="","",IF(MONTH(B624)=1,C623*(1+PREMISSAS!$C$57),C623))</f>
        <v/>
      </c>
      <c r="D624" s="22">
        <f ca="1">IF(RESULTADOS!$C$17="Normal",IFERROR(MAX(C624-PREMISSAS!$C$13,0),0),IF(Painel!$I$23=0,0,MAX(10*PREMISSAS!$C$38,RESULTADOS!$F$17)))</f>
        <v>0</v>
      </c>
      <c r="E624" s="4">
        <f ca="1">D624*IF(RESULTADOS!$C$17="Normal",RESULTADOS!$C$16,0)</f>
        <v>0</v>
      </c>
      <c r="F624" s="4">
        <f ca="1">IFERROR(IF(RESULTADOS!$C$17="Normal",D624,C624)*RESULTADOS!$C$18,0)</f>
        <v>0</v>
      </c>
      <c r="G624" s="4">
        <f ca="1">IFERROR(IF(RESULTADOS!$C$17="Normal",0,D624)*IF(RESULTADOS!$C$17="Normal",RESULTADOS!$C$18,RESULTADOS!$C$16),0)</f>
        <v>0</v>
      </c>
      <c r="H624" s="4">
        <f ca="1">IF(RESULTADOS!$C$17="Normal",E624,0)</f>
        <v>0</v>
      </c>
      <c r="I624" s="4">
        <f ca="1">(E624+H624+G624)*PREMISSAS!$C$60</f>
        <v>0</v>
      </c>
      <c r="J624" s="4">
        <f ca="1">D624*IF(RESULTADOS!$C$17="Normal",PREMISSAS!$C$62,0)</f>
        <v>0</v>
      </c>
      <c r="K624" s="116">
        <f ca="1">IFERROR(K623*(1+PREMISSAS!$C$18)+(E624+H624-IF(RESULTADOS!$C$17="Normal",I624,0)-J624)*IF(MONTH(B624)=12,2,1),0)</f>
        <v>0</v>
      </c>
      <c r="L624" s="116">
        <f ca="1">IFERROR((L623+G624-IF(RESULTADOS!$C$17="Normal",0,I624))*(1+PREMISSAS!$C$18)+F624,0)</f>
        <v>0</v>
      </c>
      <c r="N624" s="73">
        <f t="shared" ca="1" si="81"/>
        <v>0</v>
      </c>
      <c r="P624" s="164" t="str">
        <f t="shared" ca="1" si="82"/>
        <v/>
      </c>
      <c r="Q624" s="140" t="str">
        <f ca="1">IF(C624="","",Q623+(E624+H624-IF(RESULTADOS!$C$17="Normal",I624,0)-J624)/2+(F624+G624-IF(RESULTADOS!$C$17="Normal",0,I624)))</f>
        <v/>
      </c>
      <c r="R624" s="140" t="str">
        <f ca="1">IF(C624="","",R623+(E624+H624-IF(RESULTADOS!$C$17="Normal",I624,0)-J624)/2)</f>
        <v/>
      </c>
      <c r="S624" s="140">
        <f t="shared" ca="1" si="83"/>
        <v>0</v>
      </c>
      <c r="U624" s="164" t="str">
        <f t="shared" ca="1" si="84"/>
        <v/>
      </c>
      <c r="V624" s="164" t="str">
        <f t="shared" ca="1" si="85"/>
        <v/>
      </c>
      <c r="W624" s="140">
        <f ca="1">IF(OR((W623-13/12*Z623)*(1+PREMISSAS!$C$16)&lt;0,W623=""),0,(W623-13/12*Z623)*(1+PREMISSAS!$C$16))</f>
        <v>0</v>
      </c>
      <c r="X624" s="140">
        <f ca="1">IF(OR((X623-13/12*AA623)*(1+PREMISSAS!$C$16)&lt;0,X623=""),0,(X623-13/12*AA623)*(1+PREMISSAS!$C$16))</f>
        <v>0</v>
      </c>
      <c r="Y624" s="140">
        <f t="shared" ca="1" si="86"/>
        <v>0</v>
      </c>
      <c r="Z624" s="167">
        <f t="shared" ca="1" si="87"/>
        <v>0</v>
      </c>
      <c r="AA624" s="167">
        <f t="shared" ca="1" si="80"/>
        <v>0</v>
      </c>
    </row>
    <row r="625" spans="2:27" x14ac:dyDescent="0.25">
      <c r="B625" s="21" t="str">
        <f ca="1">IF(B624="","",IF(EOMONTH(B624,1)&gt;EOMONTH(ELEGIBILIDADE!$J$17,0),"",EOMONTH(B624,1)))</f>
        <v/>
      </c>
      <c r="C625" s="22" t="str">
        <f ca="1">IF(B625="","",IF(MONTH(B625)=1,C624*(1+PREMISSAS!$C$57),C624))</f>
        <v/>
      </c>
      <c r="D625" s="22">
        <f ca="1">IF(RESULTADOS!$C$17="Normal",IFERROR(MAX(C625-PREMISSAS!$C$13,0),0),IF(Painel!$I$23=0,0,MAX(10*PREMISSAS!$C$38,RESULTADOS!$F$17)))</f>
        <v>0</v>
      </c>
      <c r="E625" s="4">
        <f ca="1">D625*IF(RESULTADOS!$C$17="Normal",RESULTADOS!$C$16,0)</f>
        <v>0</v>
      </c>
      <c r="F625" s="4">
        <f ca="1">IFERROR(IF(RESULTADOS!$C$17="Normal",D625,C625)*RESULTADOS!$C$18,0)</f>
        <v>0</v>
      </c>
      <c r="G625" s="4">
        <f ca="1">IFERROR(IF(RESULTADOS!$C$17="Normal",0,D625)*IF(RESULTADOS!$C$17="Normal",RESULTADOS!$C$18,RESULTADOS!$C$16),0)</f>
        <v>0</v>
      </c>
      <c r="H625" s="4">
        <f ca="1">IF(RESULTADOS!$C$17="Normal",E625,0)</f>
        <v>0</v>
      </c>
      <c r="I625" s="4">
        <f ca="1">(E625+H625+G625)*PREMISSAS!$C$60</f>
        <v>0</v>
      </c>
      <c r="J625" s="4">
        <f ca="1">D625*IF(RESULTADOS!$C$17="Normal",PREMISSAS!$C$62,0)</f>
        <v>0</v>
      </c>
      <c r="K625" s="116">
        <f ca="1">IFERROR(K624*(1+PREMISSAS!$C$18)+(E625+H625-IF(RESULTADOS!$C$17="Normal",I625,0)-J625)*IF(MONTH(B625)=12,2,1),0)</f>
        <v>0</v>
      </c>
      <c r="L625" s="116">
        <f ca="1">IFERROR((L624+G625-IF(RESULTADOS!$C$17="Normal",0,I625))*(1+PREMISSAS!$C$18)+F625,0)</f>
        <v>0</v>
      </c>
      <c r="N625" s="73">
        <f t="shared" ca="1" si="81"/>
        <v>0</v>
      </c>
      <c r="P625" s="164" t="str">
        <f t="shared" ca="1" si="82"/>
        <v/>
      </c>
      <c r="Q625" s="140" t="str">
        <f ca="1">IF(C625="","",Q624+(E625+H625-IF(RESULTADOS!$C$17="Normal",I625,0)-J625)/2+(F625+G625-IF(RESULTADOS!$C$17="Normal",0,I625)))</f>
        <v/>
      </c>
      <c r="R625" s="140" t="str">
        <f ca="1">IF(C625="","",R624+(E625+H625-IF(RESULTADOS!$C$17="Normal",I625,0)-J625)/2)</f>
        <v/>
      </c>
      <c r="S625" s="140">
        <f t="shared" ca="1" si="83"/>
        <v>0</v>
      </c>
      <c r="U625" s="164" t="str">
        <f t="shared" ca="1" si="84"/>
        <v/>
      </c>
      <c r="V625" s="164" t="str">
        <f t="shared" ca="1" si="85"/>
        <v/>
      </c>
      <c r="W625" s="140">
        <f ca="1">IF(OR((W624-13/12*Z624)*(1+PREMISSAS!$C$16)&lt;0,W624=""),0,(W624-13/12*Z624)*(1+PREMISSAS!$C$16))</f>
        <v>0</v>
      </c>
      <c r="X625" s="140">
        <f ca="1">IF(OR((X624-13/12*AA624)*(1+PREMISSAS!$C$16)&lt;0,X624=""),0,(X624-13/12*AA624)*(1+PREMISSAS!$C$16))</f>
        <v>0</v>
      </c>
      <c r="Y625" s="140">
        <f t="shared" ca="1" si="86"/>
        <v>0</v>
      </c>
      <c r="Z625" s="167">
        <f t="shared" ca="1" si="87"/>
        <v>0</v>
      </c>
      <c r="AA625" s="167">
        <f t="shared" ca="1" si="80"/>
        <v>0</v>
      </c>
    </row>
    <row r="626" spans="2:27" x14ac:dyDescent="0.25">
      <c r="B626" s="21" t="str">
        <f ca="1">IF(B625="","",IF(EOMONTH(B625,1)&gt;EOMONTH(ELEGIBILIDADE!$J$17,0),"",EOMONTH(B625,1)))</f>
        <v/>
      </c>
      <c r="C626" s="22" t="str">
        <f ca="1">IF(B626="","",IF(MONTH(B626)=1,C625*(1+PREMISSAS!$C$57),C625))</f>
        <v/>
      </c>
      <c r="D626" s="22">
        <f ca="1">IF(RESULTADOS!$C$17="Normal",IFERROR(MAX(C626-PREMISSAS!$C$13,0),0),IF(Painel!$I$23=0,0,MAX(10*PREMISSAS!$C$38,RESULTADOS!$F$17)))</f>
        <v>0</v>
      </c>
      <c r="E626" s="4">
        <f ca="1">D626*IF(RESULTADOS!$C$17="Normal",RESULTADOS!$C$16,0)</f>
        <v>0</v>
      </c>
      <c r="F626" s="4">
        <f ca="1">IFERROR(IF(RESULTADOS!$C$17="Normal",D626,C626)*RESULTADOS!$C$18,0)</f>
        <v>0</v>
      </c>
      <c r="G626" s="4">
        <f ca="1">IFERROR(IF(RESULTADOS!$C$17="Normal",0,D626)*IF(RESULTADOS!$C$17="Normal",RESULTADOS!$C$18,RESULTADOS!$C$16),0)</f>
        <v>0</v>
      </c>
      <c r="H626" s="4">
        <f ca="1">IF(RESULTADOS!$C$17="Normal",E626,0)</f>
        <v>0</v>
      </c>
      <c r="I626" s="4">
        <f ca="1">(E626+H626+G626)*PREMISSAS!$C$60</f>
        <v>0</v>
      </c>
      <c r="J626" s="4">
        <f ca="1">D626*IF(RESULTADOS!$C$17="Normal",PREMISSAS!$C$62,0)</f>
        <v>0</v>
      </c>
      <c r="K626" s="116">
        <f ca="1">IFERROR(K625*(1+PREMISSAS!$C$18)+(E626+H626-IF(RESULTADOS!$C$17="Normal",I626,0)-J626)*IF(MONTH(B626)=12,2,1),0)</f>
        <v>0</v>
      </c>
      <c r="L626" s="116">
        <f ca="1">IFERROR((L625+G626-IF(RESULTADOS!$C$17="Normal",0,I626))*(1+PREMISSAS!$C$18)+F626,0)</f>
        <v>0</v>
      </c>
      <c r="N626" s="73">
        <f t="shared" ca="1" si="81"/>
        <v>0</v>
      </c>
      <c r="P626" s="164" t="str">
        <f t="shared" ca="1" si="82"/>
        <v/>
      </c>
      <c r="Q626" s="140" t="str">
        <f ca="1">IF(C626="","",Q625+(E626+H626-IF(RESULTADOS!$C$17="Normal",I626,0)-J626)/2+(F626+G626-IF(RESULTADOS!$C$17="Normal",0,I626)))</f>
        <v/>
      </c>
      <c r="R626" s="140" t="str">
        <f ca="1">IF(C626="","",R625+(E626+H626-IF(RESULTADOS!$C$17="Normal",I626,0)-J626)/2)</f>
        <v/>
      </c>
      <c r="S626" s="140">
        <f t="shared" ca="1" si="83"/>
        <v>0</v>
      </c>
      <c r="U626" s="164" t="str">
        <f t="shared" ca="1" si="84"/>
        <v/>
      </c>
      <c r="V626" s="164" t="str">
        <f t="shared" ca="1" si="85"/>
        <v/>
      </c>
      <c r="W626" s="140">
        <f ca="1">IF(OR((W625-13/12*Z625)*(1+PREMISSAS!$C$16)&lt;0,W625=""),0,(W625-13/12*Z625)*(1+PREMISSAS!$C$16))</f>
        <v>0</v>
      </c>
      <c r="X626" s="140">
        <f ca="1">IF(OR((X625-13/12*AA625)*(1+PREMISSAS!$C$16)&lt;0,X625=""),0,(X625-13/12*AA625)*(1+PREMISSAS!$C$16))</f>
        <v>0</v>
      </c>
      <c r="Y626" s="140">
        <f t="shared" ca="1" si="86"/>
        <v>0</v>
      </c>
      <c r="Z626" s="167">
        <f t="shared" ca="1" si="87"/>
        <v>0</v>
      </c>
      <c r="AA626" s="167">
        <f t="shared" ca="1" si="80"/>
        <v>0</v>
      </c>
    </row>
    <row r="627" spans="2:27" x14ac:dyDescent="0.25">
      <c r="B627" s="21" t="str">
        <f ca="1">IF(B626="","",IF(EOMONTH(B626,1)&gt;EOMONTH(ELEGIBILIDADE!$J$17,0),"",EOMONTH(B626,1)))</f>
        <v/>
      </c>
      <c r="C627" s="22" t="str">
        <f ca="1">IF(B627="","",IF(MONTH(B627)=1,C626*(1+PREMISSAS!$C$57),C626))</f>
        <v/>
      </c>
      <c r="D627" s="22">
        <f ca="1">IF(RESULTADOS!$C$17="Normal",IFERROR(MAX(C627-PREMISSAS!$C$13,0),0),IF(Painel!$I$23=0,0,MAX(10*PREMISSAS!$C$38,RESULTADOS!$F$17)))</f>
        <v>0</v>
      </c>
      <c r="E627" s="4">
        <f ca="1">D627*IF(RESULTADOS!$C$17="Normal",RESULTADOS!$C$16,0)</f>
        <v>0</v>
      </c>
      <c r="F627" s="4">
        <f ca="1">IFERROR(IF(RESULTADOS!$C$17="Normal",D627,C627)*RESULTADOS!$C$18,0)</f>
        <v>0</v>
      </c>
      <c r="G627" s="4">
        <f ca="1">IFERROR(IF(RESULTADOS!$C$17="Normal",0,D627)*IF(RESULTADOS!$C$17="Normal",RESULTADOS!$C$18,RESULTADOS!$C$16),0)</f>
        <v>0</v>
      </c>
      <c r="H627" s="4">
        <f ca="1">IF(RESULTADOS!$C$17="Normal",E627,0)</f>
        <v>0</v>
      </c>
      <c r="I627" s="4">
        <f ca="1">(E627+H627+G627)*PREMISSAS!$C$60</f>
        <v>0</v>
      </c>
      <c r="J627" s="4">
        <f ca="1">D627*IF(RESULTADOS!$C$17="Normal",PREMISSAS!$C$62,0)</f>
        <v>0</v>
      </c>
      <c r="K627" s="116">
        <f ca="1">IFERROR(K626*(1+PREMISSAS!$C$18)+(E627+H627-IF(RESULTADOS!$C$17="Normal",I627,0)-J627)*IF(MONTH(B627)=12,2,1),0)</f>
        <v>0</v>
      </c>
      <c r="L627" s="116">
        <f ca="1">IFERROR((L626+G627-IF(RESULTADOS!$C$17="Normal",0,I627))*(1+PREMISSAS!$C$18)+F627,0)</f>
        <v>0</v>
      </c>
      <c r="N627" s="73">
        <f t="shared" ca="1" si="81"/>
        <v>0</v>
      </c>
      <c r="P627" s="164" t="str">
        <f t="shared" ca="1" si="82"/>
        <v/>
      </c>
      <c r="Q627" s="140" t="str">
        <f ca="1">IF(C627="","",Q626+(E627+H627-IF(RESULTADOS!$C$17="Normal",I627,0)-J627)/2+(F627+G627-IF(RESULTADOS!$C$17="Normal",0,I627)))</f>
        <v/>
      </c>
      <c r="R627" s="140" t="str">
        <f ca="1">IF(C627="","",R626+(E627+H627-IF(RESULTADOS!$C$17="Normal",I627,0)-J627)/2)</f>
        <v/>
      </c>
      <c r="S627" s="140">
        <f t="shared" ca="1" si="83"/>
        <v>0</v>
      </c>
      <c r="U627" s="164" t="str">
        <f t="shared" ca="1" si="84"/>
        <v/>
      </c>
      <c r="V627" s="164" t="str">
        <f t="shared" ca="1" si="85"/>
        <v/>
      </c>
      <c r="W627" s="140">
        <f ca="1">IF(OR((W626-13/12*Z626)*(1+PREMISSAS!$C$16)&lt;0,W626=""),0,(W626-13/12*Z626)*(1+PREMISSAS!$C$16))</f>
        <v>0</v>
      </c>
      <c r="X627" s="140">
        <f ca="1">IF(OR((X626-13/12*AA626)*(1+PREMISSAS!$C$16)&lt;0,X626=""),0,(X626-13/12*AA626)*(1+PREMISSAS!$C$16))</f>
        <v>0</v>
      </c>
      <c r="Y627" s="140">
        <f t="shared" ca="1" si="86"/>
        <v>0</v>
      </c>
      <c r="Z627" s="167">
        <f t="shared" ca="1" si="87"/>
        <v>0</v>
      </c>
      <c r="AA627" s="167">
        <f t="shared" ca="1" si="80"/>
        <v>0</v>
      </c>
    </row>
    <row r="628" spans="2:27" x14ac:dyDescent="0.25">
      <c r="B628" s="21" t="str">
        <f ca="1">IF(B627="","",IF(EOMONTH(B627,1)&gt;EOMONTH(ELEGIBILIDADE!$J$17,0),"",EOMONTH(B627,1)))</f>
        <v/>
      </c>
      <c r="C628" s="22" t="str">
        <f ca="1">IF(B628="","",IF(MONTH(B628)=1,C627*(1+PREMISSAS!$C$57),C627))</f>
        <v/>
      </c>
      <c r="D628" s="22">
        <f ca="1">IF(RESULTADOS!$C$17="Normal",IFERROR(MAX(C628-PREMISSAS!$C$13,0),0),IF(Painel!$I$23=0,0,MAX(10*PREMISSAS!$C$38,RESULTADOS!$F$17)))</f>
        <v>0</v>
      </c>
      <c r="E628" s="4">
        <f ca="1">D628*IF(RESULTADOS!$C$17="Normal",RESULTADOS!$C$16,0)</f>
        <v>0</v>
      </c>
      <c r="F628" s="4">
        <f ca="1">IFERROR(IF(RESULTADOS!$C$17="Normal",D628,C628)*RESULTADOS!$C$18,0)</f>
        <v>0</v>
      </c>
      <c r="G628" s="4">
        <f ca="1">IFERROR(IF(RESULTADOS!$C$17="Normal",0,D628)*IF(RESULTADOS!$C$17="Normal",RESULTADOS!$C$18,RESULTADOS!$C$16),0)</f>
        <v>0</v>
      </c>
      <c r="H628" s="4">
        <f ca="1">IF(RESULTADOS!$C$17="Normal",E628,0)</f>
        <v>0</v>
      </c>
      <c r="I628" s="4">
        <f ca="1">(E628+H628+G628)*PREMISSAS!$C$60</f>
        <v>0</v>
      </c>
      <c r="J628" s="4">
        <f ca="1">D628*IF(RESULTADOS!$C$17="Normal",PREMISSAS!$C$62,0)</f>
        <v>0</v>
      </c>
      <c r="K628" s="116">
        <f ca="1">IFERROR(K627*(1+PREMISSAS!$C$18)+(E628+H628-IF(RESULTADOS!$C$17="Normal",I628,0)-J628)*IF(MONTH(B628)=12,2,1),0)</f>
        <v>0</v>
      </c>
      <c r="L628" s="116">
        <f ca="1">IFERROR((L627+G628-IF(RESULTADOS!$C$17="Normal",0,I628))*(1+PREMISSAS!$C$18)+F628,0)</f>
        <v>0</v>
      </c>
      <c r="N628" s="73">
        <f t="shared" ca="1" si="81"/>
        <v>0</v>
      </c>
      <c r="P628" s="164" t="str">
        <f t="shared" ca="1" si="82"/>
        <v/>
      </c>
      <c r="Q628" s="140" t="str">
        <f ca="1">IF(C628="","",Q627+(E628+H628-IF(RESULTADOS!$C$17="Normal",I628,0)-J628)/2+(F628+G628-IF(RESULTADOS!$C$17="Normal",0,I628)))</f>
        <v/>
      </c>
      <c r="R628" s="140" t="str">
        <f ca="1">IF(C628="","",R627+(E628+H628-IF(RESULTADOS!$C$17="Normal",I628,0)-J628)/2)</f>
        <v/>
      </c>
      <c r="S628" s="140">
        <f t="shared" ca="1" si="83"/>
        <v>0</v>
      </c>
      <c r="U628" s="164" t="str">
        <f t="shared" ca="1" si="84"/>
        <v/>
      </c>
      <c r="V628" s="164" t="str">
        <f t="shared" ca="1" si="85"/>
        <v/>
      </c>
      <c r="W628" s="140">
        <f ca="1">IF(OR((W627-13/12*Z627)*(1+PREMISSAS!$C$16)&lt;0,W627=""),0,(W627-13/12*Z627)*(1+PREMISSAS!$C$16))</f>
        <v>0</v>
      </c>
      <c r="X628" s="140">
        <f ca="1">IF(OR((X627-13/12*AA627)*(1+PREMISSAS!$C$16)&lt;0,X627=""),0,(X627-13/12*AA627)*(1+PREMISSAS!$C$16))</f>
        <v>0</v>
      </c>
      <c r="Y628" s="140">
        <f t="shared" ca="1" si="86"/>
        <v>0</v>
      </c>
      <c r="Z628" s="167">
        <f t="shared" ca="1" si="87"/>
        <v>0</v>
      </c>
      <c r="AA628" s="167">
        <f t="shared" ca="1" si="80"/>
        <v>0</v>
      </c>
    </row>
    <row r="629" spans="2:27" x14ac:dyDescent="0.25">
      <c r="B629" s="21" t="str">
        <f ca="1">IF(B628="","",IF(EOMONTH(B628,1)&gt;EOMONTH(ELEGIBILIDADE!$J$17,0),"",EOMONTH(B628,1)))</f>
        <v/>
      </c>
      <c r="C629" s="22" t="str">
        <f ca="1">IF(B629="","",IF(MONTH(B629)=1,C628*(1+PREMISSAS!$C$57),C628))</f>
        <v/>
      </c>
      <c r="D629" s="22">
        <f ca="1">IF(RESULTADOS!$C$17="Normal",IFERROR(MAX(C629-PREMISSAS!$C$13,0),0),IF(Painel!$I$23=0,0,MAX(10*PREMISSAS!$C$38,RESULTADOS!$F$17)))</f>
        <v>0</v>
      </c>
      <c r="E629" s="4">
        <f ca="1">D629*IF(RESULTADOS!$C$17="Normal",RESULTADOS!$C$16,0)</f>
        <v>0</v>
      </c>
      <c r="F629" s="4">
        <f ca="1">IFERROR(IF(RESULTADOS!$C$17="Normal",D629,C629)*RESULTADOS!$C$18,0)</f>
        <v>0</v>
      </c>
      <c r="G629" s="4">
        <f ca="1">IFERROR(IF(RESULTADOS!$C$17="Normal",0,D629)*IF(RESULTADOS!$C$17="Normal",RESULTADOS!$C$18,RESULTADOS!$C$16),0)</f>
        <v>0</v>
      </c>
      <c r="H629" s="4">
        <f ca="1">IF(RESULTADOS!$C$17="Normal",E629,0)</f>
        <v>0</v>
      </c>
      <c r="I629" s="4">
        <f ca="1">(E629+H629+G629)*PREMISSAS!$C$60</f>
        <v>0</v>
      </c>
      <c r="J629" s="4">
        <f ca="1">D629*IF(RESULTADOS!$C$17="Normal",PREMISSAS!$C$62,0)</f>
        <v>0</v>
      </c>
      <c r="K629" s="116">
        <f ca="1">IFERROR(K628*(1+PREMISSAS!$C$18)+(E629+H629-IF(RESULTADOS!$C$17="Normal",I629,0)-J629)*IF(MONTH(B629)=12,2,1),0)</f>
        <v>0</v>
      </c>
      <c r="L629" s="116">
        <f ca="1">IFERROR((L628+G629-IF(RESULTADOS!$C$17="Normal",0,I629))*(1+PREMISSAS!$C$18)+F629,0)</f>
        <v>0</v>
      </c>
      <c r="N629" s="73">
        <f t="shared" ca="1" si="81"/>
        <v>0</v>
      </c>
      <c r="P629" s="164" t="str">
        <f t="shared" ca="1" si="82"/>
        <v/>
      </c>
      <c r="Q629" s="140" t="str">
        <f ca="1">IF(C629="","",Q628+(E629+H629-IF(RESULTADOS!$C$17="Normal",I629,0)-J629)/2+(F629+G629-IF(RESULTADOS!$C$17="Normal",0,I629)))</f>
        <v/>
      </c>
      <c r="R629" s="140" t="str">
        <f ca="1">IF(C629="","",R628+(E629+H629-IF(RESULTADOS!$C$17="Normal",I629,0)-J629)/2)</f>
        <v/>
      </c>
      <c r="S629" s="140">
        <f t="shared" ca="1" si="83"/>
        <v>0</v>
      </c>
      <c r="U629" s="164" t="str">
        <f t="shared" ca="1" si="84"/>
        <v/>
      </c>
      <c r="V629" s="164" t="str">
        <f t="shared" ca="1" si="85"/>
        <v/>
      </c>
      <c r="W629" s="140">
        <f ca="1">IF(OR((W628-13/12*Z628)*(1+PREMISSAS!$C$16)&lt;0,W628=""),0,(W628-13/12*Z628)*(1+PREMISSAS!$C$16))</f>
        <v>0</v>
      </c>
      <c r="X629" s="140">
        <f ca="1">IF(OR((X628-13/12*AA628)*(1+PREMISSAS!$C$16)&lt;0,X628=""),0,(X628-13/12*AA628)*(1+PREMISSAS!$C$16))</f>
        <v>0</v>
      </c>
      <c r="Y629" s="140">
        <f t="shared" ca="1" si="86"/>
        <v>0</v>
      </c>
      <c r="Z629" s="167">
        <f t="shared" ca="1" si="87"/>
        <v>0</v>
      </c>
      <c r="AA629" s="167">
        <f t="shared" ca="1" si="80"/>
        <v>0</v>
      </c>
    </row>
    <row r="630" spans="2:27" x14ac:dyDescent="0.25">
      <c r="B630" s="21" t="str">
        <f ca="1">IF(B629="","",IF(EOMONTH(B629,1)&gt;EOMONTH(ELEGIBILIDADE!$J$17,0),"",EOMONTH(B629,1)))</f>
        <v/>
      </c>
      <c r="C630" s="22" t="str">
        <f ca="1">IF(B630="","",IF(MONTH(B630)=1,C629*(1+PREMISSAS!$C$57),C629))</f>
        <v/>
      </c>
      <c r="D630" s="22">
        <f ca="1">IF(RESULTADOS!$C$17="Normal",IFERROR(MAX(C630-PREMISSAS!$C$13,0),0),IF(Painel!$I$23=0,0,MAX(10*PREMISSAS!$C$38,RESULTADOS!$F$17)))</f>
        <v>0</v>
      </c>
      <c r="E630" s="4">
        <f ca="1">D630*IF(RESULTADOS!$C$17="Normal",RESULTADOS!$C$16,0)</f>
        <v>0</v>
      </c>
      <c r="F630" s="4">
        <f ca="1">IFERROR(IF(RESULTADOS!$C$17="Normal",D630,C630)*RESULTADOS!$C$18,0)</f>
        <v>0</v>
      </c>
      <c r="G630" s="4">
        <f ca="1">IFERROR(IF(RESULTADOS!$C$17="Normal",0,D630)*IF(RESULTADOS!$C$17="Normal",RESULTADOS!$C$18,RESULTADOS!$C$16),0)</f>
        <v>0</v>
      </c>
      <c r="H630" s="4">
        <f ca="1">IF(RESULTADOS!$C$17="Normal",E630,0)</f>
        <v>0</v>
      </c>
      <c r="I630" s="4">
        <f ca="1">(E630+H630+G630)*PREMISSAS!$C$60</f>
        <v>0</v>
      </c>
      <c r="J630" s="4">
        <f ca="1">D630*IF(RESULTADOS!$C$17="Normal",PREMISSAS!$C$62,0)</f>
        <v>0</v>
      </c>
      <c r="K630" s="116">
        <f ca="1">IFERROR(K629*(1+PREMISSAS!$C$18)+(E630+H630-IF(RESULTADOS!$C$17="Normal",I630,0)-J630)*IF(MONTH(B630)=12,2,1),0)</f>
        <v>0</v>
      </c>
      <c r="L630" s="116">
        <f ca="1">IFERROR((L629+G630-IF(RESULTADOS!$C$17="Normal",0,I630))*(1+PREMISSAS!$C$18)+F630,0)</f>
        <v>0</v>
      </c>
      <c r="N630" s="73">
        <f t="shared" ca="1" si="81"/>
        <v>0</v>
      </c>
      <c r="P630" s="164" t="str">
        <f t="shared" ca="1" si="82"/>
        <v/>
      </c>
      <c r="Q630" s="140" t="str">
        <f ca="1">IF(C630="","",Q629+(E630+H630-IF(RESULTADOS!$C$17="Normal",I630,0)-J630)/2+(F630+G630-IF(RESULTADOS!$C$17="Normal",0,I630)))</f>
        <v/>
      </c>
      <c r="R630" s="140" t="str">
        <f ca="1">IF(C630="","",R629+(E630+H630-IF(RESULTADOS!$C$17="Normal",I630,0)-J630)/2)</f>
        <v/>
      </c>
      <c r="S630" s="140">
        <f t="shared" ca="1" si="83"/>
        <v>0</v>
      </c>
      <c r="U630" s="164" t="str">
        <f t="shared" ca="1" si="84"/>
        <v/>
      </c>
      <c r="V630" s="164" t="str">
        <f t="shared" ca="1" si="85"/>
        <v/>
      </c>
      <c r="W630" s="140">
        <f ca="1">IF(OR((W629-13/12*Z629)*(1+PREMISSAS!$C$16)&lt;0,W629=""),0,(W629-13/12*Z629)*(1+PREMISSAS!$C$16))</f>
        <v>0</v>
      </c>
      <c r="X630" s="140">
        <f ca="1">IF(OR((X629-13/12*AA629)*(1+PREMISSAS!$C$16)&lt;0,X629=""),0,(X629-13/12*AA629)*(1+PREMISSAS!$C$16))</f>
        <v>0</v>
      </c>
      <c r="Y630" s="140">
        <f t="shared" ca="1" si="86"/>
        <v>0</v>
      </c>
      <c r="Z630" s="167">
        <f t="shared" ca="1" si="87"/>
        <v>0</v>
      </c>
      <c r="AA630" s="167">
        <f t="shared" ca="1" si="80"/>
        <v>0</v>
      </c>
    </row>
    <row r="631" spans="2:27" x14ac:dyDescent="0.25">
      <c r="B631" s="21" t="str">
        <f ca="1">IF(B630="","",IF(EOMONTH(B630,1)&gt;EOMONTH(ELEGIBILIDADE!$J$17,0),"",EOMONTH(B630,1)))</f>
        <v/>
      </c>
      <c r="C631" s="22" t="str">
        <f ca="1">IF(B631="","",IF(MONTH(B631)=1,C630*(1+PREMISSAS!$C$57),C630))</f>
        <v/>
      </c>
      <c r="D631" s="22">
        <f ca="1">IF(RESULTADOS!$C$17="Normal",IFERROR(MAX(C631-PREMISSAS!$C$13,0),0),IF(Painel!$I$23=0,0,MAX(10*PREMISSAS!$C$38,RESULTADOS!$F$17)))</f>
        <v>0</v>
      </c>
      <c r="E631" s="4">
        <f ca="1">D631*IF(RESULTADOS!$C$17="Normal",RESULTADOS!$C$16,0)</f>
        <v>0</v>
      </c>
      <c r="F631" s="4">
        <f ca="1">IFERROR(IF(RESULTADOS!$C$17="Normal",D631,C631)*RESULTADOS!$C$18,0)</f>
        <v>0</v>
      </c>
      <c r="G631" s="4">
        <f ca="1">IFERROR(IF(RESULTADOS!$C$17="Normal",0,D631)*IF(RESULTADOS!$C$17="Normal",RESULTADOS!$C$18,RESULTADOS!$C$16),0)</f>
        <v>0</v>
      </c>
      <c r="H631" s="4">
        <f ca="1">IF(RESULTADOS!$C$17="Normal",E631,0)</f>
        <v>0</v>
      </c>
      <c r="I631" s="4">
        <f ca="1">(E631+H631+G631)*PREMISSAS!$C$60</f>
        <v>0</v>
      </c>
      <c r="J631" s="4">
        <f ca="1">D631*IF(RESULTADOS!$C$17="Normal",PREMISSAS!$C$62,0)</f>
        <v>0</v>
      </c>
      <c r="K631" s="116">
        <f ca="1">IFERROR(K630*(1+PREMISSAS!$C$18)+(E631+H631-IF(RESULTADOS!$C$17="Normal",I631,0)-J631)*IF(MONTH(B631)=12,2,1),0)</f>
        <v>0</v>
      </c>
      <c r="L631" s="116">
        <f ca="1">IFERROR((L630+G631-IF(RESULTADOS!$C$17="Normal",0,I631))*(1+PREMISSAS!$C$18)+F631,0)</f>
        <v>0</v>
      </c>
      <c r="N631" s="73">
        <f t="shared" ca="1" si="81"/>
        <v>0</v>
      </c>
      <c r="P631" s="164" t="str">
        <f t="shared" ca="1" si="82"/>
        <v/>
      </c>
      <c r="Q631" s="140" t="str">
        <f ca="1">IF(C631="","",Q630+(E631+H631-IF(RESULTADOS!$C$17="Normal",I631,0)-J631)/2+(F631+G631-IF(RESULTADOS!$C$17="Normal",0,I631)))</f>
        <v/>
      </c>
      <c r="R631" s="140" t="str">
        <f ca="1">IF(C631="","",R630+(E631+H631-IF(RESULTADOS!$C$17="Normal",I631,0)-J631)/2)</f>
        <v/>
      </c>
      <c r="S631" s="140">
        <f t="shared" ca="1" si="83"/>
        <v>0</v>
      </c>
      <c r="U631" s="164" t="str">
        <f t="shared" ca="1" si="84"/>
        <v/>
      </c>
      <c r="V631" s="164" t="str">
        <f t="shared" ca="1" si="85"/>
        <v/>
      </c>
      <c r="W631" s="140">
        <f ca="1">IF(OR((W630-13/12*Z630)*(1+PREMISSAS!$C$16)&lt;0,W630=""),0,(W630-13/12*Z630)*(1+PREMISSAS!$C$16))</f>
        <v>0</v>
      </c>
      <c r="X631" s="140">
        <f ca="1">IF(OR((X630-13/12*AA630)*(1+PREMISSAS!$C$16)&lt;0,X630=""),0,(X630-13/12*AA630)*(1+PREMISSAS!$C$16))</f>
        <v>0</v>
      </c>
      <c r="Y631" s="140">
        <f t="shared" ca="1" si="86"/>
        <v>0</v>
      </c>
      <c r="Z631" s="167">
        <f t="shared" ca="1" si="87"/>
        <v>0</v>
      </c>
      <c r="AA631" s="167">
        <f t="shared" ca="1" si="80"/>
        <v>0</v>
      </c>
    </row>
    <row r="632" spans="2:27" x14ac:dyDescent="0.25">
      <c r="B632" s="21" t="str">
        <f ca="1">IF(B631="","",IF(EOMONTH(B631,1)&gt;EOMONTH(ELEGIBILIDADE!$J$17,0),"",EOMONTH(B631,1)))</f>
        <v/>
      </c>
      <c r="C632" s="22" t="str">
        <f ca="1">IF(B632="","",IF(MONTH(B632)=1,C631*(1+PREMISSAS!$C$57),C631))</f>
        <v/>
      </c>
      <c r="D632" s="22">
        <f ca="1">IF(RESULTADOS!$C$17="Normal",IFERROR(MAX(C632-PREMISSAS!$C$13,0),0),IF(Painel!$I$23=0,0,MAX(10*PREMISSAS!$C$38,RESULTADOS!$F$17)))</f>
        <v>0</v>
      </c>
      <c r="E632" s="4">
        <f ca="1">D632*IF(RESULTADOS!$C$17="Normal",RESULTADOS!$C$16,0)</f>
        <v>0</v>
      </c>
      <c r="F632" s="4">
        <f ca="1">IFERROR(IF(RESULTADOS!$C$17="Normal",D632,C632)*RESULTADOS!$C$18,0)</f>
        <v>0</v>
      </c>
      <c r="G632" s="4">
        <f ca="1">IFERROR(IF(RESULTADOS!$C$17="Normal",0,D632)*IF(RESULTADOS!$C$17="Normal",RESULTADOS!$C$18,RESULTADOS!$C$16),0)</f>
        <v>0</v>
      </c>
      <c r="H632" s="4">
        <f ca="1">IF(RESULTADOS!$C$17="Normal",E632,0)</f>
        <v>0</v>
      </c>
      <c r="I632" s="4">
        <f ca="1">(E632+H632+G632)*PREMISSAS!$C$60</f>
        <v>0</v>
      </c>
      <c r="J632" s="4">
        <f ca="1">D632*IF(RESULTADOS!$C$17="Normal",PREMISSAS!$C$62,0)</f>
        <v>0</v>
      </c>
      <c r="K632" s="116">
        <f ca="1">IFERROR(K631*(1+PREMISSAS!$C$18)+(E632+H632-IF(RESULTADOS!$C$17="Normal",I632,0)-J632)*IF(MONTH(B632)=12,2,1),0)</f>
        <v>0</v>
      </c>
      <c r="L632" s="116">
        <f ca="1">IFERROR((L631+G632-IF(RESULTADOS!$C$17="Normal",0,I632))*(1+PREMISSAS!$C$18)+F632,0)</f>
        <v>0</v>
      </c>
      <c r="N632" s="73">
        <f t="shared" ca="1" si="81"/>
        <v>0</v>
      </c>
      <c r="P632" s="164" t="str">
        <f t="shared" ca="1" si="82"/>
        <v/>
      </c>
      <c r="Q632" s="140" t="str">
        <f ca="1">IF(C632="","",Q631+(E632+H632-IF(RESULTADOS!$C$17="Normal",I632,0)-J632)/2+(F632+G632-IF(RESULTADOS!$C$17="Normal",0,I632)))</f>
        <v/>
      </c>
      <c r="R632" s="140" t="str">
        <f ca="1">IF(C632="","",R631+(E632+H632-IF(RESULTADOS!$C$17="Normal",I632,0)-J632)/2)</f>
        <v/>
      </c>
      <c r="S632" s="140">
        <f t="shared" ca="1" si="83"/>
        <v>0</v>
      </c>
      <c r="U632" s="164" t="str">
        <f t="shared" ca="1" si="84"/>
        <v/>
      </c>
      <c r="V632" s="164" t="str">
        <f t="shared" ca="1" si="85"/>
        <v/>
      </c>
      <c r="W632" s="140">
        <f ca="1">IF(OR((W631-13/12*Z631)*(1+PREMISSAS!$C$16)&lt;0,W631=""),0,(W631-13/12*Z631)*(1+PREMISSAS!$C$16))</f>
        <v>0</v>
      </c>
      <c r="X632" s="140">
        <f ca="1">IF(OR((X631-13/12*AA631)*(1+PREMISSAS!$C$16)&lt;0,X631=""),0,(X631-13/12*AA631)*(1+PREMISSAS!$C$16))</f>
        <v>0</v>
      </c>
      <c r="Y632" s="140">
        <f t="shared" ca="1" si="86"/>
        <v>0</v>
      </c>
      <c r="Z632" s="167">
        <f t="shared" ca="1" si="87"/>
        <v>0</v>
      </c>
      <c r="AA632" s="167">
        <f t="shared" ca="1" si="80"/>
        <v>0</v>
      </c>
    </row>
    <row r="633" spans="2:27" x14ac:dyDescent="0.25">
      <c r="B633" s="21" t="str">
        <f ca="1">IF(B632="","",IF(EOMONTH(B632,1)&gt;EOMONTH(ELEGIBILIDADE!$J$17,0),"",EOMONTH(B632,1)))</f>
        <v/>
      </c>
      <c r="C633" s="22" t="str">
        <f ca="1">IF(B633="","",IF(MONTH(B633)=1,C632*(1+PREMISSAS!$C$57),C632))</f>
        <v/>
      </c>
      <c r="D633" s="22">
        <f ca="1">IF(RESULTADOS!$C$17="Normal",IFERROR(MAX(C633-PREMISSAS!$C$13,0),0),IF(Painel!$I$23=0,0,MAX(10*PREMISSAS!$C$38,RESULTADOS!$F$17)))</f>
        <v>0</v>
      </c>
      <c r="E633" s="4">
        <f ca="1">D633*IF(RESULTADOS!$C$17="Normal",RESULTADOS!$C$16,0)</f>
        <v>0</v>
      </c>
      <c r="F633" s="4">
        <f ca="1">IFERROR(IF(RESULTADOS!$C$17="Normal",D633,C633)*RESULTADOS!$C$18,0)</f>
        <v>0</v>
      </c>
      <c r="G633" s="4">
        <f ca="1">IFERROR(IF(RESULTADOS!$C$17="Normal",0,D633)*IF(RESULTADOS!$C$17="Normal",RESULTADOS!$C$18,RESULTADOS!$C$16),0)</f>
        <v>0</v>
      </c>
      <c r="H633" s="4">
        <f ca="1">IF(RESULTADOS!$C$17="Normal",E633,0)</f>
        <v>0</v>
      </c>
      <c r="I633" s="4">
        <f ca="1">(E633+H633+G633)*PREMISSAS!$C$60</f>
        <v>0</v>
      </c>
      <c r="J633" s="4">
        <f ca="1">D633*IF(RESULTADOS!$C$17="Normal",PREMISSAS!$C$62,0)</f>
        <v>0</v>
      </c>
      <c r="K633" s="116">
        <f ca="1">IFERROR(K632*(1+PREMISSAS!$C$18)+(E633+H633-IF(RESULTADOS!$C$17="Normal",I633,0)-J633)*IF(MONTH(B633)=12,2,1),0)</f>
        <v>0</v>
      </c>
      <c r="L633" s="116">
        <f ca="1">IFERROR((L632+G633-IF(RESULTADOS!$C$17="Normal",0,I633))*(1+PREMISSAS!$C$18)+F633,0)</f>
        <v>0</v>
      </c>
      <c r="N633" s="73">
        <f t="shared" ca="1" si="81"/>
        <v>0</v>
      </c>
      <c r="P633" s="164" t="str">
        <f t="shared" ca="1" si="82"/>
        <v/>
      </c>
      <c r="Q633" s="140" t="str">
        <f ca="1">IF(C633="","",Q632+(E633+H633-IF(RESULTADOS!$C$17="Normal",I633,0)-J633)/2+(F633+G633-IF(RESULTADOS!$C$17="Normal",0,I633)))</f>
        <v/>
      </c>
      <c r="R633" s="140" t="str">
        <f ca="1">IF(C633="","",R632+(E633+H633-IF(RESULTADOS!$C$17="Normal",I633,0)-J633)/2)</f>
        <v/>
      </c>
      <c r="S633" s="140">
        <f t="shared" ca="1" si="83"/>
        <v>0</v>
      </c>
      <c r="U633" s="164" t="str">
        <f t="shared" ca="1" si="84"/>
        <v/>
      </c>
      <c r="V633" s="164" t="str">
        <f t="shared" ca="1" si="85"/>
        <v/>
      </c>
      <c r="W633" s="140">
        <f ca="1">IF(OR((W632-13/12*Z632)*(1+PREMISSAS!$C$16)&lt;0,W632=""),0,(W632-13/12*Z632)*(1+PREMISSAS!$C$16))</f>
        <v>0</v>
      </c>
      <c r="X633" s="140">
        <f ca="1">IF(OR((X632-13/12*AA632)*(1+PREMISSAS!$C$16)&lt;0,X632=""),0,(X632-13/12*AA632)*(1+PREMISSAS!$C$16))</f>
        <v>0</v>
      </c>
      <c r="Y633" s="140">
        <f t="shared" ca="1" si="86"/>
        <v>0</v>
      </c>
      <c r="Z633" s="167">
        <f t="shared" ca="1" si="87"/>
        <v>0</v>
      </c>
      <c r="AA633" s="167">
        <f t="shared" ca="1" si="80"/>
        <v>0</v>
      </c>
    </row>
    <row r="634" spans="2:27" x14ac:dyDescent="0.25">
      <c r="B634" s="21" t="str">
        <f ca="1">IF(B633="","",IF(EOMONTH(B633,1)&gt;EOMONTH(ELEGIBILIDADE!$J$17,0),"",EOMONTH(B633,1)))</f>
        <v/>
      </c>
      <c r="C634" s="22" t="str">
        <f ca="1">IF(B634="","",IF(MONTH(B634)=1,C633*(1+PREMISSAS!$C$57),C633))</f>
        <v/>
      </c>
      <c r="D634" s="22">
        <f ca="1">IF(RESULTADOS!$C$17="Normal",IFERROR(MAX(C634-PREMISSAS!$C$13,0),0),IF(Painel!$I$23=0,0,MAX(10*PREMISSAS!$C$38,RESULTADOS!$F$17)))</f>
        <v>0</v>
      </c>
      <c r="E634" s="4">
        <f ca="1">D634*IF(RESULTADOS!$C$17="Normal",RESULTADOS!$C$16,0)</f>
        <v>0</v>
      </c>
      <c r="F634" s="4">
        <f ca="1">IFERROR(IF(RESULTADOS!$C$17="Normal",D634,C634)*RESULTADOS!$C$18,0)</f>
        <v>0</v>
      </c>
      <c r="G634" s="4">
        <f ca="1">IFERROR(IF(RESULTADOS!$C$17="Normal",0,D634)*IF(RESULTADOS!$C$17="Normal",RESULTADOS!$C$18,RESULTADOS!$C$16),0)</f>
        <v>0</v>
      </c>
      <c r="H634" s="4">
        <f ca="1">IF(RESULTADOS!$C$17="Normal",E634,0)</f>
        <v>0</v>
      </c>
      <c r="I634" s="4">
        <f ca="1">(E634+H634+G634)*PREMISSAS!$C$60</f>
        <v>0</v>
      </c>
      <c r="J634" s="4">
        <f ca="1">D634*IF(RESULTADOS!$C$17="Normal",PREMISSAS!$C$62,0)</f>
        <v>0</v>
      </c>
      <c r="K634" s="116">
        <f ca="1">IFERROR(K633*(1+PREMISSAS!$C$18)+(E634+H634-IF(RESULTADOS!$C$17="Normal",I634,0)-J634)*IF(MONTH(B634)=12,2,1),0)</f>
        <v>0</v>
      </c>
      <c r="L634" s="116">
        <f ca="1">IFERROR((L633+G634-IF(RESULTADOS!$C$17="Normal",0,I634))*(1+PREMISSAS!$C$18)+F634,0)</f>
        <v>0</v>
      </c>
      <c r="N634" s="73">
        <f t="shared" ref="N634:N663" ca="1" si="88">IFERROR((E634+F634+G634)/C634,0)</f>
        <v>0</v>
      </c>
      <c r="P634" s="164" t="str">
        <f t="shared" ref="P634:P663" ca="1" si="89">IF(C634="","",B634)</f>
        <v/>
      </c>
      <c r="Q634" s="140" t="str">
        <f ca="1">IF(C634="","",Q633+(E634+H634-IF(RESULTADOS!$C$17="Normal",I634,0)-J634)/2+(F634+G634-IF(RESULTADOS!$C$17="Normal",0,I634)))</f>
        <v/>
      </c>
      <c r="R634" s="140" t="str">
        <f ca="1">IF(C634="","",R633+(E634+H634-IF(RESULTADOS!$C$17="Normal",I634,0)-J634)/2)</f>
        <v/>
      </c>
      <c r="S634" s="140">
        <f t="shared" ref="S634:S663" ca="1" si="90">SUM(K634:L634)-SUM(Q634:R634)</f>
        <v>0</v>
      </c>
      <c r="U634" s="164" t="str">
        <f t="shared" ref="U634:U663" ca="1" si="91">IF(Y634=0,"",EOMONTH(U633,1))</f>
        <v/>
      </c>
      <c r="V634" s="164" t="str">
        <f t="shared" ref="V634:V663" ca="1" si="92">IF(AA634&lt;&gt;"",U634,"")</f>
        <v/>
      </c>
      <c r="W634" s="140">
        <f ca="1">IF(OR((W633-13/12*Z633)*(1+PREMISSAS!$C$16)&lt;0,W633=""),0,(W633-13/12*Z633)*(1+PREMISSAS!$C$16))</f>
        <v>0</v>
      </c>
      <c r="X634" s="140">
        <f ca="1">IF(OR((X633-13/12*AA633)*(1+PREMISSAS!$C$16)&lt;0,X633=""),0,(X633-13/12*AA633)*(1+PREMISSAS!$C$16))</f>
        <v>0</v>
      </c>
      <c r="Y634" s="140">
        <f t="shared" ref="Y634:Y663" ca="1" si="93">SUM(W634:X634)</f>
        <v>0</v>
      </c>
      <c r="Z634" s="167">
        <f t="shared" ref="Z634:Z663" ca="1" si="94">IF(W634&lt;&gt;0,Z633,0)</f>
        <v>0</v>
      </c>
      <c r="AA634" s="167">
        <f t="shared" ca="1" si="80"/>
        <v>0</v>
      </c>
    </row>
    <row r="635" spans="2:27" x14ac:dyDescent="0.25">
      <c r="B635" s="21" t="str">
        <f ca="1">IF(B634="","",IF(EOMONTH(B634,1)&gt;EOMONTH(ELEGIBILIDADE!$J$17,0),"",EOMONTH(B634,1)))</f>
        <v/>
      </c>
      <c r="C635" s="22" t="str">
        <f ca="1">IF(B635="","",IF(MONTH(B635)=1,C634*(1+PREMISSAS!$C$57),C634))</f>
        <v/>
      </c>
      <c r="D635" s="22">
        <f ca="1">IF(RESULTADOS!$C$17="Normal",IFERROR(MAX(C635-PREMISSAS!$C$13,0),0),IF(Painel!$I$23=0,0,MAX(10*PREMISSAS!$C$38,RESULTADOS!$F$17)))</f>
        <v>0</v>
      </c>
      <c r="E635" s="4">
        <f ca="1">D635*IF(RESULTADOS!$C$17="Normal",RESULTADOS!$C$16,0)</f>
        <v>0</v>
      </c>
      <c r="F635" s="4">
        <f ca="1">IFERROR(IF(RESULTADOS!$C$17="Normal",D635,C635)*RESULTADOS!$C$18,0)</f>
        <v>0</v>
      </c>
      <c r="G635" s="4">
        <f ca="1">IFERROR(IF(RESULTADOS!$C$17="Normal",0,D635)*IF(RESULTADOS!$C$17="Normal",RESULTADOS!$C$18,RESULTADOS!$C$16),0)</f>
        <v>0</v>
      </c>
      <c r="H635" s="4">
        <f ca="1">IF(RESULTADOS!$C$17="Normal",E635,0)</f>
        <v>0</v>
      </c>
      <c r="I635" s="4">
        <f ca="1">(E635+H635+G635)*PREMISSAS!$C$60</f>
        <v>0</v>
      </c>
      <c r="J635" s="4">
        <f ca="1">D635*IF(RESULTADOS!$C$17="Normal",PREMISSAS!$C$62,0)</f>
        <v>0</v>
      </c>
      <c r="K635" s="116">
        <f ca="1">IFERROR(K634*(1+PREMISSAS!$C$18)+(E635+H635-IF(RESULTADOS!$C$17="Normal",I635,0)-J635)*IF(MONTH(B635)=12,2,1),0)</f>
        <v>0</v>
      </c>
      <c r="L635" s="116">
        <f ca="1">IFERROR((L634+G635-IF(RESULTADOS!$C$17="Normal",0,I635))*(1+PREMISSAS!$C$18)+F635,0)</f>
        <v>0</v>
      </c>
      <c r="N635" s="73">
        <f t="shared" ca="1" si="88"/>
        <v>0</v>
      </c>
      <c r="P635" s="164" t="str">
        <f t="shared" ca="1" si="89"/>
        <v/>
      </c>
      <c r="Q635" s="140" t="str">
        <f ca="1">IF(C635="","",Q634+(E635+H635-IF(RESULTADOS!$C$17="Normal",I635,0)-J635)/2+(F635+G635-IF(RESULTADOS!$C$17="Normal",0,I635)))</f>
        <v/>
      </c>
      <c r="R635" s="140" t="str">
        <f ca="1">IF(C635="","",R634+(E635+H635-IF(RESULTADOS!$C$17="Normal",I635,0)-J635)/2)</f>
        <v/>
      </c>
      <c r="S635" s="140">
        <f t="shared" ca="1" si="90"/>
        <v>0</v>
      </c>
      <c r="U635" s="164" t="str">
        <f t="shared" ca="1" si="91"/>
        <v/>
      </c>
      <c r="V635" s="164" t="str">
        <f t="shared" ca="1" si="92"/>
        <v/>
      </c>
      <c r="W635" s="140">
        <f ca="1">IF(OR((W634-13/12*Z634)*(1+PREMISSAS!$C$16)&lt;0,W634=""),0,(W634-13/12*Z634)*(1+PREMISSAS!$C$16))</f>
        <v>0</v>
      </c>
      <c r="X635" s="140">
        <f ca="1">IF(OR((X634-13/12*AA634)*(1+PREMISSAS!$C$16)&lt;0,X634=""),0,(X634-13/12*AA634)*(1+PREMISSAS!$C$16))</f>
        <v>0</v>
      </c>
      <c r="Y635" s="140">
        <f t="shared" ca="1" si="93"/>
        <v>0</v>
      </c>
      <c r="Z635" s="167">
        <f t="shared" ca="1" si="94"/>
        <v>0</v>
      </c>
      <c r="AA635" s="167">
        <f t="shared" ca="1" si="80"/>
        <v>0</v>
      </c>
    </row>
    <row r="636" spans="2:27" x14ac:dyDescent="0.25">
      <c r="B636" s="21" t="str">
        <f ca="1">IF(B635="","",IF(EOMONTH(B635,1)&gt;EOMONTH(ELEGIBILIDADE!$J$17,0),"",EOMONTH(B635,1)))</f>
        <v/>
      </c>
      <c r="C636" s="22" t="str">
        <f ca="1">IF(B636="","",IF(MONTH(B636)=1,C635*(1+PREMISSAS!$C$57),C635))</f>
        <v/>
      </c>
      <c r="D636" s="22">
        <f ca="1">IF(RESULTADOS!$C$17="Normal",IFERROR(MAX(C636-PREMISSAS!$C$13,0),0),IF(Painel!$I$23=0,0,MAX(10*PREMISSAS!$C$38,RESULTADOS!$F$17)))</f>
        <v>0</v>
      </c>
      <c r="E636" s="4">
        <f ca="1">D636*IF(RESULTADOS!$C$17="Normal",RESULTADOS!$C$16,0)</f>
        <v>0</v>
      </c>
      <c r="F636" s="4">
        <f ca="1">IFERROR(IF(RESULTADOS!$C$17="Normal",D636,C636)*RESULTADOS!$C$18,0)</f>
        <v>0</v>
      </c>
      <c r="G636" s="4">
        <f ca="1">IFERROR(IF(RESULTADOS!$C$17="Normal",0,D636)*IF(RESULTADOS!$C$17="Normal",RESULTADOS!$C$18,RESULTADOS!$C$16),0)</f>
        <v>0</v>
      </c>
      <c r="H636" s="4">
        <f ca="1">IF(RESULTADOS!$C$17="Normal",E636,0)</f>
        <v>0</v>
      </c>
      <c r="I636" s="4">
        <f ca="1">(E636+H636+G636)*PREMISSAS!$C$60</f>
        <v>0</v>
      </c>
      <c r="J636" s="4">
        <f ca="1">D636*IF(RESULTADOS!$C$17="Normal",PREMISSAS!$C$62,0)</f>
        <v>0</v>
      </c>
      <c r="K636" s="116">
        <f ca="1">IFERROR(K635*(1+PREMISSAS!$C$18)+(E636+H636-IF(RESULTADOS!$C$17="Normal",I636,0)-J636)*IF(MONTH(B636)=12,2,1),0)</f>
        <v>0</v>
      </c>
      <c r="L636" s="116">
        <f ca="1">IFERROR((L635+G636-IF(RESULTADOS!$C$17="Normal",0,I636))*(1+PREMISSAS!$C$18)+F636,0)</f>
        <v>0</v>
      </c>
      <c r="N636" s="73">
        <f t="shared" ca="1" si="88"/>
        <v>0</v>
      </c>
      <c r="P636" s="164" t="str">
        <f t="shared" ca="1" si="89"/>
        <v/>
      </c>
      <c r="Q636" s="140" t="str">
        <f ca="1">IF(C636="","",Q635+(E636+H636-IF(RESULTADOS!$C$17="Normal",I636,0)-J636)/2+(F636+G636-IF(RESULTADOS!$C$17="Normal",0,I636)))</f>
        <v/>
      </c>
      <c r="R636" s="140" t="str">
        <f ca="1">IF(C636="","",R635+(E636+H636-IF(RESULTADOS!$C$17="Normal",I636,0)-J636)/2)</f>
        <v/>
      </c>
      <c r="S636" s="140">
        <f t="shared" ca="1" si="90"/>
        <v>0</v>
      </c>
      <c r="U636" s="164" t="str">
        <f t="shared" ca="1" si="91"/>
        <v/>
      </c>
      <c r="V636" s="164" t="str">
        <f t="shared" ca="1" si="92"/>
        <v/>
      </c>
      <c r="W636" s="140">
        <f ca="1">IF(OR((W635-13/12*Z635)*(1+PREMISSAS!$C$16)&lt;0,W635=""),0,(W635-13/12*Z635)*(1+PREMISSAS!$C$16))</f>
        <v>0</v>
      </c>
      <c r="X636" s="140">
        <f ca="1">IF(OR((X635-13/12*AA635)*(1+PREMISSAS!$C$16)&lt;0,X635=""),0,(X635-13/12*AA635)*(1+PREMISSAS!$C$16))</f>
        <v>0</v>
      </c>
      <c r="Y636" s="140">
        <f t="shared" ca="1" si="93"/>
        <v>0</v>
      </c>
      <c r="Z636" s="167">
        <f t="shared" ca="1" si="94"/>
        <v>0</v>
      </c>
      <c r="AA636" s="167">
        <f t="shared" ca="1" si="80"/>
        <v>0</v>
      </c>
    </row>
    <row r="637" spans="2:27" x14ac:dyDescent="0.25">
      <c r="B637" s="21" t="str">
        <f ca="1">IF(B636="","",IF(EOMONTH(B636,1)&gt;EOMONTH(ELEGIBILIDADE!$J$17,0),"",EOMONTH(B636,1)))</f>
        <v/>
      </c>
      <c r="C637" s="22" t="str">
        <f ca="1">IF(B637="","",IF(MONTH(B637)=1,C636*(1+PREMISSAS!$C$57),C636))</f>
        <v/>
      </c>
      <c r="D637" s="22">
        <f ca="1">IF(RESULTADOS!$C$17="Normal",IFERROR(MAX(C637-PREMISSAS!$C$13,0),0),IF(Painel!$I$23=0,0,MAX(10*PREMISSAS!$C$38,RESULTADOS!$F$17)))</f>
        <v>0</v>
      </c>
      <c r="E637" s="4">
        <f ca="1">D637*IF(RESULTADOS!$C$17="Normal",RESULTADOS!$C$16,0)</f>
        <v>0</v>
      </c>
      <c r="F637" s="4">
        <f ca="1">IFERROR(IF(RESULTADOS!$C$17="Normal",D637,C637)*RESULTADOS!$C$18,0)</f>
        <v>0</v>
      </c>
      <c r="G637" s="4">
        <f ca="1">IFERROR(IF(RESULTADOS!$C$17="Normal",0,D637)*IF(RESULTADOS!$C$17="Normal",RESULTADOS!$C$18,RESULTADOS!$C$16),0)</f>
        <v>0</v>
      </c>
      <c r="H637" s="4">
        <f ca="1">IF(RESULTADOS!$C$17="Normal",E637,0)</f>
        <v>0</v>
      </c>
      <c r="I637" s="4">
        <f ca="1">(E637+H637+G637)*PREMISSAS!$C$60</f>
        <v>0</v>
      </c>
      <c r="J637" s="4">
        <f ca="1">D637*IF(RESULTADOS!$C$17="Normal",PREMISSAS!$C$62,0)</f>
        <v>0</v>
      </c>
      <c r="K637" s="116">
        <f ca="1">IFERROR(K636*(1+PREMISSAS!$C$18)+(E637+H637-IF(RESULTADOS!$C$17="Normal",I637,0)-J637)*IF(MONTH(B637)=12,2,1),0)</f>
        <v>0</v>
      </c>
      <c r="L637" s="116">
        <f ca="1">IFERROR((L636+G637-IF(RESULTADOS!$C$17="Normal",0,I637))*(1+PREMISSAS!$C$18)+F637,0)</f>
        <v>0</v>
      </c>
      <c r="N637" s="73">
        <f t="shared" ca="1" si="88"/>
        <v>0</v>
      </c>
      <c r="P637" s="164" t="str">
        <f t="shared" ca="1" si="89"/>
        <v/>
      </c>
      <c r="Q637" s="140" t="str">
        <f ca="1">IF(C637="","",Q636+(E637+H637-IF(RESULTADOS!$C$17="Normal",I637,0)-J637)/2+(F637+G637-IF(RESULTADOS!$C$17="Normal",0,I637)))</f>
        <v/>
      </c>
      <c r="R637" s="140" t="str">
        <f ca="1">IF(C637="","",R636+(E637+H637-IF(RESULTADOS!$C$17="Normal",I637,0)-J637)/2)</f>
        <v/>
      </c>
      <c r="S637" s="140">
        <f t="shared" ca="1" si="90"/>
        <v>0</v>
      </c>
      <c r="U637" s="164" t="str">
        <f t="shared" ca="1" si="91"/>
        <v/>
      </c>
      <c r="V637" s="164" t="str">
        <f t="shared" ca="1" si="92"/>
        <v/>
      </c>
      <c r="W637" s="140">
        <f ca="1">IF(OR((W636-13/12*Z636)*(1+PREMISSAS!$C$16)&lt;0,W636=""),0,(W636-13/12*Z636)*(1+PREMISSAS!$C$16))</f>
        <v>0</v>
      </c>
      <c r="X637" s="140">
        <f ca="1">IF(OR((X636-13/12*AA636)*(1+PREMISSAS!$C$16)&lt;0,X636=""),0,(X636-13/12*AA636)*(1+PREMISSAS!$C$16))</f>
        <v>0</v>
      </c>
      <c r="Y637" s="140">
        <f t="shared" ca="1" si="93"/>
        <v>0</v>
      </c>
      <c r="Z637" s="167">
        <f t="shared" ca="1" si="94"/>
        <v>0</v>
      </c>
      <c r="AA637" s="167">
        <f t="shared" ca="1" si="80"/>
        <v>0</v>
      </c>
    </row>
    <row r="638" spans="2:27" x14ac:dyDescent="0.25">
      <c r="B638" s="21" t="str">
        <f ca="1">IF(B637="","",IF(EOMONTH(B637,1)&gt;EOMONTH(ELEGIBILIDADE!$J$17,0),"",EOMONTH(B637,1)))</f>
        <v/>
      </c>
      <c r="C638" s="22" t="str">
        <f ca="1">IF(B638="","",IF(MONTH(B638)=1,C637*(1+PREMISSAS!$C$57),C637))</f>
        <v/>
      </c>
      <c r="D638" s="22">
        <f ca="1">IF(RESULTADOS!$C$17="Normal",IFERROR(MAX(C638-PREMISSAS!$C$13,0),0),IF(Painel!$I$23=0,0,MAX(10*PREMISSAS!$C$38,RESULTADOS!$F$17)))</f>
        <v>0</v>
      </c>
      <c r="E638" s="4">
        <f ca="1">D638*IF(RESULTADOS!$C$17="Normal",RESULTADOS!$C$16,0)</f>
        <v>0</v>
      </c>
      <c r="F638" s="4">
        <f ca="1">IFERROR(IF(RESULTADOS!$C$17="Normal",D638,C638)*RESULTADOS!$C$18,0)</f>
        <v>0</v>
      </c>
      <c r="G638" s="4">
        <f ca="1">IFERROR(IF(RESULTADOS!$C$17="Normal",0,D638)*IF(RESULTADOS!$C$17="Normal",RESULTADOS!$C$18,RESULTADOS!$C$16),0)</f>
        <v>0</v>
      </c>
      <c r="H638" s="4">
        <f ca="1">IF(RESULTADOS!$C$17="Normal",E638,0)</f>
        <v>0</v>
      </c>
      <c r="I638" s="4">
        <f ca="1">(E638+H638+G638)*PREMISSAS!$C$60</f>
        <v>0</v>
      </c>
      <c r="J638" s="4">
        <f ca="1">D638*IF(RESULTADOS!$C$17="Normal",PREMISSAS!$C$62,0)</f>
        <v>0</v>
      </c>
      <c r="K638" s="116">
        <f ca="1">IFERROR(K637*(1+PREMISSAS!$C$18)+(E638+H638-IF(RESULTADOS!$C$17="Normal",I638,0)-J638)*IF(MONTH(B638)=12,2,1),0)</f>
        <v>0</v>
      </c>
      <c r="L638" s="116">
        <f ca="1">IFERROR((L637+G638-IF(RESULTADOS!$C$17="Normal",0,I638))*(1+PREMISSAS!$C$18)+F638,0)</f>
        <v>0</v>
      </c>
      <c r="N638" s="73">
        <f t="shared" ca="1" si="88"/>
        <v>0</v>
      </c>
      <c r="P638" s="164" t="str">
        <f t="shared" ca="1" si="89"/>
        <v/>
      </c>
      <c r="Q638" s="140" t="str">
        <f ca="1">IF(C638="","",Q637+(E638+H638-IF(RESULTADOS!$C$17="Normal",I638,0)-J638)/2+(F638+G638-IF(RESULTADOS!$C$17="Normal",0,I638)))</f>
        <v/>
      </c>
      <c r="R638" s="140" t="str">
        <f ca="1">IF(C638="","",R637+(E638+H638-IF(RESULTADOS!$C$17="Normal",I638,0)-J638)/2)</f>
        <v/>
      </c>
      <c r="S638" s="140">
        <f t="shared" ca="1" si="90"/>
        <v>0</v>
      </c>
      <c r="U638" s="164" t="str">
        <f t="shared" ca="1" si="91"/>
        <v/>
      </c>
      <c r="V638" s="164" t="str">
        <f t="shared" ca="1" si="92"/>
        <v/>
      </c>
      <c r="W638" s="140">
        <f ca="1">IF(OR((W637-13/12*Z637)*(1+PREMISSAS!$C$16)&lt;0,W637=""),0,(W637-13/12*Z637)*(1+PREMISSAS!$C$16))</f>
        <v>0</v>
      </c>
      <c r="X638" s="140">
        <f ca="1">IF(OR((X637-13/12*AA637)*(1+PREMISSAS!$C$16)&lt;0,X637=""),0,(X637-13/12*AA637)*(1+PREMISSAS!$C$16))</f>
        <v>0</v>
      </c>
      <c r="Y638" s="140">
        <f t="shared" ca="1" si="93"/>
        <v>0</v>
      </c>
      <c r="Z638" s="167">
        <f t="shared" ca="1" si="94"/>
        <v>0</v>
      </c>
      <c r="AA638" s="167">
        <f t="shared" ca="1" si="80"/>
        <v>0</v>
      </c>
    </row>
    <row r="639" spans="2:27" x14ac:dyDescent="0.25">
      <c r="B639" s="21" t="str">
        <f ca="1">IF(B638="","",IF(EOMONTH(B638,1)&gt;EOMONTH(ELEGIBILIDADE!$J$17,0),"",EOMONTH(B638,1)))</f>
        <v/>
      </c>
      <c r="C639" s="22" t="str">
        <f ca="1">IF(B639="","",IF(MONTH(B639)=1,C638*(1+PREMISSAS!$C$57),C638))</f>
        <v/>
      </c>
      <c r="D639" s="22">
        <f ca="1">IF(RESULTADOS!$C$17="Normal",IFERROR(MAX(C639-PREMISSAS!$C$13,0),0),IF(Painel!$I$23=0,0,MAX(10*PREMISSAS!$C$38,RESULTADOS!$F$17)))</f>
        <v>0</v>
      </c>
      <c r="E639" s="4">
        <f ca="1">D639*IF(RESULTADOS!$C$17="Normal",RESULTADOS!$C$16,0)</f>
        <v>0</v>
      </c>
      <c r="F639" s="4">
        <f ca="1">IFERROR(IF(RESULTADOS!$C$17="Normal",D639,C639)*RESULTADOS!$C$18,0)</f>
        <v>0</v>
      </c>
      <c r="G639" s="4">
        <f ca="1">IFERROR(IF(RESULTADOS!$C$17="Normal",0,D639)*IF(RESULTADOS!$C$17="Normal",RESULTADOS!$C$18,RESULTADOS!$C$16),0)</f>
        <v>0</v>
      </c>
      <c r="H639" s="4">
        <f ca="1">IF(RESULTADOS!$C$17="Normal",E639,0)</f>
        <v>0</v>
      </c>
      <c r="I639" s="4">
        <f ca="1">(E639+H639+G639)*PREMISSAS!$C$60</f>
        <v>0</v>
      </c>
      <c r="J639" s="4">
        <f ca="1">D639*IF(RESULTADOS!$C$17="Normal",PREMISSAS!$C$62,0)</f>
        <v>0</v>
      </c>
      <c r="K639" s="116">
        <f ca="1">IFERROR(K638*(1+PREMISSAS!$C$18)+(E639+H639-IF(RESULTADOS!$C$17="Normal",I639,0)-J639)*IF(MONTH(B639)=12,2,1),0)</f>
        <v>0</v>
      </c>
      <c r="L639" s="116">
        <f ca="1">IFERROR((L638+G639-IF(RESULTADOS!$C$17="Normal",0,I639))*(1+PREMISSAS!$C$18)+F639,0)</f>
        <v>0</v>
      </c>
      <c r="N639" s="73">
        <f t="shared" ca="1" si="88"/>
        <v>0</v>
      </c>
      <c r="P639" s="164" t="str">
        <f t="shared" ca="1" si="89"/>
        <v/>
      </c>
      <c r="Q639" s="140" t="str">
        <f ca="1">IF(C639="","",Q638+(E639+H639-IF(RESULTADOS!$C$17="Normal",I639,0)-J639)/2+(F639+G639-IF(RESULTADOS!$C$17="Normal",0,I639)))</f>
        <v/>
      </c>
      <c r="R639" s="140" t="str">
        <f ca="1">IF(C639="","",R638+(E639+H639-IF(RESULTADOS!$C$17="Normal",I639,0)-J639)/2)</f>
        <v/>
      </c>
      <c r="S639" s="140">
        <f t="shared" ca="1" si="90"/>
        <v>0</v>
      </c>
      <c r="U639" s="164" t="str">
        <f t="shared" ca="1" si="91"/>
        <v/>
      </c>
      <c r="V639" s="164" t="str">
        <f t="shared" ca="1" si="92"/>
        <v/>
      </c>
      <c r="W639" s="140">
        <f ca="1">IF(OR((W638-13/12*Z638)*(1+PREMISSAS!$C$16)&lt;0,W638=""),0,(W638-13/12*Z638)*(1+PREMISSAS!$C$16))</f>
        <v>0</v>
      </c>
      <c r="X639" s="140">
        <f ca="1">IF(OR((X638-13/12*AA638)*(1+PREMISSAS!$C$16)&lt;0,X638=""),0,(X638-13/12*AA638)*(1+PREMISSAS!$C$16))</f>
        <v>0</v>
      </c>
      <c r="Y639" s="140">
        <f t="shared" ca="1" si="93"/>
        <v>0</v>
      </c>
      <c r="Z639" s="167">
        <f t="shared" ca="1" si="94"/>
        <v>0</v>
      </c>
      <c r="AA639" s="167">
        <f t="shared" ca="1" si="80"/>
        <v>0</v>
      </c>
    </row>
    <row r="640" spans="2:27" x14ac:dyDescent="0.25">
      <c r="B640" s="21" t="str">
        <f ca="1">IF(B639="","",IF(EOMONTH(B639,1)&gt;EOMONTH(ELEGIBILIDADE!$J$17,0),"",EOMONTH(B639,1)))</f>
        <v/>
      </c>
      <c r="C640" s="22" t="str">
        <f ca="1">IF(B640="","",IF(MONTH(B640)=1,C639*(1+PREMISSAS!$C$57),C639))</f>
        <v/>
      </c>
      <c r="D640" s="22">
        <f ca="1">IF(RESULTADOS!$C$17="Normal",IFERROR(MAX(C640-PREMISSAS!$C$13,0),0),IF(Painel!$I$23=0,0,MAX(10*PREMISSAS!$C$38,RESULTADOS!$F$17)))</f>
        <v>0</v>
      </c>
      <c r="E640" s="4">
        <f ca="1">D640*IF(RESULTADOS!$C$17="Normal",RESULTADOS!$C$16,0)</f>
        <v>0</v>
      </c>
      <c r="F640" s="4">
        <f ca="1">IFERROR(IF(RESULTADOS!$C$17="Normal",D640,C640)*RESULTADOS!$C$18,0)</f>
        <v>0</v>
      </c>
      <c r="G640" s="4">
        <f ca="1">IFERROR(IF(RESULTADOS!$C$17="Normal",0,D640)*IF(RESULTADOS!$C$17="Normal",RESULTADOS!$C$18,RESULTADOS!$C$16),0)</f>
        <v>0</v>
      </c>
      <c r="H640" s="4">
        <f ca="1">IF(RESULTADOS!$C$17="Normal",E640,0)</f>
        <v>0</v>
      </c>
      <c r="I640" s="4">
        <f ca="1">(E640+H640+G640)*PREMISSAS!$C$60</f>
        <v>0</v>
      </c>
      <c r="J640" s="4">
        <f ca="1">D640*IF(RESULTADOS!$C$17="Normal",PREMISSAS!$C$62,0)</f>
        <v>0</v>
      </c>
      <c r="K640" s="116">
        <f ca="1">IFERROR(K639*(1+PREMISSAS!$C$18)+(E640+H640-IF(RESULTADOS!$C$17="Normal",I640,0)-J640)*IF(MONTH(B640)=12,2,1),0)</f>
        <v>0</v>
      </c>
      <c r="L640" s="116">
        <f ca="1">IFERROR((L639+G640-IF(RESULTADOS!$C$17="Normal",0,I640))*(1+PREMISSAS!$C$18)+F640,0)</f>
        <v>0</v>
      </c>
      <c r="N640" s="73">
        <f t="shared" ca="1" si="88"/>
        <v>0</v>
      </c>
      <c r="P640" s="164" t="str">
        <f t="shared" ca="1" si="89"/>
        <v/>
      </c>
      <c r="Q640" s="140" t="str">
        <f ca="1">IF(C640="","",Q639+(E640+H640-IF(RESULTADOS!$C$17="Normal",I640,0)-J640)/2+(F640+G640-IF(RESULTADOS!$C$17="Normal",0,I640)))</f>
        <v/>
      </c>
      <c r="R640" s="140" t="str">
        <f ca="1">IF(C640="","",R639+(E640+H640-IF(RESULTADOS!$C$17="Normal",I640,0)-J640)/2)</f>
        <v/>
      </c>
      <c r="S640" s="140">
        <f t="shared" ca="1" si="90"/>
        <v>0</v>
      </c>
      <c r="U640" s="164" t="str">
        <f t="shared" ca="1" si="91"/>
        <v/>
      </c>
      <c r="V640" s="164" t="str">
        <f t="shared" ca="1" si="92"/>
        <v/>
      </c>
      <c r="W640" s="140">
        <f ca="1">IF(OR((W639-13/12*Z639)*(1+PREMISSAS!$C$16)&lt;0,W639=""),0,(W639-13/12*Z639)*(1+PREMISSAS!$C$16))</f>
        <v>0</v>
      </c>
      <c r="X640" s="140">
        <f ca="1">IF(OR((X639-13/12*AA639)*(1+PREMISSAS!$C$16)&lt;0,X639=""),0,(X639-13/12*AA639)*(1+PREMISSAS!$C$16))</f>
        <v>0</v>
      </c>
      <c r="Y640" s="140">
        <f t="shared" ca="1" si="93"/>
        <v>0</v>
      </c>
      <c r="Z640" s="167">
        <f t="shared" ca="1" si="94"/>
        <v>0</v>
      </c>
      <c r="AA640" s="167">
        <f t="shared" ca="1" si="80"/>
        <v>0</v>
      </c>
    </row>
    <row r="641" spans="2:27" x14ac:dyDescent="0.25">
      <c r="B641" s="21" t="str">
        <f ca="1">IF(B640="","",IF(EOMONTH(B640,1)&gt;EOMONTH(ELEGIBILIDADE!$J$17,0),"",EOMONTH(B640,1)))</f>
        <v/>
      </c>
      <c r="C641" s="22" t="str">
        <f ca="1">IF(B641="","",IF(MONTH(B641)=1,C640*(1+PREMISSAS!$C$57),C640))</f>
        <v/>
      </c>
      <c r="D641" s="22">
        <f ca="1">IF(RESULTADOS!$C$17="Normal",IFERROR(MAX(C641-PREMISSAS!$C$13,0),0),IF(Painel!$I$23=0,0,MAX(10*PREMISSAS!$C$38,RESULTADOS!$F$17)))</f>
        <v>0</v>
      </c>
      <c r="E641" s="4">
        <f ca="1">D641*IF(RESULTADOS!$C$17="Normal",RESULTADOS!$C$16,0)</f>
        <v>0</v>
      </c>
      <c r="F641" s="4">
        <f ca="1">IFERROR(IF(RESULTADOS!$C$17="Normal",D641,C641)*RESULTADOS!$C$18,0)</f>
        <v>0</v>
      </c>
      <c r="G641" s="4">
        <f ca="1">IFERROR(IF(RESULTADOS!$C$17="Normal",0,D641)*IF(RESULTADOS!$C$17="Normal",RESULTADOS!$C$18,RESULTADOS!$C$16),0)</f>
        <v>0</v>
      </c>
      <c r="H641" s="4">
        <f ca="1">IF(RESULTADOS!$C$17="Normal",E641,0)</f>
        <v>0</v>
      </c>
      <c r="I641" s="4">
        <f ca="1">(E641+H641+G641)*PREMISSAS!$C$60</f>
        <v>0</v>
      </c>
      <c r="J641" s="4">
        <f ca="1">D641*IF(RESULTADOS!$C$17="Normal",PREMISSAS!$C$62,0)</f>
        <v>0</v>
      </c>
      <c r="K641" s="116">
        <f ca="1">IFERROR(K640*(1+PREMISSAS!$C$18)+(E641+H641-IF(RESULTADOS!$C$17="Normal",I641,0)-J641)*IF(MONTH(B641)=12,2,1),0)</f>
        <v>0</v>
      </c>
      <c r="L641" s="116">
        <f ca="1">IFERROR((L640+G641-IF(RESULTADOS!$C$17="Normal",0,I641))*(1+PREMISSAS!$C$18)+F641,0)</f>
        <v>0</v>
      </c>
      <c r="N641" s="73">
        <f t="shared" ca="1" si="88"/>
        <v>0</v>
      </c>
      <c r="P641" s="164" t="str">
        <f t="shared" ca="1" si="89"/>
        <v/>
      </c>
      <c r="Q641" s="140" t="str">
        <f ca="1">IF(C641="","",Q640+(E641+H641-IF(RESULTADOS!$C$17="Normal",I641,0)-J641)/2+(F641+G641-IF(RESULTADOS!$C$17="Normal",0,I641)))</f>
        <v/>
      </c>
      <c r="R641" s="140" t="str">
        <f ca="1">IF(C641="","",R640+(E641+H641-IF(RESULTADOS!$C$17="Normal",I641,0)-J641)/2)</f>
        <v/>
      </c>
      <c r="S641" s="140">
        <f t="shared" ca="1" si="90"/>
        <v>0</v>
      </c>
      <c r="U641" s="164" t="str">
        <f t="shared" ca="1" si="91"/>
        <v/>
      </c>
      <c r="V641" s="164" t="str">
        <f t="shared" ca="1" si="92"/>
        <v/>
      </c>
      <c r="W641" s="140">
        <f ca="1">IF(OR((W640-13/12*Z640)*(1+PREMISSAS!$C$16)&lt;0,W640=""),0,(W640-13/12*Z640)*(1+PREMISSAS!$C$16))</f>
        <v>0</v>
      </c>
      <c r="X641" s="140">
        <f ca="1">IF(OR((X640-13/12*AA640)*(1+PREMISSAS!$C$16)&lt;0,X640=""),0,(X640-13/12*AA640)*(1+PREMISSAS!$C$16))</f>
        <v>0</v>
      </c>
      <c r="Y641" s="140">
        <f t="shared" ca="1" si="93"/>
        <v>0</v>
      </c>
      <c r="Z641" s="167">
        <f t="shared" ca="1" si="94"/>
        <v>0</v>
      </c>
      <c r="AA641" s="167">
        <f t="shared" ca="1" si="80"/>
        <v>0</v>
      </c>
    </row>
    <row r="642" spans="2:27" x14ac:dyDescent="0.25">
      <c r="B642" s="21" t="str">
        <f ca="1">IF(B641="","",IF(EOMONTH(B641,1)&gt;EOMONTH(ELEGIBILIDADE!$J$17,0),"",EOMONTH(B641,1)))</f>
        <v/>
      </c>
      <c r="C642" s="22" t="str">
        <f ca="1">IF(B642="","",IF(MONTH(B642)=1,C641*(1+PREMISSAS!$C$57),C641))</f>
        <v/>
      </c>
      <c r="D642" s="22">
        <f ca="1">IF(RESULTADOS!$C$17="Normal",IFERROR(MAX(C642-PREMISSAS!$C$13,0),0),IF(Painel!$I$23=0,0,MAX(10*PREMISSAS!$C$38,RESULTADOS!$F$17)))</f>
        <v>0</v>
      </c>
      <c r="E642" s="4">
        <f ca="1">D642*IF(RESULTADOS!$C$17="Normal",RESULTADOS!$C$16,0)</f>
        <v>0</v>
      </c>
      <c r="F642" s="4">
        <f ca="1">IFERROR(IF(RESULTADOS!$C$17="Normal",D642,C642)*RESULTADOS!$C$18,0)</f>
        <v>0</v>
      </c>
      <c r="G642" s="4">
        <f ca="1">IFERROR(IF(RESULTADOS!$C$17="Normal",0,D642)*IF(RESULTADOS!$C$17="Normal",RESULTADOS!$C$18,RESULTADOS!$C$16),0)</f>
        <v>0</v>
      </c>
      <c r="H642" s="4">
        <f ca="1">IF(RESULTADOS!$C$17="Normal",E642,0)</f>
        <v>0</v>
      </c>
      <c r="I642" s="4">
        <f ca="1">(E642+H642+G642)*PREMISSAS!$C$60</f>
        <v>0</v>
      </c>
      <c r="J642" s="4">
        <f ca="1">D642*IF(RESULTADOS!$C$17="Normal",PREMISSAS!$C$62,0)</f>
        <v>0</v>
      </c>
      <c r="K642" s="116">
        <f ca="1">IFERROR(K641*(1+PREMISSAS!$C$18)+(E642+H642-IF(RESULTADOS!$C$17="Normal",I642,0)-J642)*IF(MONTH(B642)=12,2,1),0)</f>
        <v>0</v>
      </c>
      <c r="L642" s="116">
        <f ca="1">IFERROR((L641+G642-IF(RESULTADOS!$C$17="Normal",0,I642))*(1+PREMISSAS!$C$18)+F642,0)</f>
        <v>0</v>
      </c>
      <c r="N642" s="73">
        <f t="shared" ca="1" si="88"/>
        <v>0</v>
      </c>
      <c r="P642" s="164" t="str">
        <f t="shared" ca="1" si="89"/>
        <v/>
      </c>
      <c r="Q642" s="140" t="str">
        <f ca="1">IF(C642="","",Q641+(E642+H642-IF(RESULTADOS!$C$17="Normal",I642,0)-J642)/2+(F642+G642-IF(RESULTADOS!$C$17="Normal",0,I642)))</f>
        <v/>
      </c>
      <c r="R642" s="140" t="str">
        <f ca="1">IF(C642="","",R641+(E642+H642-IF(RESULTADOS!$C$17="Normal",I642,0)-J642)/2)</f>
        <v/>
      </c>
      <c r="S642" s="140">
        <f t="shared" ca="1" si="90"/>
        <v>0</v>
      </c>
      <c r="U642" s="164" t="str">
        <f t="shared" ca="1" si="91"/>
        <v/>
      </c>
      <c r="V642" s="164" t="str">
        <f t="shared" ca="1" si="92"/>
        <v/>
      </c>
      <c r="W642" s="140">
        <f ca="1">IF(OR((W641-13/12*Z641)*(1+PREMISSAS!$C$16)&lt;0,W641=""),0,(W641-13/12*Z641)*(1+PREMISSAS!$C$16))</f>
        <v>0</v>
      </c>
      <c r="X642" s="140">
        <f ca="1">IF(OR((X641-13/12*AA641)*(1+PREMISSAS!$C$16)&lt;0,X641=""),0,(X641-13/12*AA641)*(1+PREMISSAS!$C$16))</f>
        <v>0</v>
      </c>
      <c r="Y642" s="140">
        <f t="shared" ca="1" si="93"/>
        <v>0</v>
      </c>
      <c r="Z642" s="167">
        <f t="shared" ca="1" si="94"/>
        <v>0</v>
      </c>
      <c r="AA642" s="167">
        <f t="shared" ca="1" si="80"/>
        <v>0</v>
      </c>
    </row>
    <row r="643" spans="2:27" x14ac:dyDescent="0.25">
      <c r="B643" s="21" t="str">
        <f ca="1">IF(B642="","",IF(EOMONTH(B642,1)&gt;EOMONTH(ELEGIBILIDADE!$J$17,0),"",EOMONTH(B642,1)))</f>
        <v/>
      </c>
      <c r="C643" s="22" t="str">
        <f ca="1">IF(B643="","",IF(MONTH(B643)=1,C642*(1+PREMISSAS!$C$57),C642))</f>
        <v/>
      </c>
      <c r="D643" s="22">
        <f ca="1">IF(RESULTADOS!$C$17="Normal",IFERROR(MAX(C643-PREMISSAS!$C$13,0),0),IF(Painel!$I$23=0,0,MAX(10*PREMISSAS!$C$38,RESULTADOS!$F$17)))</f>
        <v>0</v>
      </c>
      <c r="E643" s="4">
        <f ca="1">D643*IF(RESULTADOS!$C$17="Normal",RESULTADOS!$C$16,0)</f>
        <v>0</v>
      </c>
      <c r="F643" s="4">
        <f ca="1">IFERROR(IF(RESULTADOS!$C$17="Normal",D643,C643)*RESULTADOS!$C$18,0)</f>
        <v>0</v>
      </c>
      <c r="G643" s="4">
        <f ca="1">IFERROR(IF(RESULTADOS!$C$17="Normal",0,D643)*IF(RESULTADOS!$C$17="Normal",RESULTADOS!$C$18,RESULTADOS!$C$16),0)</f>
        <v>0</v>
      </c>
      <c r="H643" s="4">
        <f ca="1">IF(RESULTADOS!$C$17="Normal",E643,0)</f>
        <v>0</v>
      </c>
      <c r="I643" s="4">
        <f ca="1">(E643+H643+G643)*PREMISSAS!$C$60</f>
        <v>0</v>
      </c>
      <c r="J643" s="4">
        <f ca="1">D643*IF(RESULTADOS!$C$17="Normal",PREMISSAS!$C$62,0)</f>
        <v>0</v>
      </c>
      <c r="K643" s="116">
        <f ca="1">IFERROR(K642*(1+PREMISSAS!$C$18)+(E643+H643-IF(RESULTADOS!$C$17="Normal",I643,0)-J643)*IF(MONTH(B643)=12,2,1),0)</f>
        <v>0</v>
      </c>
      <c r="L643" s="116">
        <f ca="1">IFERROR((L642+G643-IF(RESULTADOS!$C$17="Normal",0,I643))*(1+PREMISSAS!$C$18)+F643,0)</f>
        <v>0</v>
      </c>
      <c r="N643" s="73">
        <f t="shared" ca="1" si="88"/>
        <v>0</v>
      </c>
      <c r="P643" s="164" t="str">
        <f t="shared" ca="1" si="89"/>
        <v/>
      </c>
      <c r="Q643" s="140" t="str">
        <f ca="1">IF(C643="","",Q642+(E643+H643-IF(RESULTADOS!$C$17="Normal",I643,0)-J643)/2+(F643+G643-IF(RESULTADOS!$C$17="Normal",0,I643)))</f>
        <v/>
      </c>
      <c r="R643" s="140" t="str">
        <f ca="1">IF(C643="","",R642+(E643+H643-IF(RESULTADOS!$C$17="Normal",I643,0)-J643)/2)</f>
        <v/>
      </c>
      <c r="S643" s="140">
        <f t="shared" ca="1" si="90"/>
        <v>0</v>
      </c>
      <c r="U643" s="164" t="str">
        <f t="shared" ca="1" si="91"/>
        <v/>
      </c>
      <c r="V643" s="164" t="str">
        <f t="shared" ca="1" si="92"/>
        <v/>
      </c>
      <c r="W643" s="140">
        <f ca="1">IF(OR((W642-13/12*Z642)*(1+PREMISSAS!$C$16)&lt;0,W642=""),0,(W642-13/12*Z642)*(1+PREMISSAS!$C$16))</f>
        <v>0</v>
      </c>
      <c r="X643" s="140">
        <f ca="1">IF(OR((X642-13/12*AA642)*(1+PREMISSAS!$C$16)&lt;0,X642=""),0,(X642-13/12*AA642)*(1+PREMISSAS!$C$16))</f>
        <v>0</v>
      </c>
      <c r="Y643" s="140">
        <f t="shared" ca="1" si="93"/>
        <v>0</v>
      </c>
      <c r="Z643" s="167">
        <f t="shared" ca="1" si="94"/>
        <v>0</v>
      </c>
      <c r="AA643" s="167">
        <f t="shared" ca="1" si="80"/>
        <v>0</v>
      </c>
    </row>
    <row r="644" spans="2:27" x14ac:dyDescent="0.25">
      <c r="B644" s="21" t="str">
        <f ca="1">IF(B643="","",IF(EOMONTH(B643,1)&gt;EOMONTH(ELEGIBILIDADE!$J$17,0),"",EOMONTH(B643,1)))</f>
        <v/>
      </c>
      <c r="C644" s="22" t="str">
        <f ca="1">IF(B644="","",IF(MONTH(B644)=1,C643*(1+PREMISSAS!$C$57),C643))</f>
        <v/>
      </c>
      <c r="D644" s="22">
        <f ca="1">IF(RESULTADOS!$C$17="Normal",IFERROR(MAX(C644-PREMISSAS!$C$13,0),0),IF(Painel!$I$23=0,0,MAX(10*PREMISSAS!$C$38,RESULTADOS!$F$17)))</f>
        <v>0</v>
      </c>
      <c r="E644" s="4">
        <f ca="1">D644*IF(RESULTADOS!$C$17="Normal",RESULTADOS!$C$16,0)</f>
        <v>0</v>
      </c>
      <c r="F644" s="4">
        <f ca="1">IFERROR(IF(RESULTADOS!$C$17="Normal",D644,C644)*RESULTADOS!$C$18,0)</f>
        <v>0</v>
      </c>
      <c r="G644" s="4">
        <f ca="1">IFERROR(IF(RESULTADOS!$C$17="Normal",0,D644)*IF(RESULTADOS!$C$17="Normal",RESULTADOS!$C$18,RESULTADOS!$C$16),0)</f>
        <v>0</v>
      </c>
      <c r="H644" s="4">
        <f ca="1">IF(RESULTADOS!$C$17="Normal",E644,0)</f>
        <v>0</v>
      </c>
      <c r="I644" s="4">
        <f ca="1">(E644+H644+G644)*PREMISSAS!$C$60</f>
        <v>0</v>
      </c>
      <c r="J644" s="4">
        <f ca="1">D644*IF(RESULTADOS!$C$17="Normal",PREMISSAS!$C$62,0)</f>
        <v>0</v>
      </c>
      <c r="K644" s="116">
        <f ca="1">IFERROR(K643*(1+PREMISSAS!$C$18)+(E644+H644-IF(RESULTADOS!$C$17="Normal",I644,0)-J644)*IF(MONTH(B644)=12,2,1),0)</f>
        <v>0</v>
      </c>
      <c r="L644" s="116">
        <f ca="1">IFERROR((L643+G644-IF(RESULTADOS!$C$17="Normal",0,I644))*(1+PREMISSAS!$C$18)+F644,0)</f>
        <v>0</v>
      </c>
      <c r="N644" s="73">
        <f t="shared" ca="1" si="88"/>
        <v>0</v>
      </c>
      <c r="P644" s="164" t="str">
        <f t="shared" ca="1" si="89"/>
        <v/>
      </c>
      <c r="Q644" s="140" t="str">
        <f ca="1">IF(C644="","",Q643+(E644+H644-IF(RESULTADOS!$C$17="Normal",I644,0)-J644)/2+(F644+G644-IF(RESULTADOS!$C$17="Normal",0,I644)))</f>
        <v/>
      </c>
      <c r="R644" s="140" t="str">
        <f ca="1">IF(C644="","",R643+(E644+H644-IF(RESULTADOS!$C$17="Normal",I644,0)-J644)/2)</f>
        <v/>
      </c>
      <c r="S644" s="140">
        <f t="shared" ca="1" si="90"/>
        <v>0</v>
      </c>
      <c r="U644" s="164" t="str">
        <f t="shared" ca="1" si="91"/>
        <v/>
      </c>
      <c r="V644" s="164" t="str">
        <f t="shared" ca="1" si="92"/>
        <v/>
      </c>
      <c r="W644" s="140">
        <f ca="1">IF(OR((W643-13/12*Z643)*(1+PREMISSAS!$C$16)&lt;0,W643=""),0,(W643-13/12*Z643)*(1+PREMISSAS!$C$16))</f>
        <v>0</v>
      </c>
      <c r="X644" s="140">
        <f ca="1">IF(OR((X643-13/12*AA643)*(1+PREMISSAS!$C$16)&lt;0,X643=""),0,(X643-13/12*AA643)*(1+PREMISSAS!$C$16))</f>
        <v>0</v>
      </c>
      <c r="Y644" s="140">
        <f t="shared" ca="1" si="93"/>
        <v>0</v>
      </c>
      <c r="Z644" s="167">
        <f t="shared" ca="1" si="94"/>
        <v>0</v>
      </c>
      <c r="AA644" s="167">
        <f t="shared" ca="1" si="80"/>
        <v>0</v>
      </c>
    </row>
    <row r="645" spans="2:27" x14ac:dyDescent="0.25">
      <c r="B645" s="21" t="str">
        <f ca="1">IF(B644="","",IF(EOMONTH(B644,1)&gt;EOMONTH(ELEGIBILIDADE!$J$17,0),"",EOMONTH(B644,1)))</f>
        <v/>
      </c>
      <c r="C645" s="22" t="str">
        <f ca="1">IF(B645="","",IF(MONTH(B645)=1,C644*(1+PREMISSAS!$C$57),C644))</f>
        <v/>
      </c>
      <c r="D645" s="22">
        <f ca="1">IF(RESULTADOS!$C$17="Normal",IFERROR(MAX(C645-PREMISSAS!$C$13,0),0),IF(Painel!$I$23=0,0,MAX(10*PREMISSAS!$C$38,RESULTADOS!$F$17)))</f>
        <v>0</v>
      </c>
      <c r="E645" s="4">
        <f ca="1">D645*IF(RESULTADOS!$C$17="Normal",RESULTADOS!$C$16,0)</f>
        <v>0</v>
      </c>
      <c r="F645" s="4">
        <f ca="1">IFERROR(IF(RESULTADOS!$C$17="Normal",D645,C645)*RESULTADOS!$C$18,0)</f>
        <v>0</v>
      </c>
      <c r="G645" s="4">
        <f ca="1">IFERROR(IF(RESULTADOS!$C$17="Normal",0,D645)*IF(RESULTADOS!$C$17="Normal",RESULTADOS!$C$18,RESULTADOS!$C$16),0)</f>
        <v>0</v>
      </c>
      <c r="H645" s="4">
        <f ca="1">IF(RESULTADOS!$C$17="Normal",E645,0)</f>
        <v>0</v>
      </c>
      <c r="I645" s="4">
        <f ca="1">(E645+H645+G645)*PREMISSAS!$C$60</f>
        <v>0</v>
      </c>
      <c r="J645" s="4">
        <f ca="1">D645*IF(RESULTADOS!$C$17="Normal",PREMISSAS!$C$62,0)</f>
        <v>0</v>
      </c>
      <c r="K645" s="116">
        <f ca="1">IFERROR(K644*(1+PREMISSAS!$C$18)+(E645+H645-IF(RESULTADOS!$C$17="Normal",I645,0)-J645)*IF(MONTH(B645)=12,2,1),0)</f>
        <v>0</v>
      </c>
      <c r="L645" s="116">
        <f ca="1">IFERROR((L644+G645-IF(RESULTADOS!$C$17="Normal",0,I645))*(1+PREMISSAS!$C$18)+F645,0)</f>
        <v>0</v>
      </c>
      <c r="N645" s="73">
        <f t="shared" ca="1" si="88"/>
        <v>0</v>
      </c>
      <c r="P645" s="164" t="str">
        <f t="shared" ca="1" si="89"/>
        <v/>
      </c>
      <c r="Q645" s="140" t="str">
        <f ca="1">IF(C645="","",Q644+(E645+H645-IF(RESULTADOS!$C$17="Normal",I645,0)-J645)/2+(F645+G645-IF(RESULTADOS!$C$17="Normal",0,I645)))</f>
        <v/>
      </c>
      <c r="R645" s="140" t="str">
        <f ca="1">IF(C645="","",R644+(E645+H645-IF(RESULTADOS!$C$17="Normal",I645,0)-J645)/2)</f>
        <v/>
      </c>
      <c r="S645" s="140">
        <f t="shared" ca="1" si="90"/>
        <v>0</v>
      </c>
      <c r="U645" s="164" t="str">
        <f t="shared" ca="1" si="91"/>
        <v/>
      </c>
      <c r="V645" s="164" t="str">
        <f t="shared" ca="1" si="92"/>
        <v/>
      </c>
      <c r="W645" s="140">
        <f ca="1">IF(OR((W644-13/12*Z644)*(1+PREMISSAS!$C$16)&lt;0,W644=""),0,(W644-13/12*Z644)*(1+PREMISSAS!$C$16))</f>
        <v>0</v>
      </c>
      <c r="X645" s="140">
        <f ca="1">IF(OR((X644-13/12*AA644)*(1+PREMISSAS!$C$16)&lt;0,X644=""),0,(X644-13/12*AA644)*(1+PREMISSAS!$C$16))</f>
        <v>0</v>
      </c>
      <c r="Y645" s="140">
        <f t="shared" ca="1" si="93"/>
        <v>0</v>
      </c>
      <c r="Z645" s="167">
        <f t="shared" ca="1" si="94"/>
        <v>0</v>
      </c>
      <c r="AA645" s="167">
        <f t="shared" ca="1" si="80"/>
        <v>0</v>
      </c>
    </row>
    <row r="646" spans="2:27" x14ac:dyDescent="0.25">
      <c r="B646" s="21" t="str">
        <f ca="1">IF(B645="","",IF(EOMONTH(B645,1)&gt;EOMONTH(ELEGIBILIDADE!$J$17,0),"",EOMONTH(B645,1)))</f>
        <v/>
      </c>
      <c r="C646" s="22" t="str">
        <f ca="1">IF(B646="","",IF(MONTH(B646)=1,C645*(1+PREMISSAS!$C$57),C645))</f>
        <v/>
      </c>
      <c r="D646" s="22">
        <f ca="1">IF(RESULTADOS!$C$17="Normal",IFERROR(MAX(C646-PREMISSAS!$C$13,0),0),IF(Painel!$I$23=0,0,MAX(10*PREMISSAS!$C$38,RESULTADOS!$F$17)))</f>
        <v>0</v>
      </c>
      <c r="E646" s="4">
        <f ca="1">D646*IF(RESULTADOS!$C$17="Normal",RESULTADOS!$C$16,0)</f>
        <v>0</v>
      </c>
      <c r="F646" s="4">
        <f ca="1">IFERROR(IF(RESULTADOS!$C$17="Normal",D646,C646)*RESULTADOS!$C$18,0)</f>
        <v>0</v>
      </c>
      <c r="G646" s="4">
        <f ca="1">IFERROR(IF(RESULTADOS!$C$17="Normal",0,D646)*IF(RESULTADOS!$C$17="Normal",RESULTADOS!$C$18,RESULTADOS!$C$16),0)</f>
        <v>0</v>
      </c>
      <c r="H646" s="4">
        <f ca="1">IF(RESULTADOS!$C$17="Normal",E646,0)</f>
        <v>0</v>
      </c>
      <c r="I646" s="4">
        <f ca="1">(E646+H646+G646)*PREMISSAS!$C$60</f>
        <v>0</v>
      </c>
      <c r="J646" s="4">
        <f ca="1">D646*IF(RESULTADOS!$C$17="Normal",PREMISSAS!$C$62,0)</f>
        <v>0</v>
      </c>
      <c r="K646" s="116">
        <f ca="1">IFERROR(K645*(1+PREMISSAS!$C$18)+(E646+H646-IF(RESULTADOS!$C$17="Normal",I646,0)-J646)*IF(MONTH(B646)=12,2,1),0)</f>
        <v>0</v>
      </c>
      <c r="L646" s="116">
        <f ca="1">IFERROR((L645+G646-IF(RESULTADOS!$C$17="Normal",0,I646))*(1+PREMISSAS!$C$18)+F646,0)</f>
        <v>0</v>
      </c>
      <c r="N646" s="73">
        <f t="shared" ca="1" si="88"/>
        <v>0</v>
      </c>
      <c r="P646" s="164" t="str">
        <f t="shared" ca="1" si="89"/>
        <v/>
      </c>
      <c r="Q646" s="140" t="str">
        <f ca="1">IF(C646="","",Q645+(E646+H646-IF(RESULTADOS!$C$17="Normal",I646,0)-J646)/2+(F646+G646-IF(RESULTADOS!$C$17="Normal",0,I646)))</f>
        <v/>
      </c>
      <c r="R646" s="140" t="str">
        <f ca="1">IF(C646="","",R645+(E646+H646-IF(RESULTADOS!$C$17="Normal",I646,0)-J646)/2)</f>
        <v/>
      </c>
      <c r="S646" s="140">
        <f t="shared" ca="1" si="90"/>
        <v>0</v>
      </c>
      <c r="U646" s="164" t="str">
        <f t="shared" ca="1" si="91"/>
        <v/>
      </c>
      <c r="V646" s="164" t="str">
        <f t="shared" ca="1" si="92"/>
        <v/>
      </c>
      <c r="W646" s="140">
        <f ca="1">IF(OR((W645-13/12*Z645)*(1+PREMISSAS!$C$16)&lt;0,W645=""),0,(W645-13/12*Z645)*(1+PREMISSAS!$C$16))</f>
        <v>0</v>
      </c>
      <c r="X646" s="140">
        <f ca="1">IF(OR((X645-13/12*AA645)*(1+PREMISSAS!$C$16)&lt;0,X645=""),0,(X645-13/12*AA645)*(1+PREMISSAS!$C$16))</f>
        <v>0</v>
      </c>
      <c r="Y646" s="140">
        <f t="shared" ca="1" si="93"/>
        <v>0</v>
      </c>
      <c r="Z646" s="167">
        <f t="shared" ca="1" si="94"/>
        <v>0</v>
      </c>
      <c r="AA646" s="167">
        <f t="shared" ca="1" si="80"/>
        <v>0</v>
      </c>
    </row>
    <row r="647" spans="2:27" x14ac:dyDescent="0.25">
      <c r="B647" s="21" t="str">
        <f ca="1">IF(B646="","",IF(EOMONTH(B646,1)&gt;EOMONTH(ELEGIBILIDADE!$J$17,0),"",EOMONTH(B646,1)))</f>
        <v/>
      </c>
      <c r="C647" s="22" t="str">
        <f ca="1">IF(B647="","",IF(MONTH(B647)=1,C646*(1+PREMISSAS!$C$57),C646))</f>
        <v/>
      </c>
      <c r="D647" s="22">
        <f ca="1">IF(RESULTADOS!$C$17="Normal",IFERROR(MAX(C647-PREMISSAS!$C$13,0),0),IF(Painel!$I$23=0,0,MAX(10*PREMISSAS!$C$38,RESULTADOS!$F$17)))</f>
        <v>0</v>
      </c>
      <c r="E647" s="4">
        <f ca="1">D647*IF(RESULTADOS!$C$17="Normal",RESULTADOS!$C$16,0)</f>
        <v>0</v>
      </c>
      <c r="F647" s="4">
        <f ca="1">IFERROR(IF(RESULTADOS!$C$17="Normal",D647,C647)*RESULTADOS!$C$18,0)</f>
        <v>0</v>
      </c>
      <c r="G647" s="4">
        <f ca="1">IFERROR(IF(RESULTADOS!$C$17="Normal",0,D647)*IF(RESULTADOS!$C$17="Normal",RESULTADOS!$C$18,RESULTADOS!$C$16),0)</f>
        <v>0</v>
      </c>
      <c r="H647" s="4">
        <f ca="1">IF(RESULTADOS!$C$17="Normal",E647,0)</f>
        <v>0</v>
      </c>
      <c r="I647" s="4">
        <f ca="1">(E647+H647+G647)*PREMISSAS!$C$60</f>
        <v>0</v>
      </c>
      <c r="J647" s="4">
        <f ca="1">D647*IF(RESULTADOS!$C$17="Normal",PREMISSAS!$C$62,0)</f>
        <v>0</v>
      </c>
      <c r="K647" s="116">
        <f ca="1">IFERROR(K646*(1+PREMISSAS!$C$18)+(E647+H647-IF(RESULTADOS!$C$17="Normal",I647,0)-J647)*IF(MONTH(B647)=12,2,1),0)</f>
        <v>0</v>
      </c>
      <c r="L647" s="116">
        <f ca="1">IFERROR((L646+G647-IF(RESULTADOS!$C$17="Normal",0,I647))*(1+PREMISSAS!$C$18)+F647,0)</f>
        <v>0</v>
      </c>
      <c r="N647" s="73">
        <f t="shared" ca="1" si="88"/>
        <v>0</v>
      </c>
      <c r="P647" s="164" t="str">
        <f t="shared" ca="1" si="89"/>
        <v/>
      </c>
      <c r="Q647" s="140" t="str">
        <f ca="1">IF(C647="","",Q646+(E647+H647-IF(RESULTADOS!$C$17="Normal",I647,0)-J647)/2+(F647+G647-IF(RESULTADOS!$C$17="Normal",0,I647)))</f>
        <v/>
      </c>
      <c r="R647" s="140" t="str">
        <f ca="1">IF(C647="","",R646+(E647+H647-IF(RESULTADOS!$C$17="Normal",I647,0)-J647)/2)</f>
        <v/>
      </c>
      <c r="S647" s="140">
        <f t="shared" ca="1" si="90"/>
        <v>0</v>
      </c>
      <c r="U647" s="164" t="str">
        <f t="shared" ca="1" si="91"/>
        <v/>
      </c>
      <c r="V647" s="164" t="str">
        <f t="shared" ca="1" si="92"/>
        <v/>
      </c>
      <c r="W647" s="140">
        <f ca="1">IF(OR((W646-13/12*Z646)*(1+PREMISSAS!$C$16)&lt;0,W646=""),0,(W646-13/12*Z646)*(1+PREMISSAS!$C$16))</f>
        <v>0</v>
      </c>
      <c r="X647" s="140">
        <f ca="1">IF(OR((X646-13/12*AA646)*(1+PREMISSAS!$C$16)&lt;0,X646=""),0,(X646-13/12*AA646)*(1+PREMISSAS!$C$16))</f>
        <v>0</v>
      </c>
      <c r="Y647" s="140">
        <f t="shared" ca="1" si="93"/>
        <v>0</v>
      </c>
      <c r="Z647" s="167">
        <f t="shared" ca="1" si="94"/>
        <v>0</v>
      </c>
      <c r="AA647" s="167">
        <f t="shared" ref="AA647:AA700" ca="1" si="95">IF(X647&lt;&gt;0,AA646,0)</f>
        <v>0</v>
      </c>
    </row>
    <row r="648" spans="2:27" x14ac:dyDescent="0.25">
      <c r="B648" s="21" t="str">
        <f ca="1">IF(B647="","",IF(EOMONTH(B647,1)&gt;EOMONTH(ELEGIBILIDADE!$J$17,0),"",EOMONTH(B647,1)))</f>
        <v/>
      </c>
      <c r="C648" s="22" t="str">
        <f ca="1">IF(B648="","",IF(MONTH(B648)=1,C647*(1+PREMISSAS!$C$57),C647))</f>
        <v/>
      </c>
      <c r="D648" s="22">
        <f ca="1">IF(RESULTADOS!$C$17="Normal",IFERROR(MAX(C648-PREMISSAS!$C$13,0),0),IF(Painel!$I$23=0,0,MAX(10*PREMISSAS!$C$38,RESULTADOS!$F$17)))</f>
        <v>0</v>
      </c>
      <c r="E648" s="4">
        <f ca="1">D648*IF(RESULTADOS!$C$17="Normal",RESULTADOS!$C$16,0)</f>
        <v>0</v>
      </c>
      <c r="F648" s="4">
        <f ca="1">IFERROR(IF(RESULTADOS!$C$17="Normal",D648,C648)*RESULTADOS!$C$18,0)</f>
        <v>0</v>
      </c>
      <c r="G648" s="4">
        <f ca="1">IFERROR(IF(RESULTADOS!$C$17="Normal",0,D648)*IF(RESULTADOS!$C$17="Normal",RESULTADOS!$C$18,RESULTADOS!$C$16),0)</f>
        <v>0</v>
      </c>
      <c r="H648" s="4">
        <f ca="1">IF(RESULTADOS!$C$17="Normal",E648,0)</f>
        <v>0</v>
      </c>
      <c r="I648" s="4">
        <f ca="1">(E648+H648+G648)*PREMISSAS!$C$60</f>
        <v>0</v>
      </c>
      <c r="J648" s="4">
        <f ca="1">D648*IF(RESULTADOS!$C$17="Normal",PREMISSAS!$C$62,0)</f>
        <v>0</v>
      </c>
      <c r="K648" s="116">
        <f ca="1">IFERROR(K647*(1+PREMISSAS!$C$18)+(E648+H648-IF(RESULTADOS!$C$17="Normal",I648,0)-J648)*IF(MONTH(B648)=12,2,1),0)</f>
        <v>0</v>
      </c>
      <c r="L648" s="116">
        <f ca="1">IFERROR((L647+G648-IF(RESULTADOS!$C$17="Normal",0,I648))*(1+PREMISSAS!$C$18)+F648,0)</f>
        <v>0</v>
      </c>
      <c r="N648" s="73">
        <f t="shared" ca="1" si="88"/>
        <v>0</v>
      </c>
      <c r="P648" s="164" t="str">
        <f t="shared" ca="1" si="89"/>
        <v/>
      </c>
      <c r="Q648" s="140" t="str">
        <f ca="1">IF(C648="","",Q647+(E648+H648-IF(RESULTADOS!$C$17="Normal",I648,0)-J648)/2+(F648+G648-IF(RESULTADOS!$C$17="Normal",0,I648)))</f>
        <v/>
      </c>
      <c r="R648" s="140" t="str">
        <f ca="1">IF(C648="","",R647+(E648+H648-IF(RESULTADOS!$C$17="Normal",I648,0)-J648)/2)</f>
        <v/>
      </c>
      <c r="S648" s="140">
        <f t="shared" ca="1" si="90"/>
        <v>0</v>
      </c>
      <c r="U648" s="164" t="str">
        <f t="shared" ca="1" si="91"/>
        <v/>
      </c>
      <c r="V648" s="164" t="str">
        <f t="shared" ca="1" si="92"/>
        <v/>
      </c>
      <c r="W648" s="140">
        <f ca="1">IF(OR((W647-13/12*Z647)*(1+PREMISSAS!$C$16)&lt;0,W647=""),0,(W647-13/12*Z647)*(1+PREMISSAS!$C$16))</f>
        <v>0</v>
      </c>
      <c r="X648" s="140">
        <f ca="1">IF(OR((X647-13/12*AA647)*(1+PREMISSAS!$C$16)&lt;0,X647=""),0,(X647-13/12*AA647)*(1+PREMISSAS!$C$16))</f>
        <v>0</v>
      </c>
      <c r="Y648" s="140">
        <f t="shared" ca="1" si="93"/>
        <v>0</v>
      </c>
      <c r="Z648" s="167">
        <f t="shared" ca="1" si="94"/>
        <v>0</v>
      </c>
      <c r="AA648" s="167">
        <f t="shared" ca="1" si="95"/>
        <v>0</v>
      </c>
    </row>
    <row r="649" spans="2:27" x14ac:dyDescent="0.25">
      <c r="B649" s="21" t="str">
        <f ca="1">IF(B648="","",IF(EOMONTH(B648,1)&gt;EOMONTH(ELEGIBILIDADE!$J$17,0),"",EOMONTH(B648,1)))</f>
        <v/>
      </c>
      <c r="C649" s="22" t="str">
        <f ca="1">IF(B649="","",IF(MONTH(B649)=1,C648*(1+PREMISSAS!$C$57),C648))</f>
        <v/>
      </c>
      <c r="D649" s="22">
        <f ca="1">IF(RESULTADOS!$C$17="Normal",IFERROR(MAX(C649-PREMISSAS!$C$13,0),0),IF(Painel!$I$23=0,0,MAX(10*PREMISSAS!$C$38,RESULTADOS!$F$17)))</f>
        <v>0</v>
      </c>
      <c r="E649" s="4">
        <f ca="1">D649*IF(RESULTADOS!$C$17="Normal",RESULTADOS!$C$16,0)</f>
        <v>0</v>
      </c>
      <c r="F649" s="4">
        <f ca="1">IFERROR(IF(RESULTADOS!$C$17="Normal",D649,C649)*RESULTADOS!$C$18,0)</f>
        <v>0</v>
      </c>
      <c r="G649" s="4">
        <f ca="1">IFERROR(IF(RESULTADOS!$C$17="Normal",0,D649)*IF(RESULTADOS!$C$17="Normal",RESULTADOS!$C$18,RESULTADOS!$C$16),0)</f>
        <v>0</v>
      </c>
      <c r="H649" s="4">
        <f ca="1">IF(RESULTADOS!$C$17="Normal",E649,0)</f>
        <v>0</v>
      </c>
      <c r="I649" s="4">
        <f ca="1">(E649+H649+G649)*PREMISSAS!$C$60</f>
        <v>0</v>
      </c>
      <c r="J649" s="4">
        <f ca="1">D649*IF(RESULTADOS!$C$17="Normal",PREMISSAS!$C$62,0)</f>
        <v>0</v>
      </c>
      <c r="K649" s="116">
        <f ca="1">IFERROR(K648*(1+PREMISSAS!$C$18)+(E649+H649-IF(RESULTADOS!$C$17="Normal",I649,0)-J649)*IF(MONTH(B649)=12,2,1),0)</f>
        <v>0</v>
      </c>
      <c r="L649" s="116">
        <f ca="1">IFERROR((L648+G649-IF(RESULTADOS!$C$17="Normal",0,I649))*(1+PREMISSAS!$C$18)+F649,0)</f>
        <v>0</v>
      </c>
      <c r="N649" s="73">
        <f t="shared" ca="1" si="88"/>
        <v>0</v>
      </c>
      <c r="P649" s="164" t="str">
        <f t="shared" ca="1" si="89"/>
        <v/>
      </c>
      <c r="Q649" s="140" t="str">
        <f ca="1">IF(C649="","",Q648+(E649+H649-IF(RESULTADOS!$C$17="Normal",I649,0)-J649)/2+(F649+G649-IF(RESULTADOS!$C$17="Normal",0,I649)))</f>
        <v/>
      </c>
      <c r="R649" s="140" t="str">
        <f ca="1">IF(C649="","",R648+(E649+H649-IF(RESULTADOS!$C$17="Normal",I649,0)-J649)/2)</f>
        <v/>
      </c>
      <c r="S649" s="140">
        <f t="shared" ca="1" si="90"/>
        <v>0</v>
      </c>
      <c r="U649" s="164" t="str">
        <f t="shared" ca="1" si="91"/>
        <v/>
      </c>
      <c r="V649" s="164" t="str">
        <f t="shared" ca="1" si="92"/>
        <v/>
      </c>
      <c r="W649" s="140">
        <f ca="1">IF(OR((W648-13/12*Z648)*(1+PREMISSAS!$C$16)&lt;0,W648=""),0,(W648-13/12*Z648)*(1+PREMISSAS!$C$16))</f>
        <v>0</v>
      </c>
      <c r="X649" s="140">
        <f ca="1">IF(OR((X648-13/12*AA648)*(1+PREMISSAS!$C$16)&lt;0,X648=""),0,(X648-13/12*AA648)*(1+PREMISSAS!$C$16))</f>
        <v>0</v>
      </c>
      <c r="Y649" s="140">
        <f t="shared" ca="1" si="93"/>
        <v>0</v>
      </c>
      <c r="Z649" s="167">
        <f t="shared" ca="1" si="94"/>
        <v>0</v>
      </c>
      <c r="AA649" s="167">
        <f t="shared" ca="1" si="95"/>
        <v>0</v>
      </c>
    </row>
    <row r="650" spans="2:27" x14ac:dyDescent="0.25">
      <c r="B650" s="21" t="str">
        <f ca="1">IF(B649="","",IF(EOMONTH(B649,1)&gt;EOMONTH(ELEGIBILIDADE!$J$17,0),"",EOMONTH(B649,1)))</f>
        <v/>
      </c>
      <c r="C650" s="22" t="str">
        <f ca="1">IF(B650="","",IF(MONTH(B650)=1,C649*(1+PREMISSAS!$C$57),C649))</f>
        <v/>
      </c>
      <c r="D650" s="22">
        <f ca="1">IF(RESULTADOS!$C$17="Normal",IFERROR(MAX(C650-PREMISSAS!$C$13,0),0),IF(Painel!$I$23=0,0,MAX(10*PREMISSAS!$C$38,RESULTADOS!$F$17)))</f>
        <v>0</v>
      </c>
      <c r="E650" s="4">
        <f ca="1">D650*IF(RESULTADOS!$C$17="Normal",RESULTADOS!$C$16,0)</f>
        <v>0</v>
      </c>
      <c r="F650" s="4">
        <f ca="1">IFERROR(IF(RESULTADOS!$C$17="Normal",D650,C650)*RESULTADOS!$C$18,0)</f>
        <v>0</v>
      </c>
      <c r="G650" s="4">
        <f ca="1">IFERROR(IF(RESULTADOS!$C$17="Normal",0,D650)*IF(RESULTADOS!$C$17="Normal",RESULTADOS!$C$18,RESULTADOS!$C$16),0)</f>
        <v>0</v>
      </c>
      <c r="H650" s="4">
        <f ca="1">IF(RESULTADOS!$C$17="Normal",E650,0)</f>
        <v>0</v>
      </c>
      <c r="I650" s="4">
        <f ca="1">(E650+H650+G650)*PREMISSAS!$C$60</f>
        <v>0</v>
      </c>
      <c r="J650" s="4">
        <f ca="1">D650*IF(RESULTADOS!$C$17="Normal",PREMISSAS!$C$62,0)</f>
        <v>0</v>
      </c>
      <c r="K650" s="116">
        <f ca="1">IFERROR(K649*(1+PREMISSAS!$C$18)+(E650+H650-IF(RESULTADOS!$C$17="Normal",I650,0)-J650)*IF(MONTH(B650)=12,2,1),0)</f>
        <v>0</v>
      </c>
      <c r="L650" s="116">
        <f ca="1">IFERROR((L649+G650-IF(RESULTADOS!$C$17="Normal",0,I650))*(1+PREMISSAS!$C$18)+F650,0)</f>
        <v>0</v>
      </c>
      <c r="N650" s="73">
        <f t="shared" ca="1" si="88"/>
        <v>0</v>
      </c>
      <c r="P650" s="164" t="str">
        <f t="shared" ca="1" si="89"/>
        <v/>
      </c>
      <c r="Q650" s="140" t="str">
        <f ca="1">IF(C650="","",Q649+(E650+H650-IF(RESULTADOS!$C$17="Normal",I650,0)-J650)/2+(F650+G650-IF(RESULTADOS!$C$17="Normal",0,I650)))</f>
        <v/>
      </c>
      <c r="R650" s="140" t="str">
        <f ca="1">IF(C650="","",R649+(E650+H650-IF(RESULTADOS!$C$17="Normal",I650,0)-J650)/2)</f>
        <v/>
      </c>
      <c r="S650" s="140">
        <f t="shared" ca="1" si="90"/>
        <v>0</v>
      </c>
      <c r="U650" s="164" t="str">
        <f t="shared" ca="1" si="91"/>
        <v/>
      </c>
      <c r="V650" s="164" t="str">
        <f t="shared" ca="1" si="92"/>
        <v/>
      </c>
      <c r="W650" s="140">
        <f ca="1">IF(OR((W649-13/12*Z649)*(1+PREMISSAS!$C$16)&lt;0,W649=""),0,(W649-13/12*Z649)*(1+PREMISSAS!$C$16))</f>
        <v>0</v>
      </c>
      <c r="X650" s="140">
        <f ca="1">IF(OR((X649-13/12*AA649)*(1+PREMISSAS!$C$16)&lt;0,X649=""),0,(X649-13/12*AA649)*(1+PREMISSAS!$C$16))</f>
        <v>0</v>
      </c>
      <c r="Y650" s="140">
        <f t="shared" ca="1" si="93"/>
        <v>0</v>
      </c>
      <c r="Z650" s="167">
        <f t="shared" ca="1" si="94"/>
        <v>0</v>
      </c>
      <c r="AA650" s="167">
        <f t="shared" ca="1" si="95"/>
        <v>0</v>
      </c>
    </row>
    <row r="651" spans="2:27" x14ac:dyDescent="0.25">
      <c r="B651" s="21" t="str">
        <f ca="1">IF(B650="","",IF(EOMONTH(B650,1)&gt;EOMONTH(ELEGIBILIDADE!$J$17,0),"",EOMONTH(B650,1)))</f>
        <v/>
      </c>
      <c r="C651" s="22" t="str">
        <f ca="1">IF(B651="","",IF(MONTH(B651)=1,C650*(1+PREMISSAS!$C$57),C650))</f>
        <v/>
      </c>
      <c r="D651" s="22">
        <f ca="1">IF(RESULTADOS!$C$17="Normal",IFERROR(MAX(C651-PREMISSAS!$C$13,0),0),IF(Painel!$I$23=0,0,MAX(10*PREMISSAS!$C$38,RESULTADOS!$F$17)))</f>
        <v>0</v>
      </c>
      <c r="E651" s="4">
        <f ca="1">D651*IF(RESULTADOS!$C$17="Normal",RESULTADOS!$C$16,0)</f>
        <v>0</v>
      </c>
      <c r="F651" s="4">
        <f ca="1">IFERROR(IF(RESULTADOS!$C$17="Normal",D651,C651)*RESULTADOS!$C$18,0)</f>
        <v>0</v>
      </c>
      <c r="G651" s="4">
        <f ca="1">IFERROR(IF(RESULTADOS!$C$17="Normal",0,D651)*IF(RESULTADOS!$C$17="Normal",RESULTADOS!$C$18,RESULTADOS!$C$16),0)</f>
        <v>0</v>
      </c>
      <c r="H651" s="4">
        <f ca="1">IF(RESULTADOS!$C$17="Normal",E651,0)</f>
        <v>0</v>
      </c>
      <c r="I651" s="4">
        <f ca="1">(E651+H651+G651)*PREMISSAS!$C$60</f>
        <v>0</v>
      </c>
      <c r="J651" s="4">
        <f ca="1">D651*IF(RESULTADOS!$C$17="Normal",PREMISSAS!$C$62,0)</f>
        <v>0</v>
      </c>
      <c r="K651" s="116">
        <f ca="1">IFERROR(K650*(1+PREMISSAS!$C$18)+(E651+H651-IF(RESULTADOS!$C$17="Normal",I651,0)-J651)*IF(MONTH(B651)=12,2,1),0)</f>
        <v>0</v>
      </c>
      <c r="L651" s="116">
        <f ca="1">IFERROR((L650+G651-IF(RESULTADOS!$C$17="Normal",0,I651))*(1+PREMISSAS!$C$18)+F651,0)</f>
        <v>0</v>
      </c>
      <c r="N651" s="73">
        <f t="shared" ca="1" si="88"/>
        <v>0</v>
      </c>
      <c r="P651" s="164" t="str">
        <f t="shared" ca="1" si="89"/>
        <v/>
      </c>
      <c r="Q651" s="140" t="str">
        <f ca="1">IF(C651="","",Q650+(E651+H651-IF(RESULTADOS!$C$17="Normal",I651,0)-J651)/2+(F651+G651-IF(RESULTADOS!$C$17="Normal",0,I651)))</f>
        <v/>
      </c>
      <c r="R651" s="140" t="str">
        <f ca="1">IF(C651="","",R650+(E651+H651-IF(RESULTADOS!$C$17="Normal",I651,0)-J651)/2)</f>
        <v/>
      </c>
      <c r="S651" s="140">
        <f t="shared" ca="1" si="90"/>
        <v>0</v>
      </c>
      <c r="U651" s="164" t="str">
        <f t="shared" ca="1" si="91"/>
        <v/>
      </c>
      <c r="V651" s="164" t="str">
        <f t="shared" ca="1" si="92"/>
        <v/>
      </c>
      <c r="W651" s="140">
        <f ca="1">IF(OR((W650-13/12*Z650)*(1+PREMISSAS!$C$16)&lt;0,W650=""),0,(W650-13/12*Z650)*(1+PREMISSAS!$C$16))</f>
        <v>0</v>
      </c>
      <c r="X651" s="140">
        <f ca="1">IF(OR((X650-13/12*AA650)*(1+PREMISSAS!$C$16)&lt;0,X650=""),0,(X650-13/12*AA650)*(1+PREMISSAS!$C$16))</f>
        <v>0</v>
      </c>
      <c r="Y651" s="140">
        <f t="shared" ca="1" si="93"/>
        <v>0</v>
      </c>
      <c r="Z651" s="167">
        <f t="shared" ca="1" si="94"/>
        <v>0</v>
      </c>
      <c r="AA651" s="167">
        <f t="shared" ca="1" si="95"/>
        <v>0</v>
      </c>
    </row>
    <row r="652" spans="2:27" x14ac:dyDescent="0.25">
      <c r="B652" s="21" t="str">
        <f ca="1">IF(B651="","",IF(EOMONTH(B651,1)&gt;EOMONTH(ELEGIBILIDADE!$J$17,0),"",EOMONTH(B651,1)))</f>
        <v/>
      </c>
      <c r="C652" s="22" t="str">
        <f ca="1">IF(B652="","",IF(MONTH(B652)=1,C651*(1+PREMISSAS!$C$57),C651))</f>
        <v/>
      </c>
      <c r="D652" s="22">
        <f ca="1">IF(RESULTADOS!$C$17="Normal",IFERROR(MAX(C652-PREMISSAS!$C$13,0),0),IF(Painel!$I$23=0,0,MAX(10*PREMISSAS!$C$38,RESULTADOS!$F$17)))</f>
        <v>0</v>
      </c>
      <c r="E652" s="4">
        <f ca="1">D652*IF(RESULTADOS!$C$17="Normal",RESULTADOS!$C$16,0)</f>
        <v>0</v>
      </c>
      <c r="F652" s="4">
        <f ca="1">IFERROR(IF(RESULTADOS!$C$17="Normal",D652,C652)*RESULTADOS!$C$18,0)</f>
        <v>0</v>
      </c>
      <c r="G652" s="4">
        <f ca="1">IFERROR(IF(RESULTADOS!$C$17="Normal",0,D652)*IF(RESULTADOS!$C$17="Normal",RESULTADOS!$C$18,RESULTADOS!$C$16),0)</f>
        <v>0</v>
      </c>
      <c r="H652" s="4">
        <f ca="1">IF(RESULTADOS!$C$17="Normal",E652,0)</f>
        <v>0</v>
      </c>
      <c r="I652" s="4">
        <f ca="1">(E652+H652+G652)*PREMISSAS!$C$60</f>
        <v>0</v>
      </c>
      <c r="J652" s="4">
        <f ca="1">D652*IF(RESULTADOS!$C$17="Normal",PREMISSAS!$C$62,0)</f>
        <v>0</v>
      </c>
      <c r="K652" s="116">
        <f ca="1">IFERROR(K651*(1+PREMISSAS!$C$18)+(E652+H652-IF(RESULTADOS!$C$17="Normal",I652,0)-J652)*IF(MONTH(B652)=12,2,1),0)</f>
        <v>0</v>
      </c>
      <c r="L652" s="116">
        <f ca="1">IFERROR((L651+G652-IF(RESULTADOS!$C$17="Normal",0,I652))*(1+PREMISSAS!$C$18)+F652,0)</f>
        <v>0</v>
      </c>
      <c r="N652" s="73">
        <f t="shared" ca="1" si="88"/>
        <v>0</v>
      </c>
      <c r="P652" s="164" t="str">
        <f t="shared" ca="1" si="89"/>
        <v/>
      </c>
      <c r="Q652" s="140" t="str">
        <f ca="1">IF(C652="","",Q651+(E652+H652-IF(RESULTADOS!$C$17="Normal",I652,0)-J652)/2+(F652+G652-IF(RESULTADOS!$C$17="Normal",0,I652)))</f>
        <v/>
      </c>
      <c r="R652" s="140" t="str">
        <f ca="1">IF(C652="","",R651+(E652+H652-IF(RESULTADOS!$C$17="Normal",I652,0)-J652)/2)</f>
        <v/>
      </c>
      <c r="S652" s="140">
        <f t="shared" ca="1" si="90"/>
        <v>0</v>
      </c>
      <c r="U652" s="164" t="str">
        <f t="shared" ca="1" si="91"/>
        <v/>
      </c>
      <c r="V652" s="164" t="str">
        <f t="shared" ca="1" si="92"/>
        <v/>
      </c>
      <c r="W652" s="140">
        <f ca="1">IF(OR((W651-13/12*Z651)*(1+PREMISSAS!$C$16)&lt;0,W651=""),0,(W651-13/12*Z651)*(1+PREMISSAS!$C$16))</f>
        <v>0</v>
      </c>
      <c r="X652" s="140">
        <f ca="1">IF(OR((X651-13/12*AA651)*(1+PREMISSAS!$C$16)&lt;0,X651=""),0,(X651-13/12*AA651)*(1+PREMISSAS!$C$16))</f>
        <v>0</v>
      </c>
      <c r="Y652" s="140">
        <f t="shared" ca="1" si="93"/>
        <v>0</v>
      </c>
      <c r="Z652" s="167">
        <f t="shared" ca="1" si="94"/>
        <v>0</v>
      </c>
      <c r="AA652" s="167">
        <f t="shared" ca="1" si="95"/>
        <v>0</v>
      </c>
    </row>
    <row r="653" spans="2:27" x14ac:dyDescent="0.25">
      <c r="B653" s="21" t="str">
        <f ca="1">IF(B652="","",IF(EOMONTH(B652,1)&gt;EOMONTH(ELEGIBILIDADE!$J$17,0),"",EOMONTH(B652,1)))</f>
        <v/>
      </c>
      <c r="C653" s="22" t="str">
        <f ca="1">IF(B653="","",IF(MONTH(B653)=1,C652*(1+PREMISSAS!$C$57),C652))</f>
        <v/>
      </c>
      <c r="D653" s="22">
        <f ca="1">IF(RESULTADOS!$C$17="Normal",IFERROR(MAX(C653-PREMISSAS!$C$13,0),0),IF(Painel!$I$23=0,0,MAX(10*PREMISSAS!$C$38,RESULTADOS!$F$17)))</f>
        <v>0</v>
      </c>
      <c r="E653" s="4">
        <f ca="1">D653*IF(RESULTADOS!$C$17="Normal",RESULTADOS!$C$16,0)</f>
        <v>0</v>
      </c>
      <c r="F653" s="4">
        <f ca="1">IFERROR(IF(RESULTADOS!$C$17="Normal",D653,C653)*RESULTADOS!$C$18,0)</f>
        <v>0</v>
      </c>
      <c r="G653" s="4">
        <f ca="1">IFERROR(IF(RESULTADOS!$C$17="Normal",0,D653)*IF(RESULTADOS!$C$17="Normal",RESULTADOS!$C$18,RESULTADOS!$C$16),0)</f>
        <v>0</v>
      </c>
      <c r="H653" s="4">
        <f ca="1">IF(RESULTADOS!$C$17="Normal",E653,0)</f>
        <v>0</v>
      </c>
      <c r="I653" s="4">
        <f ca="1">(E653+H653+G653)*PREMISSAS!$C$60</f>
        <v>0</v>
      </c>
      <c r="J653" s="4">
        <f ca="1">D653*IF(RESULTADOS!$C$17="Normal",PREMISSAS!$C$62,0)</f>
        <v>0</v>
      </c>
      <c r="K653" s="116">
        <f ca="1">IFERROR(K652*(1+PREMISSAS!$C$18)+(E653+H653-IF(RESULTADOS!$C$17="Normal",I653,0)-J653)*IF(MONTH(B653)=12,2,1),0)</f>
        <v>0</v>
      </c>
      <c r="L653" s="116">
        <f ca="1">IFERROR((L652+G653-IF(RESULTADOS!$C$17="Normal",0,I653))*(1+PREMISSAS!$C$18)+F653,0)</f>
        <v>0</v>
      </c>
      <c r="N653" s="73">
        <f t="shared" ca="1" si="88"/>
        <v>0</v>
      </c>
      <c r="P653" s="164" t="str">
        <f t="shared" ca="1" si="89"/>
        <v/>
      </c>
      <c r="Q653" s="140" t="str">
        <f ca="1">IF(C653="","",Q652+(E653+H653-IF(RESULTADOS!$C$17="Normal",I653,0)-J653)/2+(F653+G653-IF(RESULTADOS!$C$17="Normal",0,I653)))</f>
        <v/>
      </c>
      <c r="R653" s="140" t="str">
        <f ca="1">IF(C653="","",R652+(E653+H653-IF(RESULTADOS!$C$17="Normal",I653,0)-J653)/2)</f>
        <v/>
      </c>
      <c r="S653" s="140">
        <f t="shared" ca="1" si="90"/>
        <v>0</v>
      </c>
      <c r="U653" s="164" t="str">
        <f t="shared" ca="1" si="91"/>
        <v/>
      </c>
      <c r="V653" s="164" t="str">
        <f t="shared" ca="1" si="92"/>
        <v/>
      </c>
      <c r="W653" s="140">
        <f ca="1">IF(OR((W652-13/12*Z652)*(1+PREMISSAS!$C$16)&lt;0,W652=""),0,(W652-13/12*Z652)*(1+PREMISSAS!$C$16))</f>
        <v>0</v>
      </c>
      <c r="X653" s="140">
        <f ca="1">IF(OR((X652-13/12*AA652)*(1+PREMISSAS!$C$16)&lt;0,X652=""),0,(X652-13/12*AA652)*(1+PREMISSAS!$C$16))</f>
        <v>0</v>
      </c>
      <c r="Y653" s="140">
        <f t="shared" ca="1" si="93"/>
        <v>0</v>
      </c>
      <c r="Z653" s="167">
        <f t="shared" ca="1" si="94"/>
        <v>0</v>
      </c>
      <c r="AA653" s="167">
        <f t="shared" ca="1" si="95"/>
        <v>0</v>
      </c>
    </row>
    <row r="654" spans="2:27" x14ac:dyDescent="0.25">
      <c r="B654" s="21" t="str">
        <f ca="1">IF(B653="","",IF(EOMONTH(B653,1)&gt;EOMONTH(ELEGIBILIDADE!$J$17,0),"",EOMONTH(B653,1)))</f>
        <v/>
      </c>
      <c r="C654" s="22" t="str">
        <f ca="1">IF(B654="","",IF(MONTH(B654)=1,C653*(1+PREMISSAS!$C$57),C653))</f>
        <v/>
      </c>
      <c r="D654" s="22">
        <f ca="1">IF(RESULTADOS!$C$17="Normal",IFERROR(MAX(C654-PREMISSAS!$C$13,0),0),IF(Painel!$I$23=0,0,MAX(10*PREMISSAS!$C$38,RESULTADOS!$F$17)))</f>
        <v>0</v>
      </c>
      <c r="E654" s="4">
        <f ca="1">D654*IF(RESULTADOS!$C$17="Normal",RESULTADOS!$C$16,0)</f>
        <v>0</v>
      </c>
      <c r="F654" s="4">
        <f ca="1">IFERROR(IF(RESULTADOS!$C$17="Normal",D654,C654)*RESULTADOS!$C$18,0)</f>
        <v>0</v>
      </c>
      <c r="G654" s="4">
        <f ca="1">IFERROR(IF(RESULTADOS!$C$17="Normal",0,D654)*IF(RESULTADOS!$C$17="Normal",RESULTADOS!$C$18,RESULTADOS!$C$16),0)</f>
        <v>0</v>
      </c>
      <c r="H654" s="4">
        <f ca="1">IF(RESULTADOS!$C$17="Normal",E654,0)</f>
        <v>0</v>
      </c>
      <c r="I654" s="4">
        <f ca="1">(E654+H654+G654)*PREMISSAS!$C$60</f>
        <v>0</v>
      </c>
      <c r="J654" s="4">
        <f ca="1">D654*IF(RESULTADOS!$C$17="Normal",PREMISSAS!$C$62,0)</f>
        <v>0</v>
      </c>
      <c r="K654" s="116">
        <f ca="1">IFERROR(K653*(1+PREMISSAS!$C$18)+(E654+H654-IF(RESULTADOS!$C$17="Normal",I654,0)-J654)*IF(MONTH(B654)=12,2,1),0)</f>
        <v>0</v>
      </c>
      <c r="L654" s="116">
        <f ca="1">IFERROR((L653+G654-IF(RESULTADOS!$C$17="Normal",0,I654))*(1+PREMISSAS!$C$18)+F654,0)</f>
        <v>0</v>
      </c>
      <c r="N654" s="73">
        <f t="shared" ca="1" si="88"/>
        <v>0</v>
      </c>
      <c r="P654" s="164" t="str">
        <f t="shared" ca="1" si="89"/>
        <v/>
      </c>
      <c r="Q654" s="140" t="str">
        <f ca="1">IF(C654="","",Q653+(E654+H654-IF(RESULTADOS!$C$17="Normal",I654,0)-J654)/2+(F654+G654-IF(RESULTADOS!$C$17="Normal",0,I654)))</f>
        <v/>
      </c>
      <c r="R654" s="140" t="str">
        <f ca="1">IF(C654="","",R653+(E654+H654-IF(RESULTADOS!$C$17="Normal",I654,0)-J654)/2)</f>
        <v/>
      </c>
      <c r="S654" s="140">
        <f t="shared" ca="1" si="90"/>
        <v>0</v>
      </c>
      <c r="U654" s="164" t="str">
        <f t="shared" ca="1" si="91"/>
        <v/>
      </c>
      <c r="V654" s="164" t="str">
        <f t="shared" ca="1" si="92"/>
        <v/>
      </c>
      <c r="W654" s="140">
        <f ca="1">IF(OR((W653-13/12*Z653)*(1+PREMISSAS!$C$16)&lt;0,W653=""),0,(W653-13/12*Z653)*(1+PREMISSAS!$C$16))</f>
        <v>0</v>
      </c>
      <c r="X654" s="140">
        <f ca="1">IF(OR((X653-13/12*AA653)*(1+PREMISSAS!$C$16)&lt;0,X653=""),0,(X653-13/12*AA653)*(1+PREMISSAS!$C$16))</f>
        <v>0</v>
      </c>
      <c r="Y654" s="140">
        <f t="shared" ca="1" si="93"/>
        <v>0</v>
      </c>
      <c r="Z654" s="167">
        <f t="shared" ca="1" si="94"/>
        <v>0</v>
      </c>
      <c r="AA654" s="167">
        <f t="shared" ca="1" si="95"/>
        <v>0</v>
      </c>
    </row>
    <row r="655" spans="2:27" x14ac:dyDescent="0.25">
      <c r="B655" s="21" t="str">
        <f ca="1">IF(B654="","",IF(EOMONTH(B654,1)&gt;EOMONTH(ELEGIBILIDADE!$J$17,0),"",EOMONTH(B654,1)))</f>
        <v/>
      </c>
      <c r="C655" s="22" t="str">
        <f ca="1">IF(B655="","",IF(MONTH(B655)=1,C654*(1+PREMISSAS!$C$57),C654))</f>
        <v/>
      </c>
      <c r="D655" s="22">
        <f ca="1">IF(RESULTADOS!$C$17="Normal",IFERROR(MAX(C655-PREMISSAS!$C$13,0),0),IF(Painel!$I$23=0,0,MAX(10*PREMISSAS!$C$38,RESULTADOS!$F$17)))</f>
        <v>0</v>
      </c>
      <c r="E655" s="4">
        <f ca="1">D655*IF(RESULTADOS!$C$17="Normal",RESULTADOS!$C$16,0)</f>
        <v>0</v>
      </c>
      <c r="F655" s="4">
        <f ca="1">IFERROR(IF(RESULTADOS!$C$17="Normal",D655,C655)*RESULTADOS!$C$18,0)</f>
        <v>0</v>
      </c>
      <c r="G655" s="4">
        <f ca="1">IFERROR(IF(RESULTADOS!$C$17="Normal",0,D655)*IF(RESULTADOS!$C$17="Normal",RESULTADOS!$C$18,RESULTADOS!$C$16),0)</f>
        <v>0</v>
      </c>
      <c r="H655" s="4">
        <f ca="1">IF(RESULTADOS!$C$17="Normal",E655,0)</f>
        <v>0</v>
      </c>
      <c r="I655" s="4">
        <f ca="1">(E655+H655+G655)*PREMISSAS!$C$60</f>
        <v>0</v>
      </c>
      <c r="J655" s="4">
        <f ca="1">D655*IF(RESULTADOS!$C$17="Normal",PREMISSAS!$C$62,0)</f>
        <v>0</v>
      </c>
      <c r="K655" s="116">
        <f ca="1">IFERROR(K654*(1+PREMISSAS!$C$18)+(E655+H655-IF(RESULTADOS!$C$17="Normal",I655,0)-J655)*IF(MONTH(B655)=12,2,1),0)</f>
        <v>0</v>
      </c>
      <c r="L655" s="116">
        <f ca="1">IFERROR((L654+G655-IF(RESULTADOS!$C$17="Normal",0,I655))*(1+PREMISSAS!$C$18)+F655,0)</f>
        <v>0</v>
      </c>
      <c r="N655" s="73">
        <f t="shared" ca="1" si="88"/>
        <v>0</v>
      </c>
      <c r="P655" s="164" t="str">
        <f t="shared" ca="1" si="89"/>
        <v/>
      </c>
      <c r="Q655" s="140" t="str">
        <f ca="1">IF(C655="","",Q654+(E655+H655-IF(RESULTADOS!$C$17="Normal",I655,0)-J655)/2+(F655+G655-IF(RESULTADOS!$C$17="Normal",0,I655)))</f>
        <v/>
      </c>
      <c r="R655" s="140" t="str">
        <f ca="1">IF(C655="","",R654+(E655+H655-IF(RESULTADOS!$C$17="Normal",I655,0)-J655)/2)</f>
        <v/>
      </c>
      <c r="S655" s="140">
        <f t="shared" ca="1" si="90"/>
        <v>0</v>
      </c>
      <c r="U655" s="164" t="str">
        <f t="shared" ca="1" si="91"/>
        <v/>
      </c>
      <c r="V655" s="164" t="str">
        <f t="shared" ca="1" si="92"/>
        <v/>
      </c>
      <c r="W655" s="140">
        <f ca="1">IF(OR((W654-13/12*Z654)*(1+PREMISSAS!$C$16)&lt;0,W654=""),0,(W654-13/12*Z654)*(1+PREMISSAS!$C$16))</f>
        <v>0</v>
      </c>
      <c r="X655" s="140">
        <f ca="1">IF(OR((X654-13/12*AA654)*(1+PREMISSAS!$C$16)&lt;0,X654=""),0,(X654-13/12*AA654)*(1+PREMISSAS!$C$16))</f>
        <v>0</v>
      </c>
      <c r="Y655" s="140">
        <f t="shared" ca="1" si="93"/>
        <v>0</v>
      </c>
      <c r="Z655" s="167">
        <f t="shared" ca="1" si="94"/>
        <v>0</v>
      </c>
      <c r="AA655" s="167">
        <f t="shared" ca="1" si="95"/>
        <v>0</v>
      </c>
    </row>
    <row r="656" spans="2:27" x14ac:dyDescent="0.25">
      <c r="B656" s="21" t="str">
        <f ca="1">IF(B655="","",IF(EOMONTH(B655,1)&gt;EOMONTH(ELEGIBILIDADE!$J$17,0),"",EOMONTH(B655,1)))</f>
        <v/>
      </c>
      <c r="C656" s="22" t="str">
        <f ca="1">IF(B656="","",IF(MONTH(B656)=1,C655*(1+PREMISSAS!$C$57),C655))</f>
        <v/>
      </c>
      <c r="D656" s="22">
        <f ca="1">IF(RESULTADOS!$C$17="Normal",IFERROR(MAX(C656-PREMISSAS!$C$13,0),0),IF(Painel!$I$23=0,0,MAX(10*PREMISSAS!$C$38,RESULTADOS!$F$17)))</f>
        <v>0</v>
      </c>
      <c r="E656" s="4">
        <f ca="1">D656*IF(RESULTADOS!$C$17="Normal",RESULTADOS!$C$16,0)</f>
        <v>0</v>
      </c>
      <c r="F656" s="4">
        <f ca="1">IFERROR(IF(RESULTADOS!$C$17="Normal",D656,C656)*RESULTADOS!$C$18,0)</f>
        <v>0</v>
      </c>
      <c r="G656" s="4">
        <f ca="1">IFERROR(IF(RESULTADOS!$C$17="Normal",0,D656)*IF(RESULTADOS!$C$17="Normal",RESULTADOS!$C$18,RESULTADOS!$C$16),0)</f>
        <v>0</v>
      </c>
      <c r="H656" s="4">
        <f ca="1">IF(RESULTADOS!$C$17="Normal",E656,0)</f>
        <v>0</v>
      </c>
      <c r="I656" s="4">
        <f ca="1">(E656+H656+G656)*PREMISSAS!$C$60</f>
        <v>0</v>
      </c>
      <c r="J656" s="4">
        <f ca="1">D656*IF(RESULTADOS!$C$17="Normal",PREMISSAS!$C$62,0)</f>
        <v>0</v>
      </c>
      <c r="K656" s="116">
        <f ca="1">IFERROR(K655*(1+PREMISSAS!$C$18)+(E656+H656-IF(RESULTADOS!$C$17="Normal",I656,0)-J656)*IF(MONTH(B656)=12,2,1),0)</f>
        <v>0</v>
      </c>
      <c r="L656" s="116">
        <f ca="1">IFERROR((L655+G656-IF(RESULTADOS!$C$17="Normal",0,I656))*(1+PREMISSAS!$C$18)+F656,0)</f>
        <v>0</v>
      </c>
      <c r="N656" s="73">
        <f t="shared" ca="1" si="88"/>
        <v>0</v>
      </c>
      <c r="P656" s="164" t="str">
        <f t="shared" ca="1" si="89"/>
        <v/>
      </c>
      <c r="Q656" s="140" t="str">
        <f ca="1">IF(C656="","",Q655+(E656+H656-IF(RESULTADOS!$C$17="Normal",I656,0)-J656)/2+(F656+G656-IF(RESULTADOS!$C$17="Normal",0,I656)))</f>
        <v/>
      </c>
      <c r="R656" s="140" t="str">
        <f ca="1">IF(C656="","",R655+(E656+H656-IF(RESULTADOS!$C$17="Normal",I656,0)-J656)/2)</f>
        <v/>
      </c>
      <c r="S656" s="140">
        <f t="shared" ca="1" si="90"/>
        <v>0</v>
      </c>
      <c r="U656" s="164" t="str">
        <f t="shared" ca="1" si="91"/>
        <v/>
      </c>
      <c r="V656" s="164" t="str">
        <f t="shared" ca="1" si="92"/>
        <v/>
      </c>
      <c r="W656" s="140">
        <f ca="1">IF(OR((W655-13/12*Z655)*(1+PREMISSAS!$C$16)&lt;0,W655=""),0,(W655-13/12*Z655)*(1+PREMISSAS!$C$16))</f>
        <v>0</v>
      </c>
      <c r="X656" s="140">
        <f ca="1">IF(OR((X655-13/12*AA655)*(1+PREMISSAS!$C$16)&lt;0,X655=""),0,(X655-13/12*AA655)*(1+PREMISSAS!$C$16))</f>
        <v>0</v>
      </c>
      <c r="Y656" s="140">
        <f t="shared" ca="1" si="93"/>
        <v>0</v>
      </c>
      <c r="Z656" s="167">
        <f t="shared" ca="1" si="94"/>
        <v>0</v>
      </c>
      <c r="AA656" s="167">
        <f t="shared" ca="1" si="95"/>
        <v>0</v>
      </c>
    </row>
    <row r="657" spans="2:27" x14ac:dyDescent="0.25">
      <c r="B657" s="21" t="str">
        <f ca="1">IF(B656="","",IF(EOMONTH(B656,1)&gt;EOMONTH(ELEGIBILIDADE!$J$17,0),"",EOMONTH(B656,1)))</f>
        <v/>
      </c>
      <c r="C657" s="22" t="str">
        <f ca="1">IF(B657="","",IF(MONTH(B657)=1,C656*(1+PREMISSAS!$C$57),C656))</f>
        <v/>
      </c>
      <c r="D657" s="22">
        <f ca="1">IF(RESULTADOS!$C$17="Normal",IFERROR(MAX(C657-PREMISSAS!$C$13,0),0),IF(Painel!$I$23=0,0,MAX(10*PREMISSAS!$C$38,RESULTADOS!$F$17)))</f>
        <v>0</v>
      </c>
      <c r="E657" s="4">
        <f ca="1">D657*IF(RESULTADOS!$C$17="Normal",RESULTADOS!$C$16,0)</f>
        <v>0</v>
      </c>
      <c r="F657" s="4">
        <f ca="1">IFERROR(IF(RESULTADOS!$C$17="Normal",D657,C657)*RESULTADOS!$C$18,0)</f>
        <v>0</v>
      </c>
      <c r="G657" s="4">
        <f ca="1">IFERROR(IF(RESULTADOS!$C$17="Normal",0,D657)*IF(RESULTADOS!$C$17="Normal",RESULTADOS!$C$18,RESULTADOS!$C$16),0)</f>
        <v>0</v>
      </c>
      <c r="H657" s="4">
        <f ca="1">IF(RESULTADOS!$C$17="Normal",E657,0)</f>
        <v>0</v>
      </c>
      <c r="I657" s="4">
        <f ca="1">(E657+H657+G657)*PREMISSAS!$C$60</f>
        <v>0</v>
      </c>
      <c r="J657" s="4">
        <f ca="1">D657*IF(RESULTADOS!$C$17="Normal",PREMISSAS!$C$62,0)</f>
        <v>0</v>
      </c>
      <c r="K657" s="116">
        <f ca="1">IFERROR(K656*(1+PREMISSAS!$C$18)+(E657+H657-IF(RESULTADOS!$C$17="Normal",I657,0)-J657)*IF(MONTH(B657)=12,2,1),0)</f>
        <v>0</v>
      </c>
      <c r="L657" s="116">
        <f ca="1">IFERROR((L656+G657-IF(RESULTADOS!$C$17="Normal",0,I657))*(1+PREMISSAS!$C$18)+F657,0)</f>
        <v>0</v>
      </c>
      <c r="N657" s="73">
        <f t="shared" ca="1" si="88"/>
        <v>0</v>
      </c>
      <c r="P657" s="164" t="str">
        <f t="shared" ca="1" si="89"/>
        <v/>
      </c>
      <c r="Q657" s="140" t="str">
        <f ca="1">IF(C657="","",Q656+(E657+H657-IF(RESULTADOS!$C$17="Normal",I657,0)-J657)/2+(F657+G657-IF(RESULTADOS!$C$17="Normal",0,I657)))</f>
        <v/>
      </c>
      <c r="R657" s="140" t="str">
        <f ca="1">IF(C657="","",R656+(E657+H657-IF(RESULTADOS!$C$17="Normal",I657,0)-J657)/2)</f>
        <v/>
      </c>
      <c r="S657" s="140">
        <f t="shared" ca="1" si="90"/>
        <v>0</v>
      </c>
      <c r="U657" s="164" t="str">
        <f t="shared" ca="1" si="91"/>
        <v/>
      </c>
      <c r="V657" s="164" t="str">
        <f t="shared" ca="1" si="92"/>
        <v/>
      </c>
      <c r="W657" s="140">
        <f ca="1">IF(OR((W656-13/12*Z656)*(1+PREMISSAS!$C$16)&lt;0,W656=""),0,(W656-13/12*Z656)*(1+PREMISSAS!$C$16))</f>
        <v>0</v>
      </c>
      <c r="X657" s="140">
        <f ca="1">IF(OR((X656-13/12*AA656)*(1+PREMISSAS!$C$16)&lt;0,X656=""),0,(X656-13/12*AA656)*(1+PREMISSAS!$C$16))</f>
        <v>0</v>
      </c>
      <c r="Y657" s="140">
        <f t="shared" ca="1" si="93"/>
        <v>0</v>
      </c>
      <c r="Z657" s="167">
        <f t="shared" ca="1" si="94"/>
        <v>0</v>
      </c>
      <c r="AA657" s="167">
        <f t="shared" ca="1" si="95"/>
        <v>0</v>
      </c>
    </row>
    <row r="658" spans="2:27" x14ac:dyDescent="0.25">
      <c r="B658" s="21" t="str">
        <f ca="1">IF(B657="","",IF(EOMONTH(B657,1)&gt;EOMONTH(ELEGIBILIDADE!$J$17,0),"",EOMONTH(B657,1)))</f>
        <v/>
      </c>
      <c r="C658" s="22" t="str">
        <f ca="1">IF(B658="","",IF(MONTH(B658)=1,C657*(1+PREMISSAS!$C$57),C657))</f>
        <v/>
      </c>
      <c r="D658" s="22">
        <f ca="1">IF(RESULTADOS!$C$17="Normal",IFERROR(MAX(C658-PREMISSAS!$C$13,0),0),IF(Painel!$I$23=0,0,MAX(10*PREMISSAS!$C$38,RESULTADOS!$F$17)))</f>
        <v>0</v>
      </c>
      <c r="E658" s="4">
        <f ca="1">D658*IF(RESULTADOS!$C$17="Normal",RESULTADOS!$C$16,0)</f>
        <v>0</v>
      </c>
      <c r="F658" s="4">
        <f ca="1">IFERROR(IF(RESULTADOS!$C$17="Normal",D658,C658)*RESULTADOS!$C$18,0)</f>
        <v>0</v>
      </c>
      <c r="G658" s="4">
        <f ca="1">IFERROR(IF(RESULTADOS!$C$17="Normal",0,D658)*IF(RESULTADOS!$C$17="Normal",RESULTADOS!$C$18,RESULTADOS!$C$16),0)</f>
        <v>0</v>
      </c>
      <c r="H658" s="4">
        <f ca="1">IF(RESULTADOS!$C$17="Normal",E658,0)</f>
        <v>0</v>
      </c>
      <c r="I658" s="4">
        <f ca="1">(E658+H658+G658)*PREMISSAS!$C$60</f>
        <v>0</v>
      </c>
      <c r="J658" s="4">
        <f ca="1">D658*IF(RESULTADOS!$C$17="Normal",PREMISSAS!$C$62,0)</f>
        <v>0</v>
      </c>
      <c r="K658" s="116">
        <f ca="1">IFERROR(K657*(1+PREMISSAS!$C$18)+(E658+H658-IF(RESULTADOS!$C$17="Normal",I658,0)-J658)*IF(MONTH(B658)=12,2,1),0)</f>
        <v>0</v>
      </c>
      <c r="L658" s="116">
        <f ca="1">IFERROR((L657+G658-IF(RESULTADOS!$C$17="Normal",0,I658))*(1+PREMISSAS!$C$18)+F658,0)</f>
        <v>0</v>
      </c>
      <c r="N658" s="73">
        <f t="shared" ca="1" si="88"/>
        <v>0</v>
      </c>
      <c r="P658" s="164" t="str">
        <f t="shared" ca="1" si="89"/>
        <v/>
      </c>
      <c r="Q658" s="140" t="str">
        <f ca="1">IF(C658="","",Q657+(E658+H658-IF(RESULTADOS!$C$17="Normal",I658,0)-J658)/2+(F658+G658-IF(RESULTADOS!$C$17="Normal",0,I658)))</f>
        <v/>
      </c>
      <c r="R658" s="140" t="str">
        <f ca="1">IF(C658="","",R657+(E658+H658-IF(RESULTADOS!$C$17="Normal",I658,0)-J658)/2)</f>
        <v/>
      </c>
      <c r="S658" s="140">
        <f t="shared" ca="1" si="90"/>
        <v>0</v>
      </c>
      <c r="U658" s="164" t="str">
        <f t="shared" ca="1" si="91"/>
        <v/>
      </c>
      <c r="V658" s="164" t="str">
        <f t="shared" ca="1" si="92"/>
        <v/>
      </c>
      <c r="W658" s="140">
        <f ca="1">IF(OR((W657-13/12*Z657)*(1+PREMISSAS!$C$16)&lt;0,W657=""),0,(W657-13/12*Z657)*(1+PREMISSAS!$C$16))</f>
        <v>0</v>
      </c>
      <c r="X658" s="140">
        <f ca="1">IF(OR((X657-13/12*AA657)*(1+PREMISSAS!$C$16)&lt;0,X657=""),0,(X657-13/12*AA657)*(1+PREMISSAS!$C$16))</f>
        <v>0</v>
      </c>
      <c r="Y658" s="140">
        <f t="shared" ca="1" si="93"/>
        <v>0</v>
      </c>
      <c r="Z658" s="167">
        <f t="shared" ca="1" si="94"/>
        <v>0</v>
      </c>
      <c r="AA658" s="167">
        <f t="shared" ca="1" si="95"/>
        <v>0</v>
      </c>
    </row>
    <row r="659" spans="2:27" x14ac:dyDescent="0.25">
      <c r="B659" s="21" t="str">
        <f ca="1">IF(B658="","",IF(EOMONTH(B658,1)&gt;EOMONTH(ELEGIBILIDADE!$J$17,0),"",EOMONTH(B658,1)))</f>
        <v/>
      </c>
      <c r="C659" s="22" t="str">
        <f ca="1">IF(B659="","",IF(MONTH(B659)=1,C658*(1+PREMISSAS!$C$57),C658))</f>
        <v/>
      </c>
      <c r="D659" s="22">
        <f ca="1">IF(RESULTADOS!$C$17="Normal",IFERROR(MAX(C659-PREMISSAS!$C$13,0),0),IF(Painel!$I$23=0,0,MAX(10*PREMISSAS!$C$38,RESULTADOS!$F$17)))</f>
        <v>0</v>
      </c>
      <c r="E659" s="4">
        <f ca="1">D659*IF(RESULTADOS!$C$17="Normal",RESULTADOS!$C$16,0)</f>
        <v>0</v>
      </c>
      <c r="F659" s="4">
        <f ca="1">IFERROR(IF(RESULTADOS!$C$17="Normal",D659,C659)*RESULTADOS!$C$18,0)</f>
        <v>0</v>
      </c>
      <c r="G659" s="4">
        <f ca="1">IFERROR(IF(RESULTADOS!$C$17="Normal",0,D659)*IF(RESULTADOS!$C$17="Normal",RESULTADOS!$C$18,RESULTADOS!$C$16),0)</f>
        <v>0</v>
      </c>
      <c r="H659" s="4">
        <f ca="1">IF(RESULTADOS!$C$17="Normal",E659,0)</f>
        <v>0</v>
      </c>
      <c r="I659" s="4">
        <f ca="1">(E659+H659+G659)*PREMISSAS!$C$60</f>
        <v>0</v>
      </c>
      <c r="J659" s="4">
        <f ca="1">D659*IF(RESULTADOS!$C$17="Normal",PREMISSAS!$C$62,0)</f>
        <v>0</v>
      </c>
      <c r="K659" s="116">
        <f ca="1">IFERROR(K658*(1+PREMISSAS!$C$18)+(E659+H659-IF(RESULTADOS!$C$17="Normal",I659,0)-J659)*IF(MONTH(B659)=12,2,1),0)</f>
        <v>0</v>
      </c>
      <c r="L659" s="116">
        <f ca="1">IFERROR((L658+G659-IF(RESULTADOS!$C$17="Normal",0,I659))*(1+PREMISSAS!$C$18)+F659,0)</f>
        <v>0</v>
      </c>
      <c r="N659" s="73">
        <f t="shared" ca="1" si="88"/>
        <v>0</v>
      </c>
      <c r="P659" s="164" t="str">
        <f t="shared" ca="1" si="89"/>
        <v/>
      </c>
      <c r="Q659" s="140" t="str">
        <f ca="1">IF(C659="","",Q658+(E659+H659-IF(RESULTADOS!$C$17="Normal",I659,0)-J659)/2+(F659+G659-IF(RESULTADOS!$C$17="Normal",0,I659)))</f>
        <v/>
      </c>
      <c r="R659" s="140" t="str">
        <f ca="1">IF(C659="","",R658+(E659+H659-IF(RESULTADOS!$C$17="Normal",I659,0)-J659)/2)</f>
        <v/>
      </c>
      <c r="S659" s="140">
        <f t="shared" ca="1" si="90"/>
        <v>0</v>
      </c>
      <c r="U659" s="164" t="str">
        <f t="shared" ca="1" si="91"/>
        <v/>
      </c>
      <c r="V659" s="164" t="str">
        <f t="shared" ca="1" si="92"/>
        <v/>
      </c>
      <c r="W659" s="140">
        <f ca="1">IF(OR((W658-13/12*Z658)*(1+PREMISSAS!$C$16)&lt;0,W658=""),0,(W658-13/12*Z658)*(1+PREMISSAS!$C$16))</f>
        <v>0</v>
      </c>
      <c r="X659" s="140">
        <f ca="1">IF(OR((X658-13/12*AA658)*(1+PREMISSAS!$C$16)&lt;0,X658=""),0,(X658-13/12*AA658)*(1+PREMISSAS!$C$16))</f>
        <v>0</v>
      </c>
      <c r="Y659" s="140">
        <f t="shared" ca="1" si="93"/>
        <v>0</v>
      </c>
      <c r="Z659" s="167">
        <f t="shared" ca="1" si="94"/>
        <v>0</v>
      </c>
      <c r="AA659" s="167">
        <f t="shared" ca="1" si="95"/>
        <v>0</v>
      </c>
    </row>
    <row r="660" spans="2:27" x14ac:dyDescent="0.25">
      <c r="B660" s="21" t="str">
        <f ca="1">IF(B659="","",IF(EOMONTH(B659,1)&gt;EOMONTH(ELEGIBILIDADE!$J$17,0),"",EOMONTH(B659,1)))</f>
        <v/>
      </c>
      <c r="C660" s="22" t="str">
        <f ca="1">IF(B660="","",IF(MONTH(B660)=1,C659*(1+PREMISSAS!$C$57),C659))</f>
        <v/>
      </c>
      <c r="D660" s="22">
        <f ca="1">IF(RESULTADOS!$C$17="Normal",IFERROR(MAX(C660-PREMISSAS!$C$13,0),0),IF(Painel!$I$23=0,0,MAX(10*PREMISSAS!$C$38,RESULTADOS!$F$17)))</f>
        <v>0</v>
      </c>
      <c r="E660" s="4">
        <f ca="1">D660*IF(RESULTADOS!$C$17="Normal",RESULTADOS!$C$16,0)</f>
        <v>0</v>
      </c>
      <c r="F660" s="4">
        <f ca="1">IFERROR(IF(RESULTADOS!$C$17="Normal",D660,C660)*RESULTADOS!$C$18,0)</f>
        <v>0</v>
      </c>
      <c r="G660" s="4">
        <f ca="1">IFERROR(IF(RESULTADOS!$C$17="Normal",0,D660)*IF(RESULTADOS!$C$17="Normal",RESULTADOS!$C$18,RESULTADOS!$C$16),0)</f>
        <v>0</v>
      </c>
      <c r="H660" s="4">
        <f ca="1">IF(RESULTADOS!$C$17="Normal",E660,0)</f>
        <v>0</v>
      </c>
      <c r="I660" s="4">
        <f ca="1">(E660+H660+G660)*PREMISSAS!$C$60</f>
        <v>0</v>
      </c>
      <c r="J660" s="4">
        <f ca="1">D660*IF(RESULTADOS!$C$17="Normal",PREMISSAS!$C$62,0)</f>
        <v>0</v>
      </c>
      <c r="K660" s="116">
        <f ca="1">IFERROR(K659*(1+PREMISSAS!$C$18)+(E660+H660-IF(RESULTADOS!$C$17="Normal",I660,0)-J660)*IF(MONTH(B660)=12,2,1),0)</f>
        <v>0</v>
      </c>
      <c r="L660" s="116">
        <f ca="1">IFERROR((L659+G660-IF(RESULTADOS!$C$17="Normal",0,I660))*(1+PREMISSAS!$C$18)+F660,0)</f>
        <v>0</v>
      </c>
      <c r="N660" s="73">
        <f t="shared" ca="1" si="88"/>
        <v>0</v>
      </c>
      <c r="P660" s="164" t="str">
        <f t="shared" ca="1" si="89"/>
        <v/>
      </c>
      <c r="Q660" s="140" t="str">
        <f ca="1">IF(C660="","",Q659+(E660+H660-IF(RESULTADOS!$C$17="Normal",I660,0)-J660)/2+(F660+G660-IF(RESULTADOS!$C$17="Normal",0,I660)))</f>
        <v/>
      </c>
      <c r="R660" s="140" t="str">
        <f ca="1">IF(C660="","",R659+(E660+H660-IF(RESULTADOS!$C$17="Normal",I660,0)-J660)/2)</f>
        <v/>
      </c>
      <c r="S660" s="140">
        <f t="shared" ca="1" si="90"/>
        <v>0</v>
      </c>
      <c r="U660" s="164" t="str">
        <f t="shared" ca="1" si="91"/>
        <v/>
      </c>
      <c r="V660" s="164" t="str">
        <f t="shared" ca="1" si="92"/>
        <v/>
      </c>
      <c r="W660" s="140">
        <f ca="1">IF(OR((W659-13/12*Z659)*(1+PREMISSAS!$C$16)&lt;0,W659=""),0,(W659-13/12*Z659)*(1+PREMISSAS!$C$16))</f>
        <v>0</v>
      </c>
      <c r="X660" s="140">
        <f ca="1">IF(OR((X659-13/12*AA659)*(1+PREMISSAS!$C$16)&lt;0,X659=""),0,(X659-13/12*AA659)*(1+PREMISSAS!$C$16))</f>
        <v>0</v>
      </c>
      <c r="Y660" s="140">
        <f t="shared" ca="1" si="93"/>
        <v>0</v>
      </c>
      <c r="Z660" s="167">
        <f t="shared" ca="1" si="94"/>
        <v>0</v>
      </c>
      <c r="AA660" s="167">
        <f t="shared" ca="1" si="95"/>
        <v>0</v>
      </c>
    </row>
    <row r="661" spans="2:27" x14ac:dyDescent="0.25">
      <c r="B661" s="21" t="str">
        <f ca="1">IF(B660="","",IF(EOMONTH(B660,1)&gt;EOMONTH(ELEGIBILIDADE!$J$17,0),"",EOMONTH(B660,1)))</f>
        <v/>
      </c>
      <c r="C661" s="22" t="str">
        <f ca="1">IF(B661="","",IF(MONTH(B661)=1,C660*(1+PREMISSAS!$C$57),C660))</f>
        <v/>
      </c>
      <c r="D661" s="22">
        <f ca="1">IF(RESULTADOS!$C$17="Normal",IFERROR(MAX(C661-PREMISSAS!$C$13,0),0),IF(Painel!$I$23=0,0,MAX(10*PREMISSAS!$C$38,RESULTADOS!$F$17)))</f>
        <v>0</v>
      </c>
      <c r="E661" s="4">
        <f ca="1">D661*IF(RESULTADOS!$C$17="Normal",RESULTADOS!$C$16,0)</f>
        <v>0</v>
      </c>
      <c r="F661" s="4">
        <f ca="1">IFERROR(IF(RESULTADOS!$C$17="Normal",D661,C661)*RESULTADOS!$C$18,0)</f>
        <v>0</v>
      </c>
      <c r="G661" s="4">
        <f ca="1">IFERROR(IF(RESULTADOS!$C$17="Normal",0,D661)*IF(RESULTADOS!$C$17="Normal",RESULTADOS!$C$18,RESULTADOS!$C$16),0)</f>
        <v>0</v>
      </c>
      <c r="H661" s="4">
        <f ca="1">IF(RESULTADOS!$C$17="Normal",E661,0)</f>
        <v>0</v>
      </c>
      <c r="I661" s="4">
        <f ca="1">(E661+H661+G661)*PREMISSAS!$C$60</f>
        <v>0</v>
      </c>
      <c r="J661" s="4">
        <f ca="1">D661*IF(RESULTADOS!$C$17="Normal",PREMISSAS!$C$62,0)</f>
        <v>0</v>
      </c>
      <c r="K661" s="116">
        <f ca="1">IFERROR(K660*(1+PREMISSAS!$C$18)+(E661+H661-IF(RESULTADOS!$C$17="Normal",I661,0)-J661)*IF(MONTH(B661)=12,2,1),0)</f>
        <v>0</v>
      </c>
      <c r="L661" s="116">
        <f ca="1">IFERROR((L660+G661-IF(RESULTADOS!$C$17="Normal",0,I661))*(1+PREMISSAS!$C$18)+F661,0)</f>
        <v>0</v>
      </c>
      <c r="N661" s="73">
        <f t="shared" ca="1" si="88"/>
        <v>0</v>
      </c>
      <c r="P661" s="164" t="str">
        <f t="shared" ca="1" si="89"/>
        <v/>
      </c>
      <c r="Q661" s="140" t="str">
        <f ca="1">IF(C661="","",Q660+(E661+H661-IF(RESULTADOS!$C$17="Normal",I661,0)-J661)/2+(F661+G661-IF(RESULTADOS!$C$17="Normal",0,I661)))</f>
        <v/>
      </c>
      <c r="R661" s="140" t="str">
        <f ca="1">IF(C661="","",R660+(E661+H661-IF(RESULTADOS!$C$17="Normal",I661,0)-J661)/2)</f>
        <v/>
      </c>
      <c r="S661" s="140">
        <f t="shared" ca="1" si="90"/>
        <v>0</v>
      </c>
      <c r="U661" s="164" t="str">
        <f t="shared" ca="1" si="91"/>
        <v/>
      </c>
      <c r="V661" s="164" t="str">
        <f t="shared" ca="1" si="92"/>
        <v/>
      </c>
      <c r="W661" s="140">
        <f ca="1">IF(OR((W660-13/12*Z660)*(1+PREMISSAS!$C$16)&lt;0,W660=""),0,(W660-13/12*Z660)*(1+PREMISSAS!$C$16))</f>
        <v>0</v>
      </c>
      <c r="X661" s="140">
        <f ca="1">IF(OR((X660-13/12*AA660)*(1+PREMISSAS!$C$16)&lt;0,X660=""),0,(X660-13/12*AA660)*(1+PREMISSAS!$C$16))</f>
        <v>0</v>
      </c>
      <c r="Y661" s="140">
        <f t="shared" ca="1" si="93"/>
        <v>0</v>
      </c>
      <c r="Z661" s="167">
        <f t="shared" ca="1" si="94"/>
        <v>0</v>
      </c>
      <c r="AA661" s="167">
        <f t="shared" ca="1" si="95"/>
        <v>0</v>
      </c>
    </row>
    <row r="662" spans="2:27" x14ac:dyDescent="0.25">
      <c r="B662" s="21" t="str">
        <f ca="1">IF(B661="","",IF(EOMONTH(B661,1)&gt;EOMONTH(ELEGIBILIDADE!$J$17,0),"",EOMONTH(B661,1)))</f>
        <v/>
      </c>
      <c r="C662" s="22" t="str">
        <f ca="1">IF(B662="","",IF(MONTH(B662)=1,C661*(1+PREMISSAS!$C$57),C661))</f>
        <v/>
      </c>
      <c r="D662" s="22">
        <f ca="1">IF(RESULTADOS!$C$17="Normal",IFERROR(MAX(C662-PREMISSAS!$C$13,0),0),IF(Painel!$I$23=0,0,MAX(10*PREMISSAS!$C$38,RESULTADOS!$F$17)))</f>
        <v>0</v>
      </c>
      <c r="E662" s="4">
        <f ca="1">D662*IF(RESULTADOS!$C$17="Normal",RESULTADOS!$C$16,0)</f>
        <v>0</v>
      </c>
      <c r="F662" s="4">
        <f ca="1">IFERROR(IF(RESULTADOS!$C$17="Normal",D662,C662)*RESULTADOS!$C$18,0)</f>
        <v>0</v>
      </c>
      <c r="G662" s="4">
        <f ca="1">IFERROR(IF(RESULTADOS!$C$17="Normal",0,D662)*IF(RESULTADOS!$C$17="Normal",RESULTADOS!$C$18,RESULTADOS!$C$16),0)</f>
        <v>0</v>
      </c>
      <c r="H662" s="4">
        <f ca="1">IF(RESULTADOS!$C$17="Normal",E662,0)</f>
        <v>0</v>
      </c>
      <c r="I662" s="4">
        <f ca="1">(E662+H662+G662)*PREMISSAS!$C$60</f>
        <v>0</v>
      </c>
      <c r="J662" s="4">
        <f ca="1">D662*IF(RESULTADOS!$C$17="Normal",PREMISSAS!$C$62,0)</f>
        <v>0</v>
      </c>
      <c r="K662" s="116">
        <f ca="1">IFERROR(K661*(1+PREMISSAS!$C$18)+(E662+H662-IF(RESULTADOS!$C$17="Normal",I662,0)-J662)*IF(MONTH(B662)=12,2,1),0)</f>
        <v>0</v>
      </c>
      <c r="L662" s="116">
        <f ca="1">IFERROR((L661+G662-IF(RESULTADOS!$C$17="Normal",0,I662))*(1+PREMISSAS!$C$18)+F662,0)</f>
        <v>0</v>
      </c>
      <c r="N662" s="73">
        <f t="shared" ca="1" si="88"/>
        <v>0</v>
      </c>
      <c r="P662" s="164" t="str">
        <f t="shared" ca="1" si="89"/>
        <v/>
      </c>
      <c r="Q662" s="140" t="str">
        <f ca="1">IF(C662="","",Q661+(E662+H662-IF(RESULTADOS!$C$17="Normal",I662,0)-J662)/2+(F662+G662-IF(RESULTADOS!$C$17="Normal",0,I662)))</f>
        <v/>
      </c>
      <c r="R662" s="140" t="str">
        <f ca="1">IF(C662="","",R661+(E662+H662-IF(RESULTADOS!$C$17="Normal",I662,0)-J662)/2)</f>
        <v/>
      </c>
      <c r="S662" s="140">
        <f t="shared" ca="1" si="90"/>
        <v>0</v>
      </c>
      <c r="U662" s="164" t="str">
        <f t="shared" ca="1" si="91"/>
        <v/>
      </c>
      <c r="V662" s="164" t="str">
        <f t="shared" ca="1" si="92"/>
        <v/>
      </c>
      <c r="W662" s="140">
        <f ca="1">IF(OR((W661-13/12*Z661)*(1+PREMISSAS!$C$16)&lt;0,W661=""),0,(W661-13/12*Z661)*(1+PREMISSAS!$C$16))</f>
        <v>0</v>
      </c>
      <c r="X662" s="140">
        <f ca="1">IF(OR((X661-13/12*AA661)*(1+PREMISSAS!$C$16)&lt;0,X661=""),0,(X661-13/12*AA661)*(1+PREMISSAS!$C$16))</f>
        <v>0</v>
      </c>
      <c r="Y662" s="140">
        <f t="shared" ca="1" si="93"/>
        <v>0</v>
      </c>
      <c r="Z662" s="167">
        <f t="shared" ca="1" si="94"/>
        <v>0</v>
      </c>
      <c r="AA662" s="167">
        <f t="shared" ca="1" si="95"/>
        <v>0</v>
      </c>
    </row>
    <row r="663" spans="2:27" x14ac:dyDescent="0.25">
      <c r="B663" s="21" t="str">
        <f ca="1">IF(B662="","",IF(EOMONTH(B662,1)&gt;EOMONTH(ELEGIBILIDADE!$J$17,0),"",EOMONTH(B662,1)))</f>
        <v/>
      </c>
      <c r="C663" s="22" t="str">
        <f ca="1">IF(B663="","",IF(MONTH(B663)=1,C662*(1+PREMISSAS!$C$57),C662))</f>
        <v/>
      </c>
      <c r="D663" s="22">
        <f ca="1">IF(RESULTADOS!$C$17="Normal",IFERROR(MAX(C663-PREMISSAS!$C$13,0),0),IF(Painel!$I$23=0,0,MAX(10*PREMISSAS!$C$38,RESULTADOS!$F$17)))</f>
        <v>0</v>
      </c>
      <c r="E663" s="4">
        <f ca="1">D663*IF(RESULTADOS!$C$17="Normal",RESULTADOS!$C$16,0)</f>
        <v>0</v>
      </c>
      <c r="F663" s="4">
        <f ca="1">IFERROR(IF(RESULTADOS!$C$17="Normal",D663,C663)*RESULTADOS!$C$18,0)</f>
        <v>0</v>
      </c>
      <c r="G663" s="4">
        <f ca="1">IFERROR(IF(RESULTADOS!$C$17="Normal",0,D663)*IF(RESULTADOS!$C$17="Normal",RESULTADOS!$C$18,RESULTADOS!$C$16),0)</f>
        <v>0</v>
      </c>
      <c r="H663" s="4">
        <f ca="1">IF(RESULTADOS!$C$17="Normal",E663,0)</f>
        <v>0</v>
      </c>
      <c r="I663" s="4">
        <f ca="1">(E663+H663+G663)*PREMISSAS!$C$60</f>
        <v>0</v>
      </c>
      <c r="J663" s="4">
        <f ca="1">D663*IF(RESULTADOS!$C$17="Normal",PREMISSAS!$C$62,0)</f>
        <v>0</v>
      </c>
      <c r="K663" s="116">
        <f ca="1">IFERROR(K662*(1+PREMISSAS!$C$18)+(E663+H663-IF(RESULTADOS!$C$17="Normal",I663,0)-J663)*IF(MONTH(B663)=12,2,1),0)</f>
        <v>0</v>
      </c>
      <c r="L663" s="116">
        <f ca="1">IFERROR((L662+G663-IF(RESULTADOS!$C$17="Normal",0,I663))*(1+PREMISSAS!$C$18)+F663,0)</f>
        <v>0</v>
      </c>
      <c r="N663" s="73">
        <f t="shared" ca="1" si="88"/>
        <v>0</v>
      </c>
      <c r="P663" s="164" t="str">
        <f t="shared" ca="1" si="89"/>
        <v/>
      </c>
      <c r="Q663" s="140" t="str">
        <f ca="1">IF(C663="","",Q662+(E663+H663-IF(RESULTADOS!$C$17="Normal",I663,0)-J663)/2+(F663+G663-IF(RESULTADOS!$C$17="Normal",0,I663)))</f>
        <v/>
      </c>
      <c r="R663" s="140" t="str">
        <f ca="1">IF(C663="","",R662+(E663+H663-IF(RESULTADOS!$C$17="Normal",I663,0)-J663)/2)</f>
        <v/>
      </c>
      <c r="S663" s="140">
        <f t="shared" ca="1" si="90"/>
        <v>0</v>
      </c>
      <c r="U663" s="164" t="str">
        <f t="shared" ca="1" si="91"/>
        <v/>
      </c>
      <c r="V663" s="164" t="str">
        <f t="shared" ca="1" si="92"/>
        <v/>
      </c>
      <c r="W663" s="140">
        <f ca="1">IF(OR((W662-13/12*Z662)*(1+PREMISSAS!$C$16)&lt;0,W662=""),0,(W662-13/12*Z662)*(1+PREMISSAS!$C$16))</f>
        <v>0</v>
      </c>
      <c r="X663" s="140">
        <f ca="1">IF(OR((X662-13/12*AA662)*(1+PREMISSAS!$C$16)&lt;0,X662=""),0,(X662-13/12*AA662)*(1+PREMISSAS!$C$16))</f>
        <v>0</v>
      </c>
      <c r="Y663" s="140">
        <f t="shared" ca="1" si="93"/>
        <v>0</v>
      </c>
      <c r="Z663" s="167">
        <f t="shared" ca="1" si="94"/>
        <v>0</v>
      </c>
      <c r="AA663" s="167">
        <f t="shared" ca="1" si="95"/>
        <v>0</v>
      </c>
    </row>
    <row r="664" spans="2:27" x14ac:dyDescent="0.25">
      <c r="B664" s="21" t="str">
        <f ca="1">IF(B663="","",IF(EOMONTH(B663,1)&gt;EOMONTH(ELEGIBILIDADE!$J$17,0),"",EOMONTH(B663,1)))</f>
        <v/>
      </c>
      <c r="C664" s="22" t="str">
        <f ca="1">IF(B664="","",IF(MONTH(B664)=1,C663*(1+PREMISSAS!$C$57),C663))</f>
        <v/>
      </c>
      <c r="D664" s="22">
        <f ca="1">IF(RESULTADOS!$C$17="Normal",IFERROR(MAX(C664-PREMISSAS!$C$13,0),0),IF(Painel!$I$23=0,0,MAX(10*PREMISSAS!$C$38,RESULTADOS!$F$17)))</f>
        <v>0</v>
      </c>
      <c r="E664" s="4">
        <f ca="1">D664*IF(RESULTADOS!$C$17="Normal",RESULTADOS!$C$16,0)</f>
        <v>0</v>
      </c>
      <c r="F664" s="4">
        <f ca="1">IFERROR(IF(RESULTADOS!$C$17="Normal",D664,C664)*RESULTADOS!$C$18,0)</f>
        <v>0</v>
      </c>
      <c r="G664" s="4">
        <f ca="1">IFERROR(IF(RESULTADOS!$C$17="Normal",0,D664)*IF(RESULTADOS!$C$17="Normal",RESULTADOS!$C$18,RESULTADOS!$C$16),0)</f>
        <v>0</v>
      </c>
      <c r="H664" s="4">
        <f ca="1">IF(RESULTADOS!$C$17="Normal",E664,0)</f>
        <v>0</v>
      </c>
      <c r="I664" s="4">
        <f ca="1">(E664+H664+G664)*PREMISSAS!$C$60</f>
        <v>0</v>
      </c>
      <c r="J664" s="4">
        <f ca="1">D664*IF(RESULTADOS!$C$17="Normal",PREMISSAS!$C$62,0)</f>
        <v>0</v>
      </c>
      <c r="K664" s="116">
        <f ca="1">IFERROR(K663*(1+PREMISSAS!$C$18)+(E664+H664-IF(RESULTADOS!$C$17="Normal",I664,0)-J664)*IF(MONTH(B664)=12,2,1),0)</f>
        <v>0</v>
      </c>
      <c r="L664" s="116">
        <f ca="1">IFERROR((L663+G664-IF(RESULTADOS!$C$17="Normal",0,I664))*(1+PREMISSAS!$C$18)+F664,0)</f>
        <v>0</v>
      </c>
      <c r="N664" s="73">
        <f t="shared" ref="N664:N683" ca="1" si="96">IFERROR((E664+F664+G664)/C664,0)</f>
        <v>0</v>
      </c>
      <c r="P664" s="164" t="str">
        <f t="shared" ref="P664:P683" ca="1" si="97">IF(C664="","",B664)</f>
        <v/>
      </c>
      <c r="Q664" s="140" t="str">
        <f ca="1">IF(C664="","",Q663+(E664+H664-IF(RESULTADOS!$C$17="Normal",I664,0)-J664)/2+(F664+G664-IF(RESULTADOS!$C$17="Normal",0,I664)))</f>
        <v/>
      </c>
      <c r="R664" s="140" t="str">
        <f ca="1">IF(C664="","",R663+(E664+H664-IF(RESULTADOS!$C$17="Normal",I664,0)-J664)/2)</f>
        <v/>
      </c>
      <c r="S664" s="140">
        <f t="shared" ref="S664:S683" ca="1" si="98">SUM(K664:L664)-SUM(Q664:R664)</f>
        <v>0</v>
      </c>
      <c r="U664" s="164" t="str">
        <f t="shared" ref="U664:U683" ca="1" si="99">IF(Y664=0,"",EOMONTH(U663,1))</f>
        <v/>
      </c>
      <c r="V664" s="164" t="str">
        <f t="shared" ref="V664:V683" ca="1" si="100">IF(AA664&lt;&gt;"",U664,"")</f>
        <v/>
      </c>
      <c r="W664" s="140">
        <f ca="1">IF(OR((W663-13/12*Z663)*(1+PREMISSAS!$C$16)&lt;0,W663=""),0,(W663-13/12*Z663)*(1+PREMISSAS!$C$16))</f>
        <v>0</v>
      </c>
      <c r="X664" s="140">
        <f ca="1">IF(OR((X663-13/12*AA663)*(1+PREMISSAS!$C$16)&lt;0,X663=""),0,(X663-13/12*AA663)*(1+PREMISSAS!$C$16))</f>
        <v>0</v>
      </c>
      <c r="Y664" s="140">
        <f t="shared" ref="Y664:Y683" ca="1" si="101">SUM(W664:X664)</f>
        <v>0</v>
      </c>
      <c r="Z664" s="167">
        <f t="shared" ref="Z664:Z683" ca="1" si="102">IF(W664&lt;&gt;0,Z663,0)</f>
        <v>0</v>
      </c>
      <c r="AA664" s="167">
        <f t="shared" ca="1" si="95"/>
        <v>0</v>
      </c>
    </row>
    <row r="665" spans="2:27" x14ac:dyDescent="0.25">
      <c r="B665" s="21" t="str">
        <f ca="1">IF(B664="","",IF(EOMONTH(B664,1)&gt;EOMONTH(ELEGIBILIDADE!$J$17,0),"",EOMONTH(B664,1)))</f>
        <v/>
      </c>
      <c r="C665" s="22" t="str">
        <f ca="1">IF(B665="","",IF(MONTH(B665)=1,C664*(1+PREMISSAS!$C$57),C664))</f>
        <v/>
      </c>
      <c r="D665" s="22">
        <f ca="1">IF(RESULTADOS!$C$17="Normal",IFERROR(MAX(C665-PREMISSAS!$C$13,0),0),IF(Painel!$I$23=0,0,MAX(10*PREMISSAS!$C$38,RESULTADOS!$F$17)))</f>
        <v>0</v>
      </c>
      <c r="E665" s="4">
        <f ca="1">D665*IF(RESULTADOS!$C$17="Normal",RESULTADOS!$C$16,0)</f>
        <v>0</v>
      </c>
      <c r="F665" s="4">
        <f ca="1">IFERROR(IF(RESULTADOS!$C$17="Normal",D665,C665)*RESULTADOS!$C$18,0)</f>
        <v>0</v>
      </c>
      <c r="G665" s="4">
        <f ca="1">IFERROR(IF(RESULTADOS!$C$17="Normal",0,D665)*IF(RESULTADOS!$C$17="Normal",RESULTADOS!$C$18,RESULTADOS!$C$16),0)</f>
        <v>0</v>
      </c>
      <c r="H665" s="4">
        <f ca="1">IF(RESULTADOS!$C$17="Normal",E665,0)</f>
        <v>0</v>
      </c>
      <c r="I665" s="4">
        <f ca="1">(E665+H665+G665)*PREMISSAS!$C$60</f>
        <v>0</v>
      </c>
      <c r="J665" s="4">
        <f ca="1">D665*IF(RESULTADOS!$C$17="Normal",PREMISSAS!$C$62,0)</f>
        <v>0</v>
      </c>
      <c r="K665" s="116">
        <f ca="1">IFERROR(K664*(1+PREMISSAS!$C$18)+(E665+H665-IF(RESULTADOS!$C$17="Normal",I665,0)-J665)*IF(MONTH(B665)=12,2,1),0)</f>
        <v>0</v>
      </c>
      <c r="L665" s="116">
        <f ca="1">IFERROR((L664+G665-IF(RESULTADOS!$C$17="Normal",0,I665))*(1+PREMISSAS!$C$18)+F665,0)</f>
        <v>0</v>
      </c>
      <c r="N665" s="73">
        <f t="shared" ca="1" si="96"/>
        <v>0</v>
      </c>
      <c r="P665" s="164" t="str">
        <f t="shared" ca="1" si="97"/>
        <v/>
      </c>
      <c r="Q665" s="140" t="str">
        <f ca="1">IF(C665="","",Q664+(E665+H665-IF(RESULTADOS!$C$17="Normal",I665,0)-J665)/2+(F665+G665-IF(RESULTADOS!$C$17="Normal",0,I665)))</f>
        <v/>
      </c>
      <c r="R665" s="140" t="str">
        <f ca="1">IF(C665="","",R664+(E665+H665-IF(RESULTADOS!$C$17="Normal",I665,0)-J665)/2)</f>
        <v/>
      </c>
      <c r="S665" s="140">
        <f t="shared" ca="1" si="98"/>
        <v>0</v>
      </c>
      <c r="U665" s="164" t="str">
        <f t="shared" ca="1" si="99"/>
        <v/>
      </c>
      <c r="V665" s="164" t="str">
        <f t="shared" ca="1" si="100"/>
        <v/>
      </c>
      <c r="W665" s="140">
        <f ca="1">IF(OR((W664-13/12*Z664)*(1+PREMISSAS!$C$16)&lt;0,W664=""),0,(W664-13/12*Z664)*(1+PREMISSAS!$C$16))</f>
        <v>0</v>
      </c>
      <c r="X665" s="140">
        <f ca="1">IF(OR((X664-13/12*AA664)*(1+PREMISSAS!$C$16)&lt;0,X664=""),0,(X664-13/12*AA664)*(1+PREMISSAS!$C$16))</f>
        <v>0</v>
      </c>
      <c r="Y665" s="140">
        <f t="shared" ca="1" si="101"/>
        <v>0</v>
      </c>
      <c r="Z665" s="167">
        <f t="shared" ca="1" si="102"/>
        <v>0</v>
      </c>
      <c r="AA665" s="167">
        <f t="shared" ca="1" si="95"/>
        <v>0</v>
      </c>
    </row>
    <row r="666" spans="2:27" x14ac:dyDescent="0.25">
      <c r="B666" s="21" t="str">
        <f ca="1">IF(B665="","",IF(EOMONTH(B665,1)&gt;EOMONTH(ELEGIBILIDADE!$J$17,0),"",EOMONTH(B665,1)))</f>
        <v/>
      </c>
      <c r="C666" s="22" t="str">
        <f ca="1">IF(B666="","",IF(MONTH(B666)=1,C665*(1+PREMISSAS!$C$57),C665))</f>
        <v/>
      </c>
      <c r="D666" s="22">
        <f ca="1">IF(RESULTADOS!$C$17="Normal",IFERROR(MAX(C666-PREMISSAS!$C$13,0),0),IF(Painel!$I$23=0,0,MAX(10*PREMISSAS!$C$38,RESULTADOS!$F$17)))</f>
        <v>0</v>
      </c>
      <c r="E666" s="4">
        <f ca="1">D666*IF(RESULTADOS!$C$17="Normal",RESULTADOS!$C$16,0)</f>
        <v>0</v>
      </c>
      <c r="F666" s="4">
        <f ca="1">IFERROR(IF(RESULTADOS!$C$17="Normal",D666,C666)*RESULTADOS!$C$18,0)</f>
        <v>0</v>
      </c>
      <c r="G666" s="4">
        <f ca="1">IFERROR(IF(RESULTADOS!$C$17="Normal",0,D666)*IF(RESULTADOS!$C$17="Normal",RESULTADOS!$C$18,RESULTADOS!$C$16),0)</f>
        <v>0</v>
      </c>
      <c r="H666" s="4">
        <f ca="1">IF(RESULTADOS!$C$17="Normal",E666,0)</f>
        <v>0</v>
      </c>
      <c r="I666" s="4">
        <f ca="1">(E666+H666+G666)*PREMISSAS!$C$60</f>
        <v>0</v>
      </c>
      <c r="J666" s="4">
        <f ca="1">D666*IF(RESULTADOS!$C$17="Normal",PREMISSAS!$C$62,0)</f>
        <v>0</v>
      </c>
      <c r="K666" s="116">
        <f ca="1">IFERROR(K665*(1+PREMISSAS!$C$18)+(E666+H666-IF(RESULTADOS!$C$17="Normal",I666,0)-J666)*IF(MONTH(B666)=12,2,1),0)</f>
        <v>0</v>
      </c>
      <c r="L666" s="116">
        <f ca="1">IFERROR((L665+G666-IF(RESULTADOS!$C$17="Normal",0,I666))*(1+PREMISSAS!$C$18)+F666,0)</f>
        <v>0</v>
      </c>
      <c r="N666" s="73">
        <f t="shared" ca="1" si="96"/>
        <v>0</v>
      </c>
      <c r="P666" s="164" t="str">
        <f t="shared" ca="1" si="97"/>
        <v/>
      </c>
      <c r="Q666" s="140" t="str">
        <f ca="1">IF(C666="","",Q665+(E666+H666-IF(RESULTADOS!$C$17="Normal",I666,0)-J666)/2+(F666+G666-IF(RESULTADOS!$C$17="Normal",0,I666)))</f>
        <v/>
      </c>
      <c r="R666" s="140" t="str">
        <f ca="1">IF(C666="","",R665+(E666+H666-IF(RESULTADOS!$C$17="Normal",I666,0)-J666)/2)</f>
        <v/>
      </c>
      <c r="S666" s="140">
        <f t="shared" ca="1" si="98"/>
        <v>0</v>
      </c>
      <c r="U666" s="164" t="str">
        <f t="shared" ca="1" si="99"/>
        <v/>
      </c>
      <c r="V666" s="164" t="str">
        <f t="shared" ca="1" si="100"/>
        <v/>
      </c>
      <c r="W666" s="140">
        <f ca="1">IF(OR((W665-13/12*Z665)*(1+PREMISSAS!$C$16)&lt;0,W665=""),0,(W665-13/12*Z665)*(1+PREMISSAS!$C$16))</f>
        <v>0</v>
      </c>
      <c r="X666" s="140">
        <f ca="1">IF(OR((X665-13/12*AA665)*(1+PREMISSAS!$C$16)&lt;0,X665=""),0,(X665-13/12*AA665)*(1+PREMISSAS!$C$16))</f>
        <v>0</v>
      </c>
      <c r="Y666" s="140">
        <f t="shared" ca="1" si="101"/>
        <v>0</v>
      </c>
      <c r="Z666" s="167">
        <f t="shared" ca="1" si="102"/>
        <v>0</v>
      </c>
      <c r="AA666" s="167">
        <f t="shared" ca="1" si="95"/>
        <v>0</v>
      </c>
    </row>
    <row r="667" spans="2:27" x14ac:dyDescent="0.25">
      <c r="B667" s="21" t="str">
        <f ca="1">IF(B666="","",IF(EOMONTH(B666,1)&gt;EOMONTH(ELEGIBILIDADE!$J$17,0),"",EOMONTH(B666,1)))</f>
        <v/>
      </c>
      <c r="C667" s="22" t="str">
        <f ca="1">IF(B667="","",IF(MONTH(B667)=1,C666*(1+PREMISSAS!$C$57),C666))</f>
        <v/>
      </c>
      <c r="D667" s="22">
        <f ca="1">IF(RESULTADOS!$C$17="Normal",IFERROR(MAX(C667-PREMISSAS!$C$13,0),0),IF(Painel!$I$23=0,0,MAX(10*PREMISSAS!$C$38,RESULTADOS!$F$17)))</f>
        <v>0</v>
      </c>
      <c r="E667" s="4">
        <f ca="1">D667*IF(RESULTADOS!$C$17="Normal",RESULTADOS!$C$16,0)</f>
        <v>0</v>
      </c>
      <c r="F667" s="4">
        <f ca="1">IFERROR(IF(RESULTADOS!$C$17="Normal",D667,C667)*RESULTADOS!$C$18,0)</f>
        <v>0</v>
      </c>
      <c r="G667" s="4">
        <f ca="1">IFERROR(IF(RESULTADOS!$C$17="Normal",0,D667)*IF(RESULTADOS!$C$17="Normal",RESULTADOS!$C$18,RESULTADOS!$C$16),0)</f>
        <v>0</v>
      </c>
      <c r="H667" s="4">
        <f ca="1">IF(RESULTADOS!$C$17="Normal",E667,0)</f>
        <v>0</v>
      </c>
      <c r="I667" s="4">
        <f ca="1">(E667+H667+G667)*PREMISSAS!$C$60</f>
        <v>0</v>
      </c>
      <c r="J667" s="4">
        <f ca="1">D667*IF(RESULTADOS!$C$17="Normal",PREMISSAS!$C$62,0)</f>
        <v>0</v>
      </c>
      <c r="K667" s="116">
        <f ca="1">IFERROR(K666*(1+PREMISSAS!$C$18)+(E667+H667-IF(RESULTADOS!$C$17="Normal",I667,0)-J667)*IF(MONTH(B667)=12,2,1),0)</f>
        <v>0</v>
      </c>
      <c r="L667" s="116">
        <f ca="1">IFERROR((L666+G667-IF(RESULTADOS!$C$17="Normal",0,I667))*(1+PREMISSAS!$C$18)+F667,0)</f>
        <v>0</v>
      </c>
      <c r="N667" s="73">
        <f t="shared" ca="1" si="96"/>
        <v>0</v>
      </c>
      <c r="P667" s="164" t="str">
        <f t="shared" ca="1" si="97"/>
        <v/>
      </c>
      <c r="Q667" s="140" t="str">
        <f ca="1">IF(C667="","",Q666+(E667+H667-IF(RESULTADOS!$C$17="Normal",I667,0)-J667)/2+(F667+G667-IF(RESULTADOS!$C$17="Normal",0,I667)))</f>
        <v/>
      </c>
      <c r="R667" s="140" t="str">
        <f ca="1">IF(C667="","",R666+(E667+H667-IF(RESULTADOS!$C$17="Normal",I667,0)-J667)/2)</f>
        <v/>
      </c>
      <c r="S667" s="140">
        <f t="shared" ca="1" si="98"/>
        <v>0</v>
      </c>
      <c r="U667" s="164" t="str">
        <f t="shared" ca="1" si="99"/>
        <v/>
      </c>
      <c r="V667" s="164" t="str">
        <f t="shared" ca="1" si="100"/>
        <v/>
      </c>
      <c r="W667" s="140">
        <f ca="1">IF(OR((W666-13/12*Z666)*(1+PREMISSAS!$C$16)&lt;0,W666=""),0,(W666-13/12*Z666)*(1+PREMISSAS!$C$16))</f>
        <v>0</v>
      </c>
      <c r="X667" s="140">
        <f ca="1">IF(OR((X666-13/12*AA666)*(1+PREMISSAS!$C$16)&lt;0,X666=""),0,(X666-13/12*AA666)*(1+PREMISSAS!$C$16))</f>
        <v>0</v>
      </c>
      <c r="Y667" s="140">
        <f t="shared" ca="1" si="101"/>
        <v>0</v>
      </c>
      <c r="Z667" s="167">
        <f t="shared" ca="1" si="102"/>
        <v>0</v>
      </c>
      <c r="AA667" s="167">
        <f t="shared" ca="1" si="95"/>
        <v>0</v>
      </c>
    </row>
    <row r="668" spans="2:27" x14ac:dyDescent="0.25">
      <c r="B668" s="21" t="str">
        <f ca="1">IF(B667="","",IF(EOMONTH(B667,1)&gt;EOMONTH(ELEGIBILIDADE!$J$17,0),"",EOMONTH(B667,1)))</f>
        <v/>
      </c>
      <c r="C668" s="22" t="str">
        <f ca="1">IF(B668="","",IF(MONTH(B668)=1,C667*(1+PREMISSAS!$C$57),C667))</f>
        <v/>
      </c>
      <c r="D668" s="22">
        <f ca="1">IF(RESULTADOS!$C$17="Normal",IFERROR(MAX(C668-PREMISSAS!$C$13,0),0),IF(Painel!$I$23=0,0,MAX(10*PREMISSAS!$C$38,RESULTADOS!$F$17)))</f>
        <v>0</v>
      </c>
      <c r="E668" s="4">
        <f ca="1">D668*IF(RESULTADOS!$C$17="Normal",RESULTADOS!$C$16,0)</f>
        <v>0</v>
      </c>
      <c r="F668" s="4">
        <f ca="1">IFERROR(IF(RESULTADOS!$C$17="Normal",D668,C668)*RESULTADOS!$C$18,0)</f>
        <v>0</v>
      </c>
      <c r="G668" s="4">
        <f ca="1">IFERROR(IF(RESULTADOS!$C$17="Normal",0,D668)*IF(RESULTADOS!$C$17="Normal",RESULTADOS!$C$18,RESULTADOS!$C$16),0)</f>
        <v>0</v>
      </c>
      <c r="H668" s="4">
        <f ca="1">IF(RESULTADOS!$C$17="Normal",E668,0)</f>
        <v>0</v>
      </c>
      <c r="I668" s="4">
        <f ca="1">(E668+H668+G668)*PREMISSAS!$C$60</f>
        <v>0</v>
      </c>
      <c r="J668" s="4">
        <f ca="1">D668*IF(RESULTADOS!$C$17="Normal",PREMISSAS!$C$62,0)</f>
        <v>0</v>
      </c>
      <c r="K668" s="116">
        <f ca="1">IFERROR(K667*(1+PREMISSAS!$C$18)+(E668+H668-IF(RESULTADOS!$C$17="Normal",I668,0)-J668)*IF(MONTH(B668)=12,2,1),0)</f>
        <v>0</v>
      </c>
      <c r="L668" s="116">
        <f ca="1">IFERROR((L667+G668-IF(RESULTADOS!$C$17="Normal",0,I668))*(1+PREMISSAS!$C$18)+F668,0)</f>
        <v>0</v>
      </c>
      <c r="N668" s="73">
        <f t="shared" ca="1" si="96"/>
        <v>0</v>
      </c>
      <c r="P668" s="164" t="str">
        <f t="shared" ca="1" si="97"/>
        <v/>
      </c>
      <c r="Q668" s="140" t="str">
        <f ca="1">IF(C668="","",Q667+(E668+H668-IF(RESULTADOS!$C$17="Normal",I668,0)-J668)/2+(F668+G668-IF(RESULTADOS!$C$17="Normal",0,I668)))</f>
        <v/>
      </c>
      <c r="R668" s="140" t="str">
        <f ca="1">IF(C668="","",R667+(E668+H668-IF(RESULTADOS!$C$17="Normal",I668,0)-J668)/2)</f>
        <v/>
      </c>
      <c r="S668" s="140">
        <f t="shared" ca="1" si="98"/>
        <v>0</v>
      </c>
      <c r="U668" s="164" t="str">
        <f t="shared" ca="1" si="99"/>
        <v/>
      </c>
      <c r="V668" s="164" t="str">
        <f t="shared" ca="1" si="100"/>
        <v/>
      </c>
      <c r="W668" s="140">
        <f ca="1">IF(OR((W667-13/12*Z667)*(1+PREMISSAS!$C$16)&lt;0,W667=""),0,(W667-13/12*Z667)*(1+PREMISSAS!$C$16))</f>
        <v>0</v>
      </c>
      <c r="X668" s="140">
        <f ca="1">IF(OR((X667-13/12*AA667)*(1+PREMISSAS!$C$16)&lt;0,X667=""),0,(X667-13/12*AA667)*(1+PREMISSAS!$C$16))</f>
        <v>0</v>
      </c>
      <c r="Y668" s="140">
        <f t="shared" ca="1" si="101"/>
        <v>0</v>
      </c>
      <c r="Z668" s="167">
        <f t="shared" ca="1" si="102"/>
        <v>0</v>
      </c>
      <c r="AA668" s="167">
        <f t="shared" ca="1" si="95"/>
        <v>0</v>
      </c>
    </row>
    <row r="669" spans="2:27" x14ac:dyDescent="0.25">
      <c r="B669" s="21" t="str">
        <f ca="1">IF(B668="","",IF(EOMONTH(B668,1)&gt;EOMONTH(ELEGIBILIDADE!$J$17,0),"",EOMONTH(B668,1)))</f>
        <v/>
      </c>
      <c r="C669" s="22" t="str">
        <f ca="1">IF(B669="","",IF(MONTH(B669)=1,C668*(1+PREMISSAS!$C$57),C668))</f>
        <v/>
      </c>
      <c r="D669" s="22">
        <f ca="1">IF(RESULTADOS!$C$17="Normal",IFERROR(MAX(C669-PREMISSAS!$C$13,0),0),IF(Painel!$I$23=0,0,MAX(10*PREMISSAS!$C$38,RESULTADOS!$F$17)))</f>
        <v>0</v>
      </c>
      <c r="E669" s="4">
        <f ca="1">D669*IF(RESULTADOS!$C$17="Normal",RESULTADOS!$C$16,0)</f>
        <v>0</v>
      </c>
      <c r="F669" s="4">
        <f ca="1">IFERROR(IF(RESULTADOS!$C$17="Normal",D669,C669)*RESULTADOS!$C$18,0)</f>
        <v>0</v>
      </c>
      <c r="G669" s="4">
        <f ca="1">IFERROR(IF(RESULTADOS!$C$17="Normal",0,D669)*IF(RESULTADOS!$C$17="Normal",RESULTADOS!$C$18,RESULTADOS!$C$16),0)</f>
        <v>0</v>
      </c>
      <c r="H669" s="4">
        <f ca="1">IF(RESULTADOS!$C$17="Normal",E669,0)</f>
        <v>0</v>
      </c>
      <c r="I669" s="4">
        <f ca="1">(E669+H669+G669)*PREMISSAS!$C$60</f>
        <v>0</v>
      </c>
      <c r="J669" s="4">
        <f ca="1">D669*IF(RESULTADOS!$C$17="Normal",PREMISSAS!$C$62,0)</f>
        <v>0</v>
      </c>
      <c r="K669" s="116">
        <f ca="1">IFERROR(K668*(1+PREMISSAS!$C$18)+(E669+H669-IF(RESULTADOS!$C$17="Normal",I669,0)-J669)*IF(MONTH(B669)=12,2,1),0)</f>
        <v>0</v>
      </c>
      <c r="L669" s="116">
        <f ca="1">IFERROR((L668+G669-IF(RESULTADOS!$C$17="Normal",0,I669))*(1+PREMISSAS!$C$18)+F669,0)</f>
        <v>0</v>
      </c>
      <c r="N669" s="73">
        <f t="shared" ca="1" si="96"/>
        <v>0</v>
      </c>
      <c r="P669" s="164" t="str">
        <f t="shared" ca="1" si="97"/>
        <v/>
      </c>
      <c r="Q669" s="140" t="str">
        <f ca="1">IF(C669="","",Q668+(E669+H669-IF(RESULTADOS!$C$17="Normal",I669,0)-J669)/2+(F669+G669-IF(RESULTADOS!$C$17="Normal",0,I669)))</f>
        <v/>
      </c>
      <c r="R669" s="140" t="str">
        <f ca="1">IF(C669="","",R668+(E669+H669-IF(RESULTADOS!$C$17="Normal",I669,0)-J669)/2)</f>
        <v/>
      </c>
      <c r="S669" s="140">
        <f t="shared" ca="1" si="98"/>
        <v>0</v>
      </c>
      <c r="U669" s="164" t="str">
        <f t="shared" ca="1" si="99"/>
        <v/>
      </c>
      <c r="V669" s="164" t="str">
        <f t="shared" ca="1" si="100"/>
        <v/>
      </c>
      <c r="W669" s="140">
        <f ca="1">IF(OR((W668-13/12*Z668)*(1+PREMISSAS!$C$16)&lt;0,W668=""),0,(W668-13/12*Z668)*(1+PREMISSAS!$C$16))</f>
        <v>0</v>
      </c>
      <c r="X669" s="140">
        <f ca="1">IF(OR((X668-13/12*AA668)*(1+PREMISSAS!$C$16)&lt;0,X668=""),0,(X668-13/12*AA668)*(1+PREMISSAS!$C$16))</f>
        <v>0</v>
      </c>
      <c r="Y669" s="140">
        <f t="shared" ca="1" si="101"/>
        <v>0</v>
      </c>
      <c r="Z669" s="167">
        <f t="shared" ca="1" si="102"/>
        <v>0</v>
      </c>
      <c r="AA669" s="167">
        <f t="shared" ca="1" si="95"/>
        <v>0</v>
      </c>
    </row>
    <row r="670" spans="2:27" x14ac:dyDescent="0.25">
      <c r="B670" s="21" t="str">
        <f ca="1">IF(B669="","",IF(EOMONTH(B669,1)&gt;EOMONTH(ELEGIBILIDADE!$J$17,0),"",EOMONTH(B669,1)))</f>
        <v/>
      </c>
      <c r="C670" s="22" t="str">
        <f ca="1">IF(B670="","",IF(MONTH(B670)=1,C669*(1+PREMISSAS!$C$57),C669))</f>
        <v/>
      </c>
      <c r="D670" s="22">
        <f ca="1">IF(RESULTADOS!$C$17="Normal",IFERROR(MAX(C670-PREMISSAS!$C$13,0),0),IF(Painel!$I$23=0,0,MAX(10*PREMISSAS!$C$38,RESULTADOS!$F$17)))</f>
        <v>0</v>
      </c>
      <c r="E670" s="4">
        <f ca="1">D670*IF(RESULTADOS!$C$17="Normal",RESULTADOS!$C$16,0)</f>
        <v>0</v>
      </c>
      <c r="F670" s="4">
        <f ca="1">IFERROR(IF(RESULTADOS!$C$17="Normal",D670,C670)*RESULTADOS!$C$18,0)</f>
        <v>0</v>
      </c>
      <c r="G670" s="4">
        <f ca="1">IFERROR(IF(RESULTADOS!$C$17="Normal",0,D670)*IF(RESULTADOS!$C$17="Normal",RESULTADOS!$C$18,RESULTADOS!$C$16),0)</f>
        <v>0</v>
      </c>
      <c r="H670" s="4">
        <f ca="1">IF(RESULTADOS!$C$17="Normal",E670,0)</f>
        <v>0</v>
      </c>
      <c r="I670" s="4">
        <f ca="1">(E670+H670+G670)*PREMISSAS!$C$60</f>
        <v>0</v>
      </c>
      <c r="J670" s="4">
        <f ca="1">D670*IF(RESULTADOS!$C$17="Normal",PREMISSAS!$C$62,0)</f>
        <v>0</v>
      </c>
      <c r="K670" s="116">
        <f ca="1">IFERROR(K669*(1+PREMISSAS!$C$18)+(E670+H670-IF(RESULTADOS!$C$17="Normal",I670,0)-J670)*IF(MONTH(B670)=12,2,1),0)</f>
        <v>0</v>
      </c>
      <c r="L670" s="116">
        <f ca="1">IFERROR((L669+G670-IF(RESULTADOS!$C$17="Normal",0,I670))*(1+PREMISSAS!$C$18)+F670,0)</f>
        <v>0</v>
      </c>
      <c r="N670" s="73">
        <f t="shared" ca="1" si="96"/>
        <v>0</v>
      </c>
      <c r="P670" s="164" t="str">
        <f t="shared" ca="1" si="97"/>
        <v/>
      </c>
      <c r="Q670" s="140" t="str">
        <f ca="1">IF(C670="","",Q669+(E670+H670-IF(RESULTADOS!$C$17="Normal",I670,0)-J670)/2+(F670+G670-IF(RESULTADOS!$C$17="Normal",0,I670)))</f>
        <v/>
      </c>
      <c r="R670" s="140" t="str">
        <f ca="1">IF(C670="","",R669+(E670+H670-IF(RESULTADOS!$C$17="Normal",I670,0)-J670)/2)</f>
        <v/>
      </c>
      <c r="S670" s="140">
        <f t="shared" ca="1" si="98"/>
        <v>0</v>
      </c>
      <c r="U670" s="164" t="str">
        <f t="shared" ca="1" si="99"/>
        <v/>
      </c>
      <c r="V670" s="164" t="str">
        <f t="shared" ca="1" si="100"/>
        <v/>
      </c>
      <c r="W670" s="140">
        <f ca="1">IF(OR((W669-13/12*Z669)*(1+PREMISSAS!$C$16)&lt;0,W669=""),0,(W669-13/12*Z669)*(1+PREMISSAS!$C$16))</f>
        <v>0</v>
      </c>
      <c r="X670" s="140">
        <f ca="1">IF(OR((X669-13/12*AA669)*(1+PREMISSAS!$C$16)&lt;0,X669=""),0,(X669-13/12*AA669)*(1+PREMISSAS!$C$16))</f>
        <v>0</v>
      </c>
      <c r="Y670" s="140">
        <f t="shared" ca="1" si="101"/>
        <v>0</v>
      </c>
      <c r="Z670" s="167">
        <f t="shared" ca="1" si="102"/>
        <v>0</v>
      </c>
      <c r="AA670" s="167">
        <f t="shared" ca="1" si="95"/>
        <v>0</v>
      </c>
    </row>
    <row r="671" spans="2:27" x14ac:dyDescent="0.25">
      <c r="B671" s="21" t="str">
        <f ca="1">IF(B670="","",IF(EOMONTH(B670,1)&gt;EOMONTH(ELEGIBILIDADE!$J$17,0),"",EOMONTH(B670,1)))</f>
        <v/>
      </c>
      <c r="C671" s="22" t="str">
        <f ca="1">IF(B671="","",IF(MONTH(B671)=1,C670*(1+PREMISSAS!$C$57),C670))</f>
        <v/>
      </c>
      <c r="D671" s="22">
        <f ca="1">IF(RESULTADOS!$C$17="Normal",IFERROR(MAX(C671-PREMISSAS!$C$13,0),0),IF(Painel!$I$23=0,0,MAX(10*PREMISSAS!$C$38,RESULTADOS!$F$17)))</f>
        <v>0</v>
      </c>
      <c r="E671" s="4">
        <f ca="1">D671*IF(RESULTADOS!$C$17="Normal",RESULTADOS!$C$16,0)</f>
        <v>0</v>
      </c>
      <c r="F671" s="4">
        <f ca="1">IFERROR(IF(RESULTADOS!$C$17="Normal",D671,C671)*RESULTADOS!$C$18,0)</f>
        <v>0</v>
      </c>
      <c r="G671" s="4">
        <f ca="1">IFERROR(IF(RESULTADOS!$C$17="Normal",0,D671)*IF(RESULTADOS!$C$17="Normal",RESULTADOS!$C$18,RESULTADOS!$C$16),0)</f>
        <v>0</v>
      </c>
      <c r="H671" s="4">
        <f ca="1">IF(RESULTADOS!$C$17="Normal",E671,0)</f>
        <v>0</v>
      </c>
      <c r="I671" s="4">
        <f ca="1">(E671+H671+G671)*PREMISSAS!$C$60</f>
        <v>0</v>
      </c>
      <c r="J671" s="4">
        <f ca="1">D671*IF(RESULTADOS!$C$17="Normal",PREMISSAS!$C$62,0)</f>
        <v>0</v>
      </c>
      <c r="K671" s="116">
        <f ca="1">IFERROR(K670*(1+PREMISSAS!$C$18)+(E671+H671-IF(RESULTADOS!$C$17="Normal",I671,0)-J671)*IF(MONTH(B671)=12,2,1),0)</f>
        <v>0</v>
      </c>
      <c r="L671" s="116">
        <f ca="1">IFERROR((L670+G671-IF(RESULTADOS!$C$17="Normal",0,I671))*(1+PREMISSAS!$C$18)+F671,0)</f>
        <v>0</v>
      </c>
      <c r="N671" s="73">
        <f t="shared" ca="1" si="96"/>
        <v>0</v>
      </c>
      <c r="P671" s="164" t="str">
        <f t="shared" ca="1" si="97"/>
        <v/>
      </c>
      <c r="Q671" s="140" t="str">
        <f ca="1">IF(C671="","",Q670+(E671+H671-IF(RESULTADOS!$C$17="Normal",I671,0)-J671)/2+(F671+G671-IF(RESULTADOS!$C$17="Normal",0,I671)))</f>
        <v/>
      </c>
      <c r="R671" s="140" t="str">
        <f ca="1">IF(C671="","",R670+(E671+H671-IF(RESULTADOS!$C$17="Normal",I671,0)-J671)/2)</f>
        <v/>
      </c>
      <c r="S671" s="140">
        <f t="shared" ca="1" si="98"/>
        <v>0</v>
      </c>
      <c r="U671" s="164" t="str">
        <f t="shared" ca="1" si="99"/>
        <v/>
      </c>
      <c r="V671" s="164" t="str">
        <f t="shared" ca="1" si="100"/>
        <v/>
      </c>
      <c r="W671" s="140">
        <f ca="1">IF(OR((W670-13/12*Z670)*(1+PREMISSAS!$C$16)&lt;0,W670=""),0,(W670-13/12*Z670)*(1+PREMISSAS!$C$16))</f>
        <v>0</v>
      </c>
      <c r="X671" s="140">
        <f ca="1">IF(OR((X670-13/12*AA670)*(1+PREMISSAS!$C$16)&lt;0,X670=""),0,(X670-13/12*AA670)*(1+PREMISSAS!$C$16))</f>
        <v>0</v>
      </c>
      <c r="Y671" s="140">
        <f t="shared" ca="1" si="101"/>
        <v>0</v>
      </c>
      <c r="Z671" s="167">
        <f t="shared" ca="1" si="102"/>
        <v>0</v>
      </c>
      <c r="AA671" s="167">
        <f t="shared" ca="1" si="95"/>
        <v>0</v>
      </c>
    </row>
    <row r="672" spans="2:27" x14ac:dyDescent="0.25">
      <c r="B672" s="21" t="str">
        <f ca="1">IF(B671="","",IF(EOMONTH(B671,1)&gt;EOMONTH(ELEGIBILIDADE!$J$17,0),"",EOMONTH(B671,1)))</f>
        <v/>
      </c>
      <c r="C672" s="22" t="str">
        <f ca="1">IF(B672="","",IF(MONTH(B672)=1,C671*(1+PREMISSAS!$C$57),C671))</f>
        <v/>
      </c>
      <c r="D672" s="22">
        <f ca="1">IF(RESULTADOS!$C$17="Normal",IFERROR(MAX(C672-PREMISSAS!$C$13,0),0),IF(Painel!$I$23=0,0,MAX(10*PREMISSAS!$C$38,RESULTADOS!$F$17)))</f>
        <v>0</v>
      </c>
      <c r="E672" s="4">
        <f ca="1">D672*IF(RESULTADOS!$C$17="Normal",RESULTADOS!$C$16,0)</f>
        <v>0</v>
      </c>
      <c r="F672" s="4">
        <f ca="1">IFERROR(IF(RESULTADOS!$C$17="Normal",D672,C672)*RESULTADOS!$C$18,0)</f>
        <v>0</v>
      </c>
      <c r="G672" s="4">
        <f ca="1">IFERROR(IF(RESULTADOS!$C$17="Normal",0,D672)*IF(RESULTADOS!$C$17="Normal",RESULTADOS!$C$18,RESULTADOS!$C$16),0)</f>
        <v>0</v>
      </c>
      <c r="H672" s="4">
        <f ca="1">IF(RESULTADOS!$C$17="Normal",E672,0)</f>
        <v>0</v>
      </c>
      <c r="I672" s="4">
        <f ca="1">(E672+H672+G672)*PREMISSAS!$C$60</f>
        <v>0</v>
      </c>
      <c r="J672" s="4">
        <f ca="1">D672*IF(RESULTADOS!$C$17="Normal",PREMISSAS!$C$62,0)</f>
        <v>0</v>
      </c>
      <c r="K672" s="116">
        <f ca="1">IFERROR(K671*(1+PREMISSAS!$C$18)+(E672+H672-IF(RESULTADOS!$C$17="Normal",I672,0)-J672)*IF(MONTH(B672)=12,2,1),0)</f>
        <v>0</v>
      </c>
      <c r="L672" s="116">
        <f ca="1">IFERROR((L671+G672-IF(RESULTADOS!$C$17="Normal",0,I672))*(1+PREMISSAS!$C$18)+F672,0)</f>
        <v>0</v>
      </c>
      <c r="N672" s="73">
        <f t="shared" ca="1" si="96"/>
        <v>0</v>
      </c>
      <c r="P672" s="164" t="str">
        <f t="shared" ca="1" si="97"/>
        <v/>
      </c>
      <c r="Q672" s="140" t="str">
        <f ca="1">IF(C672="","",Q671+(E672+H672-IF(RESULTADOS!$C$17="Normal",I672,0)-J672)/2+(F672+G672-IF(RESULTADOS!$C$17="Normal",0,I672)))</f>
        <v/>
      </c>
      <c r="R672" s="140" t="str">
        <f ca="1">IF(C672="","",R671+(E672+H672-IF(RESULTADOS!$C$17="Normal",I672,0)-J672)/2)</f>
        <v/>
      </c>
      <c r="S672" s="140">
        <f t="shared" ca="1" si="98"/>
        <v>0</v>
      </c>
      <c r="U672" s="164" t="str">
        <f t="shared" ca="1" si="99"/>
        <v/>
      </c>
      <c r="V672" s="164" t="str">
        <f t="shared" ca="1" si="100"/>
        <v/>
      </c>
      <c r="W672" s="140">
        <f ca="1">IF(OR((W671-13/12*Z671)*(1+PREMISSAS!$C$16)&lt;0,W671=""),0,(W671-13/12*Z671)*(1+PREMISSAS!$C$16))</f>
        <v>0</v>
      </c>
      <c r="X672" s="140">
        <f ca="1">IF(OR((X671-13/12*AA671)*(1+PREMISSAS!$C$16)&lt;0,X671=""),0,(X671-13/12*AA671)*(1+PREMISSAS!$C$16))</f>
        <v>0</v>
      </c>
      <c r="Y672" s="140">
        <f t="shared" ca="1" si="101"/>
        <v>0</v>
      </c>
      <c r="Z672" s="167">
        <f t="shared" ca="1" si="102"/>
        <v>0</v>
      </c>
      <c r="AA672" s="167">
        <f t="shared" ca="1" si="95"/>
        <v>0</v>
      </c>
    </row>
    <row r="673" spans="2:27" x14ac:dyDescent="0.25">
      <c r="B673" s="21" t="str">
        <f ca="1">IF(B672="","",IF(EOMONTH(B672,1)&gt;EOMONTH(ELEGIBILIDADE!$J$17,0),"",EOMONTH(B672,1)))</f>
        <v/>
      </c>
      <c r="C673" s="22" t="str">
        <f ca="1">IF(B673="","",IF(MONTH(B673)=1,C672*(1+PREMISSAS!$C$57),C672))</f>
        <v/>
      </c>
      <c r="D673" s="22">
        <f ca="1">IF(RESULTADOS!$C$17="Normal",IFERROR(MAX(C673-PREMISSAS!$C$13,0),0),IF(Painel!$I$23=0,0,MAX(10*PREMISSAS!$C$38,RESULTADOS!$F$17)))</f>
        <v>0</v>
      </c>
      <c r="E673" s="4">
        <f ca="1">D673*IF(RESULTADOS!$C$17="Normal",RESULTADOS!$C$16,0)</f>
        <v>0</v>
      </c>
      <c r="F673" s="4">
        <f ca="1">IFERROR(IF(RESULTADOS!$C$17="Normal",D673,C673)*RESULTADOS!$C$18,0)</f>
        <v>0</v>
      </c>
      <c r="G673" s="4">
        <f ca="1">IFERROR(IF(RESULTADOS!$C$17="Normal",0,D673)*IF(RESULTADOS!$C$17="Normal",RESULTADOS!$C$18,RESULTADOS!$C$16),0)</f>
        <v>0</v>
      </c>
      <c r="H673" s="4">
        <f ca="1">IF(RESULTADOS!$C$17="Normal",E673,0)</f>
        <v>0</v>
      </c>
      <c r="I673" s="4">
        <f ca="1">(E673+H673+G673)*PREMISSAS!$C$60</f>
        <v>0</v>
      </c>
      <c r="J673" s="4">
        <f ca="1">D673*IF(RESULTADOS!$C$17="Normal",PREMISSAS!$C$62,0)</f>
        <v>0</v>
      </c>
      <c r="K673" s="116">
        <f ca="1">IFERROR(K672*(1+PREMISSAS!$C$18)+(E673+H673-IF(RESULTADOS!$C$17="Normal",I673,0)-J673)*IF(MONTH(B673)=12,2,1),0)</f>
        <v>0</v>
      </c>
      <c r="L673" s="116">
        <f ca="1">IFERROR((L672+G673-IF(RESULTADOS!$C$17="Normal",0,I673))*(1+PREMISSAS!$C$18)+F673,0)</f>
        <v>0</v>
      </c>
      <c r="N673" s="73">
        <f t="shared" ca="1" si="96"/>
        <v>0</v>
      </c>
      <c r="P673" s="164" t="str">
        <f t="shared" ca="1" si="97"/>
        <v/>
      </c>
      <c r="Q673" s="140" t="str">
        <f ca="1">IF(C673="","",Q672+(E673+H673-IF(RESULTADOS!$C$17="Normal",I673,0)-J673)/2+(F673+G673-IF(RESULTADOS!$C$17="Normal",0,I673)))</f>
        <v/>
      </c>
      <c r="R673" s="140" t="str">
        <f ca="1">IF(C673="","",R672+(E673+H673-IF(RESULTADOS!$C$17="Normal",I673,0)-J673)/2)</f>
        <v/>
      </c>
      <c r="S673" s="140">
        <f t="shared" ca="1" si="98"/>
        <v>0</v>
      </c>
      <c r="U673" s="164" t="str">
        <f t="shared" ca="1" si="99"/>
        <v/>
      </c>
      <c r="V673" s="164" t="str">
        <f t="shared" ca="1" si="100"/>
        <v/>
      </c>
      <c r="W673" s="140">
        <f ca="1">IF(OR((W672-13/12*Z672)*(1+PREMISSAS!$C$16)&lt;0,W672=""),0,(W672-13/12*Z672)*(1+PREMISSAS!$C$16))</f>
        <v>0</v>
      </c>
      <c r="X673" s="140">
        <f ca="1">IF(OR((X672-13/12*AA672)*(1+PREMISSAS!$C$16)&lt;0,X672=""),0,(X672-13/12*AA672)*(1+PREMISSAS!$C$16))</f>
        <v>0</v>
      </c>
      <c r="Y673" s="140">
        <f t="shared" ca="1" si="101"/>
        <v>0</v>
      </c>
      <c r="Z673" s="167">
        <f t="shared" ca="1" si="102"/>
        <v>0</v>
      </c>
      <c r="AA673" s="167">
        <f t="shared" ca="1" si="95"/>
        <v>0</v>
      </c>
    </row>
    <row r="674" spans="2:27" x14ac:dyDescent="0.25">
      <c r="B674" s="21" t="str">
        <f ca="1">IF(B673="","",IF(EOMONTH(B673,1)&gt;EOMONTH(ELEGIBILIDADE!$J$17,0),"",EOMONTH(B673,1)))</f>
        <v/>
      </c>
      <c r="C674" s="22" t="str">
        <f ca="1">IF(B674="","",IF(MONTH(B674)=1,C673*(1+PREMISSAS!$C$57),C673))</f>
        <v/>
      </c>
      <c r="D674" s="22">
        <f ca="1">IF(RESULTADOS!$C$17="Normal",IFERROR(MAX(C674-PREMISSAS!$C$13,0),0),IF(Painel!$I$23=0,0,MAX(10*PREMISSAS!$C$38,RESULTADOS!$F$17)))</f>
        <v>0</v>
      </c>
      <c r="E674" s="4">
        <f ca="1">D674*IF(RESULTADOS!$C$17="Normal",RESULTADOS!$C$16,0)</f>
        <v>0</v>
      </c>
      <c r="F674" s="4">
        <f ca="1">IFERROR(IF(RESULTADOS!$C$17="Normal",D674,C674)*RESULTADOS!$C$18,0)</f>
        <v>0</v>
      </c>
      <c r="G674" s="4">
        <f ca="1">IFERROR(IF(RESULTADOS!$C$17="Normal",0,D674)*IF(RESULTADOS!$C$17="Normal",RESULTADOS!$C$18,RESULTADOS!$C$16),0)</f>
        <v>0</v>
      </c>
      <c r="H674" s="4">
        <f ca="1">IF(RESULTADOS!$C$17="Normal",E674,0)</f>
        <v>0</v>
      </c>
      <c r="I674" s="4">
        <f ca="1">(E674+H674+G674)*PREMISSAS!$C$60</f>
        <v>0</v>
      </c>
      <c r="J674" s="4">
        <f ca="1">D674*IF(RESULTADOS!$C$17="Normal",PREMISSAS!$C$62,0)</f>
        <v>0</v>
      </c>
      <c r="K674" s="116">
        <f ca="1">IFERROR(K673*(1+PREMISSAS!$C$18)+(E674+H674-IF(RESULTADOS!$C$17="Normal",I674,0)-J674)*IF(MONTH(B674)=12,2,1),0)</f>
        <v>0</v>
      </c>
      <c r="L674" s="116">
        <f ca="1">IFERROR((L673+G674-IF(RESULTADOS!$C$17="Normal",0,I674))*(1+PREMISSAS!$C$18)+F674,0)</f>
        <v>0</v>
      </c>
      <c r="N674" s="73">
        <f t="shared" ca="1" si="96"/>
        <v>0</v>
      </c>
      <c r="P674" s="164" t="str">
        <f t="shared" ca="1" si="97"/>
        <v/>
      </c>
      <c r="Q674" s="140" t="str">
        <f ca="1">IF(C674="","",Q673+(E674+H674-IF(RESULTADOS!$C$17="Normal",I674,0)-J674)/2+(F674+G674-IF(RESULTADOS!$C$17="Normal",0,I674)))</f>
        <v/>
      </c>
      <c r="R674" s="140" t="str">
        <f ca="1">IF(C674="","",R673+(E674+H674-IF(RESULTADOS!$C$17="Normal",I674,0)-J674)/2)</f>
        <v/>
      </c>
      <c r="S674" s="140">
        <f t="shared" ca="1" si="98"/>
        <v>0</v>
      </c>
      <c r="U674" s="164" t="str">
        <f t="shared" ca="1" si="99"/>
        <v/>
      </c>
      <c r="V674" s="164" t="str">
        <f t="shared" ca="1" si="100"/>
        <v/>
      </c>
      <c r="W674" s="140">
        <f ca="1">IF(OR((W673-13/12*Z673)*(1+PREMISSAS!$C$16)&lt;0,W673=""),0,(W673-13/12*Z673)*(1+PREMISSAS!$C$16))</f>
        <v>0</v>
      </c>
      <c r="X674" s="140">
        <f ca="1">IF(OR((X673-13/12*AA673)*(1+PREMISSAS!$C$16)&lt;0,X673=""),0,(X673-13/12*AA673)*(1+PREMISSAS!$C$16))</f>
        <v>0</v>
      </c>
      <c r="Y674" s="140">
        <f t="shared" ca="1" si="101"/>
        <v>0</v>
      </c>
      <c r="Z674" s="167">
        <f t="shared" ca="1" si="102"/>
        <v>0</v>
      </c>
      <c r="AA674" s="167">
        <f t="shared" ca="1" si="95"/>
        <v>0</v>
      </c>
    </row>
    <row r="675" spans="2:27" x14ac:dyDescent="0.25">
      <c r="B675" s="21" t="str">
        <f ca="1">IF(B674="","",IF(EOMONTH(B674,1)&gt;EOMONTH(ELEGIBILIDADE!$J$17,0),"",EOMONTH(B674,1)))</f>
        <v/>
      </c>
      <c r="C675" s="22" t="str">
        <f ca="1">IF(B675="","",IF(MONTH(B675)=1,C674*(1+PREMISSAS!$C$57),C674))</f>
        <v/>
      </c>
      <c r="D675" s="22">
        <f ca="1">IF(RESULTADOS!$C$17="Normal",IFERROR(MAX(C675-PREMISSAS!$C$13,0),0),IF(Painel!$I$23=0,0,MAX(10*PREMISSAS!$C$38,RESULTADOS!$F$17)))</f>
        <v>0</v>
      </c>
      <c r="E675" s="4">
        <f ca="1">D675*IF(RESULTADOS!$C$17="Normal",RESULTADOS!$C$16,0)</f>
        <v>0</v>
      </c>
      <c r="F675" s="4">
        <f ca="1">IFERROR(IF(RESULTADOS!$C$17="Normal",D675,C675)*RESULTADOS!$C$18,0)</f>
        <v>0</v>
      </c>
      <c r="G675" s="4">
        <f ca="1">IFERROR(IF(RESULTADOS!$C$17="Normal",0,D675)*IF(RESULTADOS!$C$17="Normal",RESULTADOS!$C$18,RESULTADOS!$C$16),0)</f>
        <v>0</v>
      </c>
      <c r="H675" s="4">
        <f ca="1">IF(RESULTADOS!$C$17="Normal",E675,0)</f>
        <v>0</v>
      </c>
      <c r="I675" s="4">
        <f ca="1">(E675+H675+G675)*PREMISSAS!$C$60</f>
        <v>0</v>
      </c>
      <c r="J675" s="4">
        <f ca="1">D675*IF(RESULTADOS!$C$17="Normal",PREMISSAS!$C$62,0)</f>
        <v>0</v>
      </c>
      <c r="K675" s="116">
        <f ca="1">IFERROR(K674*(1+PREMISSAS!$C$18)+(E675+H675-IF(RESULTADOS!$C$17="Normal",I675,0)-J675)*IF(MONTH(B675)=12,2,1),0)</f>
        <v>0</v>
      </c>
      <c r="L675" s="116">
        <f ca="1">IFERROR((L674+G675-IF(RESULTADOS!$C$17="Normal",0,I675))*(1+PREMISSAS!$C$18)+F675,0)</f>
        <v>0</v>
      </c>
      <c r="N675" s="73">
        <f t="shared" ca="1" si="96"/>
        <v>0</v>
      </c>
      <c r="P675" s="164" t="str">
        <f t="shared" ca="1" si="97"/>
        <v/>
      </c>
      <c r="Q675" s="140" t="str">
        <f ca="1">IF(C675="","",Q674+(E675+H675-IF(RESULTADOS!$C$17="Normal",I675,0)-J675)/2+(F675+G675-IF(RESULTADOS!$C$17="Normal",0,I675)))</f>
        <v/>
      </c>
      <c r="R675" s="140" t="str">
        <f ca="1">IF(C675="","",R674+(E675+H675-IF(RESULTADOS!$C$17="Normal",I675,0)-J675)/2)</f>
        <v/>
      </c>
      <c r="S675" s="140">
        <f t="shared" ca="1" si="98"/>
        <v>0</v>
      </c>
      <c r="U675" s="164" t="str">
        <f t="shared" ca="1" si="99"/>
        <v/>
      </c>
      <c r="V675" s="164" t="str">
        <f t="shared" ca="1" si="100"/>
        <v/>
      </c>
      <c r="W675" s="140">
        <f ca="1">IF(OR((W674-13/12*Z674)*(1+PREMISSAS!$C$16)&lt;0,W674=""),0,(W674-13/12*Z674)*(1+PREMISSAS!$C$16))</f>
        <v>0</v>
      </c>
      <c r="X675" s="140">
        <f ca="1">IF(OR((X674-13/12*AA674)*(1+PREMISSAS!$C$16)&lt;0,X674=""),0,(X674-13/12*AA674)*(1+PREMISSAS!$C$16))</f>
        <v>0</v>
      </c>
      <c r="Y675" s="140">
        <f t="shared" ca="1" si="101"/>
        <v>0</v>
      </c>
      <c r="Z675" s="167">
        <f t="shared" ca="1" si="102"/>
        <v>0</v>
      </c>
      <c r="AA675" s="167">
        <f t="shared" ca="1" si="95"/>
        <v>0</v>
      </c>
    </row>
    <row r="676" spans="2:27" x14ac:dyDescent="0.25">
      <c r="B676" s="21" t="str">
        <f ca="1">IF(B675="","",IF(EOMONTH(B675,1)&gt;EOMONTH(ELEGIBILIDADE!$J$17,0),"",EOMONTH(B675,1)))</f>
        <v/>
      </c>
      <c r="C676" s="22" t="str">
        <f ca="1">IF(B676="","",IF(MONTH(B676)=1,C675*(1+PREMISSAS!$C$57),C675))</f>
        <v/>
      </c>
      <c r="D676" s="22">
        <f ca="1">IF(RESULTADOS!$C$17="Normal",IFERROR(MAX(C676-PREMISSAS!$C$13,0),0),IF(Painel!$I$23=0,0,MAX(10*PREMISSAS!$C$38,RESULTADOS!$F$17)))</f>
        <v>0</v>
      </c>
      <c r="E676" s="4">
        <f ca="1">D676*IF(RESULTADOS!$C$17="Normal",RESULTADOS!$C$16,0)</f>
        <v>0</v>
      </c>
      <c r="F676" s="4">
        <f ca="1">IFERROR(IF(RESULTADOS!$C$17="Normal",D676,C676)*RESULTADOS!$C$18,0)</f>
        <v>0</v>
      </c>
      <c r="G676" s="4">
        <f ca="1">IFERROR(IF(RESULTADOS!$C$17="Normal",0,D676)*IF(RESULTADOS!$C$17="Normal",RESULTADOS!$C$18,RESULTADOS!$C$16),0)</f>
        <v>0</v>
      </c>
      <c r="H676" s="4">
        <f ca="1">IF(RESULTADOS!$C$17="Normal",E676,0)</f>
        <v>0</v>
      </c>
      <c r="I676" s="4">
        <f ca="1">(E676+H676+G676)*PREMISSAS!$C$60</f>
        <v>0</v>
      </c>
      <c r="J676" s="4">
        <f ca="1">D676*IF(RESULTADOS!$C$17="Normal",PREMISSAS!$C$62,0)</f>
        <v>0</v>
      </c>
      <c r="K676" s="116">
        <f ca="1">IFERROR(K675*(1+PREMISSAS!$C$18)+(E676+H676-IF(RESULTADOS!$C$17="Normal",I676,0)-J676)*IF(MONTH(B676)=12,2,1),0)</f>
        <v>0</v>
      </c>
      <c r="L676" s="116">
        <f ca="1">IFERROR((L675+G676-IF(RESULTADOS!$C$17="Normal",0,I676))*(1+PREMISSAS!$C$18)+F676,0)</f>
        <v>0</v>
      </c>
      <c r="N676" s="73">
        <f t="shared" ca="1" si="96"/>
        <v>0</v>
      </c>
      <c r="P676" s="164" t="str">
        <f t="shared" ca="1" si="97"/>
        <v/>
      </c>
      <c r="Q676" s="140" t="str">
        <f ca="1">IF(C676="","",Q675+(E676+H676-IF(RESULTADOS!$C$17="Normal",I676,0)-J676)/2+(F676+G676-IF(RESULTADOS!$C$17="Normal",0,I676)))</f>
        <v/>
      </c>
      <c r="R676" s="140" t="str">
        <f ca="1">IF(C676="","",R675+(E676+H676-IF(RESULTADOS!$C$17="Normal",I676,0)-J676)/2)</f>
        <v/>
      </c>
      <c r="S676" s="140">
        <f t="shared" ca="1" si="98"/>
        <v>0</v>
      </c>
      <c r="U676" s="164" t="str">
        <f t="shared" ca="1" si="99"/>
        <v/>
      </c>
      <c r="V676" s="164" t="str">
        <f t="shared" ca="1" si="100"/>
        <v/>
      </c>
      <c r="W676" s="140">
        <f ca="1">IF(OR((W675-13/12*Z675)*(1+PREMISSAS!$C$16)&lt;0,W675=""),0,(W675-13/12*Z675)*(1+PREMISSAS!$C$16))</f>
        <v>0</v>
      </c>
      <c r="X676" s="140">
        <f ca="1">IF(OR((X675-13/12*AA675)*(1+PREMISSAS!$C$16)&lt;0,X675=""),0,(X675-13/12*AA675)*(1+PREMISSAS!$C$16))</f>
        <v>0</v>
      </c>
      <c r="Y676" s="140">
        <f t="shared" ca="1" si="101"/>
        <v>0</v>
      </c>
      <c r="Z676" s="167">
        <f t="shared" ca="1" si="102"/>
        <v>0</v>
      </c>
      <c r="AA676" s="167">
        <f t="shared" ca="1" si="95"/>
        <v>0</v>
      </c>
    </row>
    <row r="677" spans="2:27" x14ac:dyDescent="0.25">
      <c r="B677" s="21" t="str">
        <f ca="1">IF(B676="","",IF(EOMONTH(B676,1)&gt;EOMONTH(ELEGIBILIDADE!$J$17,0),"",EOMONTH(B676,1)))</f>
        <v/>
      </c>
      <c r="C677" s="22" t="str">
        <f ca="1">IF(B677="","",IF(MONTH(B677)=1,C676*(1+PREMISSAS!$C$57),C676))</f>
        <v/>
      </c>
      <c r="D677" s="22">
        <f ca="1">IF(RESULTADOS!$C$17="Normal",IFERROR(MAX(C677-PREMISSAS!$C$13,0),0),IF(Painel!$I$23=0,0,MAX(10*PREMISSAS!$C$38,RESULTADOS!$F$17)))</f>
        <v>0</v>
      </c>
      <c r="E677" s="4">
        <f ca="1">D677*IF(RESULTADOS!$C$17="Normal",RESULTADOS!$C$16,0)</f>
        <v>0</v>
      </c>
      <c r="F677" s="4">
        <f ca="1">IFERROR(IF(RESULTADOS!$C$17="Normal",D677,C677)*RESULTADOS!$C$18,0)</f>
        <v>0</v>
      </c>
      <c r="G677" s="4">
        <f ca="1">IFERROR(IF(RESULTADOS!$C$17="Normal",0,D677)*IF(RESULTADOS!$C$17="Normal",RESULTADOS!$C$18,RESULTADOS!$C$16),0)</f>
        <v>0</v>
      </c>
      <c r="H677" s="4">
        <f ca="1">IF(RESULTADOS!$C$17="Normal",E677,0)</f>
        <v>0</v>
      </c>
      <c r="I677" s="4">
        <f ca="1">(E677+H677+G677)*PREMISSAS!$C$60</f>
        <v>0</v>
      </c>
      <c r="J677" s="4">
        <f ca="1">D677*IF(RESULTADOS!$C$17="Normal",PREMISSAS!$C$62,0)</f>
        <v>0</v>
      </c>
      <c r="K677" s="116">
        <f ca="1">IFERROR(K676*(1+PREMISSAS!$C$18)+(E677+H677-IF(RESULTADOS!$C$17="Normal",I677,0)-J677)*IF(MONTH(B677)=12,2,1),0)</f>
        <v>0</v>
      </c>
      <c r="L677" s="116">
        <f ca="1">IFERROR((L676+G677-IF(RESULTADOS!$C$17="Normal",0,I677))*(1+PREMISSAS!$C$18)+F677,0)</f>
        <v>0</v>
      </c>
      <c r="N677" s="73">
        <f t="shared" ca="1" si="96"/>
        <v>0</v>
      </c>
      <c r="P677" s="164" t="str">
        <f t="shared" ca="1" si="97"/>
        <v/>
      </c>
      <c r="Q677" s="140" t="str">
        <f ca="1">IF(C677="","",Q676+(E677+H677-IF(RESULTADOS!$C$17="Normal",I677,0)-J677)/2+(F677+G677-IF(RESULTADOS!$C$17="Normal",0,I677)))</f>
        <v/>
      </c>
      <c r="R677" s="140" t="str">
        <f ca="1">IF(C677="","",R676+(E677+H677-IF(RESULTADOS!$C$17="Normal",I677,0)-J677)/2)</f>
        <v/>
      </c>
      <c r="S677" s="140">
        <f t="shared" ca="1" si="98"/>
        <v>0</v>
      </c>
      <c r="U677" s="164" t="str">
        <f t="shared" ca="1" si="99"/>
        <v/>
      </c>
      <c r="V677" s="164" t="str">
        <f t="shared" ca="1" si="100"/>
        <v/>
      </c>
      <c r="W677" s="140">
        <f ca="1">IF(OR((W676-13/12*Z676)*(1+PREMISSAS!$C$16)&lt;0,W676=""),0,(W676-13/12*Z676)*(1+PREMISSAS!$C$16))</f>
        <v>0</v>
      </c>
      <c r="X677" s="140">
        <f ca="1">IF(OR((X676-13/12*AA676)*(1+PREMISSAS!$C$16)&lt;0,X676=""),0,(X676-13/12*AA676)*(1+PREMISSAS!$C$16))</f>
        <v>0</v>
      </c>
      <c r="Y677" s="140">
        <f t="shared" ca="1" si="101"/>
        <v>0</v>
      </c>
      <c r="Z677" s="167">
        <f t="shared" ca="1" si="102"/>
        <v>0</v>
      </c>
      <c r="AA677" s="167">
        <f t="shared" ca="1" si="95"/>
        <v>0</v>
      </c>
    </row>
    <row r="678" spans="2:27" x14ac:dyDescent="0.25">
      <c r="B678" s="21" t="str">
        <f ca="1">IF(B677="","",IF(EOMONTH(B677,1)&gt;EOMONTH(ELEGIBILIDADE!$J$17,0),"",EOMONTH(B677,1)))</f>
        <v/>
      </c>
      <c r="C678" s="22" t="str">
        <f ca="1">IF(B678="","",IF(MONTH(B678)=1,C677*(1+PREMISSAS!$C$57),C677))</f>
        <v/>
      </c>
      <c r="D678" s="22">
        <f ca="1">IF(RESULTADOS!$C$17="Normal",IFERROR(MAX(C678-PREMISSAS!$C$13,0),0),IF(Painel!$I$23=0,0,MAX(10*PREMISSAS!$C$38,RESULTADOS!$F$17)))</f>
        <v>0</v>
      </c>
      <c r="E678" s="4">
        <f ca="1">D678*IF(RESULTADOS!$C$17="Normal",RESULTADOS!$C$16,0)</f>
        <v>0</v>
      </c>
      <c r="F678" s="4">
        <f ca="1">IFERROR(IF(RESULTADOS!$C$17="Normal",D678,C678)*RESULTADOS!$C$18,0)</f>
        <v>0</v>
      </c>
      <c r="G678" s="4">
        <f ca="1">IFERROR(IF(RESULTADOS!$C$17="Normal",0,D678)*IF(RESULTADOS!$C$17="Normal",RESULTADOS!$C$18,RESULTADOS!$C$16),0)</f>
        <v>0</v>
      </c>
      <c r="H678" s="4">
        <f ca="1">IF(RESULTADOS!$C$17="Normal",E678,0)</f>
        <v>0</v>
      </c>
      <c r="I678" s="4">
        <f ca="1">(E678+H678+G678)*PREMISSAS!$C$60</f>
        <v>0</v>
      </c>
      <c r="J678" s="4">
        <f ca="1">D678*IF(RESULTADOS!$C$17="Normal",PREMISSAS!$C$62,0)</f>
        <v>0</v>
      </c>
      <c r="K678" s="116">
        <f ca="1">IFERROR(K677*(1+PREMISSAS!$C$18)+(E678+H678-IF(RESULTADOS!$C$17="Normal",I678,0)-J678)*IF(MONTH(B678)=12,2,1),0)</f>
        <v>0</v>
      </c>
      <c r="L678" s="116">
        <f ca="1">IFERROR((L677+G678-IF(RESULTADOS!$C$17="Normal",0,I678))*(1+PREMISSAS!$C$18)+F678,0)</f>
        <v>0</v>
      </c>
      <c r="N678" s="73">
        <f t="shared" ca="1" si="96"/>
        <v>0</v>
      </c>
      <c r="P678" s="164" t="str">
        <f t="shared" ca="1" si="97"/>
        <v/>
      </c>
      <c r="Q678" s="140" t="str">
        <f ca="1">IF(C678="","",Q677+(E678+H678-IF(RESULTADOS!$C$17="Normal",I678,0)-J678)/2+(F678+G678-IF(RESULTADOS!$C$17="Normal",0,I678)))</f>
        <v/>
      </c>
      <c r="R678" s="140" t="str">
        <f ca="1">IF(C678="","",R677+(E678+H678-IF(RESULTADOS!$C$17="Normal",I678,0)-J678)/2)</f>
        <v/>
      </c>
      <c r="S678" s="140">
        <f t="shared" ca="1" si="98"/>
        <v>0</v>
      </c>
      <c r="U678" s="164" t="str">
        <f t="shared" ca="1" si="99"/>
        <v/>
      </c>
      <c r="V678" s="164" t="str">
        <f t="shared" ca="1" si="100"/>
        <v/>
      </c>
      <c r="W678" s="140">
        <f ca="1">IF(OR((W677-13/12*Z677)*(1+PREMISSAS!$C$16)&lt;0,W677=""),0,(W677-13/12*Z677)*(1+PREMISSAS!$C$16))</f>
        <v>0</v>
      </c>
      <c r="X678" s="140">
        <f ca="1">IF(OR((X677-13/12*AA677)*(1+PREMISSAS!$C$16)&lt;0,X677=""),0,(X677-13/12*AA677)*(1+PREMISSAS!$C$16))</f>
        <v>0</v>
      </c>
      <c r="Y678" s="140">
        <f t="shared" ca="1" si="101"/>
        <v>0</v>
      </c>
      <c r="Z678" s="167">
        <f t="shared" ca="1" si="102"/>
        <v>0</v>
      </c>
      <c r="AA678" s="167">
        <f t="shared" ca="1" si="95"/>
        <v>0</v>
      </c>
    </row>
    <row r="679" spans="2:27" x14ac:dyDescent="0.25">
      <c r="B679" s="21" t="str">
        <f ca="1">IF(B678="","",IF(EOMONTH(B678,1)&gt;EOMONTH(ELEGIBILIDADE!$J$17,0),"",EOMONTH(B678,1)))</f>
        <v/>
      </c>
      <c r="C679" s="22" t="str">
        <f ca="1">IF(B679="","",IF(MONTH(B679)=1,C678*(1+PREMISSAS!$C$57),C678))</f>
        <v/>
      </c>
      <c r="D679" s="22">
        <f ca="1">IF(RESULTADOS!$C$17="Normal",IFERROR(MAX(C679-PREMISSAS!$C$13,0),0),IF(Painel!$I$23=0,0,MAX(10*PREMISSAS!$C$38,RESULTADOS!$F$17)))</f>
        <v>0</v>
      </c>
      <c r="E679" s="4">
        <f ca="1">D679*IF(RESULTADOS!$C$17="Normal",RESULTADOS!$C$16,0)</f>
        <v>0</v>
      </c>
      <c r="F679" s="4">
        <f ca="1">IFERROR(IF(RESULTADOS!$C$17="Normal",D679,C679)*RESULTADOS!$C$18,0)</f>
        <v>0</v>
      </c>
      <c r="G679" s="4">
        <f ca="1">IFERROR(IF(RESULTADOS!$C$17="Normal",0,D679)*IF(RESULTADOS!$C$17="Normal",RESULTADOS!$C$18,RESULTADOS!$C$16),0)</f>
        <v>0</v>
      </c>
      <c r="H679" s="4">
        <f ca="1">IF(RESULTADOS!$C$17="Normal",E679,0)</f>
        <v>0</v>
      </c>
      <c r="I679" s="4">
        <f ca="1">(E679+H679+G679)*PREMISSAS!$C$60</f>
        <v>0</v>
      </c>
      <c r="J679" s="4">
        <f ca="1">D679*IF(RESULTADOS!$C$17="Normal",PREMISSAS!$C$62,0)</f>
        <v>0</v>
      </c>
      <c r="K679" s="116">
        <f ca="1">IFERROR(K678*(1+PREMISSAS!$C$18)+(E679+H679-IF(RESULTADOS!$C$17="Normal",I679,0)-J679)*IF(MONTH(B679)=12,2,1),0)</f>
        <v>0</v>
      </c>
      <c r="L679" s="116">
        <f ca="1">IFERROR((L678+G679-IF(RESULTADOS!$C$17="Normal",0,I679))*(1+PREMISSAS!$C$18)+F679,0)</f>
        <v>0</v>
      </c>
      <c r="N679" s="73">
        <f t="shared" ca="1" si="96"/>
        <v>0</v>
      </c>
      <c r="P679" s="164" t="str">
        <f t="shared" ca="1" si="97"/>
        <v/>
      </c>
      <c r="Q679" s="140" t="str">
        <f ca="1">IF(C679="","",Q678+(E679+H679-IF(RESULTADOS!$C$17="Normal",I679,0)-J679)/2+(F679+G679-IF(RESULTADOS!$C$17="Normal",0,I679)))</f>
        <v/>
      </c>
      <c r="R679" s="140" t="str">
        <f ca="1">IF(C679="","",R678+(E679+H679-IF(RESULTADOS!$C$17="Normal",I679,0)-J679)/2)</f>
        <v/>
      </c>
      <c r="S679" s="140">
        <f t="shared" ca="1" si="98"/>
        <v>0</v>
      </c>
      <c r="U679" s="164" t="str">
        <f t="shared" ca="1" si="99"/>
        <v/>
      </c>
      <c r="V679" s="164" t="str">
        <f t="shared" ca="1" si="100"/>
        <v/>
      </c>
      <c r="W679" s="140">
        <f ca="1">IF(OR((W678-13/12*Z678)*(1+PREMISSAS!$C$16)&lt;0,W678=""),0,(W678-13/12*Z678)*(1+PREMISSAS!$C$16))</f>
        <v>0</v>
      </c>
      <c r="X679" s="140">
        <f ca="1">IF(OR((X678-13/12*AA678)*(1+PREMISSAS!$C$16)&lt;0,X678=""),0,(X678-13/12*AA678)*(1+PREMISSAS!$C$16))</f>
        <v>0</v>
      </c>
      <c r="Y679" s="140">
        <f t="shared" ca="1" si="101"/>
        <v>0</v>
      </c>
      <c r="Z679" s="167">
        <f t="shared" ca="1" si="102"/>
        <v>0</v>
      </c>
      <c r="AA679" s="167">
        <f t="shared" ca="1" si="95"/>
        <v>0</v>
      </c>
    </row>
    <row r="680" spans="2:27" x14ac:dyDescent="0.25">
      <c r="B680" s="21" t="str">
        <f ca="1">IF(B679="","",IF(EOMONTH(B679,1)&gt;EOMONTH(ELEGIBILIDADE!$J$17,0),"",EOMONTH(B679,1)))</f>
        <v/>
      </c>
      <c r="C680" s="22" t="str">
        <f ca="1">IF(B680="","",IF(MONTH(B680)=1,C679*(1+PREMISSAS!$C$57),C679))</f>
        <v/>
      </c>
      <c r="D680" s="22">
        <f ca="1">IF(RESULTADOS!$C$17="Normal",IFERROR(MAX(C680-PREMISSAS!$C$13,0),0),IF(Painel!$I$23=0,0,MAX(10*PREMISSAS!$C$38,RESULTADOS!$F$17)))</f>
        <v>0</v>
      </c>
      <c r="E680" s="4">
        <f ca="1">D680*IF(RESULTADOS!$C$17="Normal",RESULTADOS!$C$16,0)</f>
        <v>0</v>
      </c>
      <c r="F680" s="4">
        <f ca="1">IFERROR(IF(RESULTADOS!$C$17="Normal",D680,C680)*RESULTADOS!$C$18,0)</f>
        <v>0</v>
      </c>
      <c r="G680" s="4">
        <f ca="1">IFERROR(IF(RESULTADOS!$C$17="Normal",0,D680)*IF(RESULTADOS!$C$17="Normal",RESULTADOS!$C$18,RESULTADOS!$C$16),0)</f>
        <v>0</v>
      </c>
      <c r="H680" s="4">
        <f ca="1">IF(RESULTADOS!$C$17="Normal",E680,0)</f>
        <v>0</v>
      </c>
      <c r="I680" s="4">
        <f ca="1">(E680+H680+G680)*PREMISSAS!$C$60</f>
        <v>0</v>
      </c>
      <c r="J680" s="4">
        <f ca="1">D680*IF(RESULTADOS!$C$17="Normal",PREMISSAS!$C$62,0)</f>
        <v>0</v>
      </c>
      <c r="K680" s="116">
        <f ca="1">IFERROR(K679*(1+PREMISSAS!$C$18)+(E680+H680-IF(RESULTADOS!$C$17="Normal",I680,0)-J680)*IF(MONTH(B680)=12,2,1),0)</f>
        <v>0</v>
      </c>
      <c r="L680" s="116">
        <f ca="1">IFERROR((L679+G680-IF(RESULTADOS!$C$17="Normal",0,I680))*(1+PREMISSAS!$C$18)+F680,0)</f>
        <v>0</v>
      </c>
      <c r="N680" s="73">
        <f t="shared" ca="1" si="96"/>
        <v>0</v>
      </c>
      <c r="P680" s="164" t="str">
        <f t="shared" ca="1" si="97"/>
        <v/>
      </c>
      <c r="Q680" s="140" t="str">
        <f ca="1">IF(C680="","",Q679+(E680+H680-IF(RESULTADOS!$C$17="Normal",I680,0)-J680)/2+(F680+G680-IF(RESULTADOS!$C$17="Normal",0,I680)))</f>
        <v/>
      </c>
      <c r="R680" s="140" t="str">
        <f ca="1">IF(C680="","",R679+(E680+H680-IF(RESULTADOS!$C$17="Normal",I680,0)-J680)/2)</f>
        <v/>
      </c>
      <c r="S680" s="140">
        <f t="shared" ca="1" si="98"/>
        <v>0</v>
      </c>
      <c r="U680" s="164" t="str">
        <f t="shared" ca="1" si="99"/>
        <v/>
      </c>
      <c r="V680" s="164" t="str">
        <f t="shared" ca="1" si="100"/>
        <v/>
      </c>
      <c r="W680" s="140">
        <f ca="1">IF(OR((W679-13/12*Z679)*(1+PREMISSAS!$C$16)&lt;0,W679=""),0,(W679-13/12*Z679)*(1+PREMISSAS!$C$16))</f>
        <v>0</v>
      </c>
      <c r="X680" s="140">
        <f ca="1">IF(OR((X679-13/12*AA679)*(1+PREMISSAS!$C$16)&lt;0,X679=""),0,(X679-13/12*AA679)*(1+PREMISSAS!$C$16))</f>
        <v>0</v>
      </c>
      <c r="Y680" s="140">
        <f t="shared" ca="1" si="101"/>
        <v>0</v>
      </c>
      <c r="Z680" s="167">
        <f t="shared" ca="1" si="102"/>
        <v>0</v>
      </c>
      <c r="AA680" s="167">
        <f t="shared" ca="1" si="95"/>
        <v>0</v>
      </c>
    </row>
    <row r="681" spans="2:27" x14ac:dyDescent="0.25">
      <c r="B681" s="21" t="str">
        <f ca="1">IF(B680="","",IF(EOMONTH(B680,1)&gt;EOMONTH(ELEGIBILIDADE!$J$17,0),"",EOMONTH(B680,1)))</f>
        <v/>
      </c>
      <c r="C681" s="22" t="str">
        <f ca="1">IF(B681="","",IF(MONTH(B681)=1,C680*(1+PREMISSAS!$C$57),C680))</f>
        <v/>
      </c>
      <c r="D681" s="22">
        <f ca="1">IF(RESULTADOS!$C$17="Normal",IFERROR(MAX(C681-PREMISSAS!$C$13,0),0),IF(Painel!$I$23=0,0,MAX(10*PREMISSAS!$C$38,RESULTADOS!$F$17)))</f>
        <v>0</v>
      </c>
      <c r="E681" s="4">
        <f ca="1">D681*IF(RESULTADOS!$C$17="Normal",RESULTADOS!$C$16,0)</f>
        <v>0</v>
      </c>
      <c r="F681" s="4">
        <f ca="1">IFERROR(IF(RESULTADOS!$C$17="Normal",D681,C681)*RESULTADOS!$C$18,0)</f>
        <v>0</v>
      </c>
      <c r="G681" s="4">
        <f ca="1">IFERROR(IF(RESULTADOS!$C$17="Normal",0,D681)*IF(RESULTADOS!$C$17="Normal",RESULTADOS!$C$18,RESULTADOS!$C$16),0)</f>
        <v>0</v>
      </c>
      <c r="H681" s="4">
        <f ca="1">IF(RESULTADOS!$C$17="Normal",E681,0)</f>
        <v>0</v>
      </c>
      <c r="I681" s="4">
        <f ca="1">(E681+H681+G681)*PREMISSAS!$C$60</f>
        <v>0</v>
      </c>
      <c r="J681" s="4">
        <f ca="1">D681*IF(RESULTADOS!$C$17="Normal",PREMISSAS!$C$62,0)</f>
        <v>0</v>
      </c>
      <c r="K681" s="116">
        <f ca="1">IFERROR(K680*(1+PREMISSAS!$C$18)+(E681+H681-IF(RESULTADOS!$C$17="Normal",I681,0)-J681)*IF(MONTH(B681)=12,2,1),0)</f>
        <v>0</v>
      </c>
      <c r="L681" s="116">
        <f ca="1">IFERROR((L680+G681-IF(RESULTADOS!$C$17="Normal",0,I681))*(1+PREMISSAS!$C$18)+F681,0)</f>
        <v>0</v>
      </c>
      <c r="N681" s="73">
        <f t="shared" ca="1" si="96"/>
        <v>0</v>
      </c>
      <c r="P681" s="164" t="str">
        <f t="shared" ca="1" si="97"/>
        <v/>
      </c>
      <c r="Q681" s="140" t="str">
        <f ca="1">IF(C681="","",Q680+(E681+H681-IF(RESULTADOS!$C$17="Normal",I681,0)-J681)/2+(F681+G681-IF(RESULTADOS!$C$17="Normal",0,I681)))</f>
        <v/>
      </c>
      <c r="R681" s="140" t="str">
        <f ca="1">IF(C681="","",R680+(E681+H681-IF(RESULTADOS!$C$17="Normal",I681,0)-J681)/2)</f>
        <v/>
      </c>
      <c r="S681" s="140">
        <f t="shared" ca="1" si="98"/>
        <v>0</v>
      </c>
      <c r="U681" s="164" t="str">
        <f t="shared" ca="1" si="99"/>
        <v/>
      </c>
      <c r="V681" s="164" t="str">
        <f t="shared" ca="1" si="100"/>
        <v/>
      </c>
      <c r="W681" s="140">
        <f ca="1">IF(OR((W680-13/12*Z680)*(1+PREMISSAS!$C$16)&lt;0,W680=""),0,(W680-13/12*Z680)*(1+PREMISSAS!$C$16))</f>
        <v>0</v>
      </c>
      <c r="X681" s="140">
        <f ca="1">IF(OR((X680-13/12*AA680)*(1+PREMISSAS!$C$16)&lt;0,X680=""),0,(X680-13/12*AA680)*(1+PREMISSAS!$C$16))</f>
        <v>0</v>
      </c>
      <c r="Y681" s="140">
        <f t="shared" ca="1" si="101"/>
        <v>0</v>
      </c>
      <c r="Z681" s="167">
        <f t="shared" ca="1" si="102"/>
        <v>0</v>
      </c>
      <c r="AA681" s="167">
        <f t="shared" ca="1" si="95"/>
        <v>0</v>
      </c>
    </row>
    <row r="682" spans="2:27" x14ac:dyDescent="0.25">
      <c r="B682" s="21" t="str">
        <f ca="1">IF(B681="","",IF(EOMONTH(B681,1)&gt;EOMONTH(ELEGIBILIDADE!$J$17,0),"",EOMONTH(B681,1)))</f>
        <v/>
      </c>
      <c r="C682" s="22" t="str">
        <f ca="1">IF(B682="","",IF(MONTH(B682)=1,C681*(1+PREMISSAS!$C$57),C681))</f>
        <v/>
      </c>
      <c r="D682" s="22">
        <f ca="1">IF(RESULTADOS!$C$17="Normal",IFERROR(MAX(C682-PREMISSAS!$C$13,0),0),IF(Painel!$I$23=0,0,MAX(10*PREMISSAS!$C$38,RESULTADOS!$F$17)))</f>
        <v>0</v>
      </c>
      <c r="E682" s="4">
        <f ca="1">D682*IF(RESULTADOS!$C$17="Normal",RESULTADOS!$C$16,0)</f>
        <v>0</v>
      </c>
      <c r="F682" s="4">
        <f ca="1">IFERROR(IF(RESULTADOS!$C$17="Normal",D682,C682)*RESULTADOS!$C$18,0)</f>
        <v>0</v>
      </c>
      <c r="G682" s="4">
        <f ca="1">IFERROR(IF(RESULTADOS!$C$17="Normal",0,D682)*IF(RESULTADOS!$C$17="Normal",RESULTADOS!$C$18,RESULTADOS!$C$16),0)</f>
        <v>0</v>
      </c>
      <c r="H682" s="4">
        <f ca="1">IF(RESULTADOS!$C$17="Normal",E682,0)</f>
        <v>0</v>
      </c>
      <c r="I682" s="4">
        <f ca="1">(E682+H682+G682)*PREMISSAS!$C$60</f>
        <v>0</v>
      </c>
      <c r="J682" s="4">
        <f ca="1">D682*IF(RESULTADOS!$C$17="Normal",PREMISSAS!$C$62,0)</f>
        <v>0</v>
      </c>
      <c r="K682" s="116">
        <f ca="1">IFERROR(K681*(1+PREMISSAS!$C$18)+(E682+H682-IF(RESULTADOS!$C$17="Normal",I682,0)-J682)*IF(MONTH(B682)=12,2,1),0)</f>
        <v>0</v>
      </c>
      <c r="L682" s="116">
        <f ca="1">IFERROR((L681+G682-IF(RESULTADOS!$C$17="Normal",0,I682))*(1+PREMISSAS!$C$18)+F682,0)</f>
        <v>0</v>
      </c>
      <c r="N682" s="73">
        <f t="shared" ca="1" si="96"/>
        <v>0</v>
      </c>
      <c r="P682" s="164" t="str">
        <f t="shared" ca="1" si="97"/>
        <v/>
      </c>
      <c r="Q682" s="140" t="str">
        <f ca="1">IF(C682="","",Q681+(E682+H682-IF(RESULTADOS!$C$17="Normal",I682,0)-J682)/2+(F682+G682-IF(RESULTADOS!$C$17="Normal",0,I682)))</f>
        <v/>
      </c>
      <c r="R682" s="140" t="str">
        <f ca="1">IF(C682="","",R681+(E682+H682-IF(RESULTADOS!$C$17="Normal",I682,0)-J682)/2)</f>
        <v/>
      </c>
      <c r="S682" s="140">
        <f t="shared" ca="1" si="98"/>
        <v>0</v>
      </c>
      <c r="U682" s="164" t="str">
        <f t="shared" ca="1" si="99"/>
        <v/>
      </c>
      <c r="V682" s="164" t="str">
        <f t="shared" ca="1" si="100"/>
        <v/>
      </c>
      <c r="W682" s="140">
        <f ca="1">IF(OR((W681-13/12*Z681)*(1+PREMISSAS!$C$16)&lt;0,W681=""),0,(W681-13/12*Z681)*(1+PREMISSAS!$C$16))</f>
        <v>0</v>
      </c>
      <c r="X682" s="140">
        <f ca="1">IF(OR((X681-13/12*AA681)*(1+PREMISSAS!$C$16)&lt;0,X681=""),0,(X681-13/12*AA681)*(1+PREMISSAS!$C$16))</f>
        <v>0</v>
      </c>
      <c r="Y682" s="140">
        <f t="shared" ca="1" si="101"/>
        <v>0</v>
      </c>
      <c r="Z682" s="167">
        <f t="shared" ca="1" si="102"/>
        <v>0</v>
      </c>
      <c r="AA682" s="167">
        <f t="shared" ca="1" si="95"/>
        <v>0</v>
      </c>
    </row>
    <row r="683" spans="2:27" x14ac:dyDescent="0.25">
      <c r="B683" s="21" t="str">
        <f ca="1">IF(B682="","",IF(EOMONTH(B682,1)&gt;EOMONTH(ELEGIBILIDADE!$J$17,0),"",EOMONTH(B682,1)))</f>
        <v/>
      </c>
      <c r="C683" s="22" t="str">
        <f ca="1">IF(B683="","",IF(MONTH(B683)=1,C682*(1+PREMISSAS!$C$57),C682))</f>
        <v/>
      </c>
      <c r="D683" s="22">
        <f ca="1">IF(RESULTADOS!$C$17="Normal",IFERROR(MAX(C683-PREMISSAS!$C$13,0),0),IF(Painel!$I$23=0,0,MAX(10*PREMISSAS!$C$38,RESULTADOS!$F$17)))</f>
        <v>0</v>
      </c>
      <c r="E683" s="4">
        <f ca="1">D683*IF(RESULTADOS!$C$17="Normal",RESULTADOS!$C$16,0)</f>
        <v>0</v>
      </c>
      <c r="F683" s="4">
        <f ca="1">IFERROR(IF(RESULTADOS!$C$17="Normal",D683,C683)*RESULTADOS!$C$18,0)</f>
        <v>0</v>
      </c>
      <c r="G683" s="4">
        <f ca="1">IFERROR(IF(RESULTADOS!$C$17="Normal",0,D683)*IF(RESULTADOS!$C$17="Normal",RESULTADOS!$C$18,RESULTADOS!$C$16),0)</f>
        <v>0</v>
      </c>
      <c r="H683" s="4">
        <f ca="1">IF(RESULTADOS!$C$17="Normal",E683,0)</f>
        <v>0</v>
      </c>
      <c r="I683" s="4">
        <f ca="1">(E683+H683+G683)*PREMISSAS!$C$60</f>
        <v>0</v>
      </c>
      <c r="J683" s="4">
        <f ca="1">D683*IF(RESULTADOS!$C$17="Normal",PREMISSAS!$C$62,0)</f>
        <v>0</v>
      </c>
      <c r="K683" s="116">
        <f ca="1">IFERROR(K682*(1+PREMISSAS!$C$18)+(E683+H683-IF(RESULTADOS!$C$17="Normal",I683,0)-J683)*IF(MONTH(B683)=12,2,1),0)</f>
        <v>0</v>
      </c>
      <c r="L683" s="116">
        <f ca="1">IFERROR((L682+G683-IF(RESULTADOS!$C$17="Normal",0,I683))*(1+PREMISSAS!$C$18)+F683,0)</f>
        <v>0</v>
      </c>
      <c r="N683" s="73">
        <f t="shared" ca="1" si="96"/>
        <v>0</v>
      </c>
      <c r="P683" s="164" t="str">
        <f t="shared" ca="1" si="97"/>
        <v/>
      </c>
      <c r="Q683" s="140" t="str">
        <f ca="1">IF(C683="","",Q682+(E683+H683-IF(RESULTADOS!$C$17="Normal",I683,0)-J683)/2+(F683+G683-IF(RESULTADOS!$C$17="Normal",0,I683)))</f>
        <v/>
      </c>
      <c r="R683" s="140" t="str">
        <f ca="1">IF(C683="","",R682+(E683+H683-IF(RESULTADOS!$C$17="Normal",I683,0)-J683)/2)</f>
        <v/>
      </c>
      <c r="S683" s="140">
        <f t="shared" ca="1" si="98"/>
        <v>0</v>
      </c>
      <c r="U683" s="164" t="str">
        <f t="shared" ca="1" si="99"/>
        <v/>
      </c>
      <c r="V683" s="164" t="str">
        <f t="shared" ca="1" si="100"/>
        <v/>
      </c>
      <c r="W683" s="140">
        <f ca="1">IF(OR((W682-13/12*Z682)*(1+PREMISSAS!$C$16)&lt;0,W682=""),0,(W682-13/12*Z682)*(1+PREMISSAS!$C$16))</f>
        <v>0</v>
      </c>
      <c r="X683" s="140">
        <f ca="1">IF(OR((X682-13/12*AA682)*(1+PREMISSAS!$C$16)&lt;0,X682=""),0,(X682-13/12*AA682)*(1+PREMISSAS!$C$16))</f>
        <v>0</v>
      </c>
      <c r="Y683" s="140">
        <f t="shared" ca="1" si="101"/>
        <v>0</v>
      </c>
      <c r="Z683" s="167">
        <f t="shared" ca="1" si="102"/>
        <v>0</v>
      </c>
      <c r="AA683" s="167">
        <f t="shared" ca="1" si="95"/>
        <v>0</v>
      </c>
    </row>
    <row r="684" spans="2:27" x14ac:dyDescent="0.25">
      <c r="B684" s="21" t="str">
        <f ca="1">IF(B683="","",IF(EOMONTH(B683,1)&gt;EOMONTH(ELEGIBILIDADE!$J$17,0),"",EOMONTH(B683,1)))</f>
        <v/>
      </c>
      <c r="C684" s="22" t="str">
        <f ca="1">IF(B684="","",IF(MONTH(B684)=1,C683*(1+PREMISSAS!$C$57),C683))</f>
        <v/>
      </c>
      <c r="D684" s="22">
        <f ca="1">IF(RESULTADOS!$C$17="Normal",IFERROR(MAX(C684-PREMISSAS!$C$13,0),0),IF(Painel!$I$23=0,0,MAX(10*PREMISSAS!$C$38,RESULTADOS!$F$17)))</f>
        <v>0</v>
      </c>
      <c r="E684" s="4">
        <f ca="1">D684*IF(RESULTADOS!$C$17="Normal",RESULTADOS!$C$16,0)</f>
        <v>0</v>
      </c>
      <c r="F684" s="4">
        <f ca="1">IFERROR(IF(RESULTADOS!$C$17="Normal",D684,C684)*RESULTADOS!$C$18,0)</f>
        <v>0</v>
      </c>
      <c r="G684" s="4">
        <f ca="1">IFERROR(IF(RESULTADOS!$C$17="Normal",0,D684)*IF(RESULTADOS!$C$17="Normal",RESULTADOS!$C$18,RESULTADOS!$C$16),0)</f>
        <v>0</v>
      </c>
      <c r="H684" s="4">
        <f ca="1">IF(RESULTADOS!$C$17="Normal",E684,0)</f>
        <v>0</v>
      </c>
      <c r="I684" s="4">
        <f ca="1">(E684+H684+G684)*PREMISSAS!$C$60</f>
        <v>0</v>
      </c>
      <c r="J684" s="4">
        <f ca="1">D684*IF(RESULTADOS!$C$17="Normal",PREMISSAS!$C$62,0)</f>
        <v>0</v>
      </c>
      <c r="K684" s="116">
        <f ca="1">IFERROR(K683*(1+PREMISSAS!$C$18)+(E684+H684-IF(RESULTADOS!$C$17="Normal",I684,0)-J684)*IF(MONTH(B684)=12,2,1),0)</f>
        <v>0</v>
      </c>
      <c r="L684" s="116">
        <f ca="1">IFERROR((L683+G684-IF(RESULTADOS!$C$17="Normal",0,I684))*(1+PREMISSAS!$C$18)+F684,0)</f>
        <v>0</v>
      </c>
      <c r="N684" s="73">
        <f t="shared" ref="N684:N700" ca="1" si="103">IFERROR((E684+F684+G684)/C684,0)</f>
        <v>0</v>
      </c>
      <c r="P684" s="164" t="str">
        <f t="shared" ref="P684:P700" ca="1" si="104">IF(C684="","",B684)</f>
        <v/>
      </c>
      <c r="Q684" s="140" t="str">
        <f ca="1">IF(C684="","",Q683+(E684+H684-IF(RESULTADOS!$C$17="Normal",I684,0)-J684)/2+(F684+G684-IF(RESULTADOS!$C$17="Normal",0,I684)))</f>
        <v/>
      </c>
      <c r="R684" s="140" t="str">
        <f ca="1">IF(C684="","",R683+(E684+H684-IF(RESULTADOS!$C$17="Normal",I684,0)-J684)/2)</f>
        <v/>
      </c>
      <c r="S684" s="140">
        <f t="shared" ref="S684:S700" ca="1" si="105">SUM(K684:L684)-SUM(Q684:R684)</f>
        <v>0</v>
      </c>
      <c r="U684" s="164" t="str">
        <f t="shared" ref="U684:U700" ca="1" si="106">IF(Y684=0,"",EOMONTH(U683,1))</f>
        <v/>
      </c>
      <c r="V684" s="164" t="str">
        <f t="shared" ref="V684:V700" ca="1" si="107">IF(AA684&lt;&gt;"",U684,"")</f>
        <v/>
      </c>
      <c r="W684" s="140">
        <f ca="1">IF(OR((W683-13/12*Z683)*(1+PREMISSAS!$C$16)&lt;0,W683=""),0,(W683-13/12*Z683)*(1+PREMISSAS!$C$16))</f>
        <v>0</v>
      </c>
      <c r="X684" s="140">
        <f ca="1">IF(OR((X683-13/12*AA683)*(1+PREMISSAS!$C$16)&lt;0,X683=""),0,(X683-13/12*AA683)*(1+PREMISSAS!$C$16))</f>
        <v>0</v>
      </c>
      <c r="Y684" s="140">
        <f t="shared" ref="Y684:Y700" ca="1" si="108">SUM(W684:X684)</f>
        <v>0</v>
      </c>
      <c r="Z684" s="167">
        <f t="shared" ref="Z684:Z700" ca="1" si="109">IF(W684&lt;&gt;0,Z683,0)</f>
        <v>0</v>
      </c>
      <c r="AA684" s="167">
        <f t="shared" ca="1" si="95"/>
        <v>0</v>
      </c>
    </row>
    <row r="685" spans="2:27" x14ac:dyDescent="0.25">
      <c r="B685" s="21" t="str">
        <f ca="1">IF(B684="","",IF(EOMONTH(B684,1)&gt;EOMONTH(ELEGIBILIDADE!$J$17,0),"",EOMONTH(B684,1)))</f>
        <v/>
      </c>
      <c r="C685" s="22" t="str">
        <f ca="1">IF(B685="","",IF(MONTH(B685)=1,C684*(1+PREMISSAS!$C$57),C684))</f>
        <v/>
      </c>
      <c r="D685" s="22">
        <f ca="1">IF(RESULTADOS!$C$17="Normal",IFERROR(MAX(C685-PREMISSAS!$C$13,0),0),IF(Painel!$I$23=0,0,MAX(10*PREMISSAS!$C$38,RESULTADOS!$F$17)))</f>
        <v>0</v>
      </c>
      <c r="E685" s="4">
        <f ca="1">D685*IF(RESULTADOS!$C$17="Normal",RESULTADOS!$C$16,0)</f>
        <v>0</v>
      </c>
      <c r="F685" s="4">
        <f ca="1">IFERROR(IF(RESULTADOS!$C$17="Normal",D685,C685)*RESULTADOS!$C$18,0)</f>
        <v>0</v>
      </c>
      <c r="G685" s="4">
        <f ca="1">IFERROR(IF(RESULTADOS!$C$17="Normal",0,D685)*IF(RESULTADOS!$C$17="Normal",RESULTADOS!$C$18,RESULTADOS!$C$16),0)</f>
        <v>0</v>
      </c>
      <c r="H685" s="4">
        <f ca="1">IF(RESULTADOS!$C$17="Normal",E685,0)</f>
        <v>0</v>
      </c>
      <c r="I685" s="4">
        <f ca="1">(E685+H685+G685)*PREMISSAS!$C$60</f>
        <v>0</v>
      </c>
      <c r="J685" s="4">
        <f ca="1">D685*IF(RESULTADOS!$C$17="Normal",PREMISSAS!$C$62,0)</f>
        <v>0</v>
      </c>
      <c r="K685" s="116">
        <f ca="1">IFERROR(K684*(1+PREMISSAS!$C$18)+(E685+H685-IF(RESULTADOS!$C$17="Normal",I685,0)-J685)*IF(MONTH(B685)=12,2,1),0)</f>
        <v>0</v>
      </c>
      <c r="L685" s="116">
        <f ca="1">IFERROR((L684+G685-IF(RESULTADOS!$C$17="Normal",0,I685))*(1+PREMISSAS!$C$18)+F685,0)</f>
        <v>0</v>
      </c>
      <c r="N685" s="73">
        <f t="shared" ca="1" si="103"/>
        <v>0</v>
      </c>
      <c r="P685" s="164" t="str">
        <f t="shared" ca="1" si="104"/>
        <v/>
      </c>
      <c r="Q685" s="140" t="str">
        <f ca="1">IF(C685="","",Q684+(E685+H685-IF(RESULTADOS!$C$17="Normal",I685,0)-J685)/2+(F685+G685-IF(RESULTADOS!$C$17="Normal",0,I685)))</f>
        <v/>
      </c>
      <c r="R685" s="140" t="str">
        <f ca="1">IF(C685="","",R684+(E685+H685-IF(RESULTADOS!$C$17="Normal",I685,0)-J685)/2)</f>
        <v/>
      </c>
      <c r="S685" s="140">
        <f t="shared" ca="1" si="105"/>
        <v>0</v>
      </c>
      <c r="U685" s="164" t="str">
        <f t="shared" ca="1" si="106"/>
        <v/>
      </c>
      <c r="V685" s="164" t="str">
        <f t="shared" ca="1" si="107"/>
        <v/>
      </c>
      <c r="W685" s="140">
        <f ca="1">IF(OR((W684-13/12*Z684)*(1+PREMISSAS!$C$16)&lt;0,W684=""),0,(W684-13/12*Z684)*(1+PREMISSAS!$C$16))</f>
        <v>0</v>
      </c>
      <c r="X685" s="140">
        <f ca="1">IF(OR((X684-13/12*AA684)*(1+PREMISSAS!$C$16)&lt;0,X684=""),0,(X684-13/12*AA684)*(1+PREMISSAS!$C$16))</f>
        <v>0</v>
      </c>
      <c r="Y685" s="140">
        <f t="shared" ca="1" si="108"/>
        <v>0</v>
      </c>
      <c r="Z685" s="167">
        <f t="shared" ca="1" si="109"/>
        <v>0</v>
      </c>
      <c r="AA685" s="167">
        <f t="shared" ca="1" si="95"/>
        <v>0</v>
      </c>
    </row>
    <row r="686" spans="2:27" x14ac:dyDescent="0.25">
      <c r="B686" s="21" t="str">
        <f ca="1">IF(B685="","",IF(EOMONTH(B685,1)&gt;EOMONTH(ELEGIBILIDADE!$J$17,0),"",EOMONTH(B685,1)))</f>
        <v/>
      </c>
      <c r="C686" s="22" t="str">
        <f ca="1">IF(B686="","",IF(MONTH(B686)=1,C685*(1+PREMISSAS!$C$57),C685))</f>
        <v/>
      </c>
      <c r="D686" s="22">
        <f ca="1">IF(RESULTADOS!$C$17="Normal",IFERROR(MAX(C686-PREMISSAS!$C$13,0),0),IF(Painel!$I$23=0,0,MAX(10*PREMISSAS!$C$38,RESULTADOS!$F$17)))</f>
        <v>0</v>
      </c>
      <c r="E686" s="4">
        <f ca="1">D686*IF(RESULTADOS!$C$17="Normal",RESULTADOS!$C$16,0)</f>
        <v>0</v>
      </c>
      <c r="F686" s="4">
        <f ca="1">IFERROR(IF(RESULTADOS!$C$17="Normal",D686,C686)*RESULTADOS!$C$18,0)</f>
        <v>0</v>
      </c>
      <c r="G686" s="4">
        <f ca="1">IFERROR(IF(RESULTADOS!$C$17="Normal",0,D686)*IF(RESULTADOS!$C$17="Normal",RESULTADOS!$C$18,RESULTADOS!$C$16),0)</f>
        <v>0</v>
      </c>
      <c r="H686" s="4">
        <f ca="1">IF(RESULTADOS!$C$17="Normal",E686,0)</f>
        <v>0</v>
      </c>
      <c r="I686" s="4">
        <f ca="1">(E686+H686+G686)*PREMISSAS!$C$60</f>
        <v>0</v>
      </c>
      <c r="J686" s="4">
        <f ca="1">D686*IF(RESULTADOS!$C$17="Normal",PREMISSAS!$C$62,0)</f>
        <v>0</v>
      </c>
      <c r="K686" s="116">
        <f ca="1">IFERROR(K685*(1+PREMISSAS!$C$18)+(E686+H686-IF(RESULTADOS!$C$17="Normal",I686,0)-J686)*IF(MONTH(B686)=12,2,1),0)</f>
        <v>0</v>
      </c>
      <c r="L686" s="116">
        <f ca="1">IFERROR((L685+G686-IF(RESULTADOS!$C$17="Normal",0,I686))*(1+PREMISSAS!$C$18)+F686,0)</f>
        <v>0</v>
      </c>
      <c r="N686" s="73">
        <f t="shared" ca="1" si="103"/>
        <v>0</v>
      </c>
      <c r="P686" s="164" t="str">
        <f t="shared" ca="1" si="104"/>
        <v/>
      </c>
      <c r="Q686" s="140" t="str">
        <f ca="1">IF(C686="","",Q685+(E686+H686-IF(RESULTADOS!$C$17="Normal",I686,0)-J686)/2+(F686+G686-IF(RESULTADOS!$C$17="Normal",0,I686)))</f>
        <v/>
      </c>
      <c r="R686" s="140" t="str">
        <f ca="1">IF(C686="","",R685+(E686+H686-IF(RESULTADOS!$C$17="Normal",I686,0)-J686)/2)</f>
        <v/>
      </c>
      <c r="S686" s="140">
        <f t="shared" ca="1" si="105"/>
        <v>0</v>
      </c>
      <c r="U686" s="164" t="str">
        <f t="shared" ca="1" si="106"/>
        <v/>
      </c>
      <c r="V686" s="164" t="str">
        <f t="shared" ca="1" si="107"/>
        <v/>
      </c>
      <c r="W686" s="140">
        <f ca="1">IF(OR((W685-13/12*Z685)*(1+PREMISSAS!$C$16)&lt;0,W685=""),0,(W685-13/12*Z685)*(1+PREMISSAS!$C$16))</f>
        <v>0</v>
      </c>
      <c r="X686" s="140">
        <f ca="1">IF(OR((X685-13/12*AA685)*(1+PREMISSAS!$C$16)&lt;0,X685=""),0,(X685-13/12*AA685)*(1+PREMISSAS!$C$16))</f>
        <v>0</v>
      </c>
      <c r="Y686" s="140">
        <f t="shared" ca="1" si="108"/>
        <v>0</v>
      </c>
      <c r="Z686" s="167">
        <f t="shared" ca="1" si="109"/>
        <v>0</v>
      </c>
      <c r="AA686" s="167">
        <f t="shared" ca="1" si="95"/>
        <v>0</v>
      </c>
    </row>
    <row r="687" spans="2:27" x14ac:dyDescent="0.25">
      <c r="B687" s="21" t="str">
        <f ca="1">IF(B686="","",IF(EOMONTH(B686,1)&gt;EOMONTH(ELEGIBILIDADE!$J$17,0),"",EOMONTH(B686,1)))</f>
        <v/>
      </c>
      <c r="C687" s="22" t="str">
        <f ca="1">IF(B687="","",IF(MONTH(B687)=1,C686*(1+PREMISSAS!$C$57),C686))</f>
        <v/>
      </c>
      <c r="D687" s="22">
        <f ca="1">IF(RESULTADOS!$C$17="Normal",IFERROR(MAX(C687-PREMISSAS!$C$13,0),0),IF(Painel!$I$23=0,0,MAX(10*PREMISSAS!$C$38,RESULTADOS!$F$17)))</f>
        <v>0</v>
      </c>
      <c r="E687" s="4">
        <f ca="1">D687*IF(RESULTADOS!$C$17="Normal",RESULTADOS!$C$16,0)</f>
        <v>0</v>
      </c>
      <c r="F687" s="4">
        <f ca="1">IFERROR(IF(RESULTADOS!$C$17="Normal",D687,C687)*RESULTADOS!$C$18,0)</f>
        <v>0</v>
      </c>
      <c r="G687" s="4">
        <f ca="1">IFERROR(IF(RESULTADOS!$C$17="Normal",0,D687)*IF(RESULTADOS!$C$17="Normal",RESULTADOS!$C$18,RESULTADOS!$C$16),0)</f>
        <v>0</v>
      </c>
      <c r="H687" s="4">
        <f ca="1">IF(RESULTADOS!$C$17="Normal",E687,0)</f>
        <v>0</v>
      </c>
      <c r="I687" s="4">
        <f ca="1">(E687+H687+G687)*PREMISSAS!$C$60</f>
        <v>0</v>
      </c>
      <c r="J687" s="4">
        <f ca="1">D687*IF(RESULTADOS!$C$17="Normal",PREMISSAS!$C$62,0)</f>
        <v>0</v>
      </c>
      <c r="K687" s="116">
        <f ca="1">IFERROR(K686*(1+PREMISSAS!$C$18)+(E687+H687-IF(RESULTADOS!$C$17="Normal",I687,0)-J687)*IF(MONTH(B687)=12,2,1),0)</f>
        <v>0</v>
      </c>
      <c r="L687" s="116">
        <f ca="1">IFERROR((L686+G687-IF(RESULTADOS!$C$17="Normal",0,I687))*(1+PREMISSAS!$C$18)+F687,0)</f>
        <v>0</v>
      </c>
      <c r="N687" s="73">
        <f t="shared" ca="1" si="103"/>
        <v>0</v>
      </c>
      <c r="P687" s="164" t="str">
        <f t="shared" ca="1" si="104"/>
        <v/>
      </c>
      <c r="Q687" s="140" t="str">
        <f ca="1">IF(C687="","",Q686+(E687+H687-IF(RESULTADOS!$C$17="Normal",I687,0)-J687)/2+(F687+G687-IF(RESULTADOS!$C$17="Normal",0,I687)))</f>
        <v/>
      </c>
      <c r="R687" s="140" t="str">
        <f ca="1">IF(C687="","",R686+(E687+H687-IF(RESULTADOS!$C$17="Normal",I687,0)-J687)/2)</f>
        <v/>
      </c>
      <c r="S687" s="140">
        <f t="shared" ca="1" si="105"/>
        <v>0</v>
      </c>
      <c r="U687" s="164" t="str">
        <f t="shared" ca="1" si="106"/>
        <v/>
      </c>
      <c r="V687" s="164" t="str">
        <f t="shared" ca="1" si="107"/>
        <v/>
      </c>
      <c r="W687" s="140">
        <f ca="1">IF(OR((W686-13/12*Z686)*(1+PREMISSAS!$C$16)&lt;0,W686=""),0,(W686-13/12*Z686)*(1+PREMISSAS!$C$16))</f>
        <v>0</v>
      </c>
      <c r="X687" s="140">
        <f ca="1">IF(OR((X686-13/12*AA686)*(1+PREMISSAS!$C$16)&lt;0,X686=""),0,(X686-13/12*AA686)*(1+PREMISSAS!$C$16))</f>
        <v>0</v>
      </c>
      <c r="Y687" s="140">
        <f t="shared" ca="1" si="108"/>
        <v>0</v>
      </c>
      <c r="Z687" s="167">
        <f t="shared" ca="1" si="109"/>
        <v>0</v>
      </c>
      <c r="AA687" s="167">
        <f t="shared" ca="1" si="95"/>
        <v>0</v>
      </c>
    </row>
    <row r="688" spans="2:27" x14ac:dyDescent="0.25">
      <c r="B688" s="21" t="str">
        <f ca="1">IF(B687="","",IF(EOMONTH(B687,1)&gt;EOMONTH(ELEGIBILIDADE!$J$17,0),"",EOMONTH(B687,1)))</f>
        <v/>
      </c>
      <c r="C688" s="22" t="str">
        <f ca="1">IF(B688="","",IF(MONTH(B688)=1,C687*(1+PREMISSAS!$C$57),C687))</f>
        <v/>
      </c>
      <c r="D688" s="22">
        <f ca="1">IF(RESULTADOS!$C$17="Normal",IFERROR(MAX(C688-PREMISSAS!$C$13,0),0),IF(Painel!$I$23=0,0,MAX(10*PREMISSAS!$C$38,RESULTADOS!$F$17)))</f>
        <v>0</v>
      </c>
      <c r="E688" s="4">
        <f ca="1">D688*IF(RESULTADOS!$C$17="Normal",RESULTADOS!$C$16,0)</f>
        <v>0</v>
      </c>
      <c r="F688" s="4">
        <f ca="1">IFERROR(IF(RESULTADOS!$C$17="Normal",D688,C688)*RESULTADOS!$C$18,0)</f>
        <v>0</v>
      </c>
      <c r="G688" s="4">
        <f ca="1">IFERROR(IF(RESULTADOS!$C$17="Normal",0,D688)*IF(RESULTADOS!$C$17="Normal",RESULTADOS!$C$18,RESULTADOS!$C$16),0)</f>
        <v>0</v>
      </c>
      <c r="H688" s="4">
        <f ca="1">IF(RESULTADOS!$C$17="Normal",E688,0)</f>
        <v>0</v>
      </c>
      <c r="I688" s="4">
        <f ca="1">(E688+H688+G688)*PREMISSAS!$C$60</f>
        <v>0</v>
      </c>
      <c r="J688" s="4">
        <f ca="1">D688*IF(RESULTADOS!$C$17="Normal",PREMISSAS!$C$62,0)</f>
        <v>0</v>
      </c>
      <c r="K688" s="116">
        <f ca="1">IFERROR(K687*(1+PREMISSAS!$C$18)+(E688+H688-IF(RESULTADOS!$C$17="Normal",I688,0)-J688)*IF(MONTH(B688)=12,2,1),0)</f>
        <v>0</v>
      </c>
      <c r="L688" s="116">
        <f ca="1">IFERROR((L687+G688-IF(RESULTADOS!$C$17="Normal",0,I688))*(1+PREMISSAS!$C$18)+F688,0)</f>
        <v>0</v>
      </c>
      <c r="N688" s="73">
        <f t="shared" ca="1" si="103"/>
        <v>0</v>
      </c>
      <c r="P688" s="164" t="str">
        <f t="shared" ca="1" si="104"/>
        <v/>
      </c>
      <c r="Q688" s="140" t="str">
        <f ca="1">IF(C688="","",Q687+(E688+H688-IF(RESULTADOS!$C$17="Normal",I688,0)-J688)/2+(F688+G688-IF(RESULTADOS!$C$17="Normal",0,I688)))</f>
        <v/>
      </c>
      <c r="R688" s="140" t="str">
        <f ca="1">IF(C688="","",R687+(E688+H688-IF(RESULTADOS!$C$17="Normal",I688,0)-J688)/2)</f>
        <v/>
      </c>
      <c r="S688" s="140">
        <f t="shared" ca="1" si="105"/>
        <v>0</v>
      </c>
      <c r="U688" s="164" t="str">
        <f t="shared" ca="1" si="106"/>
        <v/>
      </c>
      <c r="V688" s="164" t="str">
        <f t="shared" ca="1" si="107"/>
        <v/>
      </c>
      <c r="W688" s="140">
        <f ca="1">IF(OR((W687-13/12*Z687)*(1+PREMISSAS!$C$16)&lt;0,W687=""),0,(W687-13/12*Z687)*(1+PREMISSAS!$C$16))</f>
        <v>0</v>
      </c>
      <c r="X688" s="140">
        <f ca="1">IF(OR((X687-13/12*AA687)*(1+PREMISSAS!$C$16)&lt;0,X687=""),0,(X687-13/12*AA687)*(1+PREMISSAS!$C$16))</f>
        <v>0</v>
      </c>
      <c r="Y688" s="140">
        <f t="shared" ca="1" si="108"/>
        <v>0</v>
      </c>
      <c r="Z688" s="167">
        <f t="shared" ca="1" si="109"/>
        <v>0</v>
      </c>
      <c r="AA688" s="167">
        <f t="shared" ca="1" si="95"/>
        <v>0</v>
      </c>
    </row>
    <row r="689" spans="2:27" x14ac:dyDescent="0.25">
      <c r="B689" s="21" t="str">
        <f ca="1">IF(B688="","",IF(EOMONTH(B688,1)&gt;EOMONTH(ELEGIBILIDADE!$J$17,0),"",EOMONTH(B688,1)))</f>
        <v/>
      </c>
      <c r="C689" s="22" t="str">
        <f ca="1">IF(B689="","",IF(MONTH(B689)=1,C688*(1+PREMISSAS!$C$57),C688))</f>
        <v/>
      </c>
      <c r="D689" s="22">
        <f ca="1">IF(RESULTADOS!$C$17="Normal",IFERROR(MAX(C689-PREMISSAS!$C$13,0),0),IF(Painel!$I$23=0,0,MAX(10*PREMISSAS!$C$38,RESULTADOS!$F$17)))</f>
        <v>0</v>
      </c>
      <c r="E689" s="4">
        <f ca="1">D689*IF(RESULTADOS!$C$17="Normal",RESULTADOS!$C$16,0)</f>
        <v>0</v>
      </c>
      <c r="F689" s="4">
        <f ca="1">IFERROR(IF(RESULTADOS!$C$17="Normal",D689,C689)*RESULTADOS!$C$18,0)</f>
        <v>0</v>
      </c>
      <c r="G689" s="4">
        <f ca="1">IFERROR(IF(RESULTADOS!$C$17="Normal",0,D689)*IF(RESULTADOS!$C$17="Normal",RESULTADOS!$C$18,RESULTADOS!$C$16),0)</f>
        <v>0</v>
      </c>
      <c r="H689" s="4">
        <f ca="1">IF(RESULTADOS!$C$17="Normal",E689,0)</f>
        <v>0</v>
      </c>
      <c r="I689" s="4">
        <f ca="1">(E689+H689+G689)*PREMISSAS!$C$60</f>
        <v>0</v>
      </c>
      <c r="J689" s="4">
        <f ca="1">D689*IF(RESULTADOS!$C$17="Normal",PREMISSAS!$C$62,0)</f>
        <v>0</v>
      </c>
      <c r="K689" s="116">
        <f ca="1">IFERROR(K688*(1+PREMISSAS!$C$18)+(E689+H689-IF(RESULTADOS!$C$17="Normal",I689,0)-J689)*IF(MONTH(B689)=12,2,1),0)</f>
        <v>0</v>
      </c>
      <c r="L689" s="116">
        <f ca="1">IFERROR((L688+G689-IF(RESULTADOS!$C$17="Normal",0,I689))*(1+PREMISSAS!$C$18)+F689,0)</f>
        <v>0</v>
      </c>
      <c r="N689" s="73">
        <f t="shared" ca="1" si="103"/>
        <v>0</v>
      </c>
      <c r="P689" s="164" t="str">
        <f t="shared" ca="1" si="104"/>
        <v/>
      </c>
      <c r="Q689" s="140" t="str">
        <f ca="1">IF(C689="","",Q688+(E689+H689-IF(RESULTADOS!$C$17="Normal",I689,0)-J689)/2+(F689+G689-IF(RESULTADOS!$C$17="Normal",0,I689)))</f>
        <v/>
      </c>
      <c r="R689" s="140" t="str">
        <f ca="1">IF(C689="","",R688+(E689+H689-IF(RESULTADOS!$C$17="Normal",I689,0)-J689)/2)</f>
        <v/>
      </c>
      <c r="S689" s="140">
        <f t="shared" ca="1" si="105"/>
        <v>0</v>
      </c>
      <c r="U689" s="164" t="str">
        <f t="shared" ca="1" si="106"/>
        <v/>
      </c>
      <c r="V689" s="164" t="str">
        <f t="shared" ca="1" si="107"/>
        <v/>
      </c>
      <c r="W689" s="140">
        <f ca="1">IF(OR((W688-13/12*Z688)*(1+PREMISSAS!$C$16)&lt;0,W688=""),0,(W688-13/12*Z688)*(1+PREMISSAS!$C$16))</f>
        <v>0</v>
      </c>
      <c r="X689" s="140">
        <f ca="1">IF(OR((X688-13/12*AA688)*(1+PREMISSAS!$C$16)&lt;0,X688=""),0,(X688-13/12*AA688)*(1+PREMISSAS!$C$16))</f>
        <v>0</v>
      </c>
      <c r="Y689" s="140">
        <f t="shared" ca="1" si="108"/>
        <v>0</v>
      </c>
      <c r="Z689" s="167">
        <f t="shared" ca="1" si="109"/>
        <v>0</v>
      </c>
      <c r="AA689" s="167">
        <f t="shared" ca="1" si="95"/>
        <v>0</v>
      </c>
    </row>
    <row r="690" spans="2:27" x14ac:dyDescent="0.25">
      <c r="B690" s="21" t="str">
        <f ca="1">IF(B689="","",IF(EOMONTH(B689,1)&gt;EOMONTH(ELEGIBILIDADE!$J$17,0),"",EOMONTH(B689,1)))</f>
        <v/>
      </c>
      <c r="C690" s="22" t="str">
        <f ca="1">IF(B690="","",IF(MONTH(B690)=1,C689*(1+PREMISSAS!$C$57),C689))</f>
        <v/>
      </c>
      <c r="D690" s="22">
        <f ca="1">IF(RESULTADOS!$C$17="Normal",IFERROR(MAX(C690-PREMISSAS!$C$13,0),0),IF(Painel!$I$23=0,0,MAX(10*PREMISSAS!$C$38,RESULTADOS!$F$17)))</f>
        <v>0</v>
      </c>
      <c r="E690" s="4">
        <f ca="1">D690*IF(RESULTADOS!$C$17="Normal",RESULTADOS!$C$16,0)</f>
        <v>0</v>
      </c>
      <c r="F690" s="4">
        <f ca="1">IFERROR(IF(RESULTADOS!$C$17="Normal",D690,C690)*RESULTADOS!$C$18,0)</f>
        <v>0</v>
      </c>
      <c r="G690" s="4">
        <f ca="1">IFERROR(IF(RESULTADOS!$C$17="Normal",0,D690)*IF(RESULTADOS!$C$17="Normal",RESULTADOS!$C$18,RESULTADOS!$C$16),0)</f>
        <v>0</v>
      </c>
      <c r="H690" s="4">
        <f ca="1">IF(RESULTADOS!$C$17="Normal",E690,0)</f>
        <v>0</v>
      </c>
      <c r="I690" s="4">
        <f ca="1">(E690+H690+G690)*PREMISSAS!$C$60</f>
        <v>0</v>
      </c>
      <c r="J690" s="4">
        <f ca="1">D690*IF(RESULTADOS!$C$17="Normal",PREMISSAS!$C$62,0)</f>
        <v>0</v>
      </c>
      <c r="K690" s="116">
        <f ca="1">IFERROR(K689*(1+PREMISSAS!$C$18)+(E690+H690-IF(RESULTADOS!$C$17="Normal",I690,0)-J690)*IF(MONTH(B690)=12,2,1),0)</f>
        <v>0</v>
      </c>
      <c r="L690" s="116">
        <f ca="1">IFERROR((L689+G690-IF(RESULTADOS!$C$17="Normal",0,I690))*(1+PREMISSAS!$C$18)+F690,0)</f>
        <v>0</v>
      </c>
      <c r="N690" s="73">
        <f t="shared" ca="1" si="103"/>
        <v>0</v>
      </c>
      <c r="P690" s="164" t="str">
        <f t="shared" ca="1" si="104"/>
        <v/>
      </c>
      <c r="Q690" s="140" t="str">
        <f ca="1">IF(C690="","",Q689+(E690+H690-IF(RESULTADOS!$C$17="Normal",I690,0)-J690)/2+(F690+G690-IF(RESULTADOS!$C$17="Normal",0,I690)))</f>
        <v/>
      </c>
      <c r="R690" s="140" t="str">
        <f ca="1">IF(C690="","",R689+(E690+H690-IF(RESULTADOS!$C$17="Normal",I690,0)-J690)/2)</f>
        <v/>
      </c>
      <c r="S690" s="140">
        <f t="shared" ca="1" si="105"/>
        <v>0</v>
      </c>
      <c r="U690" s="164" t="str">
        <f t="shared" ca="1" si="106"/>
        <v/>
      </c>
      <c r="V690" s="164" t="str">
        <f t="shared" ca="1" si="107"/>
        <v/>
      </c>
      <c r="W690" s="140">
        <f ca="1">IF(OR((W689-13/12*Z689)*(1+PREMISSAS!$C$16)&lt;0,W689=""),0,(W689-13/12*Z689)*(1+PREMISSAS!$C$16))</f>
        <v>0</v>
      </c>
      <c r="X690" s="140">
        <f ca="1">IF(OR((X689-13/12*AA689)*(1+PREMISSAS!$C$16)&lt;0,X689=""),0,(X689-13/12*AA689)*(1+PREMISSAS!$C$16))</f>
        <v>0</v>
      </c>
      <c r="Y690" s="140">
        <f t="shared" ca="1" si="108"/>
        <v>0</v>
      </c>
      <c r="Z690" s="167">
        <f t="shared" ca="1" si="109"/>
        <v>0</v>
      </c>
      <c r="AA690" s="167">
        <f t="shared" ca="1" si="95"/>
        <v>0</v>
      </c>
    </row>
    <row r="691" spans="2:27" x14ac:dyDescent="0.25">
      <c r="B691" s="21" t="str">
        <f ca="1">IF(B690="","",IF(EOMONTH(B690,1)&gt;EOMONTH(ELEGIBILIDADE!$J$17,0),"",EOMONTH(B690,1)))</f>
        <v/>
      </c>
      <c r="C691" s="22" t="str">
        <f ca="1">IF(B691="","",IF(MONTH(B691)=1,C690*(1+PREMISSAS!$C$57),C690))</f>
        <v/>
      </c>
      <c r="D691" s="22">
        <f ca="1">IF(RESULTADOS!$C$17="Normal",IFERROR(MAX(C691-PREMISSAS!$C$13,0),0),IF(Painel!$I$23=0,0,MAX(10*PREMISSAS!$C$38,RESULTADOS!$F$17)))</f>
        <v>0</v>
      </c>
      <c r="E691" s="4">
        <f ca="1">D691*IF(RESULTADOS!$C$17="Normal",RESULTADOS!$C$16,0)</f>
        <v>0</v>
      </c>
      <c r="F691" s="4">
        <f ca="1">IFERROR(IF(RESULTADOS!$C$17="Normal",D691,C691)*RESULTADOS!$C$18,0)</f>
        <v>0</v>
      </c>
      <c r="G691" s="4">
        <f ca="1">IFERROR(IF(RESULTADOS!$C$17="Normal",0,D691)*IF(RESULTADOS!$C$17="Normal",RESULTADOS!$C$18,RESULTADOS!$C$16),0)</f>
        <v>0</v>
      </c>
      <c r="H691" s="4">
        <f ca="1">IF(RESULTADOS!$C$17="Normal",E691,0)</f>
        <v>0</v>
      </c>
      <c r="I691" s="4">
        <f ca="1">(E691+H691+G691)*PREMISSAS!$C$60</f>
        <v>0</v>
      </c>
      <c r="J691" s="4">
        <f ca="1">D691*IF(RESULTADOS!$C$17="Normal",PREMISSAS!$C$62,0)</f>
        <v>0</v>
      </c>
      <c r="K691" s="116">
        <f ca="1">IFERROR(K690*(1+PREMISSAS!$C$18)+(E691+H691-IF(RESULTADOS!$C$17="Normal",I691,0)-J691)*IF(MONTH(B691)=12,2,1),0)</f>
        <v>0</v>
      </c>
      <c r="L691" s="116">
        <f ca="1">IFERROR((L690+G691-IF(RESULTADOS!$C$17="Normal",0,I691))*(1+PREMISSAS!$C$18)+F691,0)</f>
        <v>0</v>
      </c>
      <c r="N691" s="73">
        <f t="shared" ca="1" si="103"/>
        <v>0</v>
      </c>
      <c r="P691" s="164" t="str">
        <f t="shared" ca="1" si="104"/>
        <v/>
      </c>
      <c r="Q691" s="140" t="str">
        <f ca="1">IF(C691="","",Q690+(E691+H691-IF(RESULTADOS!$C$17="Normal",I691,0)-J691)/2+(F691+G691-IF(RESULTADOS!$C$17="Normal",0,I691)))</f>
        <v/>
      </c>
      <c r="R691" s="140" t="str">
        <f ca="1">IF(C691="","",R690+(E691+H691-IF(RESULTADOS!$C$17="Normal",I691,0)-J691)/2)</f>
        <v/>
      </c>
      <c r="S691" s="140">
        <f t="shared" ca="1" si="105"/>
        <v>0</v>
      </c>
      <c r="U691" s="164" t="str">
        <f t="shared" ca="1" si="106"/>
        <v/>
      </c>
      <c r="V691" s="164" t="str">
        <f t="shared" ca="1" si="107"/>
        <v/>
      </c>
      <c r="W691" s="140">
        <f ca="1">IF(OR((W690-13/12*Z690)*(1+PREMISSAS!$C$16)&lt;0,W690=""),0,(W690-13/12*Z690)*(1+PREMISSAS!$C$16))</f>
        <v>0</v>
      </c>
      <c r="X691" s="140">
        <f ca="1">IF(OR((X690-13/12*AA690)*(1+PREMISSAS!$C$16)&lt;0,X690=""),0,(X690-13/12*AA690)*(1+PREMISSAS!$C$16))</f>
        <v>0</v>
      </c>
      <c r="Y691" s="140">
        <f t="shared" ca="1" si="108"/>
        <v>0</v>
      </c>
      <c r="Z691" s="167">
        <f t="shared" ca="1" si="109"/>
        <v>0</v>
      </c>
      <c r="AA691" s="167">
        <f t="shared" ca="1" si="95"/>
        <v>0</v>
      </c>
    </row>
    <row r="692" spans="2:27" x14ac:dyDescent="0.25">
      <c r="B692" s="21" t="str">
        <f ca="1">IF(B691="","",IF(EOMONTH(B691,1)&gt;EOMONTH(ELEGIBILIDADE!$J$17,0),"",EOMONTH(B691,1)))</f>
        <v/>
      </c>
      <c r="C692" s="22" t="str">
        <f ca="1">IF(B692="","",IF(MONTH(B692)=1,C691*(1+PREMISSAS!$C$57),C691))</f>
        <v/>
      </c>
      <c r="D692" s="22">
        <f ca="1">IF(RESULTADOS!$C$17="Normal",IFERROR(MAX(C692-PREMISSAS!$C$13,0),0),IF(Painel!$I$23=0,0,MAX(10*PREMISSAS!$C$38,RESULTADOS!$F$17)))</f>
        <v>0</v>
      </c>
      <c r="E692" s="4">
        <f ca="1">D692*IF(RESULTADOS!$C$17="Normal",RESULTADOS!$C$16,0)</f>
        <v>0</v>
      </c>
      <c r="F692" s="4">
        <f ca="1">IFERROR(IF(RESULTADOS!$C$17="Normal",D692,C692)*RESULTADOS!$C$18,0)</f>
        <v>0</v>
      </c>
      <c r="G692" s="4">
        <f ca="1">IFERROR(IF(RESULTADOS!$C$17="Normal",0,D692)*IF(RESULTADOS!$C$17="Normal",RESULTADOS!$C$18,RESULTADOS!$C$16),0)</f>
        <v>0</v>
      </c>
      <c r="H692" s="4">
        <f ca="1">IF(RESULTADOS!$C$17="Normal",E692,0)</f>
        <v>0</v>
      </c>
      <c r="I692" s="4">
        <f ca="1">(E692+H692+G692)*PREMISSAS!$C$60</f>
        <v>0</v>
      </c>
      <c r="J692" s="4">
        <f ca="1">D692*IF(RESULTADOS!$C$17="Normal",PREMISSAS!$C$62,0)</f>
        <v>0</v>
      </c>
      <c r="K692" s="116">
        <f ca="1">IFERROR(K691*(1+PREMISSAS!$C$18)+(E692+H692-IF(RESULTADOS!$C$17="Normal",I692,0)-J692)*IF(MONTH(B692)=12,2,1),0)</f>
        <v>0</v>
      </c>
      <c r="L692" s="116">
        <f ca="1">IFERROR((L691+G692-IF(RESULTADOS!$C$17="Normal",0,I692))*(1+PREMISSAS!$C$18)+F692,0)</f>
        <v>0</v>
      </c>
      <c r="N692" s="73">
        <f t="shared" ca="1" si="103"/>
        <v>0</v>
      </c>
      <c r="P692" s="164" t="str">
        <f t="shared" ca="1" si="104"/>
        <v/>
      </c>
      <c r="Q692" s="140" t="str">
        <f ca="1">IF(C692="","",Q691+(E692+H692-IF(RESULTADOS!$C$17="Normal",I692,0)-J692)/2+(F692+G692-IF(RESULTADOS!$C$17="Normal",0,I692)))</f>
        <v/>
      </c>
      <c r="R692" s="140" t="str">
        <f ca="1">IF(C692="","",R691+(E692+H692-IF(RESULTADOS!$C$17="Normal",I692,0)-J692)/2)</f>
        <v/>
      </c>
      <c r="S692" s="140">
        <f t="shared" ca="1" si="105"/>
        <v>0</v>
      </c>
      <c r="U692" s="164" t="str">
        <f t="shared" ca="1" si="106"/>
        <v/>
      </c>
      <c r="V692" s="164" t="str">
        <f t="shared" ca="1" si="107"/>
        <v/>
      </c>
      <c r="W692" s="140">
        <f ca="1">IF(OR((W691-13/12*Z691)*(1+PREMISSAS!$C$16)&lt;0,W691=""),0,(W691-13/12*Z691)*(1+PREMISSAS!$C$16))</f>
        <v>0</v>
      </c>
      <c r="X692" s="140">
        <f ca="1">IF(OR((X691-13/12*AA691)*(1+PREMISSAS!$C$16)&lt;0,X691=""),0,(X691-13/12*AA691)*(1+PREMISSAS!$C$16))</f>
        <v>0</v>
      </c>
      <c r="Y692" s="140">
        <f t="shared" ca="1" si="108"/>
        <v>0</v>
      </c>
      <c r="Z692" s="167">
        <f t="shared" ca="1" si="109"/>
        <v>0</v>
      </c>
      <c r="AA692" s="167">
        <f t="shared" ca="1" si="95"/>
        <v>0</v>
      </c>
    </row>
    <row r="693" spans="2:27" x14ac:dyDescent="0.25">
      <c r="B693" s="21" t="str">
        <f ca="1">IF(B692="","",IF(EOMONTH(B692,1)&gt;EOMONTH(ELEGIBILIDADE!$J$17,0),"",EOMONTH(B692,1)))</f>
        <v/>
      </c>
      <c r="C693" s="22" t="str">
        <f ca="1">IF(B693="","",IF(MONTH(B693)=1,C692*(1+PREMISSAS!$C$57),C692))</f>
        <v/>
      </c>
      <c r="D693" s="22">
        <f ca="1">IF(RESULTADOS!$C$17="Normal",IFERROR(MAX(C693-PREMISSAS!$C$13,0),0),IF(Painel!$I$23=0,0,MAX(10*PREMISSAS!$C$38,RESULTADOS!$F$17)))</f>
        <v>0</v>
      </c>
      <c r="E693" s="4">
        <f ca="1">D693*IF(RESULTADOS!$C$17="Normal",RESULTADOS!$C$16,0)</f>
        <v>0</v>
      </c>
      <c r="F693" s="4">
        <f ca="1">IFERROR(IF(RESULTADOS!$C$17="Normal",D693,C693)*RESULTADOS!$C$18,0)</f>
        <v>0</v>
      </c>
      <c r="G693" s="4">
        <f ca="1">IFERROR(IF(RESULTADOS!$C$17="Normal",0,D693)*IF(RESULTADOS!$C$17="Normal",RESULTADOS!$C$18,RESULTADOS!$C$16),0)</f>
        <v>0</v>
      </c>
      <c r="H693" s="4">
        <f ca="1">IF(RESULTADOS!$C$17="Normal",E693,0)</f>
        <v>0</v>
      </c>
      <c r="I693" s="4">
        <f ca="1">(E693+H693+G693)*PREMISSAS!$C$60</f>
        <v>0</v>
      </c>
      <c r="J693" s="4">
        <f ca="1">D693*IF(RESULTADOS!$C$17="Normal",PREMISSAS!$C$62,0)</f>
        <v>0</v>
      </c>
      <c r="K693" s="116">
        <f ca="1">IFERROR(K692*(1+PREMISSAS!$C$18)+(E693+H693-IF(RESULTADOS!$C$17="Normal",I693,0)-J693)*IF(MONTH(B693)=12,2,1),0)</f>
        <v>0</v>
      </c>
      <c r="L693" s="116">
        <f ca="1">IFERROR((L692+G693-IF(RESULTADOS!$C$17="Normal",0,I693))*(1+PREMISSAS!$C$18)+F693,0)</f>
        <v>0</v>
      </c>
      <c r="N693" s="73">
        <f t="shared" ca="1" si="103"/>
        <v>0</v>
      </c>
      <c r="P693" s="164" t="str">
        <f t="shared" ca="1" si="104"/>
        <v/>
      </c>
      <c r="Q693" s="140" t="str">
        <f ca="1">IF(C693="","",Q692+(E693+H693-IF(RESULTADOS!$C$17="Normal",I693,0)-J693)/2+(F693+G693-IF(RESULTADOS!$C$17="Normal",0,I693)))</f>
        <v/>
      </c>
      <c r="R693" s="140" t="str">
        <f ca="1">IF(C693="","",R692+(E693+H693-IF(RESULTADOS!$C$17="Normal",I693,0)-J693)/2)</f>
        <v/>
      </c>
      <c r="S693" s="140">
        <f t="shared" ca="1" si="105"/>
        <v>0</v>
      </c>
      <c r="U693" s="164" t="str">
        <f t="shared" ca="1" si="106"/>
        <v/>
      </c>
      <c r="V693" s="164" t="str">
        <f t="shared" ca="1" si="107"/>
        <v/>
      </c>
      <c r="W693" s="140">
        <f ca="1">IF(OR((W692-13/12*Z692)*(1+PREMISSAS!$C$16)&lt;0,W692=""),0,(W692-13/12*Z692)*(1+PREMISSAS!$C$16))</f>
        <v>0</v>
      </c>
      <c r="X693" s="140">
        <f ca="1">IF(OR((X692-13/12*AA692)*(1+PREMISSAS!$C$16)&lt;0,X692=""),0,(X692-13/12*AA692)*(1+PREMISSAS!$C$16))</f>
        <v>0</v>
      </c>
      <c r="Y693" s="140">
        <f t="shared" ca="1" si="108"/>
        <v>0</v>
      </c>
      <c r="Z693" s="167">
        <f t="shared" ca="1" si="109"/>
        <v>0</v>
      </c>
      <c r="AA693" s="167">
        <f t="shared" ca="1" si="95"/>
        <v>0</v>
      </c>
    </row>
    <row r="694" spans="2:27" x14ac:dyDescent="0.25">
      <c r="B694" s="21" t="str">
        <f ca="1">IF(B693="","",IF(EOMONTH(B693,1)&gt;EOMONTH(ELEGIBILIDADE!$J$17,0),"",EOMONTH(B693,1)))</f>
        <v/>
      </c>
      <c r="C694" s="22" t="str">
        <f ca="1">IF(B694="","",IF(MONTH(B694)=1,C693*(1+PREMISSAS!$C$57),C693))</f>
        <v/>
      </c>
      <c r="D694" s="22">
        <f ca="1">IF(RESULTADOS!$C$17="Normal",IFERROR(MAX(C694-PREMISSAS!$C$13,0),0),IF(Painel!$I$23=0,0,MAX(10*PREMISSAS!$C$38,RESULTADOS!$F$17)))</f>
        <v>0</v>
      </c>
      <c r="E694" s="4">
        <f ca="1">D694*IF(RESULTADOS!$C$17="Normal",RESULTADOS!$C$16,0)</f>
        <v>0</v>
      </c>
      <c r="F694" s="4">
        <f ca="1">IFERROR(IF(RESULTADOS!$C$17="Normal",D694,C694)*RESULTADOS!$C$18,0)</f>
        <v>0</v>
      </c>
      <c r="G694" s="4">
        <f ca="1">IFERROR(IF(RESULTADOS!$C$17="Normal",0,D694)*IF(RESULTADOS!$C$17="Normal",RESULTADOS!$C$18,RESULTADOS!$C$16),0)</f>
        <v>0</v>
      </c>
      <c r="H694" s="4">
        <f ca="1">IF(RESULTADOS!$C$17="Normal",E694,0)</f>
        <v>0</v>
      </c>
      <c r="I694" s="4">
        <f ca="1">(E694+H694+G694)*PREMISSAS!$C$60</f>
        <v>0</v>
      </c>
      <c r="J694" s="4">
        <f ca="1">D694*IF(RESULTADOS!$C$17="Normal",PREMISSAS!$C$62,0)</f>
        <v>0</v>
      </c>
      <c r="K694" s="116">
        <f ca="1">IFERROR(K693*(1+PREMISSAS!$C$18)+(E694+H694-IF(RESULTADOS!$C$17="Normal",I694,0)-J694)*IF(MONTH(B694)=12,2,1),0)</f>
        <v>0</v>
      </c>
      <c r="L694" s="116">
        <f ca="1">IFERROR((L693+G694-IF(RESULTADOS!$C$17="Normal",0,I694))*(1+PREMISSAS!$C$18)+F694,0)</f>
        <v>0</v>
      </c>
      <c r="N694" s="73">
        <f t="shared" ca="1" si="103"/>
        <v>0</v>
      </c>
      <c r="P694" s="164" t="str">
        <f t="shared" ca="1" si="104"/>
        <v/>
      </c>
      <c r="Q694" s="140" t="str">
        <f ca="1">IF(C694="","",Q693+(E694+H694-IF(RESULTADOS!$C$17="Normal",I694,0)-J694)/2+(F694+G694-IF(RESULTADOS!$C$17="Normal",0,I694)))</f>
        <v/>
      </c>
      <c r="R694" s="140" t="str">
        <f ca="1">IF(C694="","",R693+(E694+H694-IF(RESULTADOS!$C$17="Normal",I694,0)-J694)/2)</f>
        <v/>
      </c>
      <c r="S694" s="140">
        <f t="shared" ca="1" si="105"/>
        <v>0</v>
      </c>
      <c r="U694" s="164" t="str">
        <f t="shared" ca="1" si="106"/>
        <v/>
      </c>
      <c r="V694" s="164" t="str">
        <f t="shared" ca="1" si="107"/>
        <v/>
      </c>
      <c r="W694" s="140">
        <f ca="1">IF(OR((W693-13/12*Z693)*(1+PREMISSAS!$C$16)&lt;0,W693=""),0,(W693-13/12*Z693)*(1+PREMISSAS!$C$16))</f>
        <v>0</v>
      </c>
      <c r="X694" s="140">
        <f ca="1">IF(OR((X693-13/12*AA693)*(1+PREMISSAS!$C$16)&lt;0,X693=""),0,(X693-13/12*AA693)*(1+PREMISSAS!$C$16))</f>
        <v>0</v>
      </c>
      <c r="Y694" s="140">
        <f t="shared" ca="1" si="108"/>
        <v>0</v>
      </c>
      <c r="Z694" s="167">
        <f t="shared" ca="1" si="109"/>
        <v>0</v>
      </c>
      <c r="AA694" s="167">
        <f t="shared" ca="1" si="95"/>
        <v>0</v>
      </c>
    </row>
    <row r="695" spans="2:27" x14ac:dyDescent="0.25">
      <c r="B695" s="21" t="str">
        <f ca="1">IF(B694="","",IF(EOMONTH(B694,1)&gt;EOMONTH(ELEGIBILIDADE!$J$17,0),"",EOMONTH(B694,1)))</f>
        <v/>
      </c>
      <c r="C695" s="22" t="str">
        <f ca="1">IF(B695="","",IF(MONTH(B695)=1,C694*(1+PREMISSAS!$C$57),C694))</f>
        <v/>
      </c>
      <c r="D695" s="22">
        <f ca="1">IF(RESULTADOS!$C$17="Normal",IFERROR(MAX(C695-PREMISSAS!$C$13,0),0),IF(Painel!$I$23=0,0,MAX(10*PREMISSAS!$C$38,RESULTADOS!$F$17)))</f>
        <v>0</v>
      </c>
      <c r="E695" s="4">
        <f ca="1">D695*IF(RESULTADOS!$C$17="Normal",RESULTADOS!$C$16,0)</f>
        <v>0</v>
      </c>
      <c r="F695" s="4">
        <f ca="1">IFERROR(IF(RESULTADOS!$C$17="Normal",D695,C695)*RESULTADOS!$C$18,0)</f>
        <v>0</v>
      </c>
      <c r="G695" s="4">
        <f ca="1">IFERROR(IF(RESULTADOS!$C$17="Normal",0,D695)*IF(RESULTADOS!$C$17="Normal",RESULTADOS!$C$18,RESULTADOS!$C$16),0)</f>
        <v>0</v>
      </c>
      <c r="H695" s="4">
        <f ca="1">IF(RESULTADOS!$C$17="Normal",E695,0)</f>
        <v>0</v>
      </c>
      <c r="I695" s="4">
        <f ca="1">(E695+H695+G695)*PREMISSAS!$C$60</f>
        <v>0</v>
      </c>
      <c r="J695" s="4">
        <f ca="1">D695*IF(RESULTADOS!$C$17="Normal",PREMISSAS!$C$62,0)</f>
        <v>0</v>
      </c>
      <c r="K695" s="116">
        <f ca="1">IFERROR(K694*(1+PREMISSAS!$C$18)+(E695+H695-IF(RESULTADOS!$C$17="Normal",I695,0)-J695)*IF(MONTH(B695)=12,2,1),0)</f>
        <v>0</v>
      </c>
      <c r="L695" s="116">
        <f ca="1">IFERROR((L694+G695-IF(RESULTADOS!$C$17="Normal",0,I695))*(1+PREMISSAS!$C$18)+F695,0)</f>
        <v>0</v>
      </c>
      <c r="N695" s="73">
        <f t="shared" ca="1" si="103"/>
        <v>0</v>
      </c>
      <c r="P695" s="164" t="str">
        <f t="shared" ca="1" si="104"/>
        <v/>
      </c>
      <c r="Q695" s="140" t="str">
        <f ca="1">IF(C695="","",Q694+(E695+H695-IF(RESULTADOS!$C$17="Normal",I695,0)-J695)/2+(F695+G695-IF(RESULTADOS!$C$17="Normal",0,I695)))</f>
        <v/>
      </c>
      <c r="R695" s="140" t="str">
        <f ca="1">IF(C695="","",R694+(E695+H695-IF(RESULTADOS!$C$17="Normal",I695,0)-J695)/2)</f>
        <v/>
      </c>
      <c r="S695" s="140">
        <f t="shared" ca="1" si="105"/>
        <v>0</v>
      </c>
      <c r="U695" s="164" t="str">
        <f t="shared" ca="1" si="106"/>
        <v/>
      </c>
      <c r="V695" s="164" t="str">
        <f t="shared" ca="1" si="107"/>
        <v/>
      </c>
      <c r="W695" s="140">
        <f ca="1">IF(OR((W694-13/12*Z694)*(1+PREMISSAS!$C$16)&lt;0,W694=""),0,(W694-13/12*Z694)*(1+PREMISSAS!$C$16))</f>
        <v>0</v>
      </c>
      <c r="X695" s="140">
        <f ca="1">IF(OR((X694-13/12*AA694)*(1+PREMISSAS!$C$16)&lt;0,X694=""),0,(X694-13/12*AA694)*(1+PREMISSAS!$C$16))</f>
        <v>0</v>
      </c>
      <c r="Y695" s="140">
        <f t="shared" ca="1" si="108"/>
        <v>0</v>
      </c>
      <c r="Z695" s="167">
        <f t="shared" ca="1" si="109"/>
        <v>0</v>
      </c>
      <c r="AA695" s="167">
        <f t="shared" ca="1" si="95"/>
        <v>0</v>
      </c>
    </row>
    <row r="696" spans="2:27" x14ac:dyDescent="0.25">
      <c r="B696" s="21" t="str">
        <f ca="1">IF(B695="","",IF(EOMONTH(B695,1)&gt;EOMONTH(ELEGIBILIDADE!$J$17,0),"",EOMONTH(B695,1)))</f>
        <v/>
      </c>
      <c r="C696" s="22" t="str">
        <f ca="1">IF(B696="","",IF(MONTH(B696)=1,C695*(1+PREMISSAS!$C$57),C695))</f>
        <v/>
      </c>
      <c r="D696" s="22">
        <f ca="1">IF(RESULTADOS!$C$17="Normal",IFERROR(MAX(C696-PREMISSAS!$C$13,0),0),IF(Painel!$I$23=0,0,MAX(10*PREMISSAS!$C$38,RESULTADOS!$F$17)))</f>
        <v>0</v>
      </c>
      <c r="E696" s="4">
        <f ca="1">D696*IF(RESULTADOS!$C$17="Normal",RESULTADOS!$C$16,0)</f>
        <v>0</v>
      </c>
      <c r="F696" s="4">
        <f ca="1">IFERROR(IF(RESULTADOS!$C$17="Normal",D696,C696)*RESULTADOS!$C$18,0)</f>
        <v>0</v>
      </c>
      <c r="G696" s="4">
        <f ca="1">IFERROR(IF(RESULTADOS!$C$17="Normal",0,D696)*IF(RESULTADOS!$C$17="Normal",RESULTADOS!$C$18,RESULTADOS!$C$16),0)</f>
        <v>0</v>
      </c>
      <c r="H696" s="4">
        <f ca="1">IF(RESULTADOS!$C$17="Normal",E696,0)</f>
        <v>0</v>
      </c>
      <c r="I696" s="4">
        <f ca="1">(E696+H696+G696)*PREMISSAS!$C$60</f>
        <v>0</v>
      </c>
      <c r="J696" s="4">
        <f ca="1">D696*IF(RESULTADOS!$C$17="Normal",PREMISSAS!$C$62,0)</f>
        <v>0</v>
      </c>
      <c r="K696" s="116">
        <f ca="1">IFERROR(K695*(1+PREMISSAS!$C$18)+(E696+H696-IF(RESULTADOS!$C$17="Normal",I696,0)-J696)*IF(MONTH(B696)=12,2,1),0)</f>
        <v>0</v>
      </c>
      <c r="L696" s="116">
        <f ca="1">IFERROR((L695+G696-IF(RESULTADOS!$C$17="Normal",0,I696))*(1+PREMISSAS!$C$18)+F696,0)</f>
        <v>0</v>
      </c>
      <c r="N696" s="73">
        <f t="shared" ca="1" si="103"/>
        <v>0</v>
      </c>
      <c r="P696" s="164" t="str">
        <f t="shared" ca="1" si="104"/>
        <v/>
      </c>
      <c r="Q696" s="140" t="str">
        <f ca="1">IF(C696="","",Q695+(E696+H696-IF(RESULTADOS!$C$17="Normal",I696,0)-J696)/2+(F696+G696-IF(RESULTADOS!$C$17="Normal",0,I696)))</f>
        <v/>
      </c>
      <c r="R696" s="140" t="str">
        <f ca="1">IF(C696="","",R695+(E696+H696-IF(RESULTADOS!$C$17="Normal",I696,0)-J696)/2)</f>
        <v/>
      </c>
      <c r="S696" s="140">
        <f t="shared" ca="1" si="105"/>
        <v>0</v>
      </c>
      <c r="U696" s="164" t="str">
        <f t="shared" ca="1" si="106"/>
        <v/>
      </c>
      <c r="V696" s="164" t="str">
        <f t="shared" ca="1" si="107"/>
        <v/>
      </c>
      <c r="W696" s="140">
        <f ca="1">IF(OR((W695-13/12*Z695)*(1+PREMISSAS!$C$16)&lt;0,W695=""),0,(W695-13/12*Z695)*(1+PREMISSAS!$C$16))</f>
        <v>0</v>
      </c>
      <c r="X696" s="140">
        <f ca="1">IF(OR((X695-13/12*AA695)*(1+PREMISSAS!$C$16)&lt;0,X695=""),0,(X695-13/12*AA695)*(1+PREMISSAS!$C$16))</f>
        <v>0</v>
      </c>
      <c r="Y696" s="140">
        <f t="shared" ca="1" si="108"/>
        <v>0</v>
      </c>
      <c r="Z696" s="167">
        <f t="shared" ca="1" si="109"/>
        <v>0</v>
      </c>
      <c r="AA696" s="167">
        <f t="shared" ca="1" si="95"/>
        <v>0</v>
      </c>
    </row>
    <row r="697" spans="2:27" x14ac:dyDescent="0.25">
      <c r="B697" s="21" t="str">
        <f ca="1">IF(B696="","",IF(EOMONTH(B696,1)&gt;EOMONTH(ELEGIBILIDADE!$J$17,0),"",EOMONTH(B696,1)))</f>
        <v/>
      </c>
      <c r="C697" s="22" t="str">
        <f ca="1">IF(B697="","",IF(MONTH(B697)=1,C696*(1+PREMISSAS!$C$57),C696))</f>
        <v/>
      </c>
      <c r="D697" s="22">
        <f ca="1">IF(RESULTADOS!$C$17="Normal",IFERROR(MAX(C697-PREMISSAS!$C$13,0),0),IF(Painel!$I$23=0,0,MAX(10*PREMISSAS!$C$38,RESULTADOS!$F$17)))</f>
        <v>0</v>
      </c>
      <c r="E697" s="4">
        <f ca="1">D697*IF(RESULTADOS!$C$17="Normal",RESULTADOS!$C$16,0)</f>
        <v>0</v>
      </c>
      <c r="F697" s="4">
        <f ca="1">IFERROR(IF(RESULTADOS!$C$17="Normal",D697,C697)*RESULTADOS!$C$18,0)</f>
        <v>0</v>
      </c>
      <c r="G697" s="4">
        <f ca="1">IFERROR(IF(RESULTADOS!$C$17="Normal",0,D697)*IF(RESULTADOS!$C$17="Normal",RESULTADOS!$C$18,RESULTADOS!$C$16),0)</f>
        <v>0</v>
      </c>
      <c r="H697" s="4">
        <f ca="1">IF(RESULTADOS!$C$17="Normal",E697,0)</f>
        <v>0</v>
      </c>
      <c r="I697" s="4">
        <f ca="1">(E697+H697+G697)*PREMISSAS!$C$60</f>
        <v>0</v>
      </c>
      <c r="J697" s="4">
        <f ca="1">D697*IF(RESULTADOS!$C$17="Normal",PREMISSAS!$C$62,0)</f>
        <v>0</v>
      </c>
      <c r="K697" s="116">
        <f ca="1">IFERROR(K696*(1+PREMISSAS!$C$18)+(E697+H697-IF(RESULTADOS!$C$17="Normal",I697,0)-J697)*IF(MONTH(B697)=12,2,1),0)</f>
        <v>0</v>
      </c>
      <c r="L697" s="116">
        <f ca="1">IFERROR((L696+G697-IF(RESULTADOS!$C$17="Normal",0,I697))*(1+PREMISSAS!$C$18)+F697,0)</f>
        <v>0</v>
      </c>
      <c r="N697" s="73">
        <f t="shared" ca="1" si="103"/>
        <v>0</v>
      </c>
      <c r="P697" s="164" t="str">
        <f t="shared" ca="1" si="104"/>
        <v/>
      </c>
      <c r="Q697" s="140" t="str">
        <f ca="1">IF(C697="","",Q696+(E697+H697-IF(RESULTADOS!$C$17="Normal",I697,0)-J697)/2+(F697+G697-IF(RESULTADOS!$C$17="Normal",0,I697)))</f>
        <v/>
      </c>
      <c r="R697" s="140" t="str">
        <f ca="1">IF(C697="","",R696+(E697+H697-IF(RESULTADOS!$C$17="Normal",I697,0)-J697)/2)</f>
        <v/>
      </c>
      <c r="S697" s="140">
        <f t="shared" ca="1" si="105"/>
        <v>0</v>
      </c>
      <c r="U697" s="164" t="str">
        <f t="shared" ca="1" si="106"/>
        <v/>
      </c>
      <c r="V697" s="164" t="str">
        <f t="shared" ca="1" si="107"/>
        <v/>
      </c>
      <c r="W697" s="140">
        <f ca="1">IF(OR((W696-13/12*Z696)*(1+PREMISSAS!$C$16)&lt;0,W696=""),0,(W696-13/12*Z696)*(1+PREMISSAS!$C$16))</f>
        <v>0</v>
      </c>
      <c r="X697" s="140">
        <f ca="1">IF(OR((X696-13/12*AA696)*(1+PREMISSAS!$C$16)&lt;0,X696=""),0,(X696-13/12*AA696)*(1+PREMISSAS!$C$16))</f>
        <v>0</v>
      </c>
      <c r="Y697" s="140">
        <f t="shared" ca="1" si="108"/>
        <v>0</v>
      </c>
      <c r="Z697" s="167">
        <f t="shared" ca="1" si="109"/>
        <v>0</v>
      </c>
      <c r="AA697" s="167">
        <f t="shared" ca="1" si="95"/>
        <v>0</v>
      </c>
    </row>
    <row r="698" spans="2:27" x14ac:dyDescent="0.25">
      <c r="B698" s="21" t="str">
        <f ca="1">IF(B697="","",IF(EOMONTH(B697,1)&gt;EOMONTH(ELEGIBILIDADE!$J$17,0),"",EOMONTH(B697,1)))</f>
        <v/>
      </c>
      <c r="C698" s="22" t="str">
        <f ca="1">IF(B698="","",IF(MONTH(B698)=1,C697*(1+PREMISSAS!$C$57),C697))</f>
        <v/>
      </c>
      <c r="D698" s="22">
        <f ca="1">IF(RESULTADOS!$C$17="Normal",IFERROR(MAX(C698-PREMISSAS!$C$13,0),0),IF(Painel!$I$23=0,0,MAX(10*PREMISSAS!$C$38,RESULTADOS!$F$17)))</f>
        <v>0</v>
      </c>
      <c r="E698" s="4">
        <f ca="1">D698*IF(RESULTADOS!$C$17="Normal",RESULTADOS!$C$16,0)</f>
        <v>0</v>
      </c>
      <c r="F698" s="4">
        <f ca="1">IFERROR(IF(RESULTADOS!$C$17="Normal",D698,C698)*RESULTADOS!$C$18,0)</f>
        <v>0</v>
      </c>
      <c r="G698" s="4">
        <f ca="1">IFERROR(IF(RESULTADOS!$C$17="Normal",0,D698)*IF(RESULTADOS!$C$17="Normal",RESULTADOS!$C$18,RESULTADOS!$C$16),0)</f>
        <v>0</v>
      </c>
      <c r="H698" s="4">
        <f ca="1">IF(RESULTADOS!$C$17="Normal",E698,0)</f>
        <v>0</v>
      </c>
      <c r="I698" s="4">
        <f ca="1">(E698+H698+G698)*PREMISSAS!$C$60</f>
        <v>0</v>
      </c>
      <c r="J698" s="4">
        <f ca="1">D698*IF(RESULTADOS!$C$17="Normal",PREMISSAS!$C$62,0)</f>
        <v>0</v>
      </c>
      <c r="K698" s="116">
        <f ca="1">IFERROR(K697*(1+PREMISSAS!$C$18)+(E698+H698-IF(RESULTADOS!$C$17="Normal",I698,0)-J698)*IF(MONTH(B698)=12,2,1),0)</f>
        <v>0</v>
      </c>
      <c r="L698" s="116">
        <f ca="1">IFERROR((L697+G698-IF(RESULTADOS!$C$17="Normal",0,I698))*(1+PREMISSAS!$C$18)+F698,0)</f>
        <v>0</v>
      </c>
      <c r="N698" s="73">
        <f t="shared" ca="1" si="103"/>
        <v>0</v>
      </c>
      <c r="P698" s="164" t="str">
        <f t="shared" ca="1" si="104"/>
        <v/>
      </c>
      <c r="Q698" s="140" t="str">
        <f ca="1">IF(C698="","",Q697+(E698+H698-IF(RESULTADOS!$C$17="Normal",I698,0)-J698)/2+(F698+G698-IF(RESULTADOS!$C$17="Normal",0,I698)))</f>
        <v/>
      </c>
      <c r="R698" s="140" t="str">
        <f ca="1">IF(C698="","",R697+(E698+H698-IF(RESULTADOS!$C$17="Normal",I698,0)-J698)/2)</f>
        <v/>
      </c>
      <c r="S698" s="140">
        <f t="shared" ca="1" si="105"/>
        <v>0</v>
      </c>
      <c r="U698" s="164" t="str">
        <f t="shared" ca="1" si="106"/>
        <v/>
      </c>
      <c r="V698" s="164" t="str">
        <f t="shared" ca="1" si="107"/>
        <v/>
      </c>
      <c r="W698" s="140">
        <f ca="1">IF(OR((W697-13/12*Z697)*(1+PREMISSAS!$C$16)&lt;0,W697=""),0,(W697-13/12*Z697)*(1+PREMISSAS!$C$16))</f>
        <v>0</v>
      </c>
      <c r="X698" s="140">
        <f ca="1">IF(OR((X697-13/12*AA697)*(1+PREMISSAS!$C$16)&lt;0,X697=""),0,(X697-13/12*AA697)*(1+PREMISSAS!$C$16))</f>
        <v>0</v>
      </c>
      <c r="Y698" s="140">
        <f t="shared" ca="1" si="108"/>
        <v>0</v>
      </c>
      <c r="Z698" s="167">
        <f t="shared" ca="1" si="109"/>
        <v>0</v>
      </c>
      <c r="AA698" s="167">
        <f t="shared" ca="1" si="95"/>
        <v>0</v>
      </c>
    </row>
    <row r="699" spans="2:27" x14ac:dyDescent="0.25">
      <c r="B699" s="21" t="str">
        <f ca="1">IF(B698="","",IF(EOMONTH(B698,1)&gt;EOMONTH(ELEGIBILIDADE!$J$17,0),"",EOMONTH(B698,1)))</f>
        <v/>
      </c>
      <c r="C699" s="22" t="str">
        <f ca="1">IF(B699="","",IF(MONTH(B699)=1,C698*(1+PREMISSAS!$C$57),C698))</f>
        <v/>
      </c>
      <c r="D699" s="22">
        <f ca="1">IF(RESULTADOS!$C$17="Normal",IFERROR(MAX(C699-PREMISSAS!$C$13,0),0),IF(Painel!$I$23=0,0,MAX(10*PREMISSAS!$C$38,RESULTADOS!$F$17)))</f>
        <v>0</v>
      </c>
      <c r="E699" s="4">
        <f ca="1">D699*IF(RESULTADOS!$C$17="Normal",RESULTADOS!$C$16,0)</f>
        <v>0</v>
      </c>
      <c r="F699" s="4">
        <f ca="1">IFERROR(IF(RESULTADOS!$C$17="Normal",D699,C699)*RESULTADOS!$C$18,0)</f>
        <v>0</v>
      </c>
      <c r="G699" s="4">
        <f ca="1">IFERROR(IF(RESULTADOS!$C$17="Normal",0,D699)*IF(RESULTADOS!$C$17="Normal",RESULTADOS!$C$18,RESULTADOS!$C$16),0)</f>
        <v>0</v>
      </c>
      <c r="H699" s="4">
        <f ca="1">IF(RESULTADOS!$C$17="Normal",E699,0)</f>
        <v>0</v>
      </c>
      <c r="I699" s="4">
        <f ca="1">(E699+H699+G699)*PREMISSAS!$C$60</f>
        <v>0</v>
      </c>
      <c r="J699" s="4">
        <f ca="1">D699*IF(RESULTADOS!$C$17="Normal",PREMISSAS!$C$62,0)</f>
        <v>0</v>
      </c>
      <c r="K699" s="116">
        <f ca="1">IFERROR(K698*(1+PREMISSAS!$C$18)+(E699+H699-IF(RESULTADOS!$C$17="Normal",I699,0)-J699)*IF(MONTH(B699)=12,2,1),0)</f>
        <v>0</v>
      </c>
      <c r="L699" s="116">
        <f ca="1">IFERROR((L698+G699-IF(RESULTADOS!$C$17="Normal",0,I699))*(1+PREMISSAS!$C$18)+F699,0)</f>
        <v>0</v>
      </c>
      <c r="N699" s="73">
        <f t="shared" ca="1" si="103"/>
        <v>0</v>
      </c>
      <c r="P699" s="164" t="str">
        <f t="shared" ca="1" si="104"/>
        <v/>
      </c>
      <c r="Q699" s="140" t="str">
        <f ca="1">IF(C699="","",Q698+(E699+H699-IF(RESULTADOS!$C$17="Normal",I699,0)-J699)/2+(F699+G699-IF(RESULTADOS!$C$17="Normal",0,I699)))</f>
        <v/>
      </c>
      <c r="R699" s="140" t="str">
        <f ca="1">IF(C699="","",R698+(E699+H699-IF(RESULTADOS!$C$17="Normal",I699,0)-J699)/2)</f>
        <v/>
      </c>
      <c r="S699" s="140">
        <f t="shared" ca="1" si="105"/>
        <v>0</v>
      </c>
      <c r="U699" s="164" t="str">
        <f t="shared" ca="1" si="106"/>
        <v/>
      </c>
      <c r="V699" s="164" t="str">
        <f t="shared" ca="1" si="107"/>
        <v/>
      </c>
      <c r="W699" s="140">
        <f ca="1">IF(OR((W698-13/12*Z698)*(1+PREMISSAS!$C$16)&lt;0,W698=""),0,(W698-13/12*Z698)*(1+PREMISSAS!$C$16))</f>
        <v>0</v>
      </c>
      <c r="X699" s="140">
        <f ca="1">IF(OR((X698-13/12*AA698)*(1+PREMISSAS!$C$16)&lt;0,X698=""),0,(X698-13/12*AA698)*(1+PREMISSAS!$C$16))</f>
        <v>0</v>
      </c>
      <c r="Y699" s="140">
        <f t="shared" ca="1" si="108"/>
        <v>0</v>
      </c>
      <c r="Z699" s="167">
        <f t="shared" ca="1" si="109"/>
        <v>0</v>
      </c>
      <c r="AA699" s="167">
        <f t="shared" ca="1" si="95"/>
        <v>0</v>
      </c>
    </row>
    <row r="700" spans="2:27" x14ac:dyDescent="0.25">
      <c r="B700" s="21" t="str">
        <f ca="1">IF(B699="","",IF(EOMONTH(B699,1)&gt;EOMONTH(ELEGIBILIDADE!$J$17,0),"",EOMONTH(B699,1)))</f>
        <v/>
      </c>
      <c r="C700" s="22" t="str">
        <f ca="1">IF(B700="","",IF(MONTH(B700)=1,C699*(1+PREMISSAS!$C$57),C699))</f>
        <v/>
      </c>
      <c r="D700" s="22">
        <f ca="1">IF(RESULTADOS!$C$17="Normal",IFERROR(MAX(C700-PREMISSAS!$C$13,0),0),IF(Painel!$I$23=0,0,MAX(10*PREMISSAS!$C$38,RESULTADOS!$F$17)))</f>
        <v>0</v>
      </c>
      <c r="E700" s="4">
        <f ca="1">D700*IF(RESULTADOS!$C$17="Normal",RESULTADOS!$C$16,0)</f>
        <v>0</v>
      </c>
      <c r="F700" s="4">
        <f ca="1">IFERROR(IF(RESULTADOS!$C$17="Normal",D700,C700)*RESULTADOS!$C$18,0)</f>
        <v>0</v>
      </c>
      <c r="G700" s="4">
        <f ca="1">IFERROR(IF(RESULTADOS!$C$17="Normal",0,D700)*IF(RESULTADOS!$C$17="Normal",RESULTADOS!$C$18,RESULTADOS!$C$16),0)</f>
        <v>0</v>
      </c>
      <c r="H700" s="4">
        <f ca="1">IF(RESULTADOS!$C$17="Normal",E700,0)</f>
        <v>0</v>
      </c>
      <c r="I700" s="4">
        <f ca="1">(E700+H700+G700)*PREMISSAS!$C$60</f>
        <v>0</v>
      </c>
      <c r="J700" s="4">
        <f ca="1">D700*IF(RESULTADOS!$C$17="Normal",PREMISSAS!$C$62,0)</f>
        <v>0</v>
      </c>
      <c r="K700" s="116">
        <f ca="1">IFERROR(K699*(1+PREMISSAS!$C$18)+(E700+H700-IF(RESULTADOS!$C$17="Normal",I700,0)-J700)*IF(MONTH(B700)=12,2,1),0)</f>
        <v>0</v>
      </c>
      <c r="L700" s="116">
        <f ca="1">IFERROR((L699+G700-IF(RESULTADOS!$C$17="Normal",0,I700))*(1+PREMISSAS!$C$18)+F700,0)</f>
        <v>0</v>
      </c>
      <c r="N700" s="73">
        <f t="shared" ca="1" si="103"/>
        <v>0</v>
      </c>
      <c r="P700" s="164" t="str">
        <f t="shared" ca="1" si="104"/>
        <v/>
      </c>
      <c r="Q700" s="140" t="str">
        <f ca="1">IF(C700="","",Q699+(E700+H700-IF(RESULTADOS!$C$17="Normal",I700,0)-J700)/2+(F700+G700-IF(RESULTADOS!$C$17="Normal",0,I700)))</f>
        <v/>
      </c>
      <c r="R700" s="140" t="str">
        <f ca="1">IF(C700="","",R699+(E700+H700-IF(RESULTADOS!$C$17="Normal",I700,0)-J700)/2)</f>
        <v/>
      </c>
      <c r="S700" s="140">
        <f t="shared" ca="1" si="105"/>
        <v>0</v>
      </c>
      <c r="U700" s="164" t="str">
        <f t="shared" ca="1" si="106"/>
        <v/>
      </c>
      <c r="V700" s="164" t="str">
        <f t="shared" ca="1" si="107"/>
        <v/>
      </c>
      <c r="W700" s="140">
        <f ca="1">IF(OR((W699-13/12*Z699)*(1+PREMISSAS!$C$16)&lt;0,W699=""),0,(W699-13/12*Z699)*(1+PREMISSAS!$C$16))</f>
        <v>0</v>
      </c>
      <c r="X700" s="140">
        <f ca="1">IF(OR((X699-13/12*AA699)*(1+PREMISSAS!$C$16)&lt;0,X699=""),0,(X699-13/12*AA699)*(1+PREMISSAS!$C$16))</f>
        <v>0</v>
      </c>
      <c r="Y700" s="140">
        <f t="shared" ca="1" si="108"/>
        <v>0</v>
      </c>
      <c r="Z700" s="167">
        <f t="shared" ca="1" si="109"/>
        <v>0</v>
      </c>
      <c r="AA700" s="167">
        <f t="shared" ca="1" si="95"/>
        <v>0</v>
      </c>
    </row>
  </sheetData>
  <mergeCells count="5">
    <mergeCell ref="B3:C3"/>
    <mergeCell ref="D3:D4"/>
    <mergeCell ref="E3:G3"/>
    <mergeCell ref="P2:S2"/>
    <mergeCell ref="U2:AA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7</vt:i4>
      </vt:variant>
    </vt:vector>
  </HeadingPairs>
  <TitlesOfParts>
    <vt:vector size="20" baseType="lpstr">
      <vt:lpstr>REGRAS RPPS</vt:lpstr>
      <vt:lpstr>IPCA</vt:lpstr>
      <vt:lpstr>Tabua(fem)</vt:lpstr>
      <vt:lpstr>Tabua(masc)</vt:lpstr>
      <vt:lpstr>PREMISSAS</vt:lpstr>
      <vt:lpstr>ELEGIBILIDADE</vt:lpstr>
      <vt:lpstr>CÁLCULO RPPS</vt:lpstr>
      <vt:lpstr>CÁLCULO RPPS ESPECIAL</vt:lpstr>
      <vt:lpstr>CÁLCULO FUNPRESP</vt:lpstr>
      <vt:lpstr>RESULTADOS</vt:lpstr>
      <vt:lpstr>Info GRaf</vt:lpstr>
      <vt:lpstr>Painel</vt:lpstr>
      <vt:lpstr>Histórico de Remunerações</vt:lpstr>
      <vt:lpstr>Painel!Area_de_impressao</vt:lpstr>
      <vt:lpstr>PREMISSA_TETO</vt:lpstr>
      <vt:lpstr>PREMISSA_URP</vt:lpstr>
      <vt:lpstr>TabFem</vt:lpstr>
      <vt:lpstr>TabMasc</vt:lpstr>
      <vt:lpstr>'Histórico de Remunerações'!Titulos_de_impressao</vt:lpstr>
      <vt:lpstr>Painel!Titulos_de_impressao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2019-03-26T21:57:08Z</dcterms:modified>
</cp:coreProperties>
</file>